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36" yWindow="65284" windowWidth="15996" windowHeight="12252" activeTab="0"/>
  </bookViews>
  <sheets>
    <sheet name="Tabula Nr.1" sheetId="1" r:id="rId1"/>
    <sheet name="Sheet1" sheetId="2" state="hidden" r:id="rId2"/>
  </sheets>
  <definedNames>
    <definedName name="_xlnm.Print_Area" localSheetId="0">'Tabula Nr.1'!$A$1:$Q$91</definedName>
    <definedName name="_xlnm.Print_Titles" localSheetId="0">'Tabula Nr.1'!$9:$11</definedName>
  </definedNames>
  <calcPr fullCalcOnLoad="1"/>
</workbook>
</file>

<file path=xl/sharedStrings.xml><?xml version="1.0" encoding="utf-8"?>
<sst xmlns="http://schemas.openxmlformats.org/spreadsheetml/2006/main" count="175" uniqueCount="75">
  <si>
    <t>Fonds</t>
  </si>
  <si>
    <t>KOPĀ</t>
  </si>
  <si>
    <t>ES fondu/EEZ/Norvēģijas FI daļa, lati</t>
  </si>
  <si>
    <t>LV valsts budžeta daļa, lati</t>
  </si>
  <si>
    <t>Cits nacionālais publiskais finansējums</t>
  </si>
  <si>
    <t>Atgūtie neatbilstoši veiktie izdevumi, % no kopējiem neatbilst. veiktajiem izdevumiem</t>
  </si>
  <si>
    <t>2007.-2013.g. ES SF un KF kopā, t.sk.</t>
  </si>
  <si>
    <t>ESF</t>
  </si>
  <si>
    <t>IZM</t>
  </si>
  <si>
    <t>LM</t>
  </si>
  <si>
    <t>VeM</t>
  </si>
  <si>
    <t>EM</t>
  </si>
  <si>
    <t>VKanc</t>
  </si>
  <si>
    <t>ERAF</t>
  </si>
  <si>
    <t>ERAF (2DP)</t>
  </si>
  <si>
    <t>ERAF (3DP)</t>
  </si>
  <si>
    <t>SM</t>
  </si>
  <si>
    <t>KM</t>
  </si>
  <si>
    <t>TP kopā</t>
  </si>
  <si>
    <t>2004.-2006.g. ES SF KOPĀ, t.sk.</t>
  </si>
  <si>
    <t>TM</t>
  </si>
  <si>
    <t>IeM</t>
  </si>
  <si>
    <t>TP</t>
  </si>
  <si>
    <t>Atgūtie neatbilstoši veiktie, lati</t>
  </si>
  <si>
    <t>ES fondu/EEZ/ Norvēģijas FI daļa, lati</t>
  </si>
  <si>
    <t xml:space="preserve">KF </t>
  </si>
  <si>
    <t>FM TP</t>
  </si>
  <si>
    <t>Konstatētie neatbilstoši veiktie izdevumi pārskata periodā (ceturksnī)</t>
  </si>
  <si>
    <t>FM</t>
  </si>
  <si>
    <t>t.sk. 1.prioritāte</t>
  </si>
  <si>
    <t>ZVFI/ ZM</t>
  </si>
  <si>
    <t xml:space="preserve">t.sk. 2.prioritāte </t>
  </si>
  <si>
    <t>VARAM</t>
  </si>
  <si>
    <t>-</t>
  </si>
  <si>
    <t xml:space="preserve">EM </t>
  </si>
  <si>
    <t>17=16/11</t>
  </si>
  <si>
    <t>11=12+13+14</t>
  </si>
  <si>
    <t>8=4/3</t>
  </si>
  <si>
    <t>Neatbilstoši veiktie izd. kopā % no pieprasītās summas FS, %</t>
  </si>
  <si>
    <t>4=5+6+7</t>
  </si>
  <si>
    <t>10=9/4</t>
  </si>
  <si>
    <t>Atgūtie neatbilstoši veiktie izdevumi, % no kopējā neatbilstību apjoma</t>
  </si>
  <si>
    <t xml:space="preserve">Neatbilstību apjoms % no pieprasītās summas. </t>
  </si>
  <si>
    <t>1OP</t>
  </si>
  <si>
    <t>2OP</t>
  </si>
  <si>
    <t>3OP</t>
  </si>
  <si>
    <t>Recovered 2nd quarter</t>
  </si>
  <si>
    <t xml:space="preserve">Recovered total </t>
  </si>
  <si>
    <t>TOTAL</t>
  </si>
  <si>
    <t>3dp</t>
  </si>
  <si>
    <t>ELVGF/ ZM</t>
  </si>
  <si>
    <t>ERAF TP</t>
  </si>
  <si>
    <t>ESF TP</t>
  </si>
  <si>
    <t>SIF</t>
  </si>
  <si>
    <t>15=11/3</t>
  </si>
  <si>
    <t xml:space="preserve">2000. - 2006.g. ES KF KOPĀ, t.sk. </t>
  </si>
  <si>
    <t>2004.-2009.gada EEZ/Norvēģijas finanšu instrumenti par prioritātēm atbildīgo ministriju griezumā</t>
  </si>
  <si>
    <t>Latvijas un Šveices sadarbības programma par prioritātēm atbildīgo ministriju griezumā</t>
  </si>
  <si>
    <t>Finanšu ministrs</t>
  </si>
  <si>
    <t>A.Vilks</t>
  </si>
  <si>
    <t>LV valsts budžeta daļa*, lati</t>
  </si>
  <si>
    <t>Cits nacionālais publiskais finansējums**</t>
  </si>
  <si>
    <t>Atgūtie neatbilstoši veiktie izdevumi pārskata periodā, lati***</t>
  </si>
  <si>
    <t>* Valsts budžeta finasnējums (VBF) + valsts budžeta dotācija pāsvaldībām (VBDP)</t>
  </si>
  <si>
    <t>** Cits nacionālais publiskais finasnējums</t>
  </si>
  <si>
    <t>Informācija par neatbilstībām un neatbilstoši veiktiem izdevumiem un atgūtiem neatbilstoši veiktiem izdevumiem uz 2012.gada 31.decembri, latos (neieskaitot maksātnespējas gadījumus) (pārskati veidoti 07.01.2013.)</t>
  </si>
  <si>
    <t>Veiktie maksājumi finansējuma saņēmējiem uz 31.12.2012, lati</t>
  </si>
  <si>
    <t xml:space="preserve">Kopējā pieprasītā summa un avansi (neskaitot dzēstos avansus) uz 31.12.2012 </t>
  </si>
  <si>
    <t>Neatbilstoši veiktie izdevumi līdz 31.12.2012</t>
  </si>
  <si>
    <t>1 530</t>
  </si>
  <si>
    <r>
      <t>n/a</t>
    </r>
    <r>
      <rPr>
        <b/>
        <vertAlign val="superscript"/>
        <sz val="14"/>
        <rFont val="Times New Roman"/>
        <family val="1"/>
      </rPr>
      <t>5</t>
    </r>
  </si>
  <si>
    <t>*** Atgūtie maksājumi pārskata periodā var būt lielāki nekā konstatētas neatbilstības, jo atgūti iepriekšējo periodu neatbilstoši veiktie izdevumi</t>
  </si>
  <si>
    <t>27.02.2013.</t>
  </si>
  <si>
    <t>A.Pukse</t>
  </si>
  <si>
    <t>67083930, Anna.Pukse@fm.gov.lv</t>
  </si>
</sst>
</file>

<file path=xl/styles.xml><?xml version="1.0" encoding="utf-8"?>
<styleSheet xmlns="http://schemas.openxmlformats.org/spreadsheetml/2006/main">
  <numFmts count="4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(#,##0\)"/>
    <numFmt numFmtId="165" formatCode="#,##0;[Red]#,##0"/>
    <numFmt numFmtId="166" formatCode="#,##0.000"/>
    <numFmt numFmtId="167" formatCode="#,##0.0"/>
    <numFmt numFmtId="168" formatCode="0.0%"/>
    <numFmt numFmtId="169" formatCode="0.0000%"/>
    <numFmt numFmtId="170" formatCode="#,##0.0000"/>
    <numFmt numFmtId="171" formatCode="0.000000000000000000%"/>
    <numFmt numFmtId="172" formatCode="#,##0.00;\(#,##0.00\)"/>
    <numFmt numFmtId="173" formatCode="#,##0.00;[Red]#,##0.00"/>
    <numFmt numFmtId="174" formatCode="0.000%"/>
    <numFmt numFmtId="175" formatCode="#,##0.0;[Red]#,##0.0"/>
    <numFmt numFmtId="176" formatCode="0.00000%"/>
    <numFmt numFmtId="177" formatCode="0.000000%"/>
    <numFmt numFmtId="178" formatCode="0.0000000%"/>
    <numFmt numFmtId="179" formatCode="0.00000000%"/>
    <numFmt numFmtId="180" formatCode="#,##0.00000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26]dddd\,\ yyyy&quot;. gada &quot;d\.\ mmmm"/>
    <numFmt numFmtId="192" formatCode="&quot;Ls&quot;\ #,##0.00"/>
    <numFmt numFmtId="193" formatCode="_-* #,##0.000_-;\-* #,##0.000_-;_-* &quot;-&quot;??_-;_-@_-"/>
    <numFmt numFmtId="194" formatCode="#,##0_ ;\-#,##0\ "/>
    <numFmt numFmtId="195" formatCode="#,##0.0_ ;\-#,##0.0\ "/>
    <numFmt numFmtId="196" formatCode="#,##0.00_ ;\-#,##0.00\ "/>
    <numFmt numFmtId="197" formatCode="#,##0.000_ ;\-#,##0.000\ 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sz val="11"/>
      <color indexed="52"/>
      <name val="Calibri"/>
      <family val="2"/>
    </font>
    <font>
      <sz val="12"/>
      <color indexed="52"/>
      <name val="Times New Roman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8"/>
      <color indexed="63"/>
      <name val="Tahoma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3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sz val="8"/>
      <color rgb="FF343434"/>
      <name val="Tahoma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3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thin">
        <color theme="4" tint="0.39998000860214233"/>
      </top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6" fillId="2" borderId="0" applyNumberFormat="0" applyBorder="0" applyAlignment="0" applyProtection="0"/>
    <xf numFmtId="0" fontId="0" fillId="3" borderId="0" applyNumberFormat="0" applyBorder="0" applyAlignment="0" applyProtection="0"/>
    <xf numFmtId="0" fontId="56" fillId="3" borderId="0" applyNumberFormat="0" applyBorder="0" applyAlignment="0" applyProtection="0"/>
    <xf numFmtId="0" fontId="0" fillId="4" borderId="0" applyNumberFormat="0" applyBorder="0" applyAlignment="0" applyProtection="0"/>
    <xf numFmtId="0" fontId="56" fillId="4" borderId="0" applyNumberFormat="0" applyBorder="0" applyAlignment="0" applyProtection="0"/>
    <xf numFmtId="0" fontId="0" fillId="5" borderId="0" applyNumberFormat="0" applyBorder="0" applyAlignment="0" applyProtection="0"/>
    <xf numFmtId="0" fontId="56" fillId="5" borderId="0" applyNumberFormat="0" applyBorder="0" applyAlignment="0" applyProtection="0"/>
    <xf numFmtId="0" fontId="0" fillId="6" borderId="0" applyNumberFormat="0" applyBorder="0" applyAlignment="0" applyProtection="0"/>
    <xf numFmtId="0" fontId="56" fillId="6" borderId="0" applyNumberFormat="0" applyBorder="0" applyAlignment="0" applyProtection="0"/>
    <xf numFmtId="0" fontId="0" fillId="7" borderId="0" applyNumberFormat="0" applyBorder="0" applyAlignment="0" applyProtection="0"/>
    <xf numFmtId="0" fontId="56" fillId="7" borderId="0" applyNumberFormat="0" applyBorder="0" applyAlignment="0" applyProtection="0"/>
    <xf numFmtId="0" fontId="0" fillId="8" borderId="0" applyNumberFormat="0" applyBorder="0" applyAlignment="0" applyProtection="0"/>
    <xf numFmtId="0" fontId="56" fillId="8" borderId="0" applyNumberFormat="0" applyBorder="0" applyAlignment="0" applyProtection="0"/>
    <xf numFmtId="0" fontId="0" fillId="9" borderId="0" applyNumberFormat="0" applyBorder="0" applyAlignment="0" applyProtection="0"/>
    <xf numFmtId="0" fontId="56" fillId="9" borderId="0" applyNumberFormat="0" applyBorder="0" applyAlignment="0" applyProtection="0"/>
    <xf numFmtId="0" fontId="0" fillId="10" borderId="0" applyNumberFormat="0" applyBorder="0" applyAlignment="0" applyProtection="0"/>
    <xf numFmtId="0" fontId="56" fillId="10" borderId="0" applyNumberFormat="0" applyBorder="0" applyAlignment="0" applyProtection="0"/>
    <xf numFmtId="0" fontId="0" fillId="11" borderId="0" applyNumberFormat="0" applyBorder="0" applyAlignment="0" applyProtection="0"/>
    <xf numFmtId="0" fontId="56" fillId="11" borderId="0" applyNumberFormat="0" applyBorder="0" applyAlignment="0" applyProtection="0"/>
    <xf numFmtId="0" fontId="0" fillId="12" borderId="0" applyNumberFormat="0" applyBorder="0" applyAlignment="0" applyProtection="0"/>
    <xf numFmtId="0" fontId="56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82" fillId="31" borderId="0" applyNumberFormat="0" applyBorder="0" applyAlignment="0" applyProtection="0"/>
    <xf numFmtId="0" fontId="3" fillId="0" borderId="0">
      <alignment/>
      <protection/>
    </xf>
    <xf numFmtId="0" fontId="56" fillId="0" borderId="0">
      <alignment/>
      <protection/>
    </xf>
    <xf numFmtId="0" fontId="0" fillId="32" borderId="7" applyNumberFormat="0" applyFont="0" applyAlignment="0" applyProtection="0"/>
    <xf numFmtId="0" fontId="56" fillId="32" borderId="7" applyNumberFormat="0" applyFont="0" applyAlignment="0" applyProtection="0"/>
    <xf numFmtId="0" fontId="83" fillId="27" borderId="8" applyNumberForma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/>
    </xf>
    <xf numFmtId="0" fontId="88" fillId="33" borderId="0" xfId="0" applyFont="1" applyFill="1" applyAlignment="1">
      <alignment/>
    </xf>
    <xf numFmtId="0" fontId="0" fillId="33" borderId="0" xfId="0" applyFill="1" applyAlignment="1">
      <alignment/>
    </xf>
    <xf numFmtId="0" fontId="90" fillId="0" borderId="0" xfId="0" applyFont="1" applyAlignment="1">
      <alignment/>
    </xf>
    <xf numFmtId="10" fontId="0" fillId="0" borderId="0" xfId="99" applyNumberFormat="1" applyFont="1" applyAlignment="1">
      <alignment/>
    </xf>
    <xf numFmtId="0" fontId="91" fillId="0" borderId="0" xfId="0" applyFont="1" applyAlignment="1">
      <alignment horizontal="center" vertical="center"/>
    </xf>
    <xf numFmtId="3" fontId="91" fillId="0" borderId="0" xfId="0" applyNumberFormat="1" applyFont="1" applyAlignment="1">
      <alignment horizontal="center" vertical="center"/>
    </xf>
    <xf numFmtId="4" fontId="91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56" fillId="0" borderId="0" xfId="0" applyNumberFormat="1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3" fontId="92" fillId="0" borderId="0" xfId="0" applyNumberFormat="1" applyFont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92" fillId="0" borderId="0" xfId="0" applyFont="1" applyAlignment="1">
      <alignment horizontal="left" vertical="center"/>
    </xf>
    <xf numFmtId="0" fontId="94" fillId="16" borderId="10" xfId="0" applyFont="1" applyFill="1" applyBorder="1" applyAlignment="1">
      <alignment horizontal="left" vertical="top" wrapText="1"/>
    </xf>
    <xf numFmtId="0" fontId="95" fillId="0" borderId="10" xfId="0" applyFont="1" applyFill="1" applyBorder="1" applyAlignment="1">
      <alignment horizontal="left" vertical="top" wrapText="1"/>
    </xf>
    <xf numFmtId="0" fontId="96" fillId="0" borderId="11" xfId="0" applyFont="1" applyBorder="1" applyAlignment="1">
      <alignment vertical="top"/>
    </xf>
    <xf numFmtId="0" fontId="96" fillId="0" borderId="12" xfId="0" applyFont="1" applyBorder="1" applyAlignment="1">
      <alignment vertical="top"/>
    </xf>
    <xf numFmtId="0" fontId="96" fillId="0" borderId="13" xfId="0" applyFont="1" applyFill="1" applyBorder="1" applyAlignment="1">
      <alignment vertical="top"/>
    </xf>
    <xf numFmtId="0" fontId="96" fillId="0" borderId="11" xfId="0" applyFont="1" applyFill="1" applyBorder="1" applyAlignment="1">
      <alignment vertical="top"/>
    </xf>
    <xf numFmtId="0" fontId="96" fillId="0" borderId="12" xfId="0" applyFont="1" applyFill="1" applyBorder="1" applyAlignment="1">
      <alignment vertical="top"/>
    </xf>
    <xf numFmtId="0" fontId="97" fillId="0" borderId="0" xfId="0" applyFont="1" applyAlignment="1">
      <alignment horizontal="center" vertical="center"/>
    </xf>
    <xf numFmtId="3" fontId="9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4" fillId="10" borderId="10" xfId="0" applyFont="1" applyFill="1" applyBorder="1" applyAlignment="1">
      <alignment horizontal="center" vertical="center" wrapText="1"/>
    </xf>
    <xf numFmtId="0" fontId="94" fillId="10" borderId="10" xfId="0" applyFont="1" applyFill="1" applyBorder="1" applyAlignment="1">
      <alignment horizontal="center" vertical="center"/>
    </xf>
    <xf numFmtId="3" fontId="94" fillId="10" borderId="10" xfId="0" applyNumberFormat="1" applyFont="1" applyFill="1" applyBorder="1" applyAlignment="1">
      <alignment horizontal="center" vertical="center" wrapText="1"/>
    </xf>
    <xf numFmtId="0" fontId="95" fillId="34" borderId="10" xfId="0" applyFont="1" applyFill="1" applyBorder="1" applyAlignment="1">
      <alignment horizontal="left" vertical="top"/>
    </xf>
    <xf numFmtId="0" fontId="92" fillId="0" borderId="10" xfId="0" applyFont="1" applyFill="1" applyBorder="1" applyAlignment="1">
      <alignment horizontal="left" vertical="top"/>
    </xf>
    <xf numFmtId="0" fontId="92" fillId="0" borderId="10" xfId="0" applyFont="1" applyBorder="1" applyAlignment="1">
      <alignment horizontal="left" vertical="top"/>
    </xf>
    <xf numFmtId="0" fontId="92" fillId="0" borderId="10" xfId="93" applyFont="1" applyFill="1" applyBorder="1" applyAlignment="1">
      <alignment horizontal="left" vertical="top"/>
      <protection/>
    </xf>
    <xf numFmtId="0" fontId="94" fillId="0" borderId="10" xfId="0" applyFont="1" applyBorder="1" applyAlignment="1">
      <alignment horizontal="left" vertical="top"/>
    </xf>
    <xf numFmtId="0" fontId="95" fillId="0" borderId="10" xfId="0" applyFont="1" applyBorder="1" applyAlignment="1">
      <alignment horizontal="left" vertical="top"/>
    </xf>
    <xf numFmtId="0" fontId="95" fillId="0" borderId="14" xfId="0" applyFont="1" applyBorder="1" applyAlignment="1">
      <alignment horizontal="left" vertical="top"/>
    </xf>
    <xf numFmtId="4" fontId="94" fillId="16" borderId="15" xfId="0" applyNumberFormat="1" applyFont="1" applyFill="1" applyBorder="1" applyAlignment="1">
      <alignment vertical="top" wrapText="1"/>
    </xf>
    <xf numFmtId="4" fontId="94" fillId="10" borderId="15" xfId="0" applyNumberFormat="1" applyFont="1" applyFill="1" applyBorder="1" applyAlignment="1">
      <alignment horizontal="left" vertical="top" wrapText="1"/>
    </xf>
    <xf numFmtId="194" fontId="5" fillId="0" borderId="10" xfId="69" applyNumberFormat="1" applyFont="1" applyFill="1" applyBorder="1" applyAlignment="1">
      <alignment horizontal="center" vertical="top"/>
    </xf>
    <xf numFmtId="194" fontId="6" fillId="0" borderId="10" xfId="69" applyNumberFormat="1" applyFont="1" applyFill="1" applyBorder="1" applyAlignment="1">
      <alignment horizontal="center" vertical="top"/>
    </xf>
    <xf numFmtId="10" fontId="6" fillId="0" borderId="10" xfId="99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194" fontId="6" fillId="35" borderId="10" xfId="69" applyNumberFormat="1" applyFont="1" applyFill="1" applyBorder="1" applyAlignment="1">
      <alignment horizontal="center" vertical="top"/>
    </xf>
    <xf numFmtId="10" fontId="6" fillId="0" borderId="10" xfId="99" applyNumberFormat="1" applyFont="1" applyFill="1" applyBorder="1" applyAlignment="1">
      <alignment horizontal="center" vertical="top" wrapText="1"/>
    </xf>
    <xf numFmtId="10" fontId="5" fillId="0" borderId="10" xfId="99" applyNumberFormat="1" applyFont="1" applyFill="1" applyBorder="1" applyAlignment="1">
      <alignment horizontal="center" vertical="top" wrapText="1"/>
    </xf>
    <xf numFmtId="3" fontId="6" fillId="35" borderId="10" xfId="93" applyNumberFormat="1" applyFont="1" applyFill="1" applyBorder="1" applyAlignment="1">
      <alignment horizontal="center" vertical="top"/>
      <protection/>
    </xf>
    <xf numFmtId="10" fontId="6" fillId="35" borderId="10" xfId="99" applyNumberFormat="1" applyFont="1" applyFill="1" applyBorder="1" applyAlignment="1">
      <alignment horizontal="center" vertical="top"/>
    </xf>
    <xf numFmtId="3" fontId="6" fillId="0" borderId="10" xfId="93" applyNumberFormat="1" applyFont="1" applyFill="1" applyBorder="1" applyAlignment="1">
      <alignment horizontal="center" vertical="top"/>
      <protection/>
    </xf>
    <xf numFmtId="3" fontId="6" fillId="35" borderId="10" xfId="0" applyNumberFormat="1" applyFont="1" applyFill="1" applyBorder="1" applyAlignment="1">
      <alignment horizontal="center" vertical="top"/>
    </xf>
    <xf numFmtId="3" fontId="6" fillId="0" borderId="10" xfId="99" applyNumberFormat="1" applyFont="1" applyFill="1" applyBorder="1" applyAlignment="1">
      <alignment horizontal="center" vertical="top"/>
    </xf>
    <xf numFmtId="3" fontId="6" fillId="35" borderId="10" xfId="99" applyNumberFormat="1" applyFont="1" applyFill="1" applyBorder="1" applyAlignment="1">
      <alignment horizontal="center" vertical="top"/>
    </xf>
    <xf numFmtId="194" fontId="5" fillId="16" borderId="10" xfId="69" applyNumberFormat="1" applyFont="1" applyFill="1" applyBorder="1" applyAlignment="1">
      <alignment horizontal="center" vertical="top"/>
    </xf>
    <xf numFmtId="10" fontId="5" fillId="16" borderId="10" xfId="99" applyNumberFormat="1" applyFont="1" applyFill="1" applyBorder="1" applyAlignment="1">
      <alignment horizontal="center" vertical="top"/>
    </xf>
    <xf numFmtId="3" fontId="5" fillId="16" borderId="10" xfId="99" applyNumberFormat="1" applyFont="1" applyFill="1" applyBorder="1" applyAlignment="1">
      <alignment horizontal="center" vertical="top"/>
    </xf>
    <xf numFmtId="168" fontId="5" fillId="16" borderId="10" xfId="99" applyNumberFormat="1" applyFont="1" applyFill="1" applyBorder="1" applyAlignment="1">
      <alignment horizontal="center" vertical="top"/>
    </xf>
    <xf numFmtId="3" fontId="5" fillId="16" borderId="10" xfId="0" applyNumberFormat="1" applyFont="1" applyFill="1" applyBorder="1" applyAlignment="1">
      <alignment horizontal="center" vertical="top"/>
    </xf>
    <xf numFmtId="10" fontId="5" fillId="16" borderId="10" xfId="99" applyNumberFormat="1" applyFont="1" applyFill="1" applyBorder="1" applyAlignment="1">
      <alignment horizontal="center" vertical="top" wrapText="1"/>
    </xf>
    <xf numFmtId="168" fontId="6" fillId="0" borderId="10" xfId="99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10" fontId="5" fillId="0" borderId="10" xfId="99" applyNumberFormat="1" applyFont="1" applyFill="1" applyBorder="1" applyAlignment="1">
      <alignment horizontal="center" vertical="top"/>
    </xf>
    <xf numFmtId="10" fontId="6" fillId="35" borderId="10" xfId="99" applyNumberFormat="1" applyFont="1" applyFill="1" applyBorder="1" applyAlignment="1">
      <alignment horizontal="center" vertical="top" wrapText="1"/>
    </xf>
    <xf numFmtId="4" fontId="6" fillId="0" borderId="0" xfId="93" applyNumberFormat="1" applyFont="1" applyAlignment="1">
      <alignment horizontal="center"/>
      <protection/>
    </xf>
    <xf numFmtId="3" fontId="6" fillId="35" borderId="10" xfId="0" applyNumberFormat="1" applyFont="1" applyFill="1" applyBorder="1" applyAlignment="1">
      <alignment horizontal="center" vertical="top" wrapText="1"/>
    </xf>
    <xf numFmtId="3" fontId="92" fillId="0" borderId="0" xfId="0" applyNumberFormat="1" applyFont="1" applyFill="1" applyAlignment="1">
      <alignment horizontal="center" vertical="center"/>
    </xf>
    <xf numFmtId="3" fontId="92" fillId="0" borderId="16" xfId="0" applyNumberFormat="1" applyFont="1" applyFill="1" applyBorder="1" applyAlignment="1">
      <alignment horizontal="center" vertical="center"/>
    </xf>
    <xf numFmtId="194" fontId="6" fillId="35" borderId="10" xfId="69" applyNumberFormat="1" applyFont="1" applyFill="1" applyBorder="1" applyAlignment="1">
      <alignment horizontal="center" vertical="top" wrapText="1"/>
    </xf>
    <xf numFmtId="194" fontId="5" fillId="35" borderId="10" xfId="69" applyNumberFormat="1" applyFont="1" applyFill="1" applyBorder="1" applyAlignment="1">
      <alignment horizontal="center" vertical="top"/>
    </xf>
    <xf numFmtId="10" fontId="5" fillId="35" borderId="10" xfId="99" applyNumberFormat="1" applyFont="1" applyFill="1" applyBorder="1" applyAlignment="1">
      <alignment horizontal="center" vertical="top" wrapText="1"/>
    </xf>
    <xf numFmtId="10" fontId="5" fillId="35" borderId="10" xfId="99" applyNumberFormat="1" applyFont="1" applyFill="1" applyBorder="1" applyAlignment="1">
      <alignment horizontal="center" vertical="top"/>
    </xf>
    <xf numFmtId="3" fontId="7" fillId="10" borderId="17" xfId="0" applyNumberFormat="1" applyFont="1" applyFill="1" applyBorder="1" applyAlignment="1">
      <alignment vertical="top"/>
    </xf>
    <xf numFmtId="10" fontId="7" fillId="10" borderId="17" xfId="0" applyNumberFormat="1" applyFont="1" applyFill="1" applyBorder="1" applyAlignment="1">
      <alignment vertical="top"/>
    </xf>
    <xf numFmtId="173" fontId="7" fillId="10" borderId="17" xfId="0" applyNumberFormat="1" applyFont="1" applyFill="1" applyBorder="1" applyAlignment="1">
      <alignment vertical="top" wrapText="1"/>
    </xf>
    <xf numFmtId="173" fontId="7" fillId="10" borderId="18" xfId="0" applyNumberFormat="1" applyFont="1" applyFill="1" applyBorder="1" applyAlignment="1">
      <alignment vertical="top" wrapText="1"/>
    </xf>
    <xf numFmtId="3" fontId="9" fillId="0" borderId="19" xfId="0" applyNumberFormat="1" applyFont="1" applyBorder="1" applyAlignment="1">
      <alignment vertical="top"/>
    </xf>
    <xf numFmtId="10" fontId="9" fillId="0" borderId="19" xfId="99" applyNumberFormat="1" applyFont="1" applyBorder="1" applyAlignment="1">
      <alignment vertical="top"/>
    </xf>
    <xf numFmtId="3" fontId="9" fillId="0" borderId="20" xfId="0" applyNumberFormat="1" applyFont="1" applyBorder="1" applyAlignment="1">
      <alignment vertical="top"/>
    </xf>
    <xf numFmtId="3" fontId="9" fillId="0" borderId="10" xfId="0" applyNumberFormat="1" applyFont="1" applyBorder="1" applyAlignment="1">
      <alignment vertical="top"/>
    </xf>
    <xf numFmtId="10" fontId="9" fillId="0" borderId="10" xfId="99" applyNumberFormat="1" applyFont="1" applyBorder="1" applyAlignment="1">
      <alignment vertical="top"/>
    </xf>
    <xf numFmtId="3" fontId="9" fillId="0" borderId="21" xfId="0" applyNumberFormat="1" applyFont="1" applyBorder="1" applyAlignment="1">
      <alignment vertical="top"/>
    </xf>
    <xf numFmtId="0" fontId="9" fillId="0" borderId="0" xfId="0" applyFont="1" applyAlignment="1">
      <alignment horizontal="right"/>
    </xf>
    <xf numFmtId="3" fontId="9" fillId="0" borderId="22" xfId="0" applyNumberFormat="1" applyFont="1" applyBorder="1" applyAlignment="1">
      <alignment vertical="top"/>
    </xf>
    <xf numFmtId="10" fontId="9" fillId="0" borderId="22" xfId="99" applyNumberFormat="1" applyFont="1" applyBorder="1" applyAlignment="1">
      <alignment vertical="top"/>
    </xf>
    <xf numFmtId="3" fontId="9" fillId="0" borderId="23" xfId="0" applyNumberFormat="1" applyFont="1" applyBorder="1" applyAlignment="1">
      <alignment vertical="top"/>
    </xf>
    <xf numFmtId="3" fontId="9" fillId="0" borderId="24" xfId="0" applyNumberFormat="1" applyFont="1" applyBorder="1" applyAlignment="1">
      <alignment vertical="top"/>
    </xf>
    <xf numFmtId="3" fontId="7" fillId="10" borderId="17" xfId="0" applyNumberFormat="1" applyFont="1" applyFill="1" applyBorder="1" applyAlignment="1">
      <alignment vertical="top" wrapText="1"/>
    </xf>
    <xf numFmtId="10" fontId="7" fillId="10" borderId="17" xfId="100" applyNumberFormat="1" applyFont="1" applyFill="1" applyBorder="1" applyAlignment="1">
      <alignment vertical="top"/>
    </xf>
    <xf numFmtId="10" fontId="7" fillId="10" borderId="17" xfId="100" applyNumberFormat="1" applyFont="1" applyFill="1" applyBorder="1" applyAlignment="1">
      <alignment vertical="top" wrapText="1"/>
    </xf>
    <xf numFmtId="3" fontId="9" fillId="0" borderId="11" xfId="0" applyNumberFormat="1" applyFont="1" applyBorder="1" applyAlignment="1">
      <alignment vertical="top"/>
    </xf>
    <xf numFmtId="3" fontId="9" fillId="0" borderId="25" xfId="0" applyNumberFormat="1" applyFont="1" applyFill="1" applyBorder="1" applyAlignment="1">
      <alignment vertical="top"/>
    </xf>
    <xf numFmtId="3" fontId="9" fillId="0" borderId="12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 vertical="top"/>
    </xf>
    <xf numFmtId="3" fontId="9" fillId="0" borderId="12" xfId="0" applyNumberFormat="1" applyFont="1" applyBorder="1" applyAlignment="1">
      <alignment vertical="top"/>
    </xf>
    <xf numFmtId="3" fontId="9" fillId="0" borderId="13" xfId="0" applyNumberFormat="1" applyFont="1" applyBorder="1" applyAlignment="1">
      <alignment vertical="top"/>
    </xf>
    <xf numFmtId="194" fontId="5" fillId="10" borderId="10" xfId="69" applyNumberFormat="1" applyFont="1" applyFill="1" applyBorder="1" applyAlignment="1">
      <alignment horizontal="center" vertical="top" wrapText="1"/>
    </xf>
    <xf numFmtId="194" fontId="5" fillId="10" borderId="10" xfId="69" applyNumberFormat="1" applyFont="1" applyFill="1" applyBorder="1" applyAlignment="1">
      <alignment horizontal="center" vertical="top"/>
    </xf>
    <xf numFmtId="10" fontId="5" fillId="10" borderId="10" xfId="99" applyNumberFormat="1" applyFont="1" applyFill="1" applyBorder="1" applyAlignment="1">
      <alignment horizontal="center" vertical="top"/>
    </xf>
    <xf numFmtId="3" fontId="5" fillId="10" borderId="10" xfId="0" applyNumberFormat="1" applyFont="1" applyFill="1" applyBorder="1" applyAlignment="1">
      <alignment horizontal="center" vertical="top" wrapText="1"/>
    </xf>
    <xf numFmtId="10" fontId="5" fillId="10" borderId="10" xfId="99" applyNumberFormat="1" applyFont="1" applyFill="1" applyBorder="1" applyAlignment="1">
      <alignment horizontal="center" vertical="top" wrapText="1"/>
    </xf>
    <xf numFmtId="0" fontId="98" fillId="0" borderId="0" xfId="0" applyFont="1" applyAlignment="1">
      <alignment horizontal="center" vertical="center"/>
    </xf>
    <xf numFmtId="194" fontId="5" fillId="34" borderId="10" xfId="69" applyNumberFormat="1" applyFont="1" applyFill="1" applyBorder="1" applyAlignment="1">
      <alignment horizontal="center" vertical="top"/>
    </xf>
    <xf numFmtId="10" fontId="5" fillId="34" borderId="10" xfId="99" applyNumberFormat="1" applyFont="1" applyFill="1" applyBorder="1" applyAlignment="1">
      <alignment horizontal="center" vertical="top"/>
    </xf>
    <xf numFmtId="3" fontId="5" fillId="34" borderId="10" xfId="0" applyNumberFormat="1" applyFont="1" applyFill="1" applyBorder="1" applyAlignment="1">
      <alignment horizontal="center" vertical="top"/>
    </xf>
    <xf numFmtId="10" fontId="5" fillId="34" borderId="10" xfId="99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/>
    </xf>
    <xf numFmtId="3" fontId="6" fillId="0" borderId="10" xfId="100" applyNumberFormat="1" applyFont="1" applyFill="1" applyBorder="1" applyAlignment="1">
      <alignment horizontal="center" vertical="top"/>
    </xf>
    <xf numFmtId="0" fontId="10" fillId="10" borderId="10" xfId="0" applyFont="1" applyFill="1" applyBorder="1" applyAlignment="1">
      <alignment horizontal="left" vertical="top" wrapText="1"/>
    </xf>
    <xf numFmtId="0" fontId="99" fillId="16" borderId="10" xfId="0" applyFont="1" applyFill="1" applyBorder="1" applyAlignment="1">
      <alignment horizontal="left" vertical="top" wrapText="1"/>
    </xf>
    <xf numFmtId="3" fontId="5" fillId="0" borderId="10" xfId="99" applyNumberFormat="1" applyFont="1" applyFill="1" applyBorder="1" applyAlignment="1">
      <alignment horizontal="center" vertical="top"/>
    </xf>
    <xf numFmtId="194" fontId="6" fillId="0" borderId="14" xfId="69" applyNumberFormat="1" applyFont="1" applyFill="1" applyBorder="1" applyAlignment="1">
      <alignment horizontal="center" vertical="top"/>
    </xf>
    <xf numFmtId="10" fontId="6" fillId="0" borderId="14" xfId="99" applyNumberFormat="1" applyFont="1" applyFill="1" applyBorder="1" applyAlignment="1">
      <alignment horizontal="center" vertical="top"/>
    </xf>
    <xf numFmtId="3" fontId="6" fillId="0" borderId="14" xfId="0" applyNumberFormat="1" applyFont="1" applyFill="1" applyBorder="1" applyAlignment="1">
      <alignment horizontal="center" vertical="top"/>
    </xf>
    <xf numFmtId="10" fontId="6" fillId="0" borderId="14" xfId="99" applyNumberFormat="1" applyFont="1" applyFill="1" applyBorder="1" applyAlignment="1">
      <alignment horizontal="center" vertical="top" wrapText="1"/>
    </xf>
    <xf numFmtId="3" fontId="5" fillId="34" borderId="10" xfId="99" applyNumberFormat="1" applyFont="1" applyFill="1" applyBorder="1" applyAlignment="1">
      <alignment horizontal="center" vertical="top"/>
    </xf>
    <xf numFmtId="168" fontId="5" fillId="34" borderId="10" xfId="99" applyNumberFormat="1" applyFont="1" applyFill="1" applyBorder="1" applyAlignment="1">
      <alignment horizontal="center" vertical="top"/>
    </xf>
    <xf numFmtId="0" fontId="94" fillId="34" borderId="10" xfId="0" applyFont="1" applyFill="1" applyBorder="1" applyAlignment="1">
      <alignment horizontal="left" vertical="top"/>
    </xf>
    <xf numFmtId="0" fontId="10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4" fillId="10" borderId="10" xfId="0" applyFont="1" applyFill="1" applyBorder="1" applyAlignment="1">
      <alignment horizontal="center" vertical="center"/>
    </xf>
    <xf numFmtId="3" fontId="94" fillId="10" borderId="10" xfId="0" applyNumberFormat="1" applyFont="1" applyFill="1" applyBorder="1" applyAlignment="1">
      <alignment horizontal="center" vertical="center" wrapText="1"/>
    </xf>
    <xf numFmtId="2" fontId="94" fillId="10" borderId="10" xfId="0" applyNumberFormat="1" applyFont="1" applyFill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Percent 2" xfId="100"/>
    <cellStyle name="Title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1362075</xdr:colOff>
      <xdr:row>0</xdr:row>
      <xdr:rowOff>19050</xdr:rowOff>
    </xdr:from>
    <xdr:to>
      <xdr:col>16</xdr:col>
      <xdr:colOff>1190625</xdr:colOff>
      <xdr:row>4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17040225" y="19050"/>
          <a:ext cx="71532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pielikums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Informatīvajam ziņojumam par Eiropas Savienības struktūrfondu un Kohēzijas fonda,  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Eiropas Ekonomikas zonas finanšu instrumenta, Norvēģijas finanšu instrumenta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 Latvijas–Šveices sadarbības programmas apguvi līdz 2012.gada 31.decembrim.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91"/>
  <sheetViews>
    <sheetView tabSelected="1" view="pageLayout" zoomScale="40" zoomScaleNormal="55" zoomScalePageLayoutView="40" workbookViewId="0" topLeftCell="A2">
      <selection activeCell="I31" sqref="I31"/>
    </sheetView>
  </sheetViews>
  <sheetFormatPr defaultColWidth="9.140625" defaultRowHeight="15"/>
  <cols>
    <col min="1" max="1" width="24.8515625" style="11" customWidth="1"/>
    <col min="2" max="2" width="25.57421875" style="7" customWidth="1"/>
    <col min="3" max="3" width="24.28125" style="26" customWidth="1"/>
    <col min="4" max="4" width="22.140625" style="6" customWidth="1"/>
    <col min="5" max="5" width="23.140625" style="6" customWidth="1"/>
    <col min="6" max="6" width="18.28125" style="6" customWidth="1"/>
    <col min="7" max="7" width="21.421875" style="6" customWidth="1"/>
    <col min="8" max="8" width="15.8515625" style="28" customWidth="1"/>
    <col min="9" max="9" width="19.57421875" style="6" customWidth="1"/>
    <col min="10" max="10" width="16.57421875" style="6" customWidth="1"/>
    <col min="11" max="11" width="23.421875" style="6" customWidth="1"/>
    <col min="12" max="12" width="25.8515625" style="6" customWidth="1"/>
    <col min="13" max="13" width="23.7109375" style="6" bestFit="1" customWidth="1"/>
    <col min="14" max="14" width="22.7109375" style="6" customWidth="1"/>
    <col min="15" max="15" width="14.57421875" style="28" customWidth="1"/>
    <col min="16" max="16" width="23.00390625" style="6" customWidth="1"/>
    <col min="17" max="17" width="18.140625" style="6" customWidth="1"/>
    <col min="18" max="18" width="18.57421875" style="0" customWidth="1"/>
  </cols>
  <sheetData>
    <row r="3" spans="4:9" ht="14.25">
      <c r="D3" s="7"/>
      <c r="E3" s="8"/>
      <c r="H3" s="26"/>
      <c r="I3" s="7"/>
    </row>
    <row r="4" ht="14.25" hidden="1"/>
    <row r="5" ht="51.75" customHeight="1"/>
    <row r="6" spans="1:17" ht="18.75" customHeight="1">
      <c r="A6" s="118" t="s">
        <v>65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ht="1.5" customHeight="1" hidden="1" thickBot="1"/>
    <row r="8" spans="1:17" ht="12" customHeight="1">
      <c r="A8" s="14"/>
      <c r="B8" s="9"/>
      <c r="C8" s="9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9.5" customHeight="1">
      <c r="A9" s="120" t="s">
        <v>0</v>
      </c>
      <c r="B9" s="121" t="s">
        <v>66</v>
      </c>
      <c r="C9" s="121" t="s">
        <v>67</v>
      </c>
      <c r="D9" s="122" t="s">
        <v>27</v>
      </c>
      <c r="E9" s="122"/>
      <c r="F9" s="122"/>
      <c r="G9" s="122"/>
      <c r="H9" s="122"/>
      <c r="I9" s="122"/>
      <c r="J9" s="122"/>
      <c r="K9" s="122" t="s">
        <v>68</v>
      </c>
      <c r="L9" s="123"/>
      <c r="M9" s="123"/>
      <c r="N9" s="123"/>
      <c r="O9" s="123"/>
      <c r="P9" s="123"/>
      <c r="Q9" s="123"/>
    </row>
    <row r="10" spans="1:17" ht="174" customHeight="1">
      <c r="A10" s="120"/>
      <c r="B10" s="121"/>
      <c r="C10" s="121"/>
      <c r="D10" s="29" t="s">
        <v>1</v>
      </c>
      <c r="E10" s="29" t="s">
        <v>24</v>
      </c>
      <c r="F10" s="29" t="s">
        <v>60</v>
      </c>
      <c r="G10" s="29" t="s">
        <v>61</v>
      </c>
      <c r="H10" s="29" t="s">
        <v>38</v>
      </c>
      <c r="I10" s="29" t="s">
        <v>62</v>
      </c>
      <c r="J10" s="29" t="s">
        <v>41</v>
      </c>
      <c r="K10" s="29" t="s">
        <v>1</v>
      </c>
      <c r="L10" s="29" t="s">
        <v>2</v>
      </c>
      <c r="M10" s="29" t="s">
        <v>3</v>
      </c>
      <c r="N10" s="29" t="s">
        <v>4</v>
      </c>
      <c r="O10" s="29" t="s">
        <v>42</v>
      </c>
      <c r="P10" s="29" t="s">
        <v>23</v>
      </c>
      <c r="Q10" s="29" t="s">
        <v>5</v>
      </c>
    </row>
    <row r="11" spans="1:17" ht="15.75" customHeight="1">
      <c r="A11" s="30">
        <v>1</v>
      </c>
      <c r="B11" s="31">
        <v>2</v>
      </c>
      <c r="C11" s="31">
        <v>3</v>
      </c>
      <c r="D11" s="29" t="s">
        <v>39</v>
      </c>
      <c r="E11" s="29">
        <v>5</v>
      </c>
      <c r="F11" s="29">
        <v>6</v>
      </c>
      <c r="G11" s="29">
        <v>7</v>
      </c>
      <c r="H11" s="29" t="s">
        <v>37</v>
      </c>
      <c r="I11" s="29">
        <v>9</v>
      </c>
      <c r="J11" s="29" t="s">
        <v>40</v>
      </c>
      <c r="K11" s="29" t="s">
        <v>36</v>
      </c>
      <c r="L11" s="29">
        <v>12</v>
      </c>
      <c r="M11" s="29">
        <v>13</v>
      </c>
      <c r="N11" s="29">
        <v>14</v>
      </c>
      <c r="O11" s="29" t="s">
        <v>54</v>
      </c>
      <c r="P11" s="29">
        <v>16</v>
      </c>
      <c r="Q11" s="29" t="s">
        <v>35</v>
      </c>
    </row>
    <row r="12" spans="1:17" ht="42" customHeight="1">
      <c r="A12" s="108" t="s">
        <v>6</v>
      </c>
      <c r="B12" s="96">
        <f>SUM(B13,B22,B36)</f>
        <v>1984730177.6600003</v>
      </c>
      <c r="C12" s="96">
        <f>SUM(C13,C22,C36)</f>
        <v>2030395801.0199995</v>
      </c>
      <c r="D12" s="97">
        <f>E12+F12+G12</f>
        <v>2291015.81</v>
      </c>
      <c r="E12" s="96">
        <f>SUM(E13,E22,E36)</f>
        <v>2208460.64</v>
      </c>
      <c r="F12" s="96">
        <f>SUM(F13,F22,F36)</f>
        <v>72598.02</v>
      </c>
      <c r="G12" s="96">
        <f>SUM(G13,G22,G36)</f>
        <v>9957.15</v>
      </c>
      <c r="H12" s="98">
        <f aca="true" t="shared" si="0" ref="H12:H23">D12/C12</f>
        <v>0.001128359213927193</v>
      </c>
      <c r="I12" s="99">
        <f>SUM(I13,I22,I36)</f>
        <v>1830326.4200000002</v>
      </c>
      <c r="J12" s="98">
        <f aca="true" t="shared" si="1" ref="J12:J19">I12/D12</f>
        <v>0.7989147922990545</v>
      </c>
      <c r="K12" s="99">
        <f>SUM(L12:N12)</f>
        <v>27617317.989999987</v>
      </c>
      <c r="L12" s="99">
        <f>SUM(L13,L22,L36,)</f>
        <v>26209899.29999999</v>
      </c>
      <c r="M12" s="99">
        <f>SUM(M13,M22,M36,)</f>
        <v>1363969.3099999998</v>
      </c>
      <c r="N12" s="99">
        <f>SUM(N13,N22,N36,)</f>
        <v>43449.38</v>
      </c>
      <c r="O12" s="100">
        <f aca="true" t="shared" si="2" ref="O12:O23">K12/C12</f>
        <v>0.013601938093117617</v>
      </c>
      <c r="P12" s="99">
        <f>SUM(P13,P22,P36,)</f>
        <v>20536818.709999915</v>
      </c>
      <c r="Q12" s="100">
        <f>P12/K12</f>
        <v>0.7436210394302638</v>
      </c>
    </row>
    <row r="13" spans="1:17" ht="20.25">
      <c r="A13" s="32" t="s">
        <v>7</v>
      </c>
      <c r="B13" s="102">
        <f>SUM(B14:B21)</f>
        <v>362487694.89</v>
      </c>
      <c r="C13" s="102">
        <f>SUM(C14:C21)</f>
        <v>364535433.7299999</v>
      </c>
      <c r="D13" s="102">
        <f>E13+F13+G13</f>
        <v>169688.00999999998</v>
      </c>
      <c r="E13" s="102">
        <f>SUM(E14:E21)</f>
        <v>154464.55</v>
      </c>
      <c r="F13" s="102">
        <f>SUM(F14:F21)</f>
        <v>15079.720000000001</v>
      </c>
      <c r="G13" s="102">
        <f>SUM(G14:G21)</f>
        <v>143.73999999999987</v>
      </c>
      <c r="H13" s="103">
        <f t="shared" si="0"/>
        <v>0.0004654911273335437</v>
      </c>
      <c r="I13" s="104">
        <f>SUM(I14:I21)</f>
        <v>110447.9</v>
      </c>
      <c r="J13" s="103">
        <f t="shared" si="1"/>
        <v>0.6508880621559532</v>
      </c>
      <c r="K13" s="104">
        <f>SUM(K14:K21)</f>
        <v>1560731.1800000006</v>
      </c>
      <c r="L13" s="104">
        <f>SUM(L14:L21)</f>
        <v>1394401.7000000002</v>
      </c>
      <c r="M13" s="104">
        <f>SUM(M14:M21)</f>
        <v>162308.25000000003</v>
      </c>
      <c r="N13" s="104">
        <f>SUM(N14:N21)</f>
        <v>4021.2199999999993</v>
      </c>
      <c r="O13" s="105">
        <f t="shared" si="2"/>
        <v>0.004281425166355669</v>
      </c>
      <c r="P13" s="104">
        <f>SUM(P14:P21)</f>
        <v>1458976.3099999998</v>
      </c>
      <c r="Q13" s="105">
        <f>P13/K13</f>
        <v>0.934803077362752</v>
      </c>
    </row>
    <row r="14" spans="1:17" ht="21">
      <c r="A14" s="33" t="s">
        <v>8</v>
      </c>
      <c r="B14" s="42">
        <v>147958183.74</v>
      </c>
      <c r="C14" s="42">
        <v>149003639.32999998</v>
      </c>
      <c r="D14" s="42">
        <v>61603.290000000015</v>
      </c>
      <c r="E14" s="42">
        <v>52961.729999999996</v>
      </c>
      <c r="F14" s="42">
        <v>8497.820000000002</v>
      </c>
      <c r="G14" s="42">
        <v>143.73999999999987</v>
      </c>
      <c r="H14" s="43">
        <f t="shared" si="0"/>
        <v>0.00041343480116996697</v>
      </c>
      <c r="I14" s="44">
        <v>53299.17</v>
      </c>
      <c r="J14" s="43">
        <f t="shared" si="1"/>
        <v>0.8652000566852839</v>
      </c>
      <c r="K14" s="44">
        <v>965064.0200000004</v>
      </c>
      <c r="L14" s="44">
        <v>836336.4400000003</v>
      </c>
      <c r="M14" s="44">
        <v>124706.36000000002</v>
      </c>
      <c r="N14" s="52">
        <v>4021.2199999999993</v>
      </c>
      <c r="O14" s="46">
        <f t="shared" si="2"/>
        <v>0.00647678153593727</v>
      </c>
      <c r="P14" s="44">
        <v>956887.4</v>
      </c>
      <c r="Q14" s="46">
        <f aca="true" t="shared" si="3" ref="Q14:Q19">P14/K14</f>
        <v>0.9915273807430928</v>
      </c>
    </row>
    <row r="15" spans="1:17" ht="21">
      <c r="A15" s="33" t="s">
        <v>9</v>
      </c>
      <c r="B15" s="42">
        <v>163389359.56</v>
      </c>
      <c r="C15" s="42">
        <v>163652049.21</v>
      </c>
      <c r="D15" s="42">
        <v>5211.159999999999</v>
      </c>
      <c r="E15" s="42">
        <v>5076.509999999999</v>
      </c>
      <c r="F15" s="42">
        <v>134.65</v>
      </c>
      <c r="G15" s="42">
        <v>0</v>
      </c>
      <c r="H15" s="43">
        <f t="shared" si="0"/>
        <v>3.1842925433295274E-05</v>
      </c>
      <c r="I15" s="44">
        <v>5195.339999999999</v>
      </c>
      <c r="J15" s="43">
        <f>I15/D15</f>
        <v>0.9969642075852594</v>
      </c>
      <c r="K15" s="44">
        <v>197829.88</v>
      </c>
      <c r="L15" s="44">
        <v>173911.7</v>
      </c>
      <c r="M15" s="52">
        <v>23918.170000000013</v>
      </c>
      <c r="N15" s="52">
        <v>0</v>
      </c>
      <c r="O15" s="46">
        <f t="shared" si="2"/>
        <v>0.0012088445024366463</v>
      </c>
      <c r="P15" s="44">
        <v>197806.52</v>
      </c>
      <c r="Q15" s="46">
        <f t="shared" si="3"/>
        <v>0.9998819187475623</v>
      </c>
    </row>
    <row r="16" spans="1:17" ht="21">
      <c r="A16" s="33" t="s">
        <v>10</v>
      </c>
      <c r="B16" s="42">
        <v>7584995.52</v>
      </c>
      <c r="C16" s="42">
        <v>7632910.58</v>
      </c>
      <c r="D16" s="42">
        <v>44222.36</v>
      </c>
      <c r="E16" s="42">
        <v>38186.01999999998</v>
      </c>
      <c r="F16" s="42">
        <v>6036.339999999999</v>
      </c>
      <c r="G16" s="42">
        <v>0</v>
      </c>
      <c r="H16" s="43">
        <f t="shared" si="0"/>
        <v>0.005793643137373162</v>
      </c>
      <c r="I16" s="44">
        <v>5644.7699999999995</v>
      </c>
      <c r="J16" s="43">
        <f t="shared" si="1"/>
        <v>0.12764515507539623</v>
      </c>
      <c r="K16" s="44">
        <v>53492.65000000001</v>
      </c>
      <c r="L16" s="44">
        <v>46191.159999999974</v>
      </c>
      <c r="M16" s="44">
        <v>7301.489999999996</v>
      </c>
      <c r="N16" s="52">
        <v>0</v>
      </c>
      <c r="O16" s="46">
        <f t="shared" si="2"/>
        <v>0.00700815887194633</v>
      </c>
      <c r="P16" s="44">
        <v>16769.99</v>
      </c>
      <c r="Q16" s="46">
        <f t="shared" si="3"/>
        <v>0.3135008267490954</v>
      </c>
    </row>
    <row r="17" spans="1:17" ht="21">
      <c r="A17" s="33" t="s">
        <v>11</v>
      </c>
      <c r="B17" s="42">
        <v>23765685.82</v>
      </c>
      <c r="C17" s="42">
        <v>23956934.590000004</v>
      </c>
      <c r="D17" s="42">
        <v>14326.390000000001</v>
      </c>
      <c r="E17" s="42">
        <v>14326.390000000001</v>
      </c>
      <c r="F17" s="42">
        <v>0</v>
      </c>
      <c r="G17" s="42">
        <v>0</v>
      </c>
      <c r="H17" s="43">
        <f t="shared" si="0"/>
        <v>0.0005980059738519326</v>
      </c>
      <c r="I17" s="44">
        <v>14206.78</v>
      </c>
      <c r="J17" s="43">
        <f t="shared" si="1"/>
        <v>0.9916510719029706</v>
      </c>
      <c r="K17" s="44">
        <v>142064.89</v>
      </c>
      <c r="L17" s="44">
        <v>138381.38999999998</v>
      </c>
      <c r="M17" s="44">
        <v>3683.5</v>
      </c>
      <c r="N17" s="52">
        <v>0</v>
      </c>
      <c r="O17" s="46">
        <f t="shared" si="2"/>
        <v>0.00593001118178534</v>
      </c>
      <c r="P17" s="44">
        <v>104424.45</v>
      </c>
      <c r="Q17" s="46">
        <f>P17/K17</f>
        <v>0.7350475546773027</v>
      </c>
    </row>
    <row r="18" spans="1:17" ht="21">
      <c r="A18" s="33" t="s">
        <v>12</v>
      </c>
      <c r="B18" s="42">
        <v>6113166.41</v>
      </c>
      <c r="C18" s="42">
        <v>6544700.3</v>
      </c>
      <c r="D18" s="42">
        <v>23691.37</v>
      </c>
      <c r="E18" s="42">
        <v>23280.46</v>
      </c>
      <c r="F18" s="42">
        <v>410.90999999999997</v>
      </c>
      <c r="G18" s="42">
        <v>0</v>
      </c>
      <c r="H18" s="43">
        <f t="shared" si="0"/>
        <v>0.003619931992913411</v>
      </c>
      <c r="I18" s="44">
        <v>22350.45</v>
      </c>
      <c r="J18" s="43">
        <f t="shared" si="1"/>
        <v>0.9434004871816194</v>
      </c>
      <c r="K18" s="44">
        <v>123554.28999999995</v>
      </c>
      <c r="L18" s="44">
        <v>120855.55999999995</v>
      </c>
      <c r="M18" s="44">
        <v>2698.73</v>
      </c>
      <c r="N18" s="44">
        <v>0</v>
      </c>
      <c r="O18" s="46">
        <f t="shared" si="2"/>
        <v>0.01887852527028624</v>
      </c>
      <c r="P18" s="44">
        <f>119780.19+2410.44</f>
        <v>122190.63</v>
      </c>
      <c r="Q18" s="46">
        <f t="shared" si="3"/>
        <v>0.9889630704041119</v>
      </c>
    </row>
    <row r="19" spans="1:17" ht="21">
      <c r="A19" s="33" t="s">
        <v>32</v>
      </c>
      <c r="B19" s="42">
        <v>4108704.98</v>
      </c>
      <c r="C19" s="42">
        <v>4136867.099999999</v>
      </c>
      <c r="D19" s="42">
        <v>20633.440000000002</v>
      </c>
      <c r="E19" s="42">
        <v>20633.440000000002</v>
      </c>
      <c r="F19" s="42">
        <v>0</v>
      </c>
      <c r="G19" s="42">
        <v>0</v>
      </c>
      <c r="H19" s="43">
        <f t="shared" si="0"/>
        <v>0.004987697090873431</v>
      </c>
      <c r="I19" s="52">
        <v>9751.39</v>
      </c>
      <c r="J19" s="43">
        <f t="shared" si="1"/>
        <v>0.47260127249746037</v>
      </c>
      <c r="K19" s="44">
        <v>43462.869999999995</v>
      </c>
      <c r="L19" s="44">
        <v>43462.869999999995</v>
      </c>
      <c r="M19" s="44">
        <v>0</v>
      </c>
      <c r="N19" s="52">
        <v>0</v>
      </c>
      <c r="O19" s="46">
        <f t="shared" si="2"/>
        <v>0.010506228251809201</v>
      </c>
      <c r="P19" s="44">
        <v>25634.74</v>
      </c>
      <c r="Q19" s="46">
        <f t="shared" si="3"/>
        <v>0.5898078060652692</v>
      </c>
    </row>
    <row r="20" spans="1:17" ht="21">
      <c r="A20" s="33" t="s">
        <v>28</v>
      </c>
      <c r="B20" s="42">
        <v>1362419.03</v>
      </c>
      <c r="C20" s="42">
        <v>1362419.03</v>
      </c>
      <c r="D20" s="42">
        <f>E20+F20+G20</f>
        <v>0</v>
      </c>
      <c r="E20" s="42">
        <v>0</v>
      </c>
      <c r="F20" s="42">
        <v>0</v>
      </c>
      <c r="G20" s="42">
        <v>0</v>
      </c>
      <c r="H20" s="43">
        <f t="shared" si="0"/>
        <v>0</v>
      </c>
      <c r="I20" s="44">
        <v>0</v>
      </c>
      <c r="J20" s="43">
        <v>0</v>
      </c>
      <c r="K20" s="44">
        <f>L20+M20+N20</f>
        <v>0</v>
      </c>
      <c r="L20" s="44">
        <v>0</v>
      </c>
      <c r="M20" s="44">
        <v>0</v>
      </c>
      <c r="N20" s="52">
        <v>0</v>
      </c>
      <c r="O20" s="46">
        <f t="shared" si="2"/>
        <v>0</v>
      </c>
      <c r="P20" s="44">
        <v>0</v>
      </c>
      <c r="Q20" s="46">
        <v>0</v>
      </c>
    </row>
    <row r="21" spans="1:17" ht="21">
      <c r="A21" s="33" t="s">
        <v>26</v>
      </c>
      <c r="B21" s="42">
        <v>8205179.83</v>
      </c>
      <c r="C21" s="42">
        <v>8245913.59</v>
      </c>
      <c r="D21" s="42">
        <f>E21+F21+G21</f>
        <v>0</v>
      </c>
      <c r="E21" s="42">
        <v>0</v>
      </c>
      <c r="F21" s="42">
        <v>0</v>
      </c>
      <c r="G21" s="42">
        <v>0</v>
      </c>
      <c r="H21" s="43">
        <f t="shared" si="0"/>
        <v>0</v>
      </c>
      <c r="I21" s="44">
        <v>0</v>
      </c>
      <c r="J21" s="43">
        <v>0</v>
      </c>
      <c r="K21" s="44">
        <f>L21+M21+N21</f>
        <v>35262.58</v>
      </c>
      <c r="L21" s="44">
        <v>35262.58</v>
      </c>
      <c r="M21" s="44">
        <v>0</v>
      </c>
      <c r="N21" s="44">
        <v>0</v>
      </c>
      <c r="O21" s="46">
        <f t="shared" si="2"/>
        <v>0.004276370303317719</v>
      </c>
      <c r="P21" s="44">
        <v>35262.58</v>
      </c>
      <c r="Q21" s="46">
        <f>P21/L21</f>
        <v>1</v>
      </c>
    </row>
    <row r="22" spans="1:17" ht="20.25">
      <c r="A22" s="106" t="s">
        <v>13</v>
      </c>
      <c r="B22" s="102">
        <f>B23+B27</f>
        <v>1045883852.53</v>
      </c>
      <c r="C22" s="102">
        <f>C23+C27</f>
        <v>1079195949.05</v>
      </c>
      <c r="D22" s="102">
        <f aca="true" t="shared" si="4" ref="D22:D27">E22+F22+G22</f>
        <v>1875602.6100000003</v>
      </c>
      <c r="E22" s="102">
        <f>E23+E27</f>
        <v>1819821.7600000002</v>
      </c>
      <c r="F22" s="102">
        <f>F23+F27</f>
        <v>47080.02</v>
      </c>
      <c r="G22" s="102">
        <f>G23+G27</f>
        <v>8700.83</v>
      </c>
      <c r="H22" s="103">
        <f t="shared" si="0"/>
        <v>0.001737962982210103</v>
      </c>
      <c r="I22" s="104">
        <f>I23+I27</f>
        <v>1569474.9800000002</v>
      </c>
      <c r="J22" s="103">
        <f>I22/D22</f>
        <v>0.8367843868590052</v>
      </c>
      <c r="K22" s="104">
        <f>SUM(L22:N22)</f>
        <v>24990724.19999999</v>
      </c>
      <c r="L22" s="104">
        <f>L23+L27</f>
        <v>23820513.44999999</v>
      </c>
      <c r="M22" s="104">
        <f>M23+M27</f>
        <v>1137596.16</v>
      </c>
      <c r="N22" s="104">
        <f>N23+N27</f>
        <v>32614.589999999997</v>
      </c>
      <c r="O22" s="105">
        <f t="shared" si="2"/>
        <v>0.023156799487617567</v>
      </c>
      <c r="P22" s="104">
        <f>P23+P27</f>
        <v>18175395.759999916</v>
      </c>
      <c r="Q22" s="105">
        <f aca="true" t="shared" si="5" ref="Q22:Q29">P22/K22</f>
        <v>0.7272856766591791</v>
      </c>
    </row>
    <row r="23" spans="1:17" ht="20.25">
      <c r="A23" s="32" t="s">
        <v>14</v>
      </c>
      <c r="B23" s="102">
        <f>SUM(B24:B26)</f>
        <v>351346517.49</v>
      </c>
      <c r="C23" s="102">
        <f>SUM(C24:C26)</f>
        <v>364069575.24000007</v>
      </c>
      <c r="D23" s="102">
        <f t="shared" si="4"/>
        <v>466259.83000000013</v>
      </c>
      <c r="E23" s="102">
        <f>SUM(E24:E26)</f>
        <v>458165.46000000014</v>
      </c>
      <c r="F23" s="102">
        <f>SUM(F24:F26)</f>
        <v>5400.409999999999</v>
      </c>
      <c r="G23" s="102">
        <f>SUM(G24:G26)</f>
        <v>2693.96</v>
      </c>
      <c r="H23" s="103">
        <f t="shared" si="0"/>
        <v>0.0012806888070573728</v>
      </c>
      <c r="I23" s="104">
        <f>SUM(I24:I26)</f>
        <v>125025.86</v>
      </c>
      <c r="J23" s="103">
        <f>I23/D23</f>
        <v>0.26814632519383014</v>
      </c>
      <c r="K23" s="104">
        <f>L23+M23+N23</f>
        <v>9362827.799999995</v>
      </c>
      <c r="L23" s="104">
        <f>SUM(L24:L26)</f>
        <v>9319561.919999996</v>
      </c>
      <c r="M23" s="104">
        <f>SUM(M24:M26)</f>
        <v>30336.94</v>
      </c>
      <c r="N23" s="104">
        <f>SUM(N24:N26)</f>
        <v>12928.939999999997</v>
      </c>
      <c r="O23" s="105">
        <f t="shared" si="2"/>
        <v>0.025717138801911364</v>
      </c>
      <c r="P23" s="104">
        <f>SUM(P24:P26)</f>
        <v>4978128.98999992</v>
      </c>
      <c r="Q23" s="105">
        <f t="shared" si="5"/>
        <v>0.5316907558633005</v>
      </c>
    </row>
    <row r="24" spans="1:17" ht="21">
      <c r="A24" s="33" t="s">
        <v>8</v>
      </c>
      <c r="B24" s="42">
        <v>59792009.61</v>
      </c>
      <c r="C24" s="42">
        <v>61894303.97</v>
      </c>
      <c r="D24" s="42">
        <f t="shared" si="4"/>
        <v>63395.159999999996</v>
      </c>
      <c r="E24" s="42">
        <v>60701.2</v>
      </c>
      <c r="F24" s="42">
        <v>0</v>
      </c>
      <c r="G24" s="42">
        <v>2693.96</v>
      </c>
      <c r="H24" s="43">
        <f>D24/B24</f>
        <v>0.0010602614030453558</v>
      </c>
      <c r="I24" s="44">
        <v>62569.37</v>
      </c>
      <c r="J24" s="43">
        <f>I24/D24</f>
        <v>0.9869739267161721</v>
      </c>
      <c r="K24" s="44">
        <f>L24+M24+N24</f>
        <v>301696.87000000005</v>
      </c>
      <c r="L24" s="44">
        <v>288767.93000000005</v>
      </c>
      <c r="M24" s="44">
        <v>0</v>
      </c>
      <c r="N24" s="52">
        <v>12928.939999999997</v>
      </c>
      <c r="O24" s="46">
        <f>K24/B24</f>
        <v>0.005045772369382653</v>
      </c>
      <c r="P24" s="44">
        <v>300871.08000000025</v>
      </c>
      <c r="Q24" s="46">
        <f t="shared" si="5"/>
        <v>0.997262848633465</v>
      </c>
    </row>
    <row r="25" spans="1:17" ht="21">
      <c r="A25" s="34" t="s">
        <v>34</v>
      </c>
      <c r="B25" s="42">
        <v>283456024.55</v>
      </c>
      <c r="C25" s="42">
        <v>293967028.3500001</v>
      </c>
      <c r="D25" s="42">
        <f t="shared" si="4"/>
        <v>402864.6700000001</v>
      </c>
      <c r="E25" s="42">
        <v>397464.2600000001</v>
      </c>
      <c r="F25" s="42">
        <v>5400.409999999999</v>
      </c>
      <c r="G25" s="42">
        <v>0</v>
      </c>
      <c r="H25" s="43">
        <f>D25/B25</f>
        <v>0.0014212598608181535</v>
      </c>
      <c r="I25" s="44">
        <v>62456.49</v>
      </c>
      <c r="J25" s="43">
        <f>I25/D25</f>
        <v>0.15503094376580598</v>
      </c>
      <c r="K25" s="44">
        <f>L25+M25+N25</f>
        <v>8977102.949999996</v>
      </c>
      <c r="L25" s="44">
        <v>8946766.009999996</v>
      </c>
      <c r="M25" s="44">
        <v>30336.94</v>
      </c>
      <c r="N25" s="52">
        <v>0</v>
      </c>
      <c r="O25" s="46">
        <f>K25/B25</f>
        <v>0.03167017869615428</v>
      </c>
      <c r="P25" s="44">
        <v>4593229.92999992</v>
      </c>
      <c r="Q25" s="46">
        <f t="shared" si="5"/>
        <v>0.511660605384939</v>
      </c>
    </row>
    <row r="26" spans="1:17" ht="21">
      <c r="A26" s="33" t="s">
        <v>26</v>
      </c>
      <c r="B26" s="42">
        <v>8098483.33</v>
      </c>
      <c r="C26" s="42">
        <v>8208242.92</v>
      </c>
      <c r="D26" s="42">
        <f t="shared" si="4"/>
        <v>0</v>
      </c>
      <c r="E26" s="42">
        <v>0</v>
      </c>
      <c r="F26" s="42">
        <v>0</v>
      </c>
      <c r="G26" s="42">
        <v>0</v>
      </c>
      <c r="H26" s="43">
        <f aca="true" t="shared" si="6" ref="H26:H37">D26/C26</f>
        <v>0</v>
      </c>
      <c r="I26" s="44">
        <v>0</v>
      </c>
      <c r="J26" s="43">
        <v>0</v>
      </c>
      <c r="K26" s="44">
        <f>L26+M26+N26</f>
        <v>84027.98</v>
      </c>
      <c r="L26" s="44">
        <v>84027.98</v>
      </c>
      <c r="M26" s="44">
        <v>0</v>
      </c>
      <c r="N26" s="44">
        <v>0</v>
      </c>
      <c r="O26" s="46">
        <f aca="true" t="shared" si="7" ref="O26:O41">K26/C26</f>
        <v>0.01023702402803644</v>
      </c>
      <c r="P26" s="44">
        <v>84027.98</v>
      </c>
      <c r="Q26" s="46">
        <f t="shared" si="5"/>
        <v>1</v>
      </c>
    </row>
    <row r="27" spans="1:17" ht="19.5" customHeight="1">
      <c r="A27" s="106" t="s">
        <v>15</v>
      </c>
      <c r="B27" s="102">
        <f>SUM(B28:B35)</f>
        <v>694537335.04</v>
      </c>
      <c r="C27" s="102">
        <f>SUM(C28:C35)</f>
        <v>715126373.81</v>
      </c>
      <c r="D27" s="102">
        <f t="shared" si="4"/>
        <v>1409342.7800000003</v>
      </c>
      <c r="E27" s="102">
        <f>SUM(E28:E35)</f>
        <v>1361656.3</v>
      </c>
      <c r="F27" s="102">
        <f>SUM(F28:F35)</f>
        <v>41679.61</v>
      </c>
      <c r="G27" s="102">
        <f>SUM(G28:G35)</f>
        <v>6006.87</v>
      </c>
      <c r="H27" s="103">
        <f t="shared" si="6"/>
        <v>0.001970760458031219</v>
      </c>
      <c r="I27" s="104">
        <f>SUM(I28:I35)</f>
        <v>1444449.12</v>
      </c>
      <c r="J27" s="103">
        <f>I27/D27</f>
        <v>1.0249097242333054</v>
      </c>
      <c r="K27" s="104">
        <f>SUM(L27:N27)</f>
        <v>15627896.399999997</v>
      </c>
      <c r="L27" s="104">
        <f>SUM(L28:L35)</f>
        <v>14500951.529999996</v>
      </c>
      <c r="M27" s="104">
        <f>SUM(M28:M35)</f>
        <v>1107259.22</v>
      </c>
      <c r="N27" s="104">
        <f>SUM(N28:N35)</f>
        <v>19685.649999999998</v>
      </c>
      <c r="O27" s="105">
        <f t="shared" si="7"/>
        <v>0.021853335259807004</v>
      </c>
      <c r="P27" s="104">
        <f>SUM(P28:P35)</f>
        <v>13197266.769999998</v>
      </c>
      <c r="Q27" s="105">
        <f t="shared" si="5"/>
        <v>0.8444685344855498</v>
      </c>
    </row>
    <row r="28" spans="1:17" ht="21">
      <c r="A28" s="35" t="s">
        <v>8</v>
      </c>
      <c r="B28" s="42">
        <v>120587898</v>
      </c>
      <c r="C28" s="42">
        <v>128387729.23000002</v>
      </c>
      <c r="D28" s="42">
        <f>SUM(E28:G28)</f>
        <v>200354.32</v>
      </c>
      <c r="E28" s="42">
        <v>178012.90000000002</v>
      </c>
      <c r="F28" s="42">
        <v>16334.550000000001</v>
      </c>
      <c r="G28" s="42">
        <v>6006.87</v>
      </c>
      <c r="H28" s="43">
        <f t="shared" si="6"/>
        <v>0.001560541036138084</v>
      </c>
      <c r="I28" s="50">
        <v>233284</v>
      </c>
      <c r="J28" s="43">
        <f>I28/D28</f>
        <v>1.1643572247406495</v>
      </c>
      <c r="K28" s="50">
        <f>SUM(L28:N28)</f>
        <v>5641724.65</v>
      </c>
      <c r="L28" s="50">
        <v>4893508</v>
      </c>
      <c r="M28" s="50">
        <v>728531</v>
      </c>
      <c r="N28" s="107">
        <v>19685.649999999998</v>
      </c>
      <c r="O28" s="46">
        <f t="shared" si="7"/>
        <v>0.043942864974994146</v>
      </c>
      <c r="P28" s="50">
        <v>5637408.5</v>
      </c>
      <c r="Q28" s="46">
        <f t="shared" si="5"/>
        <v>0.9992349591183964</v>
      </c>
    </row>
    <row r="29" spans="1:17" ht="21">
      <c r="A29" s="33" t="s">
        <v>9</v>
      </c>
      <c r="B29" s="42">
        <v>10105464.47</v>
      </c>
      <c r="C29" s="42">
        <v>10847572</v>
      </c>
      <c r="D29" s="45">
        <v>95912</v>
      </c>
      <c r="E29" s="42">
        <v>81525</v>
      </c>
      <c r="F29" s="42">
        <v>14387</v>
      </c>
      <c r="G29" s="42">
        <v>0</v>
      </c>
      <c r="H29" s="43">
        <v>0.008995174708124274</v>
      </c>
      <c r="I29" s="44">
        <v>95912.12</v>
      </c>
      <c r="J29" s="49">
        <f>I29/D29</f>
        <v>1.0000012511468845</v>
      </c>
      <c r="K29" s="48">
        <v>122967</v>
      </c>
      <c r="L29" s="44">
        <v>104522</v>
      </c>
      <c r="M29" s="44">
        <v>18455</v>
      </c>
      <c r="N29" s="44">
        <v>0</v>
      </c>
      <c r="O29" s="46">
        <f t="shared" si="7"/>
        <v>0.01133590078959605</v>
      </c>
      <c r="P29" s="44">
        <v>122966.97</v>
      </c>
      <c r="Q29" s="46">
        <f t="shared" si="5"/>
        <v>0.9999997560321062</v>
      </c>
    </row>
    <row r="30" spans="1:17" ht="21">
      <c r="A30" s="33" t="s">
        <v>10</v>
      </c>
      <c r="B30" s="42">
        <v>101576522</v>
      </c>
      <c r="C30" s="42">
        <v>104897530.84</v>
      </c>
      <c r="D30" s="45">
        <v>90699.4</v>
      </c>
      <c r="E30" s="42">
        <v>86163.59</v>
      </c>
      <c r="F30" s="42">
        <v>4535.81</v>
      </c>
      <c r="G30" s="42">
        <v>0</v>
      </c>
      <c r="H30" s="43">
        <v>0.0008646476163327773</v>
      </c>
      <c r="I30" s="44">
        <v>106964.9</v>
      </c>
      <c r="J30" s="49">
        <v>1.1793341521553615</v>
      </c>
      <c r="K30" s="48">
        <v>568624.2100000001</v>
      </c>
      <c r="L30" s="44">
        <v>521530.6800000001</v>
      </c>
      <c r="M30" s="44">
        <v>47093.52999999999</v>
      </c>
      <c r="N30" s="44">
        <v>0</v>
      </c>
      <c r="O30" s="46">
        <v>0.00542075876759503</v>
      </c>
      <c r="P30" s="44">
        <v>500769.76</v>
      </c>
      <c r="Q30" s="46">
        <v>0.8806690801997332</v>
      </c>
    </row>
    <row r="31" spans="1:17" ht="21">
      <c r="A31" s="33" t="s">
        <v>16</v>
      </c>
      <c r="B31" s="67">
        <v>125297010.25</v>
      </c>
      <c r="C31" s="66">
        <v>126231553.30000001</v>
      </c>
      <c r="D31" s="42">
        <f>SUM(E31:G31)</f>
        <v>45580.969999999994</v>
      </c>
      <c r="E31" s="42">
        <v>41670.34</v>
      </c>
      <c r="F31" s="66">
        <v>3910.63</v>
      </c>
      <c r="G31" s="42">
        <v>0</v>
      </c>
      <c r="H31" s="43">
        <f>D31/C31</f>
        <v>0.0003610901459136207</v>
      </c>
      <c r="I31" s="44">
        <v>5617.5</v>
      </c>
      <c r="J31" s="43">
        <f>I31/D31</f>
        <v>0.12324222147970965</v>
      </c>
      <c r="K31" s="50">
        <f>N31+M31+L31</f>
        <v>829144.56</v>
      </c>
      <c r="L31" s="44">
        <v>798120.25</v>
      </c>
      <c r="M31" s="44">
        <v>31024.31</v>
      </c>
      <c r="N31" s="44">
        <v>0</v>
      </c>
      <c r="O31" s="46">
        <f>K31/C31</f>
        <v>0.0065684413945970195</v>
      </c>
      <c r="P31" s="44">
        <v>563742.11</v>
      </c>
      <c r="Q31" s="46">
        <f>P31/K31</f>
        <v>0.6799081091480598</v>
      </c>
    </row>
    <row r="32" spans="1:17" ht="21">
      <c r="A32" s="33" t="s">
        <v>17</v>
      </c>
      <c r="B32" s="42">
        <v>12138925.82</v>
      </c>
      <c r="C32" s="42">
        <v>12167394.59</v>
      </c>
      <c r="D32" s="45">
        <v>94.15</v>
      </c>
      <c r="E32" s="42">
        <v>94.15</v>
      </c>
      <c r="F32" s="42">
        <v>0</v>
      </c>
      <c r="G32" s="42">
        <v>0</v>
      </c>
      <c r="H32" s="43">
        <v>7.737893211532643E-06</v>
      </c>
      <c r="I32" s="44">
        <v>94.15</v>
      </c>
      <c r="J32" s="49">
        <v>1</v>
      </c>
      <c r="K32" s="51">
        <v>15724.21</v>
      </c>
      <c r="L32" s="44">
        <v>15164.469999999998</v>
      </c>
      <c r="M32" s="44">
        <v>559.74</v>
      </c>
      <c r="N32" s="44">
        <v>0</v>
      </c>
      <c r="O32" s="46">
        <v>0.0012923235030877715</v>
      </c>
      <c r="P32" s="44">
        <v>15350.47</v>
      </c>
      <c r="Q32" s="46">
        <v>0.9762315563071213</v>
      </c>
    </row>
    <row r="33" spans="1:17" ht="21" customHeight="1">
      <c r="A33" s="33" t="s">
        <v>32</v>
      </c>
      <c r="B33" s="68">
        <v>288875612.03</v>
      </c>
      <c r="C33" s="68">
        <v>295549764.38000005</v>
      </c>
      <c r="D33" s="45">
        <f>SUM(E33:G33)</f>
        <v>878121.08</v>
      </c>
      <c r="E33" s="45">
        <v>877805.64</v>
      </c>
      <c r="F33" s="45">
        <v>315.44</v>
      </c>
      <c r="G33" s="45">
        <v>0</v>
      </c>
      <c r="H33" s="43">
        <f t="shared" si="6"/>
        <v>0.002971144578112283</v>
      </c>
      <c r="I33" s="65">
        <v>932115.36</v>
      </c>
      <c r="J33" s="49">
        <f>I33/D33</f>
        <v>1.061488422530524</v>
      </c>
      <c r="K33" s="44">
        <f>SUM(L33:N33)</f>
        <v>7399608.919999998</v>
      </c>
      <c r="L33" s="44">
        <v>7156631.689999998</v>
      </c>
      <c r="M33" s="44">
        <v>242977.2300000001</v>
      </c>
      <c r="N33" s="51">
        <v>0</v>
      </c>
      <c r="O33" s="46">
        <f t="shared" si="7"/>
        <v>0.025036761357339562</v>
      </c>
      <c r="P33" s="65">
        <v>5456518.18</v>
      </c>
      <c r="Q33" s="46">
        <f aca="true" t="shared" si="8" ref="Q33:Q41">P33/K33</f>
        <v>0.737406292547688</v>
      </c>
    </row>
    <row r="34" spans="1:17" ht="21">
      <c r="A34" s="33" t="s">
        <v>11</v>
      </c>
      <c r="B34" s="64">
        <v>17526561.090000004</v>
      </c>
      <c r="C34" s="42">
        <v>18505402.42</v>
      </c>
      <c r="D34" s="45">
        <f>SUM(E34:G34)</f>
        <v>98580.86</v>
      </c>
      <c r="E34" s="42">
        <v>96384.68000000001</v>
      </c>
      <c r="F34" s="42">
        <v>2196.18</v>
      </c>
      <c r="G34" s="42">
        <v>0</v>
      </c>
      <c r="H34" s="43">
        <f>D34/C34</f>
        <v>0.005327139489463747</v>
      </c>
      <c r="I34" s="44">
        <v>70461.09</v>
      </c>
      <c r="J34" s="49">
        <f>I34/D34</f>
        <v>0.7147542636572657</v>
      </c>
      <c r="K34" s="51">
        <f>SUM(L34:N34)</f>
        <v>960248.17</v>
      </c>
      <c r="L34" s="44">
        <v>921629.76</v>
      </c>
      <c r="M34" s="44">
        <v>38618.41</v>
      </c>
      <c r="N34" s="44">
        <v>0</v>
      </c>
      <c r="O34" s="46">
        <f t="shared" si="7"/>
        <v>0.05189015338365173</v>
      </c>
      <c r="P34" s="44">
        <v>810666.1</v>
      </c>
      <c r="Q34" s="46">
        <f t="shared" si="8"/>
        <v>0.844225613051676</v>
      </c>
    </row>
    <row r="35" spans="1:17" ht="21">
      <c r="A35" s="33" t="s">
        <v>26</v>
      </c>
      <c r="B35" s="42">
        <v>18429341.38</v>
      </c>
      <c r="C35" s="42">
        <v>18539427.05</v>
      </c>
      <c r="D35" s="45">
        <f>SUM(E35:G35)</f>
        <v>0</v>
      </c>
      <c r="E35" s="42">
        <v>0</v>
      </c>
      <c r="F35" s="42">
        <v>0</v>
      </c>
      <c r="G35" s="42">
        <v>0</v>
      </c>
      <c r="H35" s="43">
        <f t="shared" si="6"/>
        <v>0</v>
      </c>
      <c r="I35" s="44">
        <v>0</v>
      </c>
      <c r="J35" s="43">
        <v>0</v>
      </c>
      <c r="K35" s="44">
        <f>L35+M35+N35</f>
        <v>89844.68</v>
      </c>
      <c r="L35" s="44">
        <v>89844.68</v>
      </c>
      <c r="M35" s="44">
        <v>0</v>
      </c>
      <c r="N35" s="44">
        <v>0</v>
      </c>
      <c r="O35" s="46">
        <f t="shared" si="7"/>
        <v>0.00484614113250064</v>
      </c>
      <c r="P35" s="44">
        <v>89844.68</v>
      </c>
      <c r="Q35" s="46">
        <f t="shared" si="8"/>
        <v>1</v>
      </c>
    </row>
    <row r="36" spans="1:17" ht="20.25">
      <c r="A36" s="106" t="s">
        <v>25</v>
      </c>
      <c r="B36" s="102">
        <f>SUM(B37:B40)</f>
        <v>576358630.2400001</v>
      </c>
      <c r="C36" s="102">
        <f>SUM(C37:C40)</f>
        <v>586664418.2399999</v>
      </c>
      <c r="D36" s="102">
        <f>E36+F36+G36</f>
        <v>245725.19</v>
      </c>
      <c r="E36" s="102">
        <f>SUM(E37:E40)</f>
        <v>234174.33000000002</v>
      </c>
      <c r="F36" s="102">
        <f>SUM(F37:F40)</f>
        <v>10438.28</v>
      </c>
      <c r="G36" s="102">
        <f>SUM(G37:G40)</f>
        <v>1112.58</v>
      </c>
      <c r="H36" s="103">
        <f t="shared" si="6"/>
        <v>0.0004188513609486978</v>
      </c>
      <c r="I36" s="104">
        <f>SUM(I37:I40)</f>
        <v>150403.53999999998</v>
      </c>
      <c r="J36" s="103">
        <f>I36/D36</f>
        <v>0.6120802673913894</v>
      </c>
      <c r="K36" s="104">
        <f>SUM(L36:N36)</f>
        <v>1065862.6199999999</v>
      </c>
      <c r="L36" s="104">
        <f>SUM(L37:L40)</f>
        <v>994984.1499999998</v>
      </c>
      <c r="M36" s="104">
        <f>SUM(M37:M40)</f>
        <v>64064.89999999999</v>
      </c>
      <c r="N36" s="104">
        <f>SUM(N37:N40)</f>
        <v>6813.570000000001</v>
      </c>
      <c r="O36" s="105">
        <f t="shared" si="7"/>
        <v>0.001816818247129424</v>
      </c>
      <c r="P36" s="104">
        <f>SUM(P37:P40)</f>
        <v>902446.64</v>
      </c>
      <c r="Q36" s="103">
        <f t="shared" si="8"/>
        <v>0.8466819485610633</v>
      </c>
    </row>
    <row r="37" spans="1:17" ht="21">
      <c r="A37" s="33" t="s">
        <v>32</v>
      </c>
      <c r="B37" s="42">
        <v>285427509.55000013</v>
      </c>
      <c r="C37" s="45">
        <v>290107169.1499999</v>
      </c>
      <c r="D37" s="42">
        <f>E37+F37+G37</f>
        <v>92581.15000000001</v>
      </c>
      <c r="E37" s="42">
        <v>83069.69</v>
      </c>
      <c r="F37" s="42">
        <v>8398.880000000001</v>
      </c>
      <c r="G37" s="42">
        <v>1112.58</v>
      </c>
      <c r="H37" s="43">
        <f t="shared" si="6"/>
        <v>0.0003191274116777546</v>
      </c>
      <c r="I37" s="51">
        <v>37098.36</v>
      </c>
      <c r="J37" s="49">
        <f>I37/D37</f>
        <v>0.4007118079652283</v>
      </c>
      <c r="K37" s="44">
        <f>SUM(L37:N37)</f>
        <v>660232.8399999997</v>
      </c>
      <c r="L37" s="51">
        <v>613808.3199999998</v>
      </c>
      <c r="M37" s="51">
        <v>39610.94999999999</v>
      </c>
      <c r="N37" s="51">
        <v>6813.570000000001</v>
      </c>
      <c r="O37" s="63">
        <f t="shared" si="7"/>
        <v>0.0022758239375278116</v>
      </c>
      <c r="P37" s="51">
        <v>656770.72</v>
      </c>
      <c r="Q37" s="63">
        <f t="shared" si="8"/>
        <v>0.9947562135806517</v>
      </c>
    </row>
    <row r="38" spans="1:17" ht="21">
      <c r="A38" s="33" t="s">
        <v>16</v>
      </c>
      <c r="B38" s="45">
        <v>265559401.9</v>
      </c>
      <c r="C38" s="45">
        <v>268378056.25</v>
      </c>
      <c r="D38" s="42">
        <f>E38+F38+G38</f>
        <v>40081.060000000005</v>
      </c>
      <c r="E38" s="42">
        <v>38041.66</v>
      </c>
      <c r="F38" s="42">
        <v>2039.4</v>
      </c>
      <c r="G38" s="42">
        <v>0</v>
      </c>
      <c r="H38" s="43">
        <v>0.11958084803365886</v>
      </c>
      <c r="I38" s="42">
        <v>242.2</v>
      </c>
      <c r="J38" s="49">
        <f>I38/D38</f>
        <v>0.006042754358292919</v>
      </c>
      <c r="K38" s="44">
        <f>L38+M38+N38</f>
        <v>229363.63</v>
      </c>
      <c r="L38" s="44">
        <v>204909.68</v>
      </c>
      <c r="M38" s="44">
        <v>24453.949999999997</v>
      </c>
      <c r="N38" s="44">
        <v>0</v>
      </c>
      <c r="O38" s="63">
        <v>0.12027618204347883</v>
      </c>
      <c r="P38" s="51">
        <v>69409.76999999999</v>
      </c>
      <c r="Q38" s="63">
        <f t="shared" si="8"/>
        <v>0.3026189025696881</v>
      </c>
    </row>
    <row r="39" spans="1:17" ht="21">
      <c r="A39" s="33" t="s">
        <v>11</v>
      </c>
      <c r="B39" s="42">
        <v>22501090.29</v>
      </c>
      <c r="C39" s="42">
        <v>25295571.13</v>
      </c>
      <c r="D39" s="42">
        <f>E39+F39+G39</f>
        <v>113062.98</v>
      </c>
      <c r="E39" s="42">
        <v>113062.98</v>
      </c>
      <c r="F39" s="42">
        <v>0</v>
      </c>
      <c r="G39" s="42">
        <v>0</v>
      </c>
      <c r="H39" s="43">
        <f>D39/C39</f>
        <v>0.004469674925264279</v>
      </c>
      <c r="I39" s="44">
        <v>113062.98</v>
      </c>
      <c r="J39" s="49">
        <f>I39/D39</f>
        <v>1</v>
      </c>
      <c r="K39" s="44">
        <f>SUM(L39:N39)</f>
        <v>170174.36</v>
      </c>
      <c r="L39" s="44">
        <v>170174.36</v>
      </c>
      <c r="M39" s="44">
        <v>0</v>
      </c>
      <c r="N39" s="44">
        <v>0</v>
      </c>
      <c r="O39" s="63">
        <f>K39/C39</f>
        <v>0.006727436954296591</v>
      </c>
      <c r="P39" s="44">
        <v>170174.36</v>
      </c>
      <c r="Q39" s="63">
        <f t="shared" si="8"/>
        <v>1</v>
      </c>
    </row>
    <row r="40" spans="1:17" ht="21">
      <c r="A40" s="33" t="s">
        <v>26</v>
      </c>
      <c r="B40" s="42">
        <v>2870628.5</v>
      </c>
      <c r="C40" s="42">
        <v>2883621.71</v>
      </c>
      <c r="D40" s="42">
        <f>E40+F40+G40</f>
        <v>0</v>
      </c>
      <c r="E40" s="42">
        <v>0</v>
      </c>
      <c r="F40" s="42">
        <v>0</v>
      </c>
      <c r="G40" s="42">
        <v>0</v>
      </c>
      <c r="H40" s="43">
        <f>D40/C40</f>
        <v>0</v>
      </c>
      <c r="I40" s="44">
        <v>0</v>
      </c>
      <c r="J40" s="49">
        <v>0</v>
      </c>
      <c r="K40" s="44">
        <f>SUM(L40:N40)</f>
        <v>6091.79</v>
      </c>
      <c r="L40" s="44">
        <v>6091.79</v>
      </c>
      <c r="M40" s="44">
        <v>0</v>
      </c>
      <c r="N40" s="44">
        <v>0</v>
      </c>
      <c r="O40" s="47">
        <f t="shared" si="7"/>
        <v>0.0021125482509978745</v>
      </c>
      <c r="P40" s="44">
        <v>6091.79</v>
      </c>
      <c r="Q40" s="46">
        <f t="shared" si="8"/>
        <v>1</v>
      </c>
    </row>
    <row r="41" spans="1:17" ht="20.25">
      <c r="A41" s="32" t="s">
        <v>18</v>
      </c>
      <c r="B41" s="102">
        <f aca="true" t="shared" si="9" ref="B41:G41">B21+B26+B35+B40</f>
        <v>37603633.04</v>
      </c>
      <c r="C41" s="102">
        <f t="shared" si="9"/>
        <v>37877205.27</v>
      </c>
      <c r="D41" s="102">
        <f t="shared" si="9"/>
        <v>0</v>
      </c>
      <c r="E41" s="102">
        <f t="shared" si="9"/>
        <v>0</v>
      </c>
      <c r="F41" s="102">
        <f t="shared" si="9"/>
        <v>0</v>
      </c>
      <c r="G41" s="102">
        <f t="shared" si="9"/>
        <v>0</v>
      </c>
      <c r="H41" s="103">
        <f>D41/C41</f>
        <v>0</v>
      </c>
      <c r="I41" s="104">
        <f>D41</f>
        <v>0</v>
      </c>
      <c r="J41" s="103" t="e">
        <f>I41/D41</f>
        <v>#DIV/0!</v>
      </c>
      <c r="K41" s="104">
        <f>K21+K26+K35+K40</f>
        <v>215227.03</v>
      </c>
      <c r="L41" s="104">
        <f>L21+L26+L35+L40</f>
        <v>215227.03</v>
      </c>
      <c r="M41" s="104">
        <f>M21+M26+M35+M40</f>
        <v>0</v>
      </c>
      <c r="N41" s="104">
        <f>N21+N26+N35+N40</f>
        <v>0</v>
      </c>
      <c r="O41" s="105">
        <f t="shared" si="7"/>
        <v>0.005682231000566108</v>
      </c>
      <c r="P41" s="104">
        <f>P21+P26+P35+P40</f>
        <v>215227.03</v>
      </c>
      <c r="Q41" s="103">
        <f t="shared" si="8"/>
        <v>1</v>
      </c>
    </row>
    <row r="42" spans="1:17" ht="45" customHeight="1">
      <c r="A42" s="109" t="s">
        <v>55</v>
      </c>
      <c r="B42" s="54">
        <f>B43+B44</f>
        <v>826719257.62</v>
      </c>
      <c r="C42" s="54" t="s">
        <v>33</v>
      </c>
      <c r="D42" s="54">
        <v>0</v>
      </c>
      <c r="E42" s="54">
        <v>0</v>
      </c>
      <c r="F42" s="54">
        <v>0</v>
      </c>
      <c r="G42" s="54">
        <v>0</v>
      </c>
      <c r="H42" s="55">
        <v>0</v>
      </c>
      <c r="I42" s="58">
        <v>0</v>
      </c>
      <c r="J42" s="55">
        <v>0</v>
      </c>
      <c r="K42" s="58">
        <f>K43+K44</f>
        <v>1013337.1000000001</v>
      </c>
      <c r="L42" s="58">
        <f>L43+L44</f>
        <v>140498.88</v>
      </c>
      <c r="M42" s="58">
        <f>M43+M44</f>
        <v>291590.66000000003</v>
      </c>
      <c r="N42" s="58">
        <f>N43+N44</f>
        <v>581148.48</v>
      </c>
      <c r="O42" s="59" t="s">
        <v>33</v>
      </c>
      <c r="P42" s="58">
        <v>164880.65</v>
      </c>
      <c r="Q42" s="59">
        <v>0.1942838815442835</v>
      </c>
    </row>
    <row r="43" spans="1:17" ht="21">
      <c r="A43" s="18" t="s">
        <v>32</v>
      </c>
      <c r="B43" s="41">
        <v>370347876.38</v>
      </c>
      <c r="C43" s="69" t="s">
        <v>33</v>
      </c>
      <c r="D43" s="45">
        <v>0</v>
      </c>
      <c r="E43" s="45">
        <v>0</v>
      </c>
      <c r="F43" s="45">
        <v>0</v>
      </c>
      <c r="G43" s="45">
        <v>0</v>
      </c>
      <c r="H43" s="49">
        <v>0</v>
      </c>
      <c r="I43" s="51">
        <v>0</v>
      </c>
      <c r="J43" s="62">
        <v>0</v>
      </c>
      <c r="K43" s="51">
        <v>848658.41</v>
      </c>
      <c r="L43" s="51">
        <v>131388.79</v>
      </c>
      <c r="M43" s="51">
        <v>136121.14</v>
      </c>
      <c r="N43" s="51">
        <v>581148.48</v>
      </c>
      <c r="O43" s="70" t="s">
        <v>33</v>
      </c>
      <c r="P43" s="51">
        <v>164880.65</v>
      </c>
      <c r="Q43" s="63">
        <v>0.1942838815442835</v>
      </c>
    </row>
    <row r="44" spans="1:17" ht="21">
      <c r="A44" s="18" t="s">
        <v>16</v>
      </c>
      <c r="B44" s="41">
        <v>456371381.24</v>
      </c>
      <c r="C44" s="69" t="s">
        <v>33</v>
      </c>
      <c r="D44" s="45">
        <v>0</v>
      </c>
      <c r="E44" s="45">
        <v>0</v>
      </c>
      <c r="F44" s="45">
        <v>0</v>
      </c>
      <c r="G44" s="45">
        <v>0</v>
      </c>
      <c r="H44" s="49">
        <v>0</v>
      </c>
      <c r="I44" s="53" t="s">
        <v>33</v>
      </c>
      <c r="J44" s="71">
        <v>0</v>
      </c>
      <c r="K44" s="51">
        <v>164678.69</v>
      </c>
      <c r="L44" s="51">
        <v>9110.09</v>
      </c>
      <c r="M44" s="51">
        <v>155469.52</v>
      </c>
      <c r="N44" s="51">
        <v>0</v>
      </c>
      <c r="O44" s="70" t="s">
        <v>33</v>
      </c>
      <c r="P44" s="51">
        <v>0</v>
      </c>
      <c r="Q44" s="63">
        <v>0</v>
      </c>
    </row>
    <row r="45" spans="1:17" ht="39.75" customHeight="1">
      <c r="A45" s="17" t="s">
        <v>19</v>
      </c>
      <c r="B45" s="54">
        <f>SUM(B46,B51,B59)</f>
        <v>544405037.7757506</v>
      </c>
      <c r="C45" s="54"/>
      <c r="D45" s="54"/>
      <c r="E45" s="54"/>
      <c r="F45" s="54"/>
      <c r="G45" s="54"/>
      <c r="H45" s="55"/>
      <c r="I45" s="56"/>
      <c r="J45" s="57"/>
      <c r="K45" s="58">
        <f>SUM(L45:N45)</f>
        <v>6042332.347469679</v>
      </c>
      <c r="L45" s="58">
        <f>SUM(L46,L51,L63,L64,L65)</f>
        <v>4450433.167905119</v>
      </c>
      <c r="M45" s="58">
        <f>SUM(M46,M51,M63,M64,M65)</f>
        <v>1365458.36956456</v>
      </c>
      <c r="N45" s="58">
        <f>SUM(N46,N51,N59,N59,N63,N64,N65)</f>
        <v>226440.81</v>
      </c>
      <c r="O45" s="59" t="s">
        <v>33</v>
      </c>
      <c r="P45" s="58">
        <f>SUM(P46,P51,P63,P64,P65)</f>
        <v>4088522.191460681</v>
      </c>
      <c r="Q45" s="55">
        <f>P45/K45</f>
        <v>0.676646360436101</v>
      </c>
    </row>
    <row r="46" spans="1:17" ht="20.25">
      <c r="A46" s="32" t="s">
        <v>7</v>
      </c>
      <c r="B46" s="102">
        <f>SUM(B47:B50)</f>
        <v>121971261.803112</v>
      </c>
      <c r="C46" s="102" t="s">
        <v>33</v>
      </c>
      <c r="D46" s="102">
        <f>SUM(D47:D50)</f>
        <v>0</v>
      </c>
      <c r="E46" s="102">
        <f>SUM(E47:E50)</f>
        <v>0</v>
      </c>
      <c r="F46" s="102">
        <f>SUM(F47:F50)</f>
        <v>0</v>
      </c>
      <c r="G46" s="102">
        <v>0</v>
      </c>
      <c r="H46" s="103" t="s">
        <v>33</v>
      </c>
      <c r="I46" s="115">
        <v>0</v>
      </c>
      <c r="J46" s="116">
        <v>0</v>
      </c>
      <c r="K46" s="104">
        <f>SUM(L46:N46)</f>
        <v>2301831.94746968</v>
      </c>
      <c r="L46" s="104">
        <f>SUM(L47:L50)</f>
        <v>1736981.03790512</v>
      </c>
      <c r="M46" s="104">
        <f>SUM(M47:M50)</f>
        <v>564850.9095645599</v>
      </c>
      <c r="N46" s="104">
        <v>0</v>
      </c>
      <c r="O46" s="105" t="s">
        <v>33</v>
      </c>
      <c r="P46" s="104">
        <f>SUM(P47:P50)</f>
        <v>2242497.3014606806</v>
      </c>
      <c r="Q46" s="103">
        <f aca="true" t="shared" si="10" ref="Q46:Q62">P46/K46</f>
        <v>0.9742228592863941</v>
      </c>
    </row>
    <row r="47" spans="1:17" ht="21">
      <c r="A47" s="33" t="s">
        <v>8</v>
      </c>
      <c r="B47" s="41">
        <v>49122061.79321826</v>
      </c>
      <c r="C47" s="41" t="s">
        <v>33</v>
      </c>
      <c r="D47" s="42">
        <v>0</v>
      </c>
      <c r="E47" s="42">
        <v>0</v>
      </c>
      <c r="F47" s="42">
        <v>0</v>
      </c>
      <c r="G47" s="42">
        <v>0</v>
      </c>
      <c r="H47" s="43">
        <v>0</v>
      </c>
      <c r="I47" s="44">
        <v>0</v>
      </c>
      <c r="J47" s="60">
        <v>0</v>
      </c>
      <c r="K47" s="61">
        <v>1708087.6519150801</v>
      </c>
      <c r="L47" s="61">
        <v>1281814.7189161202</v>
      </c>
      <c r="M47" s="61">
        <v>426272.93299895996</v>
      </c>
      <c r="N47" s="61">
        <v>0</v>
      </c>
      <c r="O47" s="47" t="s">
        <v>33</v>
      </c>
      <c r="P47" s="61">
        <v>1708087.6519150801</v>
      </c>
      <c r="Q47" s="62">
        <v>1</v>
      </c>
    </row>
    <row r="48" spans="1:17" ht="21">
      <c r="A48" s="33" t="s">
        <v>9</v>
      </c>
      <c r="B48" s="41">
        <v>63481819.69953128</v>
      </c>
      <c r="C48" s="41" t="s">
        <v>33</v>
      </c>
      <c r="D48" s="42">
        <v>0</v>
      </c>
      <c r="E48" s="42">
        <v>0</v>
      </c>
      <c r="F48" s="42">
        <v>0</v>
      </c>
      <c r="G48" s="42">
        <v>0</v>
      </c>
      <c r="H48" s="43">
        <v>0</v>
      </c>
      <c r="I48" s="44">
        <v>0</v>
      </c>
      <c r="J48" s="60">
        <v>0</v>
      </c>
      <c r="K48" s="61">
        <v>529924.70386096</v>
      </c>
      <c r="L48" s="61">
        <v>407301.60690568</v>
      </c>
      <c r="M48" s="61">
        <v>122623.09695528</v>
      </c>
      <c r="N48" s="61">
        <v>0</v>
      </c>
      <c r="O48" s="47" t="s">
        <v>33</v>
      </c>
      <c r="P48" s="61">
        <v>475945.9078519603</v>
      </c>
      <c r="Q48" s="62">
        <v>0.8958507025897646</v>
      </c>
    </row>
    <row r="49" spans="1:17" ht="21">
      <c r="A49" s="33" t="s">
        <v>11</v>
      </c>
      <c r="B49" s="41">
        <v>7945402.510362462</v>
      </c>
      <c r="C49" s="41" t="s">
        <v>33</v>
      </c>
      <c r="D49" s="42">
        <v>0</v>
      </c>
      <c r="E49" s="42">
        <v>0</v>
      </c>
      <c r="F49" s="42">
        <v>0</v>
      </c>
      <c r="G49" s="42">
        <v>0</v>
      </c>
      <c r="H49" s="43">
        <v>0</v>
      </c>
      <c r="I49" s="44">
        <v>0</v>
      </c>
      <c r="J49" s="60">
        <v>0</v>
      </c>
      <c r="K49" s="61">
        <v>14700.811305480001</v>
      </c>
      <c r="L49" s="61">
        <v>11025.610236120001</v>
      </c>
      <c r="M49" s="61">
        <v>3675.20106936</v>
      </c>
      <c r="N49" s="61">
        <v>0</v>
      </c>
      <c r="O49" s="47" t="s">
        <v>33</v>
      </c>
      <c r="P49" s="61">
        <v>14700.811305480001</v>
      </c>
      <c r="Q49" s="62">
        <v>1</v>
      </c>
    </row>
    <row r="50" spans="1:17" ht="21">
      <c r="A50" s="33" t="s">
        <v>52</v>
      </c>
      <c r="B50" s="41">
        <v>1421977.8</v>
      </c>
      <c r="C50" s="41" t="s">
        <v>33</v>
      </c>
      <c r="D50" s="42">
        <v>0</v>
      </c>
      <c r="E50" s="42">
        <v>0</v>
      </c>
      <c r="F50" s="42">
        <v>0</v>
      </c>
      <c r="G50" s="42">
        <v>0</v>
      </c>
      <c r="H50" s="43">
        <v>0</v>
      </c>
      <c r="I50" s="44">
        <v>0</v>
      </c>
      <c r="J50" s="60">
        <v>0</v>
      </c>
      <c r="K50" s="61">
        <v>49118.78038816</v>
      </c>
      <c r="L50" s="61">
        <v>36839.1018472</v>
      </c>
      <c r="M50" s="61">
        <v>12279.678540960002</v>
      </c>
      <c r="N50" s="61">
        <v>0</v>
      </c>
      <c r="O50" s="47" t="s">
        <v>33</v>
      </c>
      <c r="P50" s="61">
        <v>43762.93038816</v>
      </c>
      <c r="Q50" s="62">
        <v>0.8909612584499143</v>
      </c>
    </row>
    <row r="51" spans="1:17" ht="20.25">
      <c r="A51" s="32" t="s">
        <v>13</v>
      </c>
      <c r="B51" s="102">
        <f>B52+B59</f>
        <v>303205959.69131935</v>
      </c>
      <c r="C51" s="102" t="s">
        <v>33</v>
      </c>
      <c r="D51" s="102"/>
      <c r="E51" s="102"/>
      <c r="F51" s="102"/>
      <c r="G51" s="102"/>
      <c r="H51" s="103"/>
      <c r="I51" s="115"/>
      <c r="J51" s="116">
        <v>0</v>
      </c>
      <c r="K51" s="104">
        <f>SUM(L51:N51)</f>
        <v>1645092.5199999996</v>
      </c>
      <c r="L51" s="104">
        <f>SUM(L52:L58)</f>
        <v>1176041.3299999996</v>
      </c>
      <c r="M51" s="104">
        <f>SUM(M52:M58)</f>
        <v>242610.38</v>
      </c>
      <c r="N51" s="104">
        <f>SUM(N52:N58)</f>
        <v>226440.81</v>
      </c>
      <c r="O51" s="105" t="s">
        <v>33</v>
      </c>
      <c r="P51" s="104">
        <f>SUM(P52:P58)</f>
        <v>1520298.3400000003</v>
      </c>
      <c r="Q51" s="103">
        <f t="shared" si="10"/>
        <v>0.9241415431151561</v>
      </c>
    </row>
    <row r="52" spans="1:17" ht="21">
      <c r="A52" s="36" t="s">
        <v>29</v>
      </c>
      <c r="B52" s="42">
        <v>183978143.41</v>
      </c>
      <c r="C52" s="42" t="s">
        <v>33</v>
      </c>
      <c r="D52" s="42">
        <v>0</v>
      </c>
      <c r="E52" s="42">
        <v>0</v>
      </c>
      <c r="F52" s="42">
        <v>0</v>
      </c>
      <c r="G52" s="42">
        <v>0</v>
      </c>
      <c r="H52" s="43">
        <v>0</v>
      </c>
      <c r="I52" s="44">
        <v>0</v>
      </c>
      <c r="J52" s="60">
        <v>0</v>
      </c>
      <c r="K52" s="44">
        <v>798366.09</v>
      </c>
      <c r="L52" s="44">
        <v>584992.5299999999</v>
      </c>
      <c r="M52" s="44">
        <v>111807.42</v>
      </c>
      <c r="N52" s="44">
        <v>101566.13999999998</v>
      </c>
      <c r="O52" s="46" t="s">
        <v>33</v>
      </c>
      <c r="P52" s="44">
        <v>760149.1700000002</v>
      </c>
      <c r="Q52" s="43">
        <f t="shared" si="10"/>
        <v>0.9521310831225311</v>
      </c>
    </row>
    <row r="53" spans="1:17" ht="21">
      <c r="A53" s="34" t="s">
        <v>16</v>
      </c>
      <c r="B53" s="42">
        <v>102701592.68999998</v>
      </c>
      <c r="C53" s="42" t="s">
        <v>33</v>
      </c>
      <c r="D53" s="42">
        <v>0</v>
      </c>
      <c r="E53" s="42">
        <v>0</v>
      </c>
      <c r="F53" s="42">
        <v>0</v>
      </c>
      <c r="G53" s="42">
        <v>0</v>
      </c>
      <c r="H53" s="43">
        <v>0</v>
      </c>
      <c r="I53" s="44">
        <v>0</v>
      </c>
      <c r="J53" s="60">
        <v>0</v>
      </c>
      <c r="K53" s="44">
        <v>497120.98</v>
      </c>
      <c r="L53" s="44">
        <v>358026.68</v>
      </c>
      <c r="M53" s="44">
        <v>68226.76</v>
      </c>
      <c r="N53" s="44">
        <v>70867.54</v>
      </c>
      <c r="O53" s="46" t="s">
        <v>33</v>
      </c>
      <c r="P53" s="44">
        <v>471057.32</v>
      </c>
      <c r="Q53" s="43">
        <f t="shared" si="10"/>
        <v>0.9475707905146148</v>
      </c>
    </row>
    <row r="54" spans="1:17" ht="21">
      <c r="A54" s="33" t="s">
        <v>32</v>
      </c>
      <c r="B54" s="42">
        <v>15618329.280000001</v>
      </c>
      <c r="C54" s="42" t="s">
        <v>33</v>
      </c>
      <c r="D54" s="42">
        <f>SUM(E54:G54)</f>
        <v>121326.26000000001</v>
      </c>
      <c r="E54" s="42">
        <v>110296.6</v>
      </c>
      <c r="F54" s="42">
        <v>11029.66</v>
      </c>
      <c r="G54" s="42">
        <v>0</v>
      </c>
      <c r="H54" s="43">
        <v>0</v>
      </c>
      <c r="I54" s="44">
        <v>0</v>
      </c>
      <c r="J54" s="60">
        <v>0</v>
      </c>
      <c r="K54" s="44">
        <v>231411.5</v>
      </c>
      <c r="L54" s="44">
        <v>179603.64999999997</v>
      </c>
      <c r="M54" s="44">
        <v>47669.259999999995</v>
      </c>
      <c r="N54" s="44">
        <v>52498.92999999999</v>
      </c>
      <c r="O54" s="46" t="s">
        <v>33</v>
      </c>
      <c r="P54" s="44">
        <v>219258.24</v>
      </c>
      <c r="Q54" s="43">
        <f t="shared" si="10"/>
        <v>0.9474820395702028</v>
      </c>
    </row>
    <row r="55" spans="1:17" ht="21">
      <c r="A55" s="34" t="s">
        <v>8</v>
      </c>
      <c r="B55" s="42">
        <v>8690635.29</v>
      </c>
      <c r="C55" s="42" t="s">
        <v>33</v>
      </c>
      <c r="D55" s="42">
        <v>0</v>
      </c>
      <c r="E55" s="42">
        <v>0</v>
      </c>
      <c r="F55" s="42">
        <v>0</v>
      </c>
      <c r="G55" s="42">
        <v>0</v>
      </c>
      <c r="H55" s="43">
        <v>0</v>
      </c>
      <c r="I55" s="44">
        <v>0</v>
      </c>
      <c r="J55" s="60">
        <v>0</v>
      </c>
      <c r="K55" s="44">
        <v>1014.04</v>
      </c>
      <c r="L55" s="44">
        <v>811.23</v>
      </c>
      <c r="M55" s="44">
        <v>202.81</v>
      </c>
      <c r="N55" s="44">
        <v>0</v>
      </c>
      <c r="O55" s="46" t="s">
        <v>33</v>
      </c>
      <c r="P55" s="44">
        <v>1014.04</v>
      </c>
      <c r="Q55" s="43">
        <f t="shared" si="10"/>
        <v>1</v>
      </c>
    </row>
    <row r="56" spans="1:17" ht="21">
      <c r="A56" s="34" t="s">
        <v>11</v>
      </c>
      <c r="B56" s="42">
        <v>27973852.209999997</v>
      </c>
      <c r="C56" s="42" t="s">
        <v>33</v>
      </c>
      <c r="D56" s="42">
        <v>0</v>
      </c>
      <c r="E56" s="42">
        <v>0</v>
      </c>
      <c r="F56" s="42">
        <v>0</v>
      </c>
      <c r="G56" s="42">
        <v>0</v>
      </c>
      <c r="H56" s="43">
        <v>0</v>
      </c>
      <c r="I56" s="44">
        <v>0</v>
      </c>
      <c r="J56" s="60">
        <v>0</v>
      </c>
      <c r="K56" s="44">
        <v>18980.6</v>
      </c>
      <c r="L56" s="44">
        <v>14235.88</v>
      </c>
      <c r="M56" s="44">
        <v>4738.58</v>
      </c>
      <c r="N56" s="44">
        <v>6.14</v>
      </c>
      <c r="O56" s="46" t="s">
        <v>33</v>
      </c>
      <c r="P56" s="44">
        <v>18980.6</v>
      </c>
      <c r="Q56" s="43">
        <f t="shared" si="10"/>
        <v>1</v>
      </c>
    </row>
    <row r="57" spans="1:17" ht="21">
      <c r="A57" s="34" t="s">
        <v>10</v>
      </c>
      <c r="B57" s="42">
        <v>19722613.03999999</v>
      </c>
      <c r="C57" s="42" t="s">
        <v>33</v>
      </c>
      <c r="D57" s="42">
        <v>0</v>
      </c>
      <c r="E57" s="42">
        <v>0</v>
      </c>
      <c r="F57" s="42">
        <v>0</v>
      </c>
      <c r="G57" s="42">
        <v>0</v>
      </c>
      <c r="H57" s="43">
        <v>0</v>
      </c>
      <c r="I57" s="44">
        <v>0</v>
      </c>
      <c r="J57" s="60">
        <v>0</v>
      </c>
      <c r="K57" s="44">
        <v>2011.5300000000002</v>
      </c>
      <c r="L57" s="44">
        <v>1508.65</v>
      </c>
      <c r="M57" s="44">
        <v>502.88</v>
      </c>
      <c r="N57" s="44">
        <v>0</v>
      </c>
      <c r="O57" s="46" t="s">
        <v>33</v>
      </c>
      <c r="P57" s="44">
        <v>2011.53</v>
      </c>
      <c r="Q57" s="43">
        <f t="shared" si="10"/>
        <v>0.9999999999999999</v>
      </c>
    </row>
    <row r="58" spans="1:17" ht="21">
      <c r="A58" s="34" t="s">
        <v>9</v>
      </c>
      <c r="B58" s="42">
        <v>9271120.900000002</v>
      </c>
      <c r="C58" s="42" t="s">
        <v>33</v>
      </c>
      <c r="D58" s="42">
        <v>0</v>
      </c>
      <c r="E58" s="42">
        <v>0</v>
      </c>
      <c r="F58" s="42">
        <v>0</v>
      </c>
      <c r="G58" s="42">
        <v>0</v>
      </c>
      <c r="H58" s="43">
        <v>0</v>
      </c>
      <c r="I58" s="44">
        <v>0</v>
      </c>
      <c r="J58" s="60">
        <v>0</v>
      </c>
      <c r="K58" s="44">
        <v>47827.439999999995</v>
      </c>
      <c r="L58" s="44">
        <v>36862.71</v>
      </c>
      <c r="M58" s="44">
        <v>9462.67</v>
      </c>
      <c r="N58" s="44">
        <v>1502.06</v>
      </c>
      <c r="O58" s="46" t="s">
        <v>33</v>
      </c>
      <c r="P58" s="44">
        <v>47827.44</v>
      </c>
      <c r="Q58" s="43">
        <f t="shared" si="10"/>
        <v>1.0000000000000002</v>
      </c>
    </row>
    <row r="59" spans="1:17" ht="20.25">
      <c r="A59" s="117" t="s">
        <v>31</v>
      </c>
      <c r="B59" s="102">
        <f>SUM(B60:B62)</f>
        <v>119227816.28131932</v>
      </c>
      <c r="C59" s="102"/>
      <c r="D59" s="102">
        <f aca="true" t="shared" si="11" ref="D59:I59">SUM(D60:D62)</f>
        <v>0</v>
      </c>
      <c r="E59" s="102">
        <f t="shared" si="11"/>
        <v>0</v>
      </c>
      <c r="F59" s="102">
        <f t="shared" si="11"/>
        <v>0</v>
      </c>
      <c r="G59" s="102">
        <f t="shared" si="11"/>
        <v>0</v>
      </c>
      <c r="H59" s="103">
        <f>SUM(H60:H62)</f>
        <v>0</v>
      </c>
      <c r="I59" s="104">
        <f t="shared" si="11"/>
        <v>0</v>
      </c>
      <c r="J59" s="116">
        <v>0</v>
      </c>
      <c r="K59" s="104">
        <f>SUM(L59:N59)</f>
        <v>4156377.26</v>
      </c>
      <c r="L59" s="104">
        <f>SUM(L60:L62)</f>
        <v>2405703.61</v>
      </c>
      <c r="M59" s="104">
        <f>SUM(M60:M62)</f>
        <v>1750673.65</v>
      </c>
      <c r="N59" s="104">
        <f>SUM(N60:N62)</f>
        <v>0</v>
      </c>
      <c r="O59" s="105" t="s">
        <v>33</v>
      </c>
      <c r="P59" s="104">
        <f>SUM(P60:P62)</f>
        <v>1183593.4</v>
      </c>
      <c r="Q59" s="103">
        <f t="shared" si="10"/>
        <v>0.28476563265578064</v>
      </c>
    </row>
    <row r="60" spans="1:17" ht="21">
      <c r="A60" s="34" t="s">
        <v>11</v>
      </c>
      <c r="B60" s="41">
        <v>92090046.662097</v>
      </c>
      <c r="C60" s="42" t="s">
        <v>33</v>
      </c>
      <c r="D60" s="42">
        <v>0</v>
      </c>
      <c r="E60" s="42">
        <v>0</v>
      </c>
      <c r="F60" s="42">
        <v>0</v>
      </c>
      <c r="G60" s="42">
        <v>0</v>
      </c>
      <c r="H60" s="43">
        <v>0</v>
      </c>
      <c r="I60" s="44">
        <v>0</v>
      </c>
      <c r="J60" s="60">
        <v>0</v>
      </c>
      <c r="K60" s="61">
        <f>SUM(L60:N60)</f>
        <v>3727544.91</v>
      </c>
      <c r="L60" s="61">
        <f>2181936.81+E60</f>
        <v>2181936.81</v>
      </c>
      <c r="M60" s="61">
        <f>1545608.1+F60</f>
        <v>1545608.1</v>
      </c>
      <c r="N60" s="61">
        <v>0</v>
      </c>
      <c r="O60" s="47" t="s">
        <v>33</v>
      </c>
      <c r="P60" s="110">
        <v>924689.58</v>
      </c>
      <c r="Q60" s="62">
        <f t="shared" si="10"/>
        <v>0.24806933312038887</v>
      </c>
    </row>
    <row r="61" spans="1:17" ht="21">
      <c r="A61" s="34" t="s">
        <v>8</v>
      </c>
      <c r="B61" s="41">
        <v>22959622.459222317</v>
      </c>
      <c r="C61" s="42" t="s">
        <v>33</v>
      </c>
      <c r="D61" s="42">
        <v>0</v>
      </c>
      <c r="E61" s="42">
        <v>0</v>
      </c>
      <c r="F61" s="42">
        <v>0</v>
      </c>
      <c r="G61" s="42">
        <v>0</v>
      </c>
      <c r="H61" s="43">
        <v>0</v>
      </c>
      <c r="I61" s="44">
        <v>0</v>
      </c>
      <c r="J61" s="60">
        <v>0</v>
      </c>
      <c r="K61" s="61">
        <f>SUM(L61:N61)</f>
        <v>37402.7</v>
      </c>
      <c r="L61" s="61">
        <v>28052</v>
      </c>
      <c r="M61" s="61">
        <v>9350.7</v>
      </c>
      <c r="N61" s="61">
        <v>0</v>
      </c>
      <c r="O61" s="47" t="s">
        <v>33</v>
      </c>
      <c r="P61" s="110">
        <v>37402.7</v>
      </c>
      <c r="Q61" s="62">
        <f t="shared" si="10"/>
        <v>1</v>
      </c>
    </row>
    <row r="62" spans="1:17" ht="21">
      <c r="A62" s="33" t="s">
        <v>32</v>
      </c>
      <c r="B62" s="41">
        <v>4178147.16</v>
      </c>
      <c r="C62" s="42" t="s">
        <v>33</v>
      </c>
      <c r="D62" s="42">
        <v>0</v>
      </c>
      <c r="E62" s="42">
        <v>0</v>
      </c>
      <c r="F62" s="42">
        <v>0</v>
      </c>
      <c r="G62" s="42">
        <v>0</v>
      </c>
      <c r="H62" s="43">
        <v>0</v>
      </c>
      <c r="I62" s="44">
        <v>0</v>
      </c>
      <c r="J62" s="60">
        <v>0</v>
      </c>
      <c r="K62" s="61">
        <f>SUM(L62:N62)</f>
        <v>391429.65</v>
      </c>
      <c r="L62" s="61">
        <v>195714.80000000002</v>
      </c>
      <c r="M62" s="61">
        <v>195714.84999999998</v>
      </c>
      <c r="N62" s="61">
        <v>0</v>
      </c>
      <c r="O62" s="47" t="s">
        <v>33</v>
      </c>
      <c r="P62" s="110">
        <v>221501.12000000005</v>
      </c>
      <c r="Q62" s="62">
        <f t="shared" si="10"/>
        <v>0.5658772144624201</v>
      </c>
    </row>
    <row r="63" spans="1:17" ht="21">
      <c r="A63" s="37" t="s">
        <v>51</v>
      </c>
      <c r="B63" s="42">
        <v>14069720.09</v>
      </c>
      <c r="C63" s="42" t="s">
        <v>33</v>
      </c>
      <c r="D63" s="42">
        <v>0</v>
      </c>
      <c r="E63" s="42">
        <v>0</v>
      </c>
      <c r="F63" s="42">
        <v>0</v>
      </c>
      <c r="G63" s="42">
        <v>0</v>
      </c>
      <c r="H63" s="43">
        <v>0</v>
      </c>
      <c r="I63" s="44">
        <v>0</v>
      </c>
      <c r="J63" s="60">
        <v>0</v>
      </c>
      <c r="K63" s="44">
        <f>139212.16</f>
        <v>139212.16</v>
      </c>
      <c r="L63" s="44">
        <v>104409.1</v>
      </c>
      <c r="M63" s="44">
        <v>34803.06</v>
      </c>
      <c r="N63" s="44">
        <v>0</v>
      </c>
      <c r="O63" s="46" t="s">
        <v>33</v>
      </c>
      <c r="P63" s="44">
        <v>135446.79</v>
      </c>
      <c r="Q63" s="43">
        <v>0.9729522909492965</v>
      </c>
    </row>
    <row r="64" spans="1:17" ht="21">
      <c r="A64" s="37" t="s">
        <v>50</v>
      </c>
      <c r="B64" s="42">
        <v>100496086.66000003</v>
      </c>
      <c r="C64" s="42" t="s">
        <v>33</v>
      </c>
      <c r="D64" s="42">
        <f>SUM(E64:F64)</f>
        <v>17570</v>
      </c>
      <c r="E64" s="42">
        <v>12299</v>
      </c>
      <c r="F64" s="42">
        <v>5271</v>
      </c>
      <c r="G64" s="42">
        <v>0</v>
      </c>
      <c r="H64" s="43">
        <v>0</v>
      </c>
      <c r="I64" s="44">
        <f>7589.85-5090</f>
        <v>2499.8500000000004</v>
      </c>
      <c r="J64" s="60">
        <v>0</v>
      </c>
      <c r="K64" s="44">
        <f>SUM(L64:M64)</f>
        <v>1533572.2199999997</v>
      </c>
      <c r="L64" s="44">
        <f>995905.19+88393.9+12299</f>
        <v>1096598.0899999999</v>
      </c>
      <c r="M64" s="44">
        <f>406492.73+25210.4+5271</f>
        <v>436974.13</v>
      </c>
      <c r="N64" s="44">
        <v>0</v>
      </c>
      <c r="O64" s="46" t="s">
        <v>33</v>
      </c>
      <c r="P64" s="44">
        <f>124380.06+2499.85</f>
        <v>126879.91</v>
      </c>
      <c r="Q64" s="43">
        <f>P64/K64</f>
        <v>0.08273487765708225</v>
      </c>
    </row>
    <row r="65" spans="1:17" ht="21" thickBot="1">
      <c r="A65" s="38" t="s">
        <v>30</v>
      </c>
      <c r="B65" s="111">
        <v>23442026.810000002</v>
      </c>
      <c r="C65" s="111" t="s">
        <v>33</v>
      </c>
      <c r="D65" s="111">
        <v>0</v>
      </c>
      <c r="E65" s="111">
        <v>0</v>
      </c>
      <c r="F65" s="111">
        <v>0</v>
      </c>
      <c r="G65" s="111">
        <v>0</v>
      </c>
      <c r="H65" s="112">
        <v>0</v>
      </c>
      <c r="I65" s="113">
        <v>0</v>
      </c>
      <c r="J65" s="60">
        <v>0</v>
      </c>
      <c r="K65" s="113">
        <v>422623.5</v>
      </c>
      <c r="L65" s="113">
        <v>336403.61</v>
      </c>
      <c r="M65" s="113">
        <v>86219.89</v>
      </c>
      <c r="N65" s="113">
        <v>0</v>
      </c>
      <c r="O65" s="114" t="s">
        <v>33</v>
      </c>
      <c r="P65" s="113">
        <v>63399.85</v>
      </c>
      <c r="Q65" s="112">
        <v>0.1500149660395127</v>
      </c>
    </row>
    <row r="66" spans="1:17" ht="123" customHeight="1" thickBot="1">
      <c r="A66" s="39" t="s">
        <v>56</v>
      </c>
      <c r="B66" s="87">
        <f>B67+B68+B69+B70+B71+B72+B73+B74+B75</f>
        <v>38541649.774908</v>
      </c>
      <c r="C66" s="87">
        <f>SUM(C67:C75)</f>
        <v>38541649.774908</v>
      </c>
      <c r="D66" s="72">
        <f>E66+F66+G66</f>
        <v>0</v>
      </c>
      <c r="E66" s="87">
        <f>SUM(E67:E75)</f>
        <v>0</v>
      </c>
      <c r="F66" s="87">
        <f>SUM(F67:F75)</f>
        <v>0</v>
      </c>
      <c r="G66" s="87">
        <f>SUM(G67:G75)</f>
        <v>0</v>
      </c>
      <c r="H66" s="88">
        <f>D66/C66</f>
        <v>0</v>
      </c>
      <c r="I66" s="74" t="s">
        <v>70</v>
      </c>
      <c r="J66" s="74" t="s">
        <v>70</v>
      </c>
      <c r="K66" s="87">
        <f>SUM(L66:N66)</f>
        <v>985144.1900000001</v>
      </c>
      <c r="L66" s="87">
        <f>SUM(L67:L75)</f>
        <v>819448.04</v>
      </c>
      <c r="M66" s="87">
        <f>SUM(M67:M75)</f>
        <v>114177.89</v>
      </c>
      <c r="N66" s="87">
        <f>SUM(N67:N75)</f>
        <v>51518.26</v>
      </c>
      <c r="O66" s="89">
        <f aca="true" t="shared" si="12" ref="O66:O82">K66/C66</f>
        <v>0.025560509105174954</v>
      </c>
      <c r="P66" s="74" t="s">
        <v>70</v>
      </c>
      <c r="Q66" s="75" t="s">
        <v>70</v>
      </c>
    </row>
    <row r="67" spans="1:17" ht="18">
      <c r="A67" s="19" t="s">
        <v>20</v>
      </c>
      <c r="B67" s="76">
        <v>4835793.322056001</v>
      </c>
      <c r="C67" s="76">
        <v>4835793.322056001</v>
      </c>
      <c r="D67" s="76">
        <f>SUM(E67:G67)</f>
        <v>0</v>
      </c>
      <c r="E67" s="76">
        <v>0</v>
      </c>
      <c r="F67" s="76">
        <v>0</v>
      </c>
      <c r="G67" s="76">
        <v>0</v>
      </c>
      <c r="H67" s="77">
        <f>D67/C67</f>
        <v>0</v>
      </c>
      <c r="I67" s="76"/>
      <c r="J67" s="78"/>
      <c r="K67" s="90">
        <f>SUM(L67:N67)</f>
        <v>419639.64</v>
      </c>
      <c r="L67" s="76">
        <v>356693.67000000004</v>
      </c>
      <c r="M67" s="76">
        <v>62732.04</v>
      </c>
      <c r="N67" s="76">
        <v>213.92999999999998</v>
      </c>
      <c r="O67" s="77">
        <f t="shared" si="12"/>
        <v>0.08677782776323963</v>
      </c>
      <c r="P67" s="76"/>
      <c r="Q67" s="78"/>
    </row>
    <row r="68" spans="1:17" ht="18">
      <c r="A68" s="20" t="s">
        <v>8</v>
      </c>
      <c r="B68" s="79">
        <v>5002968.606732</v>
      </c>
      <c r="C68" s="79">
        <v>5002968.606732</v>
      </c>
      <c r="D68" s="79">
        <f>E68+F68+G68</f>
        <v>0</v>
      </c>
      <c r="E68" s="79">
        <f>0</f>
        <v>0</v>
      </c>
      <c r="F68" s="91">
        <f>0</f>
        <v>0</v>
      </c>
      <c r="G68" s="79">
        <f>0</f>
        <v>0</v>
      </c>
      <c r="H68" s="80">
        <f>D68/C68</f>
        <v>0</v>
      </c>
      <c r="I68" s="79"/>
      <c r="J68" s="81"/>
      <c r="K68" s="92">
        <f aca="true" t="shared" si="13" ref="K68:K75">SUM(L68:N68)</f>
        <v>38488.68</v>
      </c>
      <c r="L68" s="79">
        <f>27510.38+E68+5043</f>
        <v>32553.38</v>
      </c>
      <c r="M68" s="79">
        <f>4474.38+445</f>
        <v>4919.38</v>
      </c>
      <c r="N68" s="79">
        <f>570.92+445</f>
        <v>1015.92</v>
      </c>
      <c r="O68" s="80">
        <f t="shared" si="12"/>
        <v>0.007693168401698462</v>
      </c>
      <c r="P68" s="79"/>
      <c r="Q68" s="81"/>
    </row>
    <row r="69" spans="1:17" ht="18">
      <c r="A69" s="20" t="s">
        <v>32</v>
      </c>
      <c r="B69" s="79">
        <v>14255223.730224</v>
      </c>
      <c r="C69" s="79">
        <v>14255223.730223998</v>
      </c>
      <c r="D69" s="79">
        <v>0</v>
      </c>
      <c r="E69" s="79">
        <v>0</v>
      </c>
      <c r="F69" s="79">
        <v>0</v>
      </c>
      <c r="G69" s="79">
        <v>0</v>
      </c>
      <c r="H69" s="80">
        <f>D69/C69</f>
        <v>0</v>
      </c>
      <c r="I69" s="79"/>
      <c r="J69" s="81"/>
      <c r="K69" s="92">
        <f t="shared" si="13"/>
        <v>311538.55</v>
      </c>
      <c r="L69" s="93">
        <f>247540.55+464</f>
        <v>248004.55</v>
      </c>
      <c r="M69" s="93">
        <f>27798.04+82</f>
        <v>27880.04</v>
      </c>
      <c r="N69" s="93">
        <v>35653.96</v>
      </c>
      <c r="O69" s="80">
        <f t="shared" si="12"/>
        <v>0.021854343074214567</v>
      </c>
      <c r="P69" s="79"/>
      <c r="Q69" s="81"/>
    </row>
    <row r="70" spans="1:17" ht="18" customHeight="1">
      <c r="A70" s="20" t="s">
        <v>10</v>
      </c>
      <c r="B70" s="79">
        <v>3627709.08906</v>
      </c>
      <c r="C70" s="79">
        <v>3627709.08906</v>
      </c>
      <c r="D70" s="79">
        <f aca="true" t="shared" si="14" ref="D70:D75">SUM(E70:G70)</f>
        <v>0</v>
      </c>
      <c r="E70" s="79">
        <v>0</v>
      </c>
      <c r="F70" s="79">
        <v>0</v>
      </c>
      <c r="G70" s="79">
        <v>0</v>
      </c>
      <c r="H70" s="80">
        <f>D70/C70</f>
        <v>0</v>
      </c>
      <c r="I70" s="79"/>
      <c r="J70" s="81"/>
      <c r="K70" s="94">
        <f t="shared" si="13"/>
        <v>12725.41</v>
      </c>
      <c r="L70" s="79">
        <v>9796.48</v>
      </c>
      <c r="M70" s="79">
        <v>1220.64</v>
      </c>
      <c r="N70" s="79">
        <v>1708.2900000000002</v>
      </c>
      <c r="O70" s="80">
        <f t="shared" si="12"/>
        <v>0.003507836402421498</v>
      </c>
      <c r="P70" s="79"/>
      <c r="Q70" s="81"/>
    </row>
    <row r="71" spans="1:17" ht="18">
      <c r="A71" s="20" t="s">
        <v>21</v>
      </c>
      <c r="B71" s="79">
        <v>2180080.4379</v>
      </c>
      <c r="C71" s="79">
        <v>2180080.4379</v>
      </c>
      <c r="D71" s="79">
        <f t="shared" si="14"/>
        <v>0</v>
      </c>
      <c r="E71" s="79">
        <v>0</v>
      </c>
      <c r="F71" s="79">
        <v>0</v>
      </c>
      <c r="G71" s="79">
        <v>0</v>
      </c>
      <c r="H71" s="80">
        <v>0</v>
      </c>
      <c r="I71" s="79"/>
      <c r="J71" s="81"/>
      <c r="K71" s="94">
        <f t="shared" si="13"/>
        <v>27134.75</v>
      </c>
      <c r="L71" s="79">
        <v>23064.53</v>
      </c>
      <c r="M71" s="79">
        <v>4070.2200000000003</v>
      </c>
      <c r="N71" s="79">
        <v>0</v>
      </c>
      <c r="O71" s="80">
        <f t="shared" si="12"/>
        <v>0.012446673768669755</v>
      </c>
      <c r="P71" s="79"/>
      <c r="Q71" s="81"/>
    </row>
    <row r="72" spans="1:17" ht="18">
      <c r="A72" s="20" t="s">
        <v>17</v>
      </c>
      <c r="B72" s="79">
        <v>2076616.4442359998</v>
      </c>
      <c r="C72" s="79">
        <v>2076616.4442359998</v>
      </c>
      <c r="D72" s="79">
        <f t="shared" si="14"/>
        <v>0</v>
      </c>
      <c r="E72" s="79">
        <v>0</v>
      </c>
      <c r="F72" s="79">
        <v>0</v>
      </c>
      <c r="G72" s="79">
        <v>0</v>
      </c>
      <c r="H72" s="80">
        <f aca="true" t="shared" si="15" ref="H72:H82">D72/C72</f>
        <v>0</v>
      </c>
      <c r="I72" s="79"/>
      <c r="J72" s="81"/>
      <c r="K72" s="94">
        <f t="shared" si="13"/>
        <v>94597.85</v>
      </c>
      <c r="L72" s="79">
        <v>80408.17000000001</v>
      </c>
      <c r="M72" s="79">
        <v>1466.76</v>
      </c>
      <c r="N72" s="79">
        <v>12722.920000000002</v>
      </c>
      <c r="O72" s="80">
        <f t="shared" si="12"/>
        <v>0.045553838438760486</v>
      </c>
      <c r="P72" s="79"/>
      <c r="Q72" s="81"/>
    </row>
    <row r="73" spans="1:17" ht="18">
      <c r="A73" s="20" t="s">
        <v>9</v>
      </c>
      <c r="B73" s="79">
        <v>1146210.7744439999</v>
      </c>
      <c r="C73" s="79">
        <v>1146210.7744439999</v>
      </c>
      <c r="D73" s="79">
        <f t="shared" si="14"/>
        <v>0</v>
      </c>
      <c r="E73" s="79">
        <v>0</v>
      </c>
      <c r="F73" s="79">
        <v>0</v>
      </c>
      <c r="G73" s="79">
        <v>0</v>
      </c>
      <c r="H73" s="80">
        <f t="shared" si="15"/>
        <v>0</v>
      </c>
      <c r="I73" s="79"/>
      <c r="J73" s="81"/>
      <c r="K73" s="94">
        <f t="shared" si="13"/>
        <v>4823.23</v>
      </c>
      <c r="L73" s="79">
        <v>4099.75</v>
      </c>
      <c r="M73" s="79">
        <v>520.24</v>
      </c>
      <c r="N73" s="79">
        <v>203.24</v>
      </c>
      <c r="O73" s="80">
        <f t="shared" si="12"/>
        <v>0.004207978242343461</v>
      </c>
      <c r="P73" s="79"/>
      <c r="Q73" s="81"/>
    </row>
    <row r="74" spans="1:17" ht="18">
      <c r="A74" s="20" t="s">
        <v>22</v>
      </c>
      <c r="B74" s="79">
        <v>960770.316612</v>
      </c>
      <c r="C74" s="79">
        <v>960770.316612</v>
      </c>
      <c r="D74" s="79">
        <v>0</v>
      </c>
      <c r="E74" s="79">
        <v>0</v>
      </c>
      <c r="F74" s="79">
        <v>0</v>
      </c>
      <c r="G74" s="79">
        <v>0</v>
      </c>
      <c r="H74" s="80">
        <f t="shared" si="15"/>
        <v>0</v>
      </c>
      <c r="I74" s="79"/>
      <c r="J74" s="81"/>
      <c r="K74" s="94">
        <f t="shared" si="13"/>
        <v>37367.58</v>
      </c>
      <c r="L74" s="79">
        <f>31762.45</f>
        <v>31762.45</v>
      </c>
      <c r="M74" s="79">
        <f>5605.13</f>
        <v>5605.13</v>
      </c>
      <c r="N74" s="79">
        <v>0</v>
      </c>
      <c r="O74" s="80">
        <f t="shared" si="12"/>
        <v>0.0388933539618196</v>
      </c>
      <c r="P74" s="79"/>
      <c r="Q74" s="81"/>
    </row>
    <row r="75" spans="1:17" ht="20.25" customHeight="1" thickBot="1">
      <c r="A75" s="21" t="s">
        <v>53</v>
      </c>
      <c r="B75" s="83">
        <v>4456277.053644</v>
      </c>
      <c r="C75" s="83">
        <v>4456277.053644</v>
      </c>
      <c r="D75" s="83">
        <f t="shared" si="14"/>
        <v>0</v>
      </c>
      <c r="E75" s="83">
        <v>0</v>
      </c>
      <c r="F75" s="83">
        <v>0</v>
      </c>
      <c r="G75" s="83">
        <v>0</v>
      </c>
      <c r="H75" s="84">
        <f t="shared" si="15"/>
        <v>0</v>
      </c>
      <c r="I75" s="83"/>
      <c r="J75" s="86"/>
      <c r="K75" s="95">
        <f t="shared" si="13"/>
        <v>38828.499999999985</v>
      </c>
      <c r="L75" s="83">
        <v>33065.05999999998</v>
      </c>
      <c r="M75" s="83">
        <v>5763.440000000001</v>
      </c>
      <c r="N75" s="83">
        <v>0</v>
      </c>
      <c r="O75" s="84">
        <f t="shared" si="12"/>
        <v>0.008713214984748094</v>
      </c>
      <c r="P75" s="83"/>
      <c r="Q75" s="86"/>
    </row>
    <row r="76" spans="1:17" ht="106.5" customHeight="1" thickBot="1">
      <c r="A76" s="40" t="s">
        <v>57</v>
      </c>
      <c r="B76" s="72">
        <f>B77+B78+B81+B82</f>
        <v>13173424.89</v>
      </c>
      <c r="C76" s="72">
        <f>C77+C78+C81+C82</f>
        <v>13173424.89</v>
      </c>
      <c r="D76" s="72">
        <f>D81</f>
        <v>1800</v>
      </c>
      <c r="E76" s="72" t="str">
        <f>E81</f>
        <v>1 530</v>
      </c>
      <c r="F76" s="72">
        <f>F81</f>
        <v>270</v>
      </c>
      <c r="G76" s="72">
        <f>G77+G78+G81+G82</f>
        <v>0</v>
      </c>
      <c r="H76" s="73">
        <f t="shared" si="15"/>
        <v>0.00013663872645346673</v>
      </c>
      <c r="I76" s="74" t="s">
        <v>70</v>
      </c>
      <c r="J76" s="74" t="s">
        <v>70</v>
      </c>
      <c r="K76" s="72">
        <f>K82+K81+K78+K77</f>
        <v>69354.78</v>
      </c>
      <c r="L76" s="72">
        <f>L82+L81+L78+L77</f>
        <v>58947.65</v>
      </c>
      <c r="M76" s="72">
        <f>M82+M81+M78+M77</f>
        <v>5442.8099999999995</v>
      </c>
      <c r="N76" s="72">
        <f>N82</f>
        <v>4964.469999999999</v>
      </c>
      <c r="O76" s="73">
        <f t="shared" si="12"/>
        <v>0.005264749340366869</v>
      </c>
      <c r="P76" s="74" t="s">
        <v>70</v>
      </c>
      <c r="Q76" s="75" t="s">
        <v>70</v>
      </c>
    </row>
    <row r="77" spans="1:17" ht="19.5" customHeight="1">
      <c r="A77" s="22" t="s">
        <v>20</v>
      </c>
      <c r="B77" s="76">
        <v>1418557.59</v>
      </c>
      <c r="C77" s="76">
        <v>1418557.59</v>
      </c>
      <c r="D77" s="76">
        <v>0</v>
      </c>
      <c r="E77" s="76">
        <v>0</v>
      </c>
      <c r="F77" s="76">
        <v>0</v>
      </c>
      <c r="G77" s="76">
        <v>0</v>
      </c>
      <c r="H77" s="77">
        <f t="shared" si="15"/>
        <v>0</v>
      </c>
      <c r="I77" s="76"/>
      <c r="J77" s="76"/>
      <c r="K77" s="76">
        <v>25711.38</v>
      </c>
      <c r="L77" s="76">
        <v>21854.67</v>
      </c>
      <c r="M77" s="76">
        <v>3856.71</v>
      </c>
      <c r="N77" s="76">
        <v>0</v>
      </c>
      <c r="O77" s="77">
        <f t="shared" si="12"/>
        <v>0.01812501669389397</v>
      </c>
      <c r="P77" s="76"/>
      <c r="Q77" s="78"/>
    </row>
    <row r="78" spans="1:17" ht="18.75" customHeight="1">
      <c r="A78" s="23" t="s">
        <v>8</v>
      </c>
      <c r="B78" s="79">
        <v>395645.05</v>
      </c>
      <c r="C78" s="79">
        <v>395645.05</v>
      </c>
      <c r="D78" s="79">
        <v>0</v>
      </c>
      <c r="E78" s="79">
        <v>0</v>
      </c>
      <c r="F78" s="79">
        <v>0</v>
      </c>
      <c r="G78" s="79">
        <v>0</v>
      </c>
      <c r="H78" s="80">
        <f t="shared" si="15"/>
        <v>0</v>
      </c>
      <c r="I78" s="79"/>
      <c r="J78" s="79"/>
      <c r="K78" s="79">
        <v>5358.38</v>
      </c>
      <c r="L78" s="79">
        <v>4554.63</v>
      </c>
      <c r="M78" s="79">
        <v>803.75</v>
      </c>
      <c r="N78" s="79">
        <v>0</v>
      </c>
      <c r="O78" s="80">
        <f t="shared" si="12"/>
        <v>0.013543402097410293</v>
      </c>
      <c r="P78" s="79"/>
      <c r="Q78" s="81"/>
    </row>
    <row r="79" spans="1:17" ht="15" customHeight="1" hidden="1">
      <c r="A79" s="23" t="s">
        <v>32</v>
      </c>
      <c r="B79" s="79">
        <v>8383496</v>
      </c>
      <c r="C79" s="79">
        <v>8383496</v>
      </c>
      <c r="D79" s="79">
        <v>3812.69</v>
      </c>
      <c r="E79" s="79">
        <v>3240.79</v>
      </c>
      <c r="F79" s="79">
        <v>0</v>
      </c>
      <c r="G79" s="79">
        <v>571.9</v>
      </c>
      <c r="H79" s="80">
        <f t="shared" si="15"/>
        <v>0.0004547852113247266</v>
      </c>
      <c r="I79" s="79"/>
      <c r="J79" s="79"/>
      <c r="K79" s="79">
        <v>3859.35</v>
      </c>
      <c r="L79" s="79">
        <v>3276.53</v>
      </c>
      <c r="M79" s="79">
        <v>6.35</v>
      </c>
      <c r="N79" s="79">
        <v>576.47</v>
      </c>
      <c r="O79" s="80">
        <f t="shared" si="12"/>
        <v>0.00046035090849927044</v>
      </c>
      <c r="P79" s="79"/>
      <c r="Q79" s="81"/>
    </row>
    <row r="80" spans="1:17" ht="18.75" customHeight="1" hidden="1">
      <c r="A80" s="23" t="s">
        <v>28</v>
      </c>
      <c r="B80" s="79">
        <v>104967</v>
      </c>
      <c r="C80" s="79">
        <v>104967</v>
      </c>
      <c r="D80" s="79">
        <v>0</v>
      </c>
      <c r="E80" s="79">
        <v>0</v>
      </c>
      <c r="F80" s="79">
        <v>0</v>
      </c>
      <c r="G80" s="79">
        <v>0</v>
      </c>
      <c r="H80" s="80">
        <f t="shared" si="15"/>
        <v>0</v>
      </c>
      <c r="I80" s="79"/>
      <c r="J80" s="79"/>
      <c r="K80" s="79">
        <v>0</v>
      </c>
      <c r="L80" s="79">
        <v>0</v>
      </c>
      <c r="M80" s="79">
        <v>0</v>
      </c>
      <c r="N80" s="79">
        <v>0</v>
      </c>
      <c r="O80" s="80">
        <f t="shared" si="12"/>
        <v>0</v>
      </c>
      <c r="P80" s="79"/>
      <c r="Q80" s="81"/>
    </row>
    <row r="81" spans="1:17" ht="19.5" customHeight="1">
      <c r="A81" s="23" t="s">
        <v>53</v>
      </c>
      <c r="B81" s="79">
        <v>1677204.31</v>
      </c>
      <c r="C81" s="79">
        <v>1677204.31</v>
      </c>
      <c r="D81" s="79">
        <v>1800</v>
      </c>
      <c r="E81" s="82" t="s">
        <v>69</v>
      </c>
      <c r="F81" s="79">
        <v>270</v>
      </c>
      <c r="G81" s="79">
        <v>0</v>
      </c>
      <c r="H81" s="80">
        <f t="shared" si="15"/>
        <v>0.0010732145089705856</v>
      </c>
      <c r="I81" s="79"/>
      <c r="J81" s="79"/>
      <c r="K81" s="79">
        <f>3375.67+1800</f>
        <v>5175.67</v>
      </c>
      <c r="L81" s="79">
        <f>2869.32+1530</f>
        <v>4399.32</v>
      </c>
      <c r="M81" s="79">
        <f>506+270</f>
        <v>776</v>
      </c>
      <c r="N81" s="79">
        <v>0</v>
      </c>
      <c r="O81" s="80">
        <f t="shared" si="12"/>
        <v>0.003085891187579884</v>
      </c>
      <c r="P81" s="79"/>
      <c r="Q81" s="81"/>
    </row>
    <row r="82" spans="1:17" ht="18.75" customHeight="1" thickBot="1">
      <c r="A82" s="21" t="s">
        <v>32</v>
      </c>
      <c r="B82" s="83">
        <f>9570109.94+111908</f>
        <v>9682017.94</v>
      </c>
      <c r="C82" s="83">
        <f>B82</f>
        <v>9682017.94</v>
      </c>
      <c r="D82" s="83">
        <v>0</v>
      </c>
      <c r="E82" s="83">
        <v>0</v>
      </c>
      <c r="F82" s="83">
        <v>0</v>
      </c>
      <c r="G82" s="83">
        <v>0</v>
      </c>
      <c r="H82" s="84">
        <f t="shared" si="15"/>
        <v>0</v>
      </c>
      <c r="I82" s="83"/>
      <c r="J82" s="83"/>
      <c r="K82" s="85">
        <f>33062.69+46.66</f>
        <v>33109.350000000006</v>
      </c>
      <c r="L82" s="83">
        <f>28103.29+35.74</f>
        <v>28139.030000000002</v>
      </c>
      <c r="M82" s="83">
        <f>6.35</f>
        <v>6.35</v>
      </c>
      <c r="N82" s="83">
        <f>4959.9+4.57</f>
        <v>4964.469999999999</v>
      </c>
      <c r="O82" s="84">
        <f t="shared" si="12"/>
        <v>0.0034196745146704414</v>
      </c>
      <c r="P82" s="83"/>
      <c r="Q82" s="86"/>
    </row>
    <row r="83" spans="1:17" ht="27" customHeight="1">
      <c r="A83" s="11" t="s">
        <v>63</v>
      </c>
      <c r="C83" s="7"/>
      <c r="D83" s="8"/>
      <c r="E83" s="8"/>
      <c r="F83" s="8"/>
      <c r="G83" s="8"/>
      <c r="H83" s="8"/>
      <c r="J83" s="13"/>
      <c r="L83" s="25"/>
      <c r="M83" s="13"/>
      <c r="N83" s="13"/>
      <c r="O83" s="6"/>
      <c r="P83" s="13"/>
      <c r="Q83" s="13"/>
    </row>
    <row r="84" spans="1:15" ht="15">
      <c r="A84" s="11" t="s">
        <v>64</v>
      </c>
      <c r="B84" s="10"/>
      <c r="C84" s="10"/>
      <c r="H84" s="6"/>
      <c r="I84" s="8"/>
      <c r="N84" s="7"/>
      <c r="O84" s="6"/>
    </row>
    <row r="85" spans="1:15" ht="24.75">
      <c r="A85" s="11" t="s">
        <v>71</v>
      </c>
      <c r="B85" s="10"/>
      <c r="C85" s="10"/>
      <c r="H85" s="6"/>
      <c r="L85" s="24"/>
      <c r="M85" s="24"/>
      <c r="N85" s="24"/>
      <c r="O85" s="24"/>
    </row>
    <row r="86" spans="2:16" ht="37.5">
      <c r="B86" s="10"/>
      <c r="C86" s="10"/>
      <c r="H86" s="6"/>
      <c r="K86" s="101" t="s">
        <v>58</v>
      </c>
      <c r="L86" s="101"/>
      <c r="M86" s="101"/>
      <c r="N86" s="101"/>
      <c r="O86" s="101"/>
      <c r="P86" s="101" t="s">
        <v>59</v>
      </c>
    </row>
    <row r="87" spans="2:3" ht="15">
      <c r="B87" s="10"/>
      <c r="C87" s="27"/>
    </row>
    <row r="89" ht="21">
      <c r="A89" s="16" t="s">
        <v>72</v>
      </c>
    </row>
    <row r="90" ht="21">
      <c r="A90" s="12" t="s">
        <v>73</v>
      </c>
    </row>
    <row r="91" ht="21">
      <c r="A91" s="12" t="s">
        <v>74</v>
      </c>
    </row>
  </sheetData>
  <sheetProtection/>
  <mergeCells count="6">
    <mergeCell ref="A6:Q6"/>
    <mergeCell ref="A9:A10"/>
    <mergeCell ref="B9:B10"/>
    <mergeCell ref="D9:J9"/>
    <mergeCell ref="C9:C10"/>
    <mergeCell ref="K9:Q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2"/>
  <headerFooter>
    <oddHeader>&amp;C&amp;P</oddHeader>
    <oddFooter>&amp;L&amp;F; Informācija par neatbilstībām un neatbilstoši veiktiem izdevumiem un atgūtiem neatbilstoši veiktiem izdevumiem uz 2012.gada 31.decembri, latos</oddFooter>
  </headerFooter>
  <rowBreaks count="1" manualBreakCount="1">
    <brk id="50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I31" sqref="I31"/>
    </sheetView>
  </sheetViews>
  <sheetFormatPr defaultColWidth="9.140625" defaultRowHeight="15"/>
  <cols>
    <col min="2" max="2" width="21.00390625" style="0" customWidth="1"/>
    <col min="3" max="3" width="17.421875" style="0" customWidth="1"/>
  </cols>
  <sheetData>
    <row r="2" spans="2:5" ht="14.25">
      <c r="B2" t="s">
        <v>46</v>
      </c>
      <c r="C2" t="s">
        <v>47</v>
      </c>
      <c r="E2" s="4">
        <v>0.7098</v>
      </c>
    </row>
    <row r="3" spans="1:3" ht="14.25">
      <c r="A3" t="s">
        <v>43</v>
      </c>
      <c r="B3">
        <v>23756.1</v>
      </c>
      <c r="C3">
        <v>351823.2800000002</v>
      </c>
    </row>
    <row r="4" spans="1:3" ht="14.25">
      <c r="A4" t="s">
        <v>44</v>
      </c>
      <c r="B4">
        <v>26133.069999999996</v>
      </c>
      <c r="C4">
        <v>665233.5299999998</v>
      </c>
    </row>
    <row r="5" spans="1:3" ht="14.25">
      <c r="A5" t="s">
        <v>45</v>
      </c>
      <c r="B5">
        <v>636318.16</v>
      </c>
      <c r="C5">
        <v>4970592.339999999</v>
      </c>
    </row>
    <row r="6" spans="1:3" ht="14.25">
      <c r="A6" t="s">
        <v>48</v>
      </c>
      <c r="B6">
        <v>686207.33</v>
      </c>
      <c r="C6">
        <v>5987649.149999999</v>
      </c>
    </row>
    <row r="7" spans="2:3" ht="14.25">
      <c r="B7">
        <v>1027627.04</v>
      </c>
      <c r="C7">
        <v>5727726.68</v>
      </c>
    </row>
    <row r="8" spans="2:3" ht="14.25">
      <c r="B8" s="5">
        <f>B5/B7</f>
        <v>0.6192111877476483</v>
      </c>
      <c r="C8" s="5">
        <f>C5/C7</f>
        <v>0.8678124180324888</v>
      </c>
    </row>
    <row r="12" spans="1:2" ht="14.25">
      <c r="A12" s="2">
        <v>18546.37</v>
      </c>
      <c r="B12" s="3">
        <v>4362281.079999999</v>
      </c>
    </row>
    <row r="13" spans="1:2" ht="14.25">
      <c r="A13" s="2">
        <v>617771.79</v>
      </c>
      <c r="B13" s="3">
        <v>608311.2600000001</v>
      </c>
    </row>
    <row r="14" spans="1:2" ht="14.25">
      <c r="A14" s="2">
        <f>SUM(A12:A13)</f>
        <v>636318.16</v>
      </c>
      <c r="B14" s="2">
        <f>SUM(B12:B13)</f>
        <v>4970592.339999999</v>
      </c>
    </row>
    <row r="16" spans="2:3" ht="14.25">
      <c r="B16" t="s">
        <v>46</v>
      </c>
      <c r="C16" t="s">
        <v>47</v>
      </c>
    </row>
    <row r="17" spans="1:3" ht="14.25">
      <c r="A17" t="s">
        <v>43</v>
      </c>
      <c r="B17">
        <f aca="true" t="shared" si="0" ref="B17:C20">B3/$E$2</f>
        <v>33468.7235841082</v>
      </c>
      <c r="C17">
        <f t="shared" si="0"/>
        <v>495665.3705269093</v>
      </c>
    </row>
    <row r="18" spans="1:3" ht="14.25">
      <c r="A18" t="s">
        <v>44</v>
      </c>
      <c r="B18" s="1">
        <f t="shared" si="0"/>
        <v>36817.51197520428</v>
      </c>
      <c r="C18" s="1">
        <f t="shared" si="0"/>
        <v>937212.6373626371</v>
      </c>
    </row>
    <row r="19" spans="1:3" ht="14.25">
      <c r="A19" t="s">
        <v>45</v>
      </c>
      <c r="B19" s="1">
        <f t="shared" si="0"/>
        <v>896475.2888137504</v>
      </c>
      <c r="C19" s="1">
        <f t="shared" si="0"/>
        <v>7002806.903353056</v>
      </c>
    </row>
    <row r="20" spans="1:3" ht="14.25">
      <c r="A20" t="s">
        <v>48</v>
      </c>
      <c r="B20" s="1">
        <f t="shared" si="0"/>
        <v>966761.5243730628</v>
      </c>
      <c r="C20" s="1">
        <f t="shared" si="0"/>
        <v>8435684.911242602</v>
      </c>
    </row>
    <row r="22" ht="14.25">
      <c r="A22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5.pielikums</dc:title>
  <dc:subject>Informācija par neatbilstībām un neatbilstoši veiktiem izdevumiem un atgūtiem neatbilstoši veiktiem izdevumiem uz 2012.gada 31.decembri, latos (neieskaitot maksātnespējas gadījumus) </dc:subject>
  <dc:creator>anna.pukse@fm.gov.lv</dc:creator>
  <cp:keywords/>
  <dc:description>Anna Pukse
LR Finanšu ministrijas
Eiropas Savienības fondu vadības sistēmas departamenta
Ieviešanas sistēmas nodaļas
vecākā eksperte 
Tālr.: 67083930; fakss 67095697
Anna.Pukse@fm.gov.lv</dc:description>
  <cp:lastModifiedBy>Anna Pukse FM ESFVSD ISN</cp:lastModifiedBy>
  <cp:lastPrinted>2013-02-19T07:46:36Z</cp:lastPrinted>
  <dcterms:created xsi:type="dcterms:W3CDTF">2010-10-05T14:48:30Z</dcterms:created>
  <dcterms:modified xsi:type="dcterms:W3CDTF">2013-02-27T15:16:18Z</dcterms:modified>
  <cp:category/>
  <cp:version/>
  <cp:contentType/>
  <cp:contentStatus/>
</cp:coreProperties>
</file>