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comments18.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comments3.xml" ContentType="application/vnd.openxmlformats-officedocument.spreadsheetml.comments+xml"/>
  <Override PartName="/xl/comments1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75" yWindow="-210" windowWidth="19155" windowHeight="11790" tabRatio="900" firstSheet="36" activeTab="45"/>
  </bookViews>
  <sheets>
    <sheet name="Plāni" sheetId="50" r:id="rId1"/>
    <sheet name="08_001_IeMIC" sheetId="1" r:id="rId2"/>
    <sheet name="08_004_EM" sheetId="4" r:id="rId3"/>
    <sheet name="08_005_VRAA" sheetId="5" r:id="rId4"/>
    <sheet name="08_006_VZD" sheetId="6" r:id="rId5"/>
    <sheet name="08_007_VRAA" sheetId="7" r:id="rId6"/>
    <sheet name="08_008_VDEAVK" sheetId="8" r:id="rId7"/>
    <sheet name="08_009_VVD" sheetId="9" r:id="rId8"/>
    <sheet name="08_010_LNB" sheetId="10" r:id="rId9"/>
    <sheet name="08_011_CAA" sheetId="11" r:id="rId10"/>
    <sheet name="08_013_VP" sheetId="12" r:id="rId11"/>
    <sheet name="08_014_ZM" sheetId="13" r:id="rId12"/>
    <sheet name="08_015_KIS" sheetId="14" r:id="rId13"/>
    <sheet name="08_016_KIS" sheetId="15" r:id="rId14"/>
    <sheet name="08_017_VRAA" sheetId="16" r:id="rId15"/>
    <sheet name="09_001_UGFA" sheetId="17" r:id="rId16"/>
    <sheet name="09_002_VRAA" sheetId="18" r:id="rId17"/>
    <sheet name="09_003_NVD" sheetId="19" r:id="rId18"/>
    <sheet name="09_004_AM" sheetId="20" r:id="rId19"/>
    <sheet name="09_005_VRAA" sheetId="21" r:id="rId20"/>
    <sheet name="09_006_VI" sheetId="22" r:id="rId21"/>
    <sheet name="09_007_VRAA" sheetId="23" r:id="rId22"/>
    <sheet name="09_008_LGIA" sheetId="24" r:id="rId23"/>
    <sheet name="09_009_VRAA" sheetId="25" r:id="rId24"/>
    <sheet name="09_010_TM" sheetId="26" r:id="rId25"/>
    <sheet name="09_011_VDI" sheetId="27" r:id="rId26"/>
    <sheet name="09_012_VUGD" sheetId="28" r:id="rId27"/>
    <sheet name="09_013_DAP" sheetId="29" r:id="rId28"/>
    <sheet name="09_014_ZM" sheetId="30" r:id="rId29"/>
    <sheet name="09_015_NVD" sheetId="31" r:id="rId30"/>
    <sheet name="09_016_LNB" sheetId="32" r:id="rId31"/>
    <sheet name="09_018_VRAA" sheetId="33" r:id="rId32"/>
    <sheet name="09_019_NVD" sheetId="34" r:id="rId33"/>
    <sheet name="09_021_KIS" sheetId="36" r:id="rId34"/>
    <sheet name="09_022_TA" sheetId="37" r:id="rId35"/>
    <sheet name="09_023_LM" sheetId="38" r:id="rId36"/>
    <sheet name="09_024_VRS" sheetId="39" r:id="rId37"/>
    <sheet name="09_025_LVGMA" sheetId="40" r:id="rId38"/>
    <sheet name="09_026_VSAA" sheetId="41" r:id="rId39"/>
    <sheet name="10_001_VID" sheetId="46" r:id="rId40"/>
    <sheet name="10_001_VK" sheetId="42" r:id="rId41"/>
    <sheet name="10_002_UR" sheetId="43" r:id="rId42"/>
    <sheet name="11_001_VID" sheetId="45" r:id="rId43"/>
    <sheet name="11_002_PMLP" sheetId="47" r:id="rId44"/>
    <sheet name="11_003_SM" sheetId="48" r:id="rId45"/>
    <sheet name="12_001_LM" sheetId="49" r:id="rId46"/>
  </sheets>
  <externalReferences>
    <externalReference r:id="rId47"/>
    <externalReference r:id="rId48"/>
  </externalReferences>
  <calcPr calcId="125725"/>
</workbook>
</file>

<file path=xl/calcChain.xml><?xml version="1.0" encoding="utf-8"?>
<calcChain xmlns="http://schemas.openxmlformats.org/spreadsheetml/2006/main">
  <c r="X32" i="49"/>
  <c r="P32"/>
  <c r="N32"/>
  <c r="R32" s="1"/>
  <c r="V32" s="1"/>
  <c r="Z32" s="1"/>
  <c r="I32"/>
  <c r="M32" s="1"/>
  <c r="Q32" s="1"/>
  <c r="U32" s="1"/>
  <c r="Y32" s="1"/>
  <c r="G32"/>
  <c r="K32" s="1"/>
  <c r="O32" s="1"/>
  <c r="S32" s="1"/>
  <c r="W32" s="1"/>
  <c r="X31"/>
  <c r="P31"/>
  <c r="N31"/>
  <c r="R31" s="1"/>
  <c r="V31" s="1"/>
  <c r="Z31" s="1"/>
  <c r="I31"/>
  <c r="M31" s="1"/>
  <c r="Q31" s="1"/>
  <c r="U31" s="1"/>
  <c r="Y31" s="1"/>
  <c r="G31"/>
  <c r="K31" s="1"/>
  <c r="O31" s="1"/>
  <c r="S31" s="1"/>
  <c r="W31" s="1"/>
  <c r="AA24"/>
  <c r="N24"/>
  <c r="R24" s="1"/>
  <c r="M24"/>
  <c r="L24"/>
  <c r="I24"/>
  <c r="H24"/>
  <c r="G24"/>
  <c r="F24"/>
  <c r="AA23"/>
  <c r="R23"/>
  <c r="V23" s="1"/>
  <c r="P23"/>
  <c r="N23"/>
  <c r="M23"/>
  <c r="L23"/>
  <c r="I23"/>
  <c r="H23"/>
  <c r="G23"/>
  <c r="F23"/>
  <c r="AA22"/>
  <c r="R22"/>
  <c r="V22" s="1"/>
  <c r="P22"/>
  <c r="N22"/>
  <c r="M22"/>
  <c r="L22"/>
  <c r="I22"/>
  <c r="H22"/>
  <c r="G22"/>
  <c r="F22"/>
  <c r="AA21"/>
  <c r="R21"/>
  <c r="V21" s="1"/>
  <c r="P21"/>
  <c r="N21"/>
  <c r="M21"/>
  <c r="L21"/>
  <c r="I21"/>
  <c r="H21"/>
  <c r="G21"/>
  <c r="F21"/>
  <c r="AA20"/>
  <c r="R20"/>
  <c r="V20" s="1"/>
  <c r="P20"/>
  <c r="N20"/>
  <c r="M20"/>
  <c r="L20"/>
  <c r="I20"/>
  <c r="H20"/>
  <c r="G20"/>
  <c r="F20"/>
  <c r="AA19"/>
  <c r="R19"/>
  <c r="V19" s="1"/>
  <c r="P19"/>
  <c r="N19"/>
  <c r="M19"/>
  <c r="L19"/>
  <c r="I19"/>
  <c r="H19"/>
  <c r="G19"/>
  <c r="F19"/>
  <c r="AA18"/>
  <c r="R18"/>
  <c r="V18" s="1"/>
  <c r="P18"/>
  <c r="N18"/>
  <c r="M18"/>
  <c r="L18"/>
  <c r="I18"/>
  <c r="H18"/>
  <c r="G18"/>
  <c r="F18"/>
  <c r="AA17"/>
  <c r="R17"/>
  <c r="V17" s="1"/>
  <c r="P17"/>
  <c r="N17"/>
  <c r="M17"/>
  <c r="L17"/>
  <c r="I17"/>
  <c r="H17"/>
  <c r="G17"/>
  <c r="F17"/>
  <c r="AA16"/>
  <c r="R16"/>
  <c r="V16" s="1"/>
  <c r="P16"/>
  <c r="N16"/>
  <c r="M16"/>
  <c r="L16"/>
  <c r="I16"/>
  <c r="H16"/>
  <c r="G16"/>
  <c r="F16"/>
  <c r="AA15"/>
  <c r="N15"/>
  <c r="R15" s="1"/>
  <c r="L15"/>
  <c r="I15"/>
  <c r="H15"/>
  <c r="G15"/>
  <c r="F15"/>
  <c r="AA14"/>
  <c r="R14"/>
  <c r="V14" s="1"/>
  <c r="P14"/>
  <c r="N14"/>
  <c r="M14"/>
  <c r="L14"/>
  <c r="I14"/>
  <c r="H14"/>
  <c r="G14"/>
  <c r="F14"/>
  <c r="AA13"/>
  <c r="R13"/>
  <c r="V13" s="1"/>
  <c r="P13"/>
  <c r="N13"/>
  <c r="M13"/>
  <c r="L13"/>
  <c r="I13"/>
  <c r="H13"/>
  <c r="G13"/>
  <c r="F13"/>
  <c r="AA12"/>
  <c r="R12"/>
  <c r="V12" s="1"/>
  <c r="P12"/>
  <c r="N12"/>
  <c r="M12"/>
  <c r="L12"/>
  <c r="I12"/>
  <c r="H12"/>
  <c r="G12"/>
  <c r="F12"/>
  <c r="AA11"/>
  <c r="R11"/>
  <c r="V11" s="1"/>
  <c r="P11"/>
  <c r="N11"/>
  <c r="M11"/>
  <c r="L11"/>
  <c r="I11"/>
  <c r="H11"/>
  <c r="G11"/>
  <c r="F11"/>
  <c r="AA10"/>
  <c r="N10"/>
  <c r="R10" s="1"/>
  <c r="M10"/>
  <c r="L10"/>
  <c r="I10"/>
  <c r="H10"/>
  <c r="G10"/>
  <c r="F10"/>
  <c r="AA9"/>
  <c r="N9"/>
  <c r="R9" s="1"/>
  <c r="M9"/>
  <c r="L9"/>
  <c r="I9"/>
  <c r="H9"/>
  <c r="G9"/>
  <c r="F9"/>
  <c r="AA8"/>
  <c r="N8"/>
  <c r="R8" s="1"/>
  <c r="M8"/>
  <c r="L8"/>
  <c r="I8"/>
  <c r="H8"/>
  <c r="G8"/>
  <c r="F8"/>
  <c r="AA7"/>
  <c r="R7"/>
  <c r="V7" s="1"/>
  <c r="P7"/>
  <c r="N7"/>
  <c r="M7"/>
  <c r="L7"/>
  <c r="I7"/>
  <c r="H7"/>
  <c r="G7"/>
  <c r="F7"/>
  <c r="AA6"/>
  <c r="AA25" s="1"/>
  <c r="R6"/>
  <c r="V6" s="1"/>
  <c r="P6"/>
  <c r="N6"/>
  <c r="M6"/>
  <c r="L6"/>
  <c r="I6"/>
  <c r="H6"/>
  <c r="G6"/>
  <c r="F6"/>
  <c r="AB16" i="48"/>
  <c r="AA16"/>
  <c r="AB15"/>
  <c r="AB17" s="1"/>
  <c r="AA15"/>
  <c r="AA17" s="1"/>
  <c r="AB8"/>
  <c r="AA8"/>
  <c r="AB7"/>
  <c r="AA7"/>
  <c r="AB6"/>
  <c r="AB9" s="1"/>
  <c r="AA6"/>
  <c r="AA9" s="1"/>
  <c r="AB8" i="47"/>
  <c r="AB9" s="1"/>
  <c r="AA8"/>
  <c r="AA9" s="1"/>
  <c r="AB15" i="45"/>
  <c r="AB16" s="1"/>
  <c r="AA15"/>
  <c r="AA16" s="1"/>
  <c r="AB8"/>
  <c r="AA8"/>
  <c r="AB7"/>
  <c r="AB9" s="1"/>
  <c r="AA7"/>
  <c r="AA9" s="1"/>
  <c r="T6" i="49" l="1"/>
  <c r="Z6"/>
  <c r="U6"/>
  <c r="T7"/>
  <c r="Z7"/>
  <c r="U7"/>
  <c r="V8"/>
  <c r="Q8"/>
  <c r="P8"/>
  <c r="V9"/>
  <c r="Q9"/>
  <c r="P9"/>
  <c r="V10"/>
  <c r="Q10"/>
  <c r="P10"/>
  <c r="T11"/>
  <c r="Z11"/>
  <c r="U11"/>
  <c r="T12"/>
  <c r="Z12"/>
  <c r="U12"/>
  <c r="T13"/>
  <c r="Z13"/>
  <c r="U13"/>
  <c r="T14"/>
  <c r="Z14"/>
  <c r="U14"/>
  <c r="AA32"/>
  <c r="AB32"/>
  <c r="V15"/>
  <c r="Q15"/>
  <c r="P15"/>
  <c r="T16"/>
  <c r="Z16"/>
  <c r="U16"/>
  <c r="T17"/>
  <c r="Z17"/>
  <c r="U17"/>
  <c r="T18"/>
  <c r="Z18"/>
  <c r="U18"/>
  <c r="T19"/>
  <c r="Z19"/>
  <c r="U19"/>
  <c r="T20"/>
  <c r="Z20"/>
  <c r="U20"/>
  <c r="T21"/>
  <c r="Z21"/>
  <c r="U21"/>
  <c r="T22"/>
  <c r="Z22"/>
  <c r="U22"/>
  <c r="T23"/>
  <c r="Z23"/>
  <c r="U23"/>
  <c r="V24"/>
  <c r="Q24"/>
  <c r="P24"/>
  <c r="AA31"/>
  <c r="AA33" s="1"/>
  <c r="AB31"/>
  <c r="AB33" s="1"/>
  <c r="M15"/>
  <c r="Q6"/>
  <c r="Q7"/>
  <c r="Q11"/>
  <c r="Q12"/>
  <c r="Q13"/>
  <c r="Q14"/>
  <c r="Q16"/>
  <c r="Q17"/>
  <c r="Q18"/>
  <c r="Q19"/>
  <c r="Q20"/>
  <c r="Q21"/>
  <c r="Q22"/>
  <c r="Q23"/>
  <c r="AB17" i="43"/>
  <c r="AA17"/>
  <c r="AB16"/>
  <c r="AA16"/>
  <c r="AB15"/>
  <c r="AA15"/>
  <c r="AB14"/>
  <c r="AB18" s="1"/>
  <c r="AA14"/>
  <c r="AA18" s="1"/>
  <c r="AB7"/>
  <c r="AA7"/>
  <c r="AB6"/>
  <c r="AB8" s="1"/>
  <c r="AA6"/>
  <c r="AA8" s="1"/>
  <c r="T24" i="49" l="1"/>
  <c r="Z24"/>
  <c r="U24"/>
  <c r="Y23"/>
  <c r="X23"/>
  <c r="AB23" s="1"/>
  <c r="Y21"/>
  <c r="X21"/>
  <c r="AB21" s="1"/>
  <c r="Y19"/>
  <c r="X19"/>
  <c r="AB19" s="1"/>
  <c r="Y17"/>
  <c r="X17"/>
  <c r="AB17" s="1"/>
  <c r="Y13"/>
  <c r="X13"/>
  <c r="AB13" s="1"/>
  <c r="Y11"/>
  <c r="X11"/>
  <c r="AB11" s="1"/>
  <c r="T10"/>
  <c r="Z10"/>
  <c r="U10"/>
  <c r="T8"/>
  <c r="Z8"/>
  <c r="U8"/>
  <c r="Y7"/>
  <c r="X7"/>
  <c r="AB7" s="1"/>
  <c r="Y22"/>
  <c r="X22"/>
  <c r="AB22" s="1"/>
  <c r="Y20"/>
  <c r="X20"/>
  <c r="AB20" s="1"/>
  <c r="Y18"/>
  <c r="X18"/>
  <c r="AB18" s="1"/>
  <c r="Y16"/>
  <c r="X16"/>
  <c r="AB16" s="1"/>
  <c r="T15"/>
  <c r="Z15"/>
  <c r="U15"/>
  <c r="Y14"/>
  <c r="X14"/>
  <c r="AB14" s="1"/>
  <c r="Y12"/>
  <c r="X12"/>
  <c r="AB12" s="1"/>
  <c r="T9"/>
  <c r="Z9"/>
  <c r="U9"/>
  <c r="Y6"/>
  <c r="X6"/>
  <c r="AB6" s="1"/>
  <c r="AB16" i="42"/>
  <c r="AA16"/>
  <c r="AB15"/>
  <c r="AA15"/>
  <c r="Y15"/>
  <c r="U15"/>
  <c r="Q15"/>
  <c r="M15"/>
  <c r="I15"/>
  <c r="AB14"/>
  <c r="AB17" s="1"/>
  <c r="AA14"/>
  <c r="AA17" s="1"/>
  <c r="AB8"/>
  <c r="AA8"/>
  <c r="H8"/>
  <c r="AB7"/>
  <c r="AA7"/>
  <c r="Y7"/>
  <c r="U7"/>
  <c r="Q7"/>
  <c r="M7"/>
  <c r="I7"/>
  <c r="AB6"/>
  <c r="AB9" s="1"/>
  <c r="AA6"/>
  <c r="AA9" s="1"/>
  <c r="Y15" i="49" l="1"/>
  <c r="X15"/>
  <c r="AB15" s="1"/>
  <c r="Y10"/>
  <c r="X10"/>
  <c r="AB10" s="1"/>
  <c r="Y9"/>
  <c r="X9"/>
  <c r="AB9" s="1"/>
  <c r="Y8"/>
  <c r="X8"/>
  <c r="AB8" s="1"/>
  <c r="AB25" s="1"/>
  <c r="Y24"/>
  <c r="X24"/>
  <c r="AB24" s="1"/>
  <c r="AB21" i="46"/>
  <c r="AA21"/>
  <c r="AB20"/>
  <c r="AA20"/>
  <c r="AB19"/>
  <c r="AA19"/>
  <c r="AB18"/>
  <c r="AA18"/>
  <c r="AB17"/>
  <c r="AA17"/>
  <c r="AB16"/>
  <c r="AA16"/>
  <c r="AB15"/>
  <c r="AB22" s="1"/>
  <c r="AA15"/>
  <c r="AA22" s="1"/>
  <c r="AB8"/>
  <c r="AA8"/>
  <c r="AB7"/>
  <c r="AB9" s="1"/>
  <c r="AA7"/>
  <c r="AA9" s="1"/>
  <c r="AF27" i="31" l="1"/>
  <c r="AE27"/>
  <c r="AB13" i="20"/>
  <c r="AA13"/>
  <c r="AB12"/>
  <c r="AA12"/>
  <c r="AC20" i="19"/>
  <c r="AB20"/>
  <c r="AB6" i="12"/>
  <c r="AA6"/>
  <c r="Z14" i="41"/>
  <c r="W14"/>
  <c r="X14" s="1"/>
  <c r="V14"/>
  <c r="T14"/>
  <c r="S14"/>
  <c r="R14"/>
  <c r="O14"/>
  <c r="P14" s="1"/>
  <c r="N14"/>
  <c r="K14"/>
  <c r="L14" s="1"/>
  <c r="J14"/>
  <c r="G14"/>
  <c r="H14" s="1"/>
  <c r="F14"/>
  <c r="D14"/>
  <c r="C14"/>
  <c r="AA14" s="1"/>
  <c r="AA15" s="1"/>
  <c r="AB6"/>
  <c r="AB7" s="1"/>
  <c r="AA6"/>
  <c r="AA7" s="1"/>
  <c r="AB24" i="40"/>
  <c r="AA24"/>
  <c r="AB23"/>
  <c r="AA23"/>
  <c r="AB22"/>
  <c r="AA22"/>
  <c r="AB21"/>
  <c r="AA21"/>
  <c r="AB20"/>
  <c r="AA20"/>
  <c r="AB19"/>
  <c r="AA19"/>
  <c r="AB18"/>
  <c r="AB25" s="1"/>
  <c r="AA18"/>
  <c r="AA25" s="1"/>
  <c r="AB11"/>
  <c r="AA11"/>
  <c r="AB10"/>
  <c r="AA10"/>
  <c r="AB9"/>
  <c r="AA9"/>
  <c r="AB8"/>
  <c r="AA8"/>
  <c r="AB7"/>
  <c r="AA7"/>
  <c r="AB6"/>
  <c r="AB12" s="1"/>
  <c r="AA6"/>
  <c r="AA12" s="1"/>
  <c r="N23" i="39"/>
  <c r="M23"/>
  <c r="H23"/>
  <c r="G23" s="1"/>
  <c r="N22"/>
  <c r="M22"/>
  <c r="H22"/>
  <c r="L22" s="1"/>
  <c r="G22"/>
  <c r="N21"/>
  <c r="M21"/>
  <c r="H21"/>
  <c r="L21" s="1"/>
  <c r="G21"/>
  <c r="N20"/>
  <c r="M20"/>
  <c r="H20"/>
  <c r="G20" s="1"/>
  <c r="N19"/>
  <c r="M19"/>
  <c r="H19"/>
  <c r="G19" s="1"/>
  <c r="D11"/>
  <c r="F11" s="1"/>
  <c r="J11" s="1"/>
  <c r="J10"/>
  <c r="I10" s="1"/>
  <c r="H10"/>
  <c r="G10" s="1"/>
  <c r="J9"/>
  <c r="I9" s="1"/>
  <c r="AB14" i="41" l="1"/>
  <c r="AB15" s="1"/>
  <c r="I11" i="39"/>
  <c r="G11" s="1"/>
  <c r="N11"/>
  <c r="H11"/>
  <c r="K21"/>
  <c r="P21"/>
  <c r="K22"/>
  <c r="P22"/>
  <c r="N9"/>
  <c r="N10"/>
  <c r="L19"/>
  <c r="L20"/>
  <c r="L23"/>
  <c r="H9"/>
  <c r="G9" s="1"/>
  <c r="K20" l="1"/>
  <c r="P20"/>
  <c r="M10"/>
  <c r="R10"/>
  <c r="L10"/>
  <c r="K10" s="1"/>
  <c r="O22"/>
  <c r="V22"/>
  <c r="O21"/>
  <c r="V21"/>
  <c r="K23"/>
  <c r="P23"/>
  <c r="K19"/>
  <c r="P19"/>
  <c r="M9"/>
  <c r="R9"/>
  <c r="L9"/>
  <c r="K9" s="1"/>
  <c r="M11"/>
  <c r="K11" s="1"/>
  <c r="R11"/>
  <c r="L11"/>
  <c r="Q9" l="1"/>
  <c r="X9"/>
  <c r="P9"/>
  <c r="O9" s="1"/>
  <c r="O19"/>
  <c r="V19"/>
  <c r="O23"/>
  <c r="V23"/>
  <c r="U21"/>
  <c r="Z21"/>
  <c r="Y21" s="1"/>
  <c r="U22"/>
  <c r="Z22"/>
  <c r="Y22" s="1"/>
  <c r="Q11"/>
  <c r="O11" s="1"/>
  <c r="X11"/>
  <c r="P11"/>
  <c r="Q10"/>
  <c r="X10"/>
  <c r="P10"/>
  <c r="O10" s="1"/>
  <c r="O20"/>
  <c r="V20"/>
  <c r="U20" l="1"/>
  <c r="Z20"/>
  <c r="Y20" s="1"/>
  <c r="W11"/>
  <c r="U11" s="1"/>
  <c r="AB11"/>
  <c r="V11"/>
  <c r="AC22"/>
  <c r="AD22"/>
  <c r="AC21"/>
  <c r="AD21"/>
  <c r="U23"/>
  <c r="Z23"/>
  <c r="Y23" s="1"/>
  <c r="U19"/>
  <c r="Z19"/>
  <c r="Y19" s="1"/>
  <c r="W10"/>
  <c r="AB10"/>
  <c r="V10"/>
  <c r="U10" s="1"/>
  <c r="W9"/>
  <c r="AB9"/>
  <c r="V9"/>
  <c r="U9" s="1"/>
  <c r="AA10" l="1"/>
  <c r="Z10"/>
  <c r="Y10" s="1"/>
  <c r="AC19"/>
  <c r="AD19"/>
  <c r="AC23"/>
  <c r="AD23"/>
  <c r="AA9"/>
  <c r="Z9"/>
  <c r="Y9" s="1"/>
  <c r="AA11"/>
  <c r="Y11" s="1"/>
  <c r="Z11"/>
  <c r="AC20"/>
  <c r="AD20"/>
  <c r="AC11" l="1"/>
  <c r="AD11"/>
  <c r="AC24"/>
  <c r="AC9"/>
  <c r="AD9"/>
  <c r="AC10"/>
  <c r="AD10"/>
  <c r="AD24"/>
  <c r="AD12" l="1"/>
  <c r="AC12"/>
  <c r="AB10" i="38"/>
  <c r="AA10"/>
  <c r="AB9"/>
  <c r="AA9"/>
  <c r="AB8"/>
  <c r="AA8"/>
  <c r="AB7"/>
  <c r="AA7"/>
  <c r="AB6"/>
  <c r="AB11" s="1"/>
  <c r="AA6"/>
  <c r="AA11" s="1"/>
  <c r="AB18" i="37" l="1"/>
  <c r="AA18"/>
  <c r="AB17"/>
  <c r="AB19" s="1"/>
  <c r="AA17"/>
  <c r="AA19" s="1"/>
  <c r="AB10"/>
  <c r="AA10"/>
  <c r="AB9"/>
  <c r="AA9"/>
  <c r="AB8"/>
  <c r="AA8"/>
  <c r="AB7"/>
  <c r="AA7"/>
  <c r="AB6"/>
  <c r="AB11" s="1"/>
  <c r="AA6"/>
  <c r="AA11" s="1"/>
  <c r="AB37" i="36" l="1"/>
  <c r="AA37"/>
  <c r="AB35"/>
  <c r="AA35"/>
  <c r="AB34"/>
  <c r="AA34"/>
  <c r="AB33"/>
  <c r="AA33"/>
  <c r="AB32"/>
  <c r="AB38" s="1"/>
  <c r="AA32"/>
  <c r="AA38" s="1"/>
  <c r="AB25"/>
  <c r="AA25"/>
  <c r="AB24"/>
  <c r="AA24"/>
  <c r="AB23"/>
  <c r="AA23"/>
  <c r="AB21"/>
  <c r="AA21"/>
  <c r="AB20"/>
  <c r="AA20"/>
  <c r="AB18"/>
  <c r="AA18"/>
  <c r="AB17"/>
  <c r="AA17"/>
  <c r="AB16"/>
  <c r="AA16"/>
  <c r="AB15"/>
  <c r="AA15"/>
  <c r="AB14"/>
  <c r="AA14"/>
  <c r="AB13"/>
  <c r="AA13"/>
  <c r="AB12"/>
  <c r="AA12"/>
  <c r="AB11"/>
  <c r="AA11"/>
  <c r="AB10"/>
  <c r="AA10"/>
  <c r="AB9"/>
  <c r="AA9"/>
  <c r="AB8"/>
  <c r="AA8"/>
  <c r="AB7"/>
  <c r="AA7"/>
  <c r="AB6"/>
  <c r="AB26" s="1"/>
  <c r="AA6"/>
  <c r="AA26" s="1"/>
  <c r="Z25" i="34" l="1"/>
  <c r="X25"/>
  <c r="W25"/>
  <c r="AA25" s="1"/>
  <c r="V25"/>
  <c r="T25"/>
  <c r="S25"/>
  <c r="R25"/>
  <c r="P25"/>
  <c r="O25"/>
  <c r="N25"/>
  <c r="L25"/>
  <c r="K25"/>
  <c r="J25"/>
  <c r="H25"/>
  <c r="G25"/>
  <c r="F25"/>
  <c r="Y25" s="1"/>
  <c r="Z22"/>
  <c r="Y22"/>
  <c r="X22"/>
  <c r="V22"/>
  <c r="U22"/>
  <c r="T22"/>
  <c r="R22"/>
  <c r="Q22"/>
  <c r="P22"/>
  <c r="N22"/>
  <c r="M22"/>
  <c r="L22"/>
  <c r="J22"/>
  <c r="I22"/>
  <c r="H22"/>
  <c r="W22" s="1"/>
  <c r="F22"/>
  <c r="D22"/>
  <c r="Z13"/>
  <c r="Y13"/>
  <c r="X13"/>
  <c r="AB13" s="1"/>
  <c r="W13"/>
  <c r="AA13" s="1"/>
  <c r="V13"/>
  <c r="U13"/>
  <c r="T13"/>
  <c r="S13"/>
  <c r="R13"/>
  <c r="Q13"/>
  <c r="P13"/>
  <c r="O13"/>
  <c r="N13"/>
  <c r="M13"/>
  <c r="L13"/>
  <c r="K13"/>
  <c r="J13"/>
  <c r="I13"/>
  <c r="H13"/>
  <c r="G13"/>
  <c r="Z12"/>
  <c r="Y12"/>
  <c r="X12"/>
  <c r="AB12" s="1"/>
  <c r="W12"/>
  <c r="AA12" s="1"/>
  <c r="V12"/>
  <c r="U12"/>
  <c r="T12"/>
  <c r="S12"/>
  <c r="R12"/>
  <c r="Q12"/>
  <c r="P12"/>
  <c r="O12"/>
  <c r="N12"/>
  <c r="M12"/>
  <c r="L12"/>
  <c r="K12"/>
  <c r="J12"/>
  <c r="I12"/>
  <c r="H12"/>
  <c r="G12"/>
  <c r="Z11"/>
  <c r="Y11"/>
  <c r="X11"/>
  <c r="AB11" s="1"/>
  <c r="W11"/>
  <c r="AA11" s="1"/>
  <c r="V11"/>
  <c r="U11"/>
  <c r="T11"/>
  <c r="S11"/>
  <c r="R11"/>
  <c r="Q11"/>
  <c r="P11"/>
  <c r="O11"/>
  <c r="N11"/>
  <c r="M11"/>
  <c r="L11"/>
  <c r="K11"/>
  <c r="J11"/>
  <c r="I11"/>
  <c r="H11"/>
  <c r="G11"/>
  <c r="Z10"/>
  <c r="Y10"/>
  <c r="X10"/>
  <c r="V10"/>
  <c r="U10"/>
  <c r="T10"/>
  <c r="R10"/>
  <c r="Q10"/>
  <c r="P10"/>
  <c r="N10"/>
  <c r="M10"/>
  <c r="L10"/>
  <c r="J10"/>
  <c r="I10"/>
  <c r="H10"/>
  <c r="F10"/>
  <c r="D10"/>
  <c r="W10" s="1"/>
  <c r="AB10" s="1"/>
  <c r="C10"/>
  <c r="Z9"/>
  <c r="Y9"/>
  <c r="X9"/>
  <c r="V9"/>
  <c r="U9"/>
  <c r="T9"/>
  <c r="R9"/>
  <c r="Q9"/>
  <c r="P9"/>
  <c r="N9"/>
  <c r="M9"/>
  <c r="L9"/>
  <c r="J9"/>
  <c r="I9"/>
  <c r="H9"/>
  <c r="F9"/>
  <c r="D9"/>
  <c r="W9" s="1"/>
  <c r="AB9" s="1"/>
  <c r="C9"/>
  <c r="Z8"/>
  <c r="Y8"/>
  <c r="X8"/>
  <c r="V8"/>
  <c r="U8"/>
  <c r="T8"/>
  <c r="R8"/>
  <c r="Q8"/>
  <c r="P8"/>
  <c r="N8"/>
  <c r="M8"/>
  <c r="L8"/>
  <c r="J8"/>
  <c r="I8"/>
  <c r="H8"/>
  <c r="F8"/>
  <c r="D8"/>
  <c r="W8" s="1"/>
  <c r="AB8" s="1"/>
  <c r="C8"/>
  <c r="Z7"/>
  <c r="Y7"/>
  <c r="V7"/>
  <c r="U7"/>
  <c r="R7"/>
  <c r="Q7"/>
  <c r="N7"/>
  <c r="M7"/>
  <c r="J7"/>
  <c r="I7"/>
  <c r="F7"/>
  <c r="E7"/>
  <c r="D7"/>
  <c r="W7" s="1"/>
  <c r="Z6"/>
  <c r="Y6"/>
  <c r="X6"/>
  <c r="V6"/>
  <c r="U6"/>
  <c r="T6"/>
  <c r="R6"/>
  <c r="Q6"/>
  <c r="P6"/>
  <c r="N6"/>
  <c r="M6"/>
  <c r="L6"/>
  <c r="J6"/>
  <c r="I6"/>
  <c r="H6"/>
  <c r="F6"/>
  <c r="D6"/>
  <c r="W6" s="1"/>
  <c r="AB20" i="33"/>
  <c r="AA20"/>
  <c r="AB19"/>
  <c r="AA19"/>
  <c r="AB18"/>
  <c r="AA18"/>
  <c r="AB17"/>
  <c r="AA17"/>
  <c r="AB16"/>
  <c r="AA16"/>
  <c r="AB15"/>
  <c r="AB21" s="1"/>
  <c r="AA15"/>
  <c r="AA21" s="1"/>
  <c r="AB8"/>
  <c r="AA8"/>
  <c r="AB7"/>
  <c r="AA7"/>
  <c r="AB6"/>
  <c r="AB9" s="1"/>
  <c r="AA6"/>
  <c r="AA9" s="1"/>
  <c r="AB45" i="32"/>
  <c r="AA45"/>
  <c r="AB43"/>
  <c r="AA43"/>
  <c r="AB41"/>
  <c r="AA41"/>
  <c r="AB39"/>
  <c r="AA39"/>
  <c r="AB37"/>
  <c r="AA37"/>
  <c r="AB35"/>
  <c r="AA35"/>
  <c r="AB33"/>
  <c r="AA33"/>
  <c r="AB31"/>
  <c r="AA31"/>
  <c r="AB29"/>
  <c r="AA29"/>
  <c r="AB27"/>
  <c r="AA27"/>
  <c r="AB25"/>
  <c r="AA25"/>
  <c r="AB23"/>
  <c r="AA23"/>
  <c r="AB21"/>
  <c r="AB46" s="1"/>
  <c r="AA21"/>
  <c r="AA46" s="1"/>
  <c r="AB14"/>
  <c r="AA14"/>
  <c r="AB13"/>
  <c r="AA13"/>
  <c r="AB12"/>
  <c r="AA12"/>
  <c r="AB11"/>
  <c r="AA11"/>
  <c r="AB10"/>
  <c r="AA10"/>
  <c r="AB9"/>
  <c r="AA9"/>
  <c r="AB8"/>
  <c r="AA8"/>
  <c r="AB7"/>
  <c r="AA7"/>
  <c r="AB6"/>
  <c r="AB15" s="1"/>
  <c r="AA6"/>
  <c r="AA15" s="1"/>
  <c r="AA7" i="34" l="1"/>
  <c r="AB6"/>
  <c r="AA6"/>
  <c r="AA22"/>
  <c r="AA26" s="1"/>
  <c r="AB22"/>
  <c r="AB26" s="1"/>
  <c r="AA8"/>
  <c r="AA9"/>
  <c r="AA10"/>
  <c r="G6"/>
  <c r="K6"/>
  <c r="O6"/>
  <c r="S6"/>
  <c r="H7"/>
  <c r="L7"/>
  <c r="P7"/>
  <c r="T7"/>
  <c r="X7"/>
  <c r="AB7" s="1"/>
  <c r="AB25"/>
  <c r="G7"/>
  <c r="K7"/>
  <c r="O7"/>
  <c r="S7"/>
  <c r="E8"/>
  <c r="G8"/>
  <c r="K8"/>
  <c r="O8"/>
  <c r="S8"/>
  <c r="E9"/>
  <c r="G9"/>
  <c r="K9"/>
  <c r="O9"/>
  <c r="S9"/>
  <c r="E10"/>
  <c r="G10"/>
  <c r="K10"/>
  <c r="O10"/>
  <c r="S10"/>
  <c r="G22"/>
  <c r="K22"/>
  <c r="O22"/>
  <c r="S22"/>
  <c r="D25"/>
  <c r="I25"/>
  <c r="M25"/>
  <c r="Q25"/>
  <c r="U25"/>
  <c r="AC18" i="31"/>
  <c r="AB18"/>
  <c r="AA18"/>
  <c r="AE18" s="1"/>
  <c r="Y18"/>
  <c r="W18"/>
  <c r="U18"/>
  <c r="T18"/>
  <c r="S18"/>
  <c r="Q18"/>
  <c r="O18"/>
  <c r="M18"/>
  <c r="K18"/>
  <c r="H18"/>
  <c r="J18" s="1"/>
  <c r="C18"/>
  <c r="AD18" s="1"/>
  <c r="C17"/>
  <c r="N17" s="1"/>
  <c r="H16"/>
  <c r="C16"/>
  <c r="AD16" s="1"/>
  <c r="V15"/>
  <c r="U15" s="1"/>
  <c r="T15"/>
  <c r="S15" s="1"/>
  <c r="R15"/>
  <c r="Q15" s="1"/>
  <c r="P15"/>
  <c r="O15" s="1"/>
  <c r="N15"/>
  <c r="M15" s="1"/>
  <c r="L15"/>
  <c r="H15"/>
  <c r="C15"/>
  <c r="AD15" s="1"/>
  <c r="AD14"/>
  <c r="AC14" s="1"/>
  <c r="AB14"/>
  <c r="AA14" s="1"/>
  <c r="Z14"/>
  <c r="Y14" s="1"/>
  <c r="X14"/>
  <c r="W14" s="1"/>
  <c r="V14"/>
  <c r="U14"/>
  <c r="T14"/>
  <c r="S14" s="1"/>
  <c r="R14"/>
  <c r="Q14"/>
  <c r="P14"/>
  <c r="O14"/>
  <c r="N14"/>
  <c r="L14"/>
  <c r="H14"/>
  <c r="C14"/>
  <c r="M14" s="1"/>
  <c r="K14" s="1"/>
  <c r="I13"/>
  <c r="G13"/>
  <c r="D13"/>
  <c r="C13"/>
  <c r="AD13" s="1"/>
  <c r="A13"/>
  <c r="X13" s="1"/>
  <c r="W13" s="1"/>
  <c r="AD12"/>
  <c r="AC12" s="1"/>
  <c r="Z12"/>
  <c r="Y12"/>
  <c r="V12"/>
  <c r="U12"/>
  <c r="R12"/>
  <c r="Q12"/>
  <c r="N12"/>
  <c r="M12"/>
  <c r="J12"/>
  <c r="AD11"/>
  <c r="AC11"/>
  <c r="Z11"/>
  <c r="Y11"/>
  <c r="V11"/>
  <c r="U11"/>
  <c r="R11"/>
  <c r="Q11"/>
  <c r="N11"/>
  <c r="M11"/>
  <c r="C11"/>
  <c r="J11" s="1"/>
  <c r="AB10"/>
  <c r="AA10"/>
  <c r="AF10" s="1"/>
  <c r="M10"/>
  <c r="I10"/>
  <c r="G10"/>
  <c r="AE10" s="1"/>
  <c r="C10"/>
  <c r="AD10" s="1"/>
  <c r="AC10" s="1"/>
  <c r="AC9"/>
  <c r="Y9"/>
  <c r="U9"/>
  <c r="S9"/>
  <c r="Q9"/>
  <c r="O9"/>
  <c r="M9"/>
  <c r="C9"/>
  <c r="AD9" s="1"/>
  <c r="A9"/>
  <c r="AB9" s="1"/>
  <c r="AC8"/>
  <c r="AD8" s="1"/>
  <c r="Y8"/>
  <c r="Z8" s="1"/>
  <c r="U8"/>
  <c r="V8" s="1"/>
  <c r="Q8"/>
  <c r="R8" s="1"/>
  <c r="N8"/>
  <c r="M8"/>
  <c r="J8"/>
  <c r="AD7"/>
  <c r="Z7"/>
  <c r="V7"/>
  <c r="T7"/>
  <c r="R7"/>
  <c r="L7"/>
  <c r="X7" s="1"/>
  <c r="C7"/>
  <c r="AC7" s="1"/>
  <c r="A7"/>
  <c r="H26" s="1"/>
  <c r="AB6"/>
  <c r="AA6" s="1"/>
  <c r="X6"/>
  <c r="W6" s="1"/>
  <c r="V6"/>
  <c r="T6"/>
  <c r="S6" s="1"/>
  <c r="R6"/>
  <c r="P6"/>
  <c r="O6" s="1"/>
  <c r="N6"/>
  <c r="L6"/>
  <c r="K6" s="1"/>
  <c r="H6"/>
  <c r="C6"/>
  <c r="AC6" s="1"/>
  <c r="W25" i="30"/>
  <c r="AB25" s="1"/>
  <c r="S25"/>
  <c r="O25"/>
  <c r="M25"/>
  <c r="Q25" s="1"/>
  <c r="K25"/>
  <c r="J25"/>
  <c r="G25"/>
  <c r="F25"/>
  <c r="C25"/>
  <c r="AA25" s="1"/>
  <c r="AB24"/>
  <c r="R24"/>
  <c r="V24" s="1"/>
  <c r="Q24"/>
  <c r="U24" s="1"/>
  <c r="O24"/>
  <c r="N24"/>
  <c r="K24"/>
  <c r="J24"/>
  <c r="G24"/>
  <c r="F24"/>
  <c r="C24"/>
  <c r="AA24" s="1"/>
  <c r="W23"/>
  <c r="AB23" s="1"/>
  <c r="N23"/>
  <c r="M23"/>
  <c r="Q23" s="1"/>
  <c r="K23"/>
  <c r="J23"/>
  <c r="G23"/>
  <c r="F23"/>
  <c r="C23"/>
  <c r="AA23" s="1"/>
  <c r="AA22"/>
  <c r="AA26" s="1"/>
  <c r="Y22"/>
  <c r="W22"/>
  <c r="AB22" s="1"/>
  <c r="AB26" s="1"/>
  <c r="V22"/>
  <c r="Z22" s="1"/>
  <c r="U22"/>
  <c r="S22"/>
  <c r="R22"/>
  <c r="O22"/>
  <c r="M22"/>
  <c r="N22" s="1"/>
  <c r="K22"/>
  <c r="J22"/>
  <c r="G22"/>
  <c r="F22"/>
  <c r="C22"/>
  <c r="H15"/>
  <c r="G15" s="1"/>
  <c r="I15" s="1"/>
  <c r="F15"/>
  <c r="H14"/>
  <c r="L14" s="1"/>
  <c r="G14"/>
  <c r="I14" s="1"/>
  <c r="F14"/>
  <c r="H13"/>
  <c r="G13" s="1"/>
  <c r="I13" s="1"/>
  <c r="F13"/>
  <c r="H12"/>
  <c r="L12" s="1"/>
  <c r="G12"/>
  <c r="I12" s="1"/>
  <c r="F12"/>
  <c r="Z11"/>
  <c r="W11"/>
  <c r="AA11" s="1"/>
  <c r="V11"/>
  <c r="U11"/>
  <c r="S11"/>
  <c r="R11"/>
  <c r="O11"/>
  <c r="Q11" s="1"/>
  <c r="N11"/>
  <c r="M11"/>
  <c r="K11"/>
  <c r="J11"/>
  <c r="G11"/>
  <c r="I11" s="1"/>
  <c r="F11"/>
  <c r="Z10"/>
  <c r="W10"/>
  <c r="AA10" s="1"/>
  <c r="V10"/>
  <c r="U10"/>
  <c r="S10"/>
  <c r="R10"/>
  <c r="O10"/>
  <c r="Q10" s="1"/>
  <c r="N10"/>
  <c r="M10"/>
  <c r="K10"/>
  <c r="J10"/>
  <c r="G10"/>
  <c r="I10" s="1"/>
  <c r="F10"/>
  <c r="Z9"/>
  <c r="W9"/>
  <c r="AA9" s="1"/>
  <c r="V9"/>
  <c r="U9"/>
  <c r="S9"/>
  <c r="R9"/>
  <c r="O9"/>
  <c r="Q9" s="1"/>
  <c r="N9"/>
  <c r="M9"/>
  <c r="K9"/>
  <c r="J9"/>
  <c r="G9"/>
  <c r="I9" s="1"/>
  <c r="F9"/>
  <c r="Z8"/>
  <c r="W8"/>
  <c r="AA8" s="1"/>
  <c r="V8"/>
  <c r="U8"/>
  <c r="S8"/>
  <c r="R8"/>
  <c r="O8"/>
  <c r="Q8" s="1"/>
  <c r="N8"/>
  <c r="M8"/>
  <c r="K8"/>
  <c r="J8"/>
  <c r="G8"/>
  <c r="I8" s="1"/>
  <c r="F8"/>
  <c r="Z7"/>
  <c r="W7"/>
  <c r="AA7" s="1"/>
  <c r="V7"/>
  <c r="U7"/>
  <c r="S7"/>
  <c r="R7"/>
  <c r="O7"/>
  <c r="Q7" s="1"/>
  <c r="N7"/>
  <c r="M7"/>
  <c r="K7"/>
  <c r="J7"/>
  <c r="G7"/>
  <c r="I7" s="1"/>
  <c r="F7"/>
  <c r="W6"/>
  <c r="AA6" s="1"/>
  <c r="S6"/>
  <c r="O6"/>
  <c r="K6"/>
  <c r="G6"/>
  <c r="AB20" i="29"/>
  <c r="AA20"/>
  <c r="AB19"/>
  <c r="AA19"/>
  <c r="AB18"/>
  <c r="AA18"/>
  <c r="AB17"/>
  <c r="AA17"/>
  <c r="AB16"/>
  <c r="AA16"/>
  <c r="AB15"/>
  <c r="AA15"/>
  <c r="AB14"/>
  <c r="AB21" s="1"/>
  <c r="AA14"/>
  <c r="AA21" s="1"/>
  <c r="AB7"/>
  <c r="AA7"/>
  <c r="AB6"/>
  <c r="AB8" s="1"/>
  <c r="AA6"/>
  <c r="AA8" s="1"/>
  <c r="L22" i="28"/>
  <c r="P22" s="1"/>
  <c r="T22" s="1"/>
  <c r="X22" s="1"/>
  <c r="K22"/>
  <c r="O22" s="1"/>
  <c r="S22" s="1"/>
  <c r="W22" s="1"/>
  <c r="AB21"/>
  <c r="AA21"/>
  <c r="AB20"/>
  <c r="AA20"/>
  <c r="AB16"/>
  <c r="AA16"/>
  <c r="AB15"/>
  <c r="AA15"/>
  <c r="AB8"/>
  <c r="AA8"/>
  <c r="M8"/>
  <c r="Q8" s="1"/>
  <c r="AB7"/>
  <c r="AA7"/>
  <c r="AB6"/>
  <c r="AB9" s="1"/>
  <c r="AA6"/>
  <c r="AA9" s="1"/>
  <c r="AA14" i="34" l="1"/>
  <c r="AB14"/>
  <c r="AE6" i="31"/>
  <c r="AF6"/>
  <c r="AF14"/>
  <c r="AE14"/>
  <c r="AB15"/>
  <c r="AA15" s="1"/>
  <c r="AC15"/>
  <c r="AB16"/>
  <c r="AA16" s="1"/>
  <c r="AC16"/>
  <c r="AD17"/>
  <c r="AC17" s="1"/>
  <c r="Z17"/>
  <c r="Y17" s="1"/>
  <c r="V17"/>
  <c r="U17" s="1"/>
  <c r="R17"/>
  <c r="Q17" s="1"/>
  <c r="AB26"/>
  <c r="AA26" s="1"/>
  <c r="X26"/>
  <c r="W26" s="1"/>
  <c r="T26"/>
  <c r="S26" s="1"/>
  <c r="P26"/>
  <c r="O26" s="1"/>
  <c r="L26"/>
  <c r="K26" s="1"/>
  <c r="Z6"/>
  <c r="AD6"/>
  <c r="J7"/>
  <c r="N7"/>
  <c r="P7"/>
  <c r="AB7"/>
  <c r="H9"/>
  <c r="K9"/>
  <c r="W9"/>
  <c r="AA9"/>
  <c r="A10"/>
  <c r="A11"/>
  <c r="A12"/>
  <c r="M13"/>
  <c r="Q13"/>
  <c r="U13"/>
  <c r="Y13"/>
  <c r="AC13"/>
  <c r="K15"/>
  <c r="A17"/>
  <c r="M17"/>
  <c r="L18"/>
  <c r="N18"/>
  <c r="P18"/>
  <c r="R18"/>
  <c r="V18"/>
  <c r="X18"/>
  <c r="Z18"/>
  <c r="AF18"/>
  <c r="J26"/>
  <c r="M6"/>
  <c r="Q6"/>
  <c r="U6"/>
  <c r="Y6"/>
  <c r="H7"/>
  <c r="K7"/>
  <c r="M7"/>
  <c r="O7"/>
  <c r="Q7"/>
  <c r="S7"/>
  <c r="U7"/>
  <c r="W7"/>
  <c r="Y7"/>
  <c r="AA7"/>
  <c r="A8"/>
  <c r="J9"/>
  <c r="L9"/>
  <c r="N9"/>
  <c r="P9"/>
  <c r="R9"/>
  <c r="T9"/>
  <c r="V9"/>
  <c r="X9"/>
  <c r="Z9"/>
  <c r="J10"/>
  <c r="N10"/>
  <c r="R10"/>
  <c r="Q10" s="1"/>
  <c r="V10"/>
  <c r="U10" s="1"/>
  <c r="Z10"/>
  <c r="Y10" s="1"/>
  <c r="H13"/>
  <c r="J13"/>
  <c r="L13"/>
  <c r="K13" s="1"/>
  <c r="N13"/>
  <c r="P13"/>
  <c r="O13" s="1"/>
  <c r="R13"/>
  <c r="T13"/>
  <c r="S13" s="1"/>
  <c r="V13"/>
  <c r="Z13"/>
  <c r="Z15"/>
  <c r="N16"/>
  <c r="R16"/>
  <c r="V16"/>
  <c r="Z16"/>
  <c r="J17"/>
  <c r="P12" i="30"/>
  <c r="N12"/>
  <c r="K12"/>
  <c r="M12" s="1"/>
  <c r="P14"/>
  <c r="N14"/>
  <c r="K14"/>
  <c r="M14" s="1"/>
  <c r="U23"/>
  <c r="Y23" s="1"/>
  <c r="R23"/>
  <c r="V23" s="1"/>
  <c r="Z23" s="1"/>
  <c r="U25"/>
  <c r="Y25" s="1"/>
  <c r="R25"/>
  <c r="V25" s="1"/>
  <c r="Z25" s="1"/>
  <c r="AB6"/>
  <c r="AB7"/>
  <c r="AB8"/>
  <c r="AB9"/>
  <c r="AB10"/>
  <c r="AB11"/>
  <c r="J13"/>
  <c r="L13"/>
  <c r="J15"/>
  <c r="L15"/>
  <c r="Y7"/>
  <c r="Y8"/>
  <c r="Y9"/>
  <c r="Y10"/>
  <c r="Y11"/>
  <c r="J12"/>
  <c r="J14"/>
  <c r="N25"/>
  <c r="U8" i="28"/>
  <c r="R8"/>
  <c r="AA22"/>
  <c r="AB22"/>
  <c r="AB23" s="1"/>
  <c r="AA23"/>
  <c r="N8"/>
  <c r="X16" i="31" l="1"/>
  <c r="W16" s="1"/>
  <c r="Y16"/>
  <c r="P16"/>
  <c r="O16" s="1"/>
  <c r="Q16"/>
  <c r="X15"/>
  <c r="W15" s="1"/>
  <c r="Y15"/>
  <c r="AB8"/>
  <c r="X8"/>
  <c r="T8"/>
  <c r="P8"/>
  <c r="O8" s="1"/>
  <c r="L8"/>
  <c r="AA8"/>
  <c r="W8"/>
  <c r="S8"/>
  <c r="K8"/>
  <c r="H8"/>
  <c r="K12"/>
  <c r="H12"/>
  <c r="AB12"/>
  <c r="AA12" s="1"/>
  <c r="X12"/>
  <c r="W12" s="1"/>
  <c r="T12"/>
  <c r="S12" s="1"/>
  <c r="P12"/>
  <c r="O12" s="1"/>
  <c r="L12"/>
  <c r="X10"/>
  <c r="W10" s="1"/>
  <c r="T10"/>
  <c r="S10" s="1"/>
  <c r="P10"/>
  <c r="O10" s="1"/>
  <c r="L10"/>
  <c r="K10" s="1"/>
  <c r="H10"/>
  <c r="AE26"/>
  <c r="AF26"/>
  <c r="AF16"/>
  <c r="AE16"/>
  <c r="AF15"/>
  <c r="AE15"/>
  <c r="T16"/>
  <c r="S16" s="1"/>
  <c r="U16"/>
  <c r="L16"/>
  <c r="M16"/>
  <c r="K16"/>
  <c r="AE7"/>
  <c r="AF7"/>
  <c r="AD26"/>
  <c r="AC26" s="1"/>
  <c r="Z26"/>
  <c r="Y26" s="1"/>
  <c r="V26"/>
  <c r="U26" s="1"/>
  <c r="R26"/>
  <c r="Q26" s="1"/>
  <c r="N26"/>
  <c r="M26" s="1"/>
  <c r="P17"/>
  <c r="L17"/>
  <c r="K17" s="1"/>
  <c r="H17"/>
  <c r="AB13"/>
  <c r="AA13"/>
  <c r="AB11"/>
  <c r="AA11" s="1"/>
  <c r="X11"/>
  <c r="W11" s="1"/>
  <c r="T11"/>
  <c r="S11" s="1"/>
  <c r="P11"/>
  <c r="O11" s="1"/>
  <c r="L11"/>
  <c r="K11" s="1"/>
  <c r="H11"/>
  <c r="AF9"/>
  <c r="AE9"/>
  <c r="K15" i="30"/>
  <c r="M15" s="1"/>
  <c r="P15"/>
  <c r="N15"/>
  <c r="K13"/>
  <c r="M13" s="1"/>
  <c r="P13"/>
  <c r="N13"/>
  <c r="T14"/>
  <c r="R14"/>
  <c r="O14"/>
  <c r="Q14" s="1"/>
  <c r="T12"/>
  <c r="R12"/>
  <c r="O12"/>
  <c r="Q12" s="1"/>
  <c r="Y8" i="28"/>
  <c r="Z8" s="1"/>
  <c r="V8"/>
  <c r="AF13" i="31" l="1"/>
  <c r="AE13"/>
  <c r="AB17"/>
  <c r="AA17" s="1"/>
  <c r="X17"/>
  <c r="W17" s="1"/>
  <c r="T17"/>
  <c r="S17" s="1"/>
  <c r="O17"/>
  <c r="AE12"/>
  <c r="AF12"/>
  <c r="AF11"/>
  <c r="AE11"/>
  <c r="AF8"/>
  <c r="AE8"/>
  <c r="X14" i="30"/>
  <c r="V14"/>
  <c r="S14"/>
  <c r="U14" s="1"/>
  <c r="O13"/>
  <c r="Q13" s="1"/>
  <c r="T13"/>
  <c r="R13"/>
  <c r="X12"/>
  <c r="V12"/>
  <c r="S12"/>
  <c r="U12" s="1"/>
  <c r="O15"/>
  <c r="Q15" s="1"/>
  <c r="T15"/>
  <c r="R15"/>
  <c r="AB29" i="27"/>
  <c r="AB30" s="1"/>
  <c r="AA29"/>
  <c r="AA30" s="1"/>
  <c r="AB21"/>
  <c r="AA21"/>
  <c r="AB20"/>
  <c r="AA20"/>
  <c r="AB19"/>
  <c r="AA19"/>
  <c r="AB18"/>
  <c r="AA18"/>
  <c r="AB17"/>
  <c r="AA17"/>
  <c r="AB16"/>
  <c r="AA16"/>
  <c r="AB15"/>
  <c r="AA15"/>
  <c r="AB14"/>
  <c r="AA14"/>
  <c r="AB13"/>
  <c r="AA13"/>
  <c r="AB12"/>
  <c r="AA12"/>
  <c r="AB11"/>
  <c r="AA11"/>
  <c r="AB10"/>
  <c r="AA10"/>
  <c r="AB9"/>
  <c r="AA9"/>
  <c r="AB8"/>
  <c r="AA8"/>
  <c r="AB7"/>
  <c r="AA7"/>
  <c r="AB6"/>
  <c r="AB22" s="1"/>
  <c r="AA6"/>
  <c r="AA22" s="1"/>
  <c r="AB19" i="26"/>
  <c r="AA19"/>
  <c r="AB18"/>
  <c r="AA18"/>
  <c r="AB17"/>
  <c r="AB20" s="1"/>
  <c r="AA17"/>
  <c r="AA20" s="1"/>
  <c r="AB9"/>
  <c r="AA9"/>
  <c r="AB8"/>
  <c r="AA8"/>
  <c r="AB7"/>
  <c r="AA7"/>
  <c r="AB6"/>
  <c r="AB10" s="1"/>
  <c r="AA6"/>
  <c r="AA10" s="1"/>
  <c r="AB22" i="25"/>
  <c r="AB23" s="1"/>
  <c r="AA22"/>
  <c r="AA23" s="1"/>
  <c r="AB14"/>
  <c r="AA14"/>
  <c r="AB13"/>
  <c r="AA13"/>
  <c r="AB12"/>
  <c r="AA12"/>
  <c r="AB11"/>
  <c r="AA11"/>
  <c r="AB10"/>
  <c r="AA10"/>
  <c r="AB9"/>
  <c r="AA9"/>
  <c r="AB8"/>
  <c r="AA8"/>
  <c r="AB7"/>
  <c r="AA7"/>
  <c r="AB6"/>
  <c r="AB15" s="1"/>
  <c r="AA6"/>
  <c r="AA15" s="1"/>
  <c r="AF17" i="31" l="1"/>
  <c r="AE17"/>
  <c r="AF19"/>
  <c r="AE19"/>
  <c r="S15" i="30"/>
  <c r="U15" s="1"/>
  <c r="X15"/>
  <c r="V15"/>
  <c r="Z12"/>
  <c r="W12"/>
  <c r="S13"/>
  <c r="U13" s="1"/>
  <c r="X13"/>
  <c r="V13"/>
  <c r="Z14"/>
  <c r="W14"/>
  <c r="X23" i="24"/>
  <c r="AB23" s="1"/>
  <c r="W23"/>
  <c r="AA23" s="1"/>
  <c r="T23"/>
  <c r="P23"/>
  <c r="L23"/>
  <c r="G23"/>
  <c r="H23" s="1"/>
  <c r="D23"/>
  <c r="AA22"/>
  <c r="X22"/>
  <c r="AB22" s="1"/>
  <c r="T22"/>
  <c r="P22"/>
  <c r="G22"/>
  <c r="D22"/>
  <c r="H22" s="1"/>
  <c r="J21"/>
  <c r="I21"/>
  <c r="H21"/>
  <c r="G21"/>
  <c r="E21"/>
  <c r="Z20"/>
  <c r="Y20" s="1"/>
  <c r="Y21" s="1"/>
  <c r="X20"/>
  <c r="W20" s="1"/>
  <c r="V20"/>
  <c r="U20" s="1"/>
  <c r="U21" s="1"/>
  <c r="R20"/>
  <c r="Q20" s="1"/>
  <c r="Q21" s="1"/>
  <c r="P20"/>
  <c r="O20" s="1"/>
  <c r="O21" s="1"/>
  <c r="N20"/>
  <c r="M20" s="1"/>
  <c r="M21" s="1"/>
  <c r="J20"/>
  <c r="AB12"/>
  <c r="AA12"/>
  <c r="C12"/>
  <c r="C21" s="1"/>
  <c r="AB11"/>
  <c r="AA11"/>
  <c r="T11"/>
  <c r="T20" s="1"/>
  <c r="H11"/>
  <c r="AB10"/>
  <c r="AA10"/>
  <c r="J10"/>
  <c r="I10" s="1"/>
  <c r="AB9"/>
  <c r="AA9"/>
  <c r="K9"/>
  <c r="AB8"/>
  <c r="AA8"/>
  <c r="L8"/>
  <c r="L20" s="1"/>
  <c r="I8"/>
  <c r="AB7"/>
  <c r="AA7"/>
  <c r="J7"/>
  <c r="G7"/>
  <c r="F7"/>
  <c r="F21" s="1"/>
  <c r="D7"/>
  <c r="D21" s="1"/>
  <c r="AB6"/>
  <c r="AB13" s="1"/>
  <c r="AA6"/>
  <c r="AA13" s="1"/>
  <c r="J6"/>
  <c r="I6"/>
  <c r="H6"/>
  <c r="G6"/>
  <c r="W13" i="30" l="1"/>
  <c r="Z13"/>
  <c r="AB12"/>
  <c r="AA12"/>
  <c r="Y12"/>
  <c r="AB14"/>
  <c r="AA14"/>
  <c r="Y14"/>
  <c r="W15"/>
  <c r="Z15"/>
  <c r="W21" i="24"/>
  <c r="AA20"/>
  <c r="AB20"/>
  <c r="K20"/>
  <c r="K21" s="1"/>
  <c r="L21"/>
  <c r="S20"/>
  <c r="S21" s="1"/>
  <c r="T21"/>
  <c r="AA21"/>
  <c r="N21"/>
  <c r="P21"/>
  <c r="R21"/>
  <c r="V21"/>
  <c r="X21"/>
  <c r="Z21"/>
  <c r="AA13" i="30" l="1"/>
  <c r="Y13"/>
  <c r="AB13"/>
  <c r="AB16"/>
  <c r="AA15"/>
  <c r="Y15"/>
  <c r="AB15"/>
  <c r="AA16"/>
  <c r="AA24" i="24"/>
  <c r="AB24"/>
  <c r="AB21"/>
  <c r="AB17" i="23" l="1"/>
  <c r="AA17"/>
  <c r="AB16"/>
  <c r="AA16"/>
  <c r="AB14"/>
  <c r="AA14"/>
  <c r="AB13"/>
  <c r="AB18" s="1"/>
  <c r="AA13"/>
  <c r="AA18" s="1"/>
  <c r="AB6"/>
  <c r="AB7" s="1"/>
  <c r="AA6"/>
  <c r="AA7" s="1"/>
  <c r="Z25" i="22"/>
  <c r="Y25"/>
  <c r="V25"/>
  <c r="U25"/>
  <c r="R25"/>
  <c r="Q25"/>
  <c r="N25"/>
  <c r="M25"/>
  <c r="J25"/>
  <c r="I25"/>
  <c r="H25"/>
  <c r="F25"/>
  <c r="E25"/>
  <c r="AB24"/>
  <c r="AA24"/>
  <c r="AB23"/>
  <c r="AA23"/>
  <c r="AB22"/>
  <c r="AA22"/>
  <c r="AB21"/>
  <c r="AA21"/>
  <c r="Z21"/>
  <c r="Z22" s="1"/>
  <c r="V21"/>
  <c r="V22" s="1"/>
  <c r="R21"/>
  <c r="R22" s="1"/>
  <c r="N21"/>
  <c r="N22" s="1"/>
  <c r="J21"/>
  <c r="J22" s="1"/>
  <c r="AB20"/>
  <c r="AA20"/>
  <c r="AB13"/>
  <c r="AA13"/>
  <c r="Y13"/>
  <c r="U13"/>
  <c r="Q13"/>
  <c r="M13"/>
  <c r="I13"/>
  <c r="AB12"/>
  <c r="AA12"/>
  <c r="Y12"/>
  <c r="U12"/>
  <c r="Q12"/>
  <c r="M12"/>
  <c r="I12"/>
  <c r="AB11"/>
  <c r="AA11"/>
  <c r="Y11"/>
  <c r="U11"/>
  <c r="Q11"/>
  <c r="M11"/>
  <c r="I11"/>
  <c r="W10"/>
  <c r="W25" s="1"/>
  <c r="S10"/>
  <c r="S25" s="1"/>
  <c r="O10"/>
  <c r="O25" s="1"/>
  <c r="K10"/>
  <c r="K25" s="1"/>
  <c r="G10"/>
  <c r="G25" s="1"/>
  <c r="AB9"/>
  <c r="AA9"/>
  <c r="Z9"/>
  <c r="Y9"/>
  <c r="V9"/>
  <c r="U9"/>
  <c r="R9"/>
  <c r="Q9"/>
  <c r="N9"/>
  <c r="M9"/>
  <c r="J9"/>
  <c r="I9"/>
  <c r="AA8"/>
  <c r="Y8"/>
  <c r="U8"/>
  <c r="Q8"/>
  <c r="M8"/>
  <c r="L8"/>
  <c r="P8" s="1"/>
  <c r="J8"/>
  <c r="I8"/>
  <c r="AB7"/>
  <c r="AA7"/>
  <c r="Z7"/>
  <c r="Y7"/>
  <c r="V7"/>
  <c r="U7"/>
  <c r="R7"/>
  <c r="Q7"/>
  <c r="N7"/>
  <c r="M7"/>
  <c r="J7"/>
  <c r="I7"/>
  <c r="AB6"/>
  <c r="AA6"/>
  <c r="Z6"/>
  <c r="Y6"/>
  <c r="V6"/>
  <c r="U6"/>
  <c r="R6"/>
  <c r="Q6"/>
  <c r="N6"/>
  <c r="M6"/>
  <c r="I6"/>
  <c r="AB15" i="21"/>
  <c r="AA15"/>
  <c r="AB14"/>
  <c r="AA14"/>
  <c r="AB13"/>
  <c r="AB16" s="1"/>
  <c r="AA13"/>
  <c r="AA16" s="1"/>
  <c r="AB6"/>
  <c r="AB7" s="1"/>
  <c r="AA6"/>
  <c r="AA7" s="1"/>
  <c r="AB19" i="20"/>
  <c r="AB20" s="1"/>
  <c r="AA19"/>
  <c r="AA20" s="1"/>
  <c r="AB11"/>
  <c r="AA11"/>
  <c r="AB10"/>
  <c r="AA10"/>
  <c r="G9"/>
  <c r="H9" s="1"/>
  <c r="D9"/>
  <c r="AB8"/>
  <c r="AA8"/>
  <c r="AB7"/>
  <c r="AA7"/>
  <c r="AB6"/>
  <c r="AA6"/>
  <c r="R8" i="22" l="1"/>
  <c r="P25"/>
  <c r="T8"/>
  <c r="AA25"/>
  <c r="AA26"/>
  <c r="N8"/>
  <c r="AA10"/>
  <c r="AA14" s="1"/>
  <c r="L25"/>
  <c r="I10"/>
  <c r="M10"/>
  <c r="Q10"/>
  <c r="U10"/>
  <c r="Y10"/>
  <c r="AB10"/>
  <c r="K9" i="20"/>
  <c r="X8" i="22" l="1"/>
  <c r="T25"/>
  <c r="V8"/>
  <c r="L9" i="20"/>
  <c r="O9"/>
  <c r="AC19" i="19"/>
  <c r="AB19"/>
  <c r="AC12"/>
  <c r="AB12"/>
  <c r="AC11"/>
  <c r="AB11"/>
  <c r="AC10"/>
  <c r="AB10"/>
  <c r="AC9"/>
  <c r="AB9"/>
  <c r="AC8"/>
  <c r="AB8"/>
  <c r="AC7"/>
  <c r="AB7"/>
  <c r="AC6"/>
  <c r="AC13" s="1"/>
  <c r="AB6"/>
  <c r="AB13" s="1"/>
  <c r="AB9" i="18"/>
  <c r="AA9"/>
  <c r="AB8"/>
  <c r="AA8"/>
  <c r="AB7"/>
  <c r="AA7"/>
  <c r="AB6"/>
  <c r="AB10" s="1"/>
  <c r="AA6"/>
  <c r="AA10" s="1"/>
  <c r="AA16" i="17"/>
  <c r="AB15"/>
  <c r="AB16" s="1"/>
  <c r="X15"/>
  <c r="T15"/>
  <c r="P15"/>
  <c r="L15"/>
  <c r="H15"/>
  <c r="AB8"/>
  <c r="AA8"/>
  <c r="Z8"/>
  <c r="Y8"/>
  <c r="V8"/>
  <c r="U8"/>
  <c r="R8"/>
  <c r="Q8"/>
  <c r="N8"/>
  <c r="M8"/>
  <c r="J8"/>
  <c r="I8"/>
  <c r="AB7"/>
  <c r="AA7"/>
  <c r="Z7"/>
  <c r="Y7"/>
  <c r="V7"/>
  <c r="U7"/>
  <c r="R7"/>
  <c r="Q7"/>
  <c r="N7"/>
  <c r="M7"/>
  <c r="J7"/>
  <c r="I7"/>
  <c r="AB6"/>
  <c r="AB9" s="1"/>
  <c r="AA6"/>
  <c r="AA9" s="1"/>
  <c r="Z6"/>
  <c r="Y6"/>
  <c r="V6"/>
  <c r="U6"/>
  <c r="R6"/>
  <c r="Q6"/>
  <c r="N6"/>
  <c r="M6"/>
  <c r="J6"/>
  <c r="I6"/>
  <c r="AB8" i="22" l="1"/>
  <c r="AB14" s="1"/>
  <c r="Z8"/>
  <c r="X25"/>
  <c r="AB25" s="1"/>
  <c r="AB26" s="1"/>
  <c r="P9" i="20"/>
  <c r="S9"/>
  <c r="J31" i="16"/>
  <c r="N31" s="1"/>
  <c r="R31" s="1"/>
  <c r="V31" s="1"/>
  <c r="Z31" s="1"/>
  <c r="I31"/>
  <c r="M31" s="1"/>
  <c r="Q31" s="1"/>
  <c r="U31" s="1"/>
  <c r="Y31" s="1"/>
  <c r="H31"/>
  <c r="L31" s="1"/>
  <c r="P31" s="1"/>
  <c r="T31" s="1"/>
  <c r="X31" s="1"/>
  <c r="G31"/>
  <c r="K31" s="1"/>
  <c r="O31" s="1"/>
  <c r="S31" s="1"/>
  <c r="W31" s="1"/>
  <c r="J24"/>
  <c r="N24" s="1"/>
  <c r="R24" s="1"/>
  <c r="V24" s="1"/>
  <c r="Z24" s="1"/>
  <c r="I24"/>
  <c r="M24" s="1"/>
  <c r="Q24" s="1"/>
  <c r="U24" s="1"/>
  <c r="Y24" s="1"/>
  <c r="H24"/>
  <c r="L24" s="1"/>
  <c r="P24" s="1"/>
  <c r="T24" s="1"/>
  <c r="X24" s="1"/>
  <c r="G24"/>
  <c r="K24" s="1"/>
  <c r="O24" s="1"/>
  <c r="S24" s="1"/>
  <c r="W24" s="1"/>
  <c r="N23"/>
  <c r="R23" s="1"/>
  <c r="V23" s="1"/>
  <c r="Z23" s="1"/>
  <c r="M23"/>
  <c r="Q23" s="1"/>
  <c r="U23" s="1"/>
  <c r="Y23" s="1"/>
  <c r="L23"/>
  <c r="P23" s="1"/>
  <c r="T23" s="1"/>
  <c r="X23" s="1"/>
  <c r="K23"/>
  <c r="O23" s="1"/>
  <c r="S23" s="1"/>
  <c r="W23" s="1"/>
  <c r="J22"/>
  <c r="N22" s="1"/>
  <c r="R22" s="1"/>
  <c r="V22" s="1"/>
  <c r="Z22" s="1"/>
  <c r="I22"/>
  <c r="M22" s="1"/>
  <c r="Q22" s="1"/>
  <c r="U22" s="1"/>
  <c r="Y22" s="1"/>
  <c r="H22"/>
  <c r="L22" s="1"/>
  <c r="P22" s="1"/>
  <c r="T22" s="1"/>
  <c r="X22" s="1"/>
  <c r="G22"/>
  <c r="K22" s="1"/>
  <c r="O22" s="1"/>
  <c r="S22" s="1"/>
  <c r="W22" s="1"/>
  <c r="N21"/>
  <c r="R21" s="1"/>
  <c r="V21" s="1"/>
  <c r="Z21" s="1"/>
  <c r="M21"/>
  <c r="Q21" s="1"/>
  <c r="U21" s="1"/>
  <c r="Y21" s="1"/>
  <c r="L21"/>
  <c r="P21" s="1"/>
  <c r="T21" s="1"/>
  <c r="X21" s="1"/>
  <c r="K21"/>
  <c r="O21" s="1"/>
  <c r="S21" s="1"/>
  <c r="W21" s="1"/>
  <c r="N20"/>
  <c r="R20" s="1"/>
  <c r="V20" s="1"/>
  <c r="Z20" s="1"/>
  <c r="M20"/>
  <c r="Q20" s="1"/>
  <c r="U20" s="1"/>
  <c r="Y20" s="1"/>
  <c r="L20"/>
  <c r="P20" s="1"/>
  <c r="T20" s="1"/>
  <c r="X20" s="1"/>
  <c r="K20"/>
  <c r="O20" s="1"/>
  <c r="S20" s="1"/>
  <c r="W20" s="1"/>
  <c r="N19"/>
  <c r="R19" s="1"/>
  <c r="V19" s="1"/>
  <c r="Z19" s="1"/>
  <c r="M19"/>
  <c r="Q19" s="1"/>
  <c r="U19" s="1"/>
  <c r="Y19" s="1"/>
  <c r="L19"/>
  <c r="P19" s="1"/>
  <c r="T19" s="1"/>
  <c r="X19" s="1"/>
  <c r="K19"/>
  <c r="O19" s="1"/>
  <c r="S19" s="1"/>
  <c r="W19" s="1"/>
  <c r="N18"/>
  <c r="R18" s="1"/>
  <c r="V18" s="1"/>
  <c r="Z18" s="1"/>
  <c r="M18"/>
  <c r="Q18" s="1"/>
  <c r="U18" s="1"/>
  <c r="Y18" s="1"/>
  <c r="L18"/>
  <c r="P18" s="1"/>
  <c r="T18" s="1"/>
  <c r="X18" s="1"/>
  <c r="K18"/>
  <c r="O18" s="1"/>
  <c r="S18" s="1"/>
  <c r="W18" s="1"/>
  <c r="N17"/>
  <c r="R17" s="1"/>
  <c r="V17" s="1"/>
  <c r="Z17" s="1"/>
  <c r="M17"/>
  <c r="Q17" s="1"/>
  <c r="U17" s="1"/>
  <c r="Y17" s="1"/>
  <c r="L17"/>
  <c r="P17" s="1"/>
  <c r="T17" s="1"/>
  <c r="X17" s="1"/>
  <c r="K17"/>
  <c r="O17" s="1"/>
  <c r="S17" s="1"/>
  <c r="W17" s="1"/>
  <c r="N16"/>
  <c r="R16" s="1"/>
  <c r="V16" s="1"/>
  <c r="Z16" s="1"/>
  <c r="M16"/>
  <c r="Q16" s="1"/>
  <c r="U16" s="1"/>
  <c r="Y16" s="1"/>
  <c r="L16"/>
  <c r="P16" s="1"/>
  <c r="T16" s="1"/>
  <c r="X16" s="1"/>
  <c r="K16"/>
  <c r="O16" s="1"/>
  <c r="S16" s="1"/>
  <c r="W16" s="1"/>
  <c r="N15"/>
  <c r="R15" s="1"/>
  <c r="V15" s="1"/>
  <c r="Z15" s="1"/>
  <c r="M15"/>
  <c r="Q15" s="1"/>
  <c r="U15" s="1"/>
  <c r="Y15" s="1"/>
  <c r="L15"/>
  <c r="P15" s="1"/>
  <c r="T15" s="1"/>
  <c r="X15" s="1"/>
  <c r="K15"/>
  <c r="O15" s="1"/>
  <c r="S15" s="1"/>
  <c r="W15" s="1"/>
  <c r="N14"/>
  <c r="R14" s="1"/>
  <c r="V14" s="1"/>
  <c r="Z14" s="1"/>
  <c r="M14"/>
  <c r="Q14" s="1"/>
  <c r="U14" s="1"/>
  <c r="Y14" s="1"/>
  <c r="L14"/>
  <c r="P14" s="1"/>
  <c r="T14" s="1"/>
  <c r="X14" s="1"/>
  <c r="K14"/>
  <c r="O14" s="1"/>
  <c r="S14" s="1"/>
  <c r="W14" s="1"/>
  <c r="N13"/>
  <c r="R13" s="1"/>
  <c r="V13" s="1"/>
  <c r="Z13" s="1"/>
  <c r="M13"/>
  <c r="Q13" s="1"/>
  <c r="U13" s="1"/>
  <c r="Y13" s="1"/>
  <c r="L13"/>
  <c r="P13" s="1"/>
  <c r="T13" s="1"/>
  <c r="X13" s="1"/>
  <c r="K13"/>
  <c r="O13" s="1"/>
  <c r="S13" s="1"/>
  <c r="W13" s="1"/>
  <c r="N12"/>
  <c r="R12" s="1"/>
  <c r="V12" s="1"/>
  <c r="Z12" s="1"/>
  <c r="M12"/>
  <c r="Q12" s="1"/>
  <c r="U12" s="1"/>
  <c r="Y12" s="1"/>
  <c r="L12"/>
  <c r="P12" s="1"/>
  <c r="T12" s="1"/>
  <c r="X12" s="1"/>
  <c r="K12"/>
  <c r="O12" s="1"/>
  <c r="S12" s="1"/>
  <c r="W12" s="1"/>
  <c r="N11"/>
  <c r="R11" s="1"/>
  <c r="V11" s="1"/>
  <c r="Z11" s="1"/>
  <c r="M11"/>
  <c r="Q11" s="1"/>
  <c r="U11" s="1"/>
  <c r="Y11" s="1"/>
  <c r="L11"/>
  <c r="P11" s="1"/>
  <c r="T11" s="1"/>
  <c r="X11" s="1"/>
  <c r="K11"/>
  <c r="O11" s="1"/>
  <c r="S11" s="1"/>
  <c r="W11" s="1"/>
  <c r="N10"/>
  <c r="R10" s="1"/>
  <c r="V10" s="1"/>
  <c r="Z10" s="1"/>
  <c r="M10"/>
  <c r="Q10" s="1"/>
  <c r="U10" s="1"/>
  <c r="Y10" s="1"/>
  <c r="L10"/>
  <c r="P10" s="1"/>
  <c r="T10" s="1"/>
  <c r="X10" s="1"/>
  <c r="K10"/>
  <c r="O10" s="1"/>
  <c r="S10" s="1"/>
  <c r="W10" s="1"/>
  <c r="N9"/>
  <c r="R9" s="1"/>
  <c r="V9" s="1"/>
  <c r="Z9" s="1"/>
  <c r="M9"/>
  <c r="Q9" s="1"/>
  <c r="U9" s="1"/>
  <c r="Y9" s="1"/>
  <c r="L9"/>
  <c r="P9" s="1"/>
  <c r="T9" s="1"/>
  <c r="X9" s="1"/>
  <c r="K9"/>
  <c r="O9" s="1"/>
  <c r="S9" s="1"/>
  <c r="W9" s="1"/>
  <c r="N8"/>
  <c r="R8" s="1"/>
  <c r="V8" s="1"/>
  <c r="Z8" s="1"/>
  <c r="M8"/>
  <c r="Q8" s="1"/>
  <c r="U8" s="1"/>
  <c r="Y8" s="1"/>
  <c r="L8"/>
  <c r="P8" s="1"/>
  <c r="T8" s="1"/>
  <c r="X8" s="1"/>
  <c r="K8"/>
  <c r="O8" s="1"/>
  <c r="S8" s="1"/>
  <c r="W8" s="1"/>
  <c r="AB7"/>
  <c r="AA7"/>
  <c r="AB6"/>
  <c r="AA6"/>
  <c r="T9" i="20" l="1"/>
  <c r="W9"/>
  <c r="AA8" i="16"/>
  <c r="AB8"/>
  <c r="AB25" s="1"/>
  <c r="AA9"/>
  <c r="AB9"/>
  <c r="AA10"/>
  <c r="AB10"/>
  <c r="AA11"/>
  <c r="AB11"/>
  <c r="AA12"/>
  <c r="AB12"/>
  <c r="AA13"/>
  <c r="AB13"/>
  <c r="AA14"/>
  <c r="AB14"/>
  <c r="AA15"/>
  <c r="AB15"/>
  <c r="AA16"/>
  <c r="AB16"/>
  <c r="AA17"/>
  <c r="AB17"/>
  <c r="AA18"/>
  <c r="AB18"/>
  <c r="AA19"/>
  <c r="AB19"/>
  <c r="AA20"/>
  <c r="AB20"/>
  <c r="AA21"/>
  <c r="AB21"/>
  <c r="AA22"/>
  <c r="AB22"/>
  <c r="AA23"/>
  <c r="AB23"/>
  <c r="AA31"/>
  <c r="AA32" s="1"/>
  <c r="AB31"/>
  <c r="AB32" s="1"/>
  <c r="AA25"/>
  <c r="AB30" i="15"/>
  <c r="AA30"/>
  <c r="Y29"/>
  <c r="W29"/>
  <c r="AA29" s="1"/>
  <c r="U29"/>
  <c r="S29"/>
  <c r="Q29"/>
  <c r="O29"/>
  <c r="M29"/>
  <c r="K29"/>
  <c r="I29"/>
  <c r="G29"/>
  <c r="AB28"/>
  <c r="AA28"/>
  <c r="AB27"/>
  <c r="AA27"/>
  <c r="W26"/>
  <c r="AB26" s="1"/>
  <c r="S26"/>
  <c r="O26"/>
  <c r="K26"/>
  <c r="G26"/>
  <c r="C26"/>
  <c r="AA26" s="1"/>
  <c r="AB24"/>
  <c r="AA24"/>
  <c r="AB23"/>
  <c r="AA23"/>
  <c r="AA31" s="1"/>
  <c r="S23"/>
  <c r="O23"/>
  <c r="G23"/>
  <c r="AB16"/>
  <c r="AA16"/>
  <c r="S16"/>
  <c r="O16"/>
  <c r="G16"/>
  <c r="AB15"/>
  <c r="AA15"/>
  <c r="AB14"/>
  <c r="AA14"/>
  <c r="S14"/>
  <c r="O14"/>
  <c r="K14"/>
  <c r="G14"/>
  <c r="AB13"/>
  <c r="AA13"/>
  <c r="S13"/>
  <c r="O13"/>
  <c r="K13"/>
  <c r="G13"/>
  <c r="Y12"/>
  <c r="W12"/>
  <c r="AA12" s="1"/>
  <c r="U12"/>
  <c r="S12"/>
  <c r="Q12"/>
  <c r="O12"/>
  <c r="M12"/>
  <c r="K12"/>
  <c r="I12"/>
  <c r="G12"/>
  <c r="Y11"/>
  <c r="W11"/>
  <c r="AA11" s="1"/>
  <c r="Y10"/>
  <c r="W10"/>
  <c r="AA10" s="1"/>
  <c r="U10"/>
  <c r="S10"/>
  <c r="Q10"/>
  <c r="O10"/>
  <c r="M10"/>
  <c r="I10"/>
  <c r="AB9"/>
  <c r="AA9"/>
  <c r="Y9"/>
  <c r="S9"/>
  <c r="O9"/>
  <c r="K9"/>
  <c r="G9"/>
  <c r="Y8"/>
  <c r="W8"/>
  <c r="AB8" s="1"/>
  <c r="U8"/>
  <c r="S8"/>
  <c r="Q8"/>
  <c r="O8"/>
  <c r="M8"/>
  <c r="K8"/>
  <c r="I8"/>
  <c r="Y7"/>
  <c r="W7"/>
  <c r="AA7" s="1"/>
  <c r="U7"/>
  <c r="S7"/>
  <c r="Q7"/>
  <c r="O7"/>
  <c r="M7"/>
  <c r="K7"/>
  <c r="I7"/>
  <c r="G7"/>
  <c r="Y6"/>
  <c r="W6"/>
  <c r="AA6" s="1"/>
  <c r="U6"/>
  <c r="S6"/>
  <c r="Q6"/>
  <c r="O6"/>
  <c r="M6"/>
  <c r="K6"/>
  <c r="I6"/>
  <c r="G6"/>
  <c r="X9" i="20" l="1"/>
  <c r="AB9" s="1"/>
  <c r="AA9"/>
  <c r="AB6" i="15"/>
  <c r="AB7"/>
  <c r="AA8"/>
  <c r="AA17" s="1"/>
  <c r="AB10"/>
  <c r="AB11"/>
  <c r="AB12"/>
  <c r="AB29"/>
  <c r="AB31" s="1"/>
  <c r="AB17" l="1"/>
  <c r="Q12" i="14" l="1"/>
  <c r="U12" s="1"/>
  <c r="Y12" s="1"/>
  <c r="J12"/>
  <c r="N12" s="1"/>
  <c r="R12" s="1"/>
  <c r="V12" s="1"/>
  <c r="Z12" s="1"/>
  <c r="I12"/>
  <c r="H12"/>
  <c r="L12" s="1"/>
  <c r="P12" s="1"/>
  <c r="T12" s="1"/>
  <c r="X12" s="1"/>
  <c r="G12"/>
  <c r="K12" s="1"/>
  <c r="O12" s="1"/>
  <c r="S12" s="1"/>
  <c r="W12" s="1"/>
  <c r="H6"/>
  <c r="L6" s="1"/>
  <c r="G6"/>
  <c r="K6" s="1"/>
  <c r="F6"/>
  <c r="E6"/>
  <c r="AA12" l="1"/>
  <c r="AA13" s="1"/>
  <c r="AB12"/>
  <c r="AB13" s="1"/>
  <c r="O6"/>
  <c r="M6"/>
  <c r="P6"/>
  <c r="N6"/>
  <c r="I6"/>
  <c r="J6"/>
  <c r="T6" l="1"/>
  <c r="R6"/>
  <c r="S6"/>
  <c r="Q6"/>
  <c r="W6" l="1"/>
  <c r="U6"/>
  <c r="X6"/>
  <c r="Z6" s="1"/>
  <c r="V6"/>
  <c r="AB6" l="1"/>
  <c r="AB7" s="1"/>
  <c r="AA6"/>
  <c r="AA7" s="1"/>
  <c r="Y6"/>
  <c r="V47" i="13"/>
  <c r="R47"/>
  <c r="N47"/>
  <c r="J47"/>
  <c r="G47"/>
  <c r="K47" s="1"/>
  <c r="V46"/>
  <c r="R46"/>
  <c r="N46"/>
  <c r="J46"/>
  <c r="G46"/>
  <c r="K46" s="1"/>
  <c r="V45"/>
  <c r="R45"/>
  <c r="O45"/>
  <c r="S45" s="1"/>
  <c r="N45"/>
  <c r="L45"/>
  <c r="K45"/>
  <c r="J45"/>
  <c r="H45"/>
  <c r="V43"/>
  <c r="R43"/>
  <c r="N43"/>
  <c r="K43"/>
  <c r="O43" s="1"/>
  <c r="J43"/>
  <c r="H43"/>
  <c r="G43"/>
  <c r="V42"/>
  <c r="R42"/>
  <c r="N42"/>
  <c r="J42"/>
  <c r="V41"/>
  <c r="R41"/>
  <c r="N41"/>
  <c r="J41"/>
  <c r="G41"/>
  <c r="K41" s="1"/>
  <c r="G39"/>
  <c r="H39" s="1"/>
  <c r="G38"/>
  <c r="H38" s="1"/>
  <c r="K37"/>
  <c r="L37" s="1"/>
  <c r="H37"/>
  <c r="I35"/>
  <c r="G35"/>
  <c r="K35" s="1"/>
  <c r="K33"/>
  <c r="L33" s="1"/>
  <c r="H33"/>
  <c r="L32"/>
  <c r="K32"/>
  <c r="O32" s="1"/>
  <c r="H32"/>
  <c r="AA24"/>
  <c r="Z24"/>
  <c r="Y24"/>
  <c r="W24"/>
  <c r="AB24" s="1"/>
  <c r="V24"/>
  <c r="S24"/>
  <c r="U24" s="1"/>
  <c r="R24"/>
  <c r="Q24"/>
  <c r="O24"/>
  <c r="N24"/>
  <c r="K24"/>
  <c r="M24" s="1"/>
  <c r="J24"/>
  <c r="I24"/>
  <c r="G24"/>
  <c r="F24"/>
  <c r="H23"/>
  <c r="L23" s="1"/>
  <c r="G23"/>
  <c r="I23" s="1"/>
  <c r="F23"/>
  <c r="H22"/>
  <c r="G22" s="1"/>
  <c r="I22" s="1"/>
  <c r="F22"/>
  <c r="H21"/>
  <c r="L21" s="1"/>
  <c r="G21"/>
  <c r="I21" s="1"/>
  <c r="F21"/>
  <c r="Z20"/>
  <c r="W20"/>
  <c r="AA20" s="1"/>
  <c r="V20"/>
  <c r="U20"/>
  <c r="S20"/>
  <c r="R20"/>
  <c r="O20"/>
  <c r="Q20" s="1"/>
  <c r="N20"/>
  <c r="M20"/>
  <c r="K20"/>
  <c r="J20"/>
  <c r="G20"/>
  <c r="I20" s="1"/>
  <c r="F20"/>
  <c r="Z19"/>
  <c r="W19"/>
  <c r="AA19" s="1"/>
  <c r="V19"/>
  <c r="U19"/>
  <c r="S19"/>
  <c r="R19"/>
  <c r="O19"/>
  <c r="Q19" s="1"/>
  <c r="N19"/>
  <c r="M19"/>
  <c r="K19"/>
  <c r="J19"/>
  <c r="G19"/>
  <c r="I19" s="1"/>
  <c r="F19"/>
  <c r="Z18"/>
  <c r="W18"/>
  <c r="AA18" s="1"/>
  <c r="V18"/>
  <c r="U18"/>
  <c r="S18"/>
  <c r="R18"/>
  <c r="O18"/>
  <c r="Q18" s="1"/>
  <c r="N18"/>
  <c r="M18"/>
  <c r="K18"/>
  <c r="J18"/>
  <c r="G18"/>
  <c r="I18" s="1"/>
  <c r="F18"/>
  <c r="Z17"/>
  <c r="W17"/>
  <c r="AA17" s="1"/>
  <c r="V17"/>
  <c r="U17"/>
  <c r="S17"/>
  <c r="R17"/>
  <c r="O17"/>
  <c r="Q17" s="1"/>
  <c r="N17"/>
  <c r="M17"/>
  <c r="K17"/>
  <c r="J17"/>
  <c r="G17"/>
  <c r="I17" s="1"/>
  <c r="F17"/>
  <c r="Z16"/>
  <c r="W16"/>
  <c r="AA16" s="1"/>
  <c r="V16"/>
  <c r="U16"/>
  <c r="S16"/>
  <c r="R16"/>
  <c r="O16"/>
  <c r="Q16" s="1"/>
  <c r="N16"/>
  <c r="M16"/>
  <c r="K16"/>
  <c r="J16"/>
  <c r="G16"/>
  <c r="I16" s="1"/>
  <c r="F16"/>
  <c r="Z15"/>
  <c r="W15"/>
  <c r="AA15" s="1"/>
  <c r="V15"/>
  <c r="U15"/>
  <c r="S15"/>
  <c r="R15"/>
  <c r="O15"/>
  <c r="Q15" s="1"/>
  <c r="N15"/>
  <c r="M15"/>
  <c r="K15"/>
  <c r="J15"/>
  <c r="G15"/>
  <c r="I15" s="1"/>
  <c r="F15"/>
  <c r="Z14"/>
  <c r="W14"/>
  <c r="AA14" s="1"/>
  <c r="V14"/>
  <c r="U14"/>
  <c r="S14"/>
  <c r="R14"/>
  <c r="O14"/>
  <c r="Q14" s="1"/>
  <c r="N14"/>
  <c r="M14"/>
  <c r="K14"/>
  <c r="J14"/>
  <c r="G14"/>
  <c r="I14" s="1"/>
  <c r="F14"/>
  <c r="Z13"/>
  <c r="W13"/>
  <c r="AA13" s="1"/>
  <c r="V13"/>
  <c r="U13"/>
  <c r="S13"/>
  <c r="R13"/>
  <c r="O13"/>
  <c r="Q13" s="1"/>
  <c r="N13"/>
  <c r="M13"/>
  <c r="K13"/>
  <c r="J13"/>
  <c r="G13"/>
  <c r="I13" s="1"/>
  <c r="F13"/>
  <c r="Z12"/>
  <c r="W12"/>
  <c r="AA12" s="1"/>
  <c r="V12"/>
  <c r="U12"/>
  <c r="S12"/>
  <c r="R12"/>
  <c r="O12"/>
  <c r="Q12" s="1"/>
  <c r="N12"/>
  <c r="M12"/>
  <c r="K12"/>
  <c r="J12"/>
  <c r="G12"/>
  <c r="I12" s="1"/>
  <c r="F12"/>
  <c r="Z11"/>
  <c r="W11"/>
  <c r="AA11" s="1"/>
  <c r="V11"/>
  <c r="U11"/>
  <c r="S11"/>
  <c r="R11"/>
  <c r="O11"/>
  <c r="Q11" s="1"/>
  <c r="N11"/>
  <c r="M11"/>
  <c r="K11"/>
  <c r="J11"/>
  <c r="G11"/>
  <c r="I11" s="1"/>
  <c r="F11"/>
  <c r="Z10"/>
  <c r="W10"/>
  <c r="AA10" s="1"/>
  <c r="V10"/>
  <c r="U10"/>
  <c r="S10"/>
  <c r="R10"/>
  <c r="O10"/>
  <c r="Q10" s="1"/>
  <c r="N10"/>
  <c r="K10"/>
  <c r="M10" s="1"/>
  <c r="J10"/>
  <c r="G10"/>
  <c r="I10" s="1"/>
  <c r="F10"/>
  <c r="Z9"/>
  <c r="W9"/>
  <c r="AA9" s="1"/>
  <c r="V9"/>
  <c r="S9"/>
  <c r="U9" s="1"/>
  <c r="R9"/>
  <c r="O9"/>
  <c r="Q9" s="1"/>
  <c r="N9"/>
  <c r="K9"/>
  <c r="M9" s="1"/>
  <c r="J9"/>
  <c r="G9"/>
  <c r="I9" s="1"/>
  <c r="F9"/>
  <c r="Z8"/>
  <c r="W8"/>
  <c r="AA8" s="1"/>
  <c r="V8"/>
  <c r="S8"/>
  <c r="U8" s="1"/>
  <c r="R8"/>
  <c r="O8"/>
  <c r="Q8" s="1"/>
  <c r="N8"/>
  <c r="K8"/>
  <c r="M8" s="1"/>
  <c r="J8"/>
  <c r="G8"/>
  <c r="I8" s="1"/>
  <c r="F8"/>
  <c r="Z7"/>
  <c r="W7"/>
  <c r="AA7" s="1"/>
  <c r="V7"/>
  <c r="U7"/>
  <c r="S7"/>
  <c r="R7"/>
  <c r="O7"/>
  <c r="Q7" s="1"/>
  <c r="N7"/>
  <c r="M7"/>
  <c r="K7"/>
  <c r="J7"/>
  <c r="G7"/>
  <c r="I7" s="1"/>
  <c r="F7"/>
  <c r="Z6"/>
  <c r="W6"/>
  <c r="AA6" s="1"/>
  <c r="V6"/>
  <c r="U6"/>
  <c r="S6"/>
  <c r="R6"/>
  <c r="O6"/>
  <c r="Q6" s="1"/>
  <c r="N6"/>
  <c r="M6"/>
  <c r="K6"/>
  <c r="J6"/>
  <c r="G6"/>
  <c r="I6" s="1"/>
  <c r="F6"/>
  <c r="AB28" i="11"/>
  <c r="AA28"/>
  <c r="AB26"/>
  <c r="AA26"/>
  <c r="AB24"/>
  <c r="AA24"/>
  <c r="AB23"/>
  <c r="AB31" s="1"/>
  <c r="AA23"/>
  <c r="AA31" s="1"/>
  <c r="AB15"/>
  <c r="AA15"/>
  <c r="AB14"/>
  <c r="AA14"/>
  <c r="AB13"/>
  <c r="AA13"/>
  <c r="AB12"/>
  <c r="AA12"/>
  <c r="AB11"/>
  <c r="AA11"/>
  <c r="AB10"/>
  <c r="AA10"/>
  <c r="AB9"/>
  <c r="AA9"/>
  <c r="AB8"/>
  <c r="AA8"/>
  <c r="AB7"/>
  <c r="AB16" s="1"/>
  <c r="AA7"/>
  <c r="AA16" s="1"/>
  <c r="P21" i="13" l="1"/>
  <c r="N21"/>
  <c r="K21"/>
  <c r="M21" s="1"/>
  <c r="S32"/>
  <c r="P32"/>
  <c r="O35"/>
  <c r="L35"/>
  <c r="O41"/>
  <c r="L41"/>
  <c r="S43"/>
  <c r="P43"/>
  <c r="O46"/>
  <c r="L46"/>
  <c r="P23"/>
  <c r="N23"/>
  <c r="K23"/>
  <c r="M23" s="1"/>
  <c r="W45"/>
  <c r="T45"/>
  <c r="O47"/>
  <c r="L47"/>
  <c r="AB6"/>
  <c r="AB7"/>
  <c r="AB8"/>
  <c r="AB9"/>
  <c r="AB10"/>
  <c r="AB11"/>
  <c r="AB12"/>
  <c r="AB13"/>
  <c r="AB14"/>
  <c r="AB15"/>
  <c r="AB16"/>
  <c r="AB17"/>
  <c r="AB18"/>
  <c r="AB19"/>
  <c r="AB20"/>
  <c r="J22"/>
  <c r="L22"/>
  <c r="O33"/>
  <c r="O37"/>
  <c r="K38"/>
  <c r="K39"/>
  <c r="G42"/>
  <c r="L43"/>
  <c r="P45"/>
  <c r="H46"/>
  <c r="H47"/>
  <c r="Y6"/>
  <c r="Y7"/>
  <c r="Y8"/>
  <c r="Y9"/>
  <c r="Y10"/>
  <c r="Y11"/>
  <c r="Y12"/>
  <c r="Y13"/>
  <c r="Y14"/>
  <c r="Y15"/>
  <c r="Y16"/>
  <c r="Y17"/>
  <c r="Y18"/>
  <c r="Y19"/>
  <c r="Y20"/>
  <c r="J21"/>
  <c r="J32" s="1"/>
  <c r="I32" s="1"/>
  <c r="J23"/>
  <c r="H35"/>
  <c r="H41"/>
  <c r="AB25" i="10"/>
  <c r="AA25"/>
  <c r="AB23"/>
  <c r="AA23"/>
  <c r="AB21"/>
  <c r="AA21"/>
  <c r="AB19"/>
  <c r="AA19"/>
  <c r="AB17"/>
  <c r="AA17"/>
  <c r="AB15"/>
  <c r="AB26" s="1"/>
  <c r="AA15"/>
  <c r="AA26" s="1"/>
  <c r="AB8"/>
  <c r="AA8"/>
  <c r="AB7"/>
  <c r="AA7"/>
  <c r="AB6"/>
  <c r="AB9" s="1"/>
  <c r="AA6"/>
  <c r="AA9" s="1"/>
  <c r="L39" i="13" l="1"/>
  <c r="O39"/>
  <c r="P37"/>
  <c r="S37"/>
  <c r="K22"/>
  <c r="M22" s="1"/>
  <c r="P22"/>
  <c r="N22"/>
  <c r="N32" s="1"/>
  <c r="M32" s="1"/>
  <c r="T23"/>
  <c r="R23"/>
  <c r="O23"/>
  <c r="Q23" s="1"/>
  <c r="S46"/>
  <c r="P46"/>
  <c r="W43"/>
  <c r="T43"/>
  <c r="S41"/>
  <c r="P41"/>
  <c r="S35"/>
  <c r="P35"/>
  <c r="W32"/>
  <c r="T32"/>
  <c r="K42"/>
  <c r="H42"/>
  <c r="L38"/>
  <c r="O38"/>
  <c r="P33"/>
  <c r="S33"/>
  <c r="S47"/>
  <c r="P47"/>
  <c r="AA45"/>
  <c r="X45"/>
  <c r="AB45" s="1"/>
  <c r="T21"/>
  <c r="R21"/>
  <c r="O21"/>
  <c r="Q21" s="1"/>
  <c r="AB10" i="9"/>
  <c r="AA10"/>
  <c r="AB9"/>
  <c r="AB11" s="1"/>
  <c r="AA9"/>
  <c r="AA11" s="1"/>
  <c r="AB8"/>
  <c r="AA8"/>
  <c r="AB7"/>
  <c r="AA7"/>
  <c r="W47" i="13" l="1"/>
  <c r="T47"/>
  <c r="O42"/>
  <c r="L42"/>
  <c r="AA32"/>
  <c r="AB32"/>
  <c r="X32"/>
  <c r="W35"/>
  <c r="T35"/>
  <c r="W41"/>
  <c r="T41"/>
  <c r="AB43"/>
  <c r="X43"/>
  <c r="AA43"/>
  <c r="W46"/>
  <c r="T46"/>
  <c r="X21"/>
  <c r="V21"/>
  <c r="S21"/>
  <c r="U21" s="1"/>
  <c r="T33"/>
  <c r="W33"/>
  <c r="P38"/>
  <c r="S38"/>
  <c r="X23"/>
  <c r="V23"/>
  <c r="S23"/>
  <c r="U23" s="1"/>
  <c r="O22"/>
  <c r="Q22" s="1"/>
  <c r="T22"/>
  <c r="R22"/>
  <c r="T37"/>
  <c r="W37"/>
  <c r="P39"/>
  <c r="S39"/>
  <c r="R32"/>
  <c r="Q32" s="1"/>
  <c r="AB19" i="8"/>
  <c r="AB20" s="1"/>
  <c r="AA19"/>
  <c r="AA20" s="1"/>
  <c r="AB11"/>
  <c r="AA11"/>
  <c r="AB10"/>
  <c r="AA10"/>
  <c r="AB9"/>
  <c r="AA9"/>
  <c r="AB8"/>
  <c r="AA8"/>
  <c r="AB7"/>
  <c r="AA7"/>
  <c r="AB6"/>
  <c r="AB12" s="1"/>
  <c r="AA6"/>
  <c r="AA12" s="1"/>
  <c r="S22" i="13" l="1"/>
  <c r="U22" s="1"/>
  <c r="X22"/>
  <c r="V22"/>
  <c r="Z23"/>
  <c r="W23"/>
  <c r="AB41"/>
  <c r="X41"/>
  <c r="AA41"/>
  <c r="AA35"/>
  <c r="AB35"/>
  <c r="X35"/>
  <c r="T39"/>
  <c r="W39"/>
  <c r="AB37"/>
  <c r="X37"/>
  <c r="AA37"/>
  <c r="T38"/>
  <c r="W38"/>
  <c r="X33"/>
  <c r="AB33" s="1"/>
  <c r="AA33"/>
  <c r="Z21"/>
  <c r="W21"/>
  <c r="AA46"/>
  <c r="X46"/>
  <c r="AB46" s="1"/>
  <c r="S42"/>
  <c r="P42"/>
  <c r="AA47"/>
  <c r="AB47"/>
  <c r="X47"/>
  <c r="V32"/>
  <c r="U32" s="1"/>
  <c r="AB14" i="7"/>
  <c r="AB15" s="1"/>
  <c r="AA14"/>
  <c r="AA15" s="1"/>
  <c r="AB7"/>
  <c r="AA7"/>
  <c r="AB6"/>
  <c r="AB8" s="1"/>
  <c r="AA6"/>
  <c r="AA8" s="1"/>
  <c r="AB38" i="13" l="1"/>
  <c r="X38"/>
  <c r="AA38"/>
  <c r="W22"/>
  <c r="Z22"/>
  <c r="W42"/>
  <c r="T42"/>
  <c r="AB21"/>
  <c r="AA21"/>
  <c r="Y21"/>
  <c r="AB39"/>
  <c r="X39"/>
  <c r="AA39"/>
  <c r="AB23"/>
  <c r="AA23"/>
  <c r="Y23"/>
  <c r="Y30" i="6"/>
  <c r="W30"/>
  <c r="AA30" s="1"/>
  <c r="I30"/>
  <c r="G30"/>
  <c r="Z29"/>
  <c r="Y29" s="1"/>
  <c r="X29"/>
  <c r="W29" s="1"/>
  <c r="V29"/>
  <c r="U29" s="1"/>
  <c r="T29"/>
  <c r="S29" s="1"/>
  <c r="R29"/>
  <c r="Q29" s="1"/>
  <c r="P29"/>
  <c r="O29" s="1"/>
  <c r="N29"/>
  <c r="M29" s="1"/>
  <c r="L29"/>
  <c r="K29" s="1"/>
  <c r="J29"/>
  <c r="I29" s="1"/>
  <c r="H29"/>
  <c r="G29" s="1"/>
  <c r="X27"/>
  <c r="W27"/>
  <c r="AA27" s="1"/>
  <c r="T27"/>
  <c r="S27"/>
  <c r="P27"/>
  <c r="O27"/>
  <c r="L27"/>
  <c r="K27"/>
  <c r="H27"/>
  <c r="G27"/>
  <c r="AA25"/>
  <c r="X25"/>
  <c r="AB25" s="1"/>
  <c r="T25"/>
  <c r="P25"/>
  <c r="L25"/>
  <c r="H25"/>
  <c r="D25"/>
  <c r="AB23"/>
  <c r="AA23"/>
  <c r="X21"/>
  <c r="W21" s="1"/>
  <c r="T21"/>
  <c r="S21" s="1"/>
  <c r="P21"/>
  <c r="O21"/>
  <c r="L21"/>
  <c r="K21"/>
  <c r="H21"/>
  <c r="G21"/>
  <c r="AB19"/>
  <c r="AA19"/>
  <c r="H19"/>
  <c r="G19"/>
  <c r="D19"/>
  <c r="AB17"/>
  <c r="AA17"/>
  <c r="G17"/>
  <c r="D17"/>
  <c r="T17" s="1"/>
  <c r="X10"/>
  <c r="W10"/>
  <c r="AB10" s="1"/>
  <c r="T10"/>
  <c r="S10"/>
  <c r="P10"/>
  <c r="O10"/>
  <c r="L10"/>
  <c r="K10"/>
  <c r="H10"/>
  <c r="G10"/>
  <c r="AB9"/>
  <c r="AA9"/>
  <c r="G9"/>
  <c r="D9"/>
  <c r="H9" s="1"/>
  <c r="AB8"/>
  <c r="AA8"/>
  <c r="H8"/>
  <c r="F8"/>
  <c r="J8" s="1"/>
  <c r="AB7"/>
  <c r="AA7"/>
  <c r="R7"/>
  <c r="Q7"/>
  <c r="AB6"/>
  <c r="AB11" s="1"/>
  <c r="AA6"/>
  <c r="U6"/>
  <c r="I6"/>
  <c r="D6"/>
  <c r="J6" s="1"/>
  <c r="AB15" i="5"/>
  <c r="AB16" s="1"/>
  <c r="AA15"/>
  <c r="AA16" s="1"/>
  <c r="AB7"/>
  <c r="AA7"/>
  <c r="AB6"/>
  <c r="AB8" s="1"/>
  <c r="AA6"/>
  <c r="AA8" s="1"/>
  <c r="X42" i="13" l="1"/>
  <c r="AB42" s="1"/>
  <c r="AB48" s="1"/>
  <c r="AA42"/>
  <c r="AA22"/>
  <c r="AA25" s="1"/>
  <c r="Y22"/>
  <c r="AB22"/>
  <c r="AB25" s="1"/>
  <c r="AA48"/>
  <c r="AA21" i="6"/>
  <c r="AB21"/>
  <c r="AB31" s="1"/>
  <c r="AA29"/>
  <c r="AB29"/>
  <c r="AA31"/>
  <c r="H6"/>
  <c r="AA10"/>
  <c r="AA11" s="1"/>
  <c r="H17"/>
  <c r="P17"/>
  <c r="AB27"/>
  <c r="AB30"/>
  <c r="L17"/>
  <c r="AB37" i="4"/>
  <c r="AA37"/>
  <c r="AB35"/>
  <c r="AA35"/>
  <c r="AB34"/>
  <c r="AA34"/>
  <c r="AB33"/>
  <c r="AA33"/>
  <c r="AB32"/>
  <c r="AA32"/>
  <c r="AB31"/>
  <c r="AA31"/>
  <c r="AB30"/>
  <c r="AA30"/>
  <c r="AB29"/>
  <c r="AA29"/>
  <c r="AB28"/>
  <c r="AA28"/>
  <c r="AB27"/>
  <c r="AA27"/>
  <c r="AB26"/>
  <c r="AA26"/>
  <c r="AB25"/>
  <c r="AA25"/>
  <c r="AB23"/>
  <c r="AA23"/>
  <c r="AB22"/>
  <c r="AB38" s="1"/>
  <c r="AA22"/>
  <c r="AA38" s="1"/>
  <c r="AB21"/>
  <c r="AA21"/>
  <c r="AB20"/>
  <c r="AA20"/>
  <c r="AB19"/>
  <c r="AA19"/>
  <c r="AB9"/>
  <c r="AA9"/>
  <c r="AB8"/>
  <c r="AA8"/>
  <c r="AB7"/>
  <c r="AB10" s="1"/>
  <c r="AA7"/>
  <c r="AA10" s="1"/>
  <c r="AB16" i="1" l="1"/>
  <c r="AA16"/>
  <c r="AB15"/>
  <c r="AB17" s="1"/>
  <c r="AA15"/>
  <c r="AA17" s="1"/>
  <c r="AB7"/>
  <c r="AA7"/>
  <c r="AB6"/>
  <c r="AB8" s="1"/>
  <c r="AA6"/>
  <c r="AA8" s="1"/>
</calcChain>
</file>

<file path=xl/comments1.xml><?xml version="1.0" encoding="utf-8"?>
<comments xmlns="http://schemas.openxmlformats.org/spreadsheetml/2006/main">
  <authors>
    <author>DP7</author>
  </authors>
  <commentList>
    <comment ref="D6" authorId="0">
      <text>
        <r>
          <rPr>
            <b/>
            <sz val="9"/>
            <color indexed="81"/>
            <rFont val="Tahoma"/>
            <family val="2"/>
            <charset val="186"/>
          </rPr>
          <t>DP7:</t>
        </r>
        <r>
          <rPr>
            <sz val="9"/>
            <color indexed="81"/>
            <rFont val="Tahoma"/>
            <family val="2"/>
            <charset val="186"/>
          </rPr>
          <t xml:space="preserve">
NĪTIS standartkopu skaits;
NIVKIS datu atlases un izsniegtie dokumenti (par NĪ vai NĪ objektu);</t>
        </r>
      </text>
    </comment>
    <comment ref="F6" authorId="0">
      <text>
        <r>
          <rPr>
            <b/>
            <sz val="9"/>
            <color indexed="81"/>
            <rFont val="Tahoma"/>
            <family val="2"/>
            <charset val="186"/>
          </rPr>
          <t>DP7:</t>
        </r>
        <r>
          <rPr>
            <sz val="9"/>
            <color indexed="81"/>
            <rFont val="Tahoma"/>
            <family val="2"/>
            <charset val="186"/>
          </rPr>
          <t xml:space="preserve">
Ņemot vērā, ka elektroniskā veidā datus iespējams apskatīt bez autentifikācijas, nav iespējams identificēt, cik lietotāji (personas) šos pieprasījumus veikuši, tādēļ norādam pieprasījumu skaitu, nevis lietotājus. 1 lietoājs = 1 pieprasījums</t>
        </r>
      </text>
    </comment>
    <comment ref="H7" authorId="0">
      <text>
        <r>
          <rPr>
            <b/>
            <sz val="9"/>
            <color indexed="81"/>
            <rFont val="Tahoma"/>
            <family val="2"/>
            <charset val="186"/>
          </rPr>
          <t>DP7:</t>
        </r>
        <r>
          <rPr>
            <sz val="9"/>
            <color indexed="81"/>
            <rFont val="Tahoma"/>
            <family val="2"/>
            <charset val="186"/>
          </rPr>
          <t xml:space="preserve">
Tā skaitā bezmaksas tematisko karšu pieprasījumi. Šobrīd uz teksta datiem bezmaksas ir ~ 1 milj.gadā</t>
        </r>
      </text>
    </comment>
    <comment ref="J7" authorId="0">
      <text>
        <r>
          <rPr>
            <b/>
            <sz val="9"/>
            <color indexed="81"/>
            <rFont val="Tahoma"/>
            <family val="2"/>
            <charset val="186"/>
          </rPr>
          <t>DP7:</t>
        </r>
        <r>
          <rPr>
            <sz val="9"/>
            <color indexed="81"/>
            <rFont val="Tahoma"/>
            <family val="2"/>
            <charset val="186"/>
          </rPr>
          <t xml:space="preserve">
Ņemot vērā, ka elektroniskā veidā datus iespējams apskatīt bez autentifikācijas, nav iespējams identificēt, cik lietotāji (personas) šos pieprasījumus veikuši, tādēļ norādam pieprasījumu skaitu, nevis lietotājus. 
1 lietoājs = 1 pieprasījums</t>
        </r>
      </text>
    </comment>
    <comment ref="C8" authorId="0">
      <text>
        <r>
          <rPr>
            <b/>
            <sz val="9"/>
            <color indexed="81"/>
            <rFont val="Tahoma"/>
            <family val="2"/>
            <charset val="186"/>
          </rPr>
          <t>DP7:</t>
        </r>
        <r>
          <rPr>
            <sz val="9"/>
            <color indexed="81"/>
            <rFont val="Tahoma"/>
            <family val="2"/>
            <charset val="186"/>
          </rPr>
          <t xml:space="preserve">
Šobrīd elektroniski var pasūtīt tikai maksātnespējas administratori, ZV tiesu izpildītāji un valsts iestādes, ar kurām ir noslēgti līgumi</t>
        </r>
      </text>
    </comment>
    <comment ref="E8" authorId="0">
      <text>
        <r>
          <rPr>
            <b/>
            <sz val="9"/>
            <color indexed="81"/>
            <rFont val="Tahoma"/>
            <family val="2"/>
            <charset val="186"/>
          </rPr>
          <t>DP7:</t>
        </r>
        <r>
          <rPr>
            <sz val="9"/>
            <color indexed="81"/>
            <rFont val="Tahoma"/>
            <family val="2"/>
            <charset val="186"/>
          </rPr>
          <t xml:space="preserve">
ņemopt vērā, ka elektroniskā veidā portālā datus iespējams apskatīt bez autentifikācijas, nav iespējams identificēt, cik lietotāji (personas) šos pieprasījumus veikuši, tādēļ norādam pieprasījumu skaitu, nevis lietotājus.</t>
        </r>
      </text>
    </comment>
    <comment ref="F8" authorId="0">
      <text>
        <r>
          <rPr>
            <b/>
            <sz val="9"/>
            <color indexed="81"/>
            <rFont val="Tahoma"/>
            <family val="2"/>
            <charset val="186"/>
          </rPr>
          <t>DP7:</t>
        </r>
        <r>
          <rPr>
            <sz val="9"/>
            <color indexed="81"/>
            <rFont val="Tahoma"/>
            <family val="2"/>
            <charset val="186"/>
          </rPr>
          <t xml:space="preserve">
Pieņemts, ka viens lietotājs ir viens pieprasījums</t>
        </r>
      </text>
    </comment>
    <comment ref="D9" authorId="0">
      <text>
        <r>
          <rPr>
            <b/>
            <sz val="9"/>
            <color indexed="81"/>
            <rFont val="Tahoma"/>
            <family val="2"/>
            <charset val="186"/>
          </rPr>
          <t>DP7:</t>
        </r>
        <r>
          <rPr>
            <sz val="9"/>
            <color indexed="81"/>
            <rFont val="Tahoma"/>
            <family val="2"/>
            <charset val="186"/>
          </rPr>
          <t xml:space="preserve">
2012.gada pusgadā 7126*2 ZKU
4196 * 2 - topo
280 x 2 - ZIP</t>
        </r>
      </text>
    </comment>
    <comment ref="H9" authorId="0">
      <text>
        <r>
          <rPr>
            <b/>
            <sz val="9"/>
            <color indexed="81"/>
            <rFont val="Tahoma"/>
            <family val="2"/>
            <charset val="186"/>
          </rPr>
          <t>DP7:</t>
        </r>
        <r>
          <rPr>
            <sz val="9"/>
            <color indexed="81"/>
            <rFont val="Tahoma"/>
            <family val="2"/>
            <charset val="186"/>
          </rPr>
          <t xml:space="preserve">
+ info BKU veicējiem</t>
        </r>
      </text>
    </comment>
    <comment ref="D10" authorId="0">
      <text>
        <r>
          <rPr>
            <b/>
            <sz val="9"/>
            <color indexed="81"/>
            <rFont val="Tahoma"/>
            <family val="2"/>
            <charset val="186"/>
          </rPr>
          <t>DP7:</t>
        </r>
        <r>
          <rPr>
            <sz val="9"/>
            <color indexed="81"/>
            <rFont val="Tahoma"/>
            <family val="2"/>
            <charset val="186"/>
          </rPr>
          <t xml:space="preserve">
Katrai iestādei 1 pieprasījums mēnesī</t>
        </r>
      </text>
    </comment>
    <comment ref="F10" authorId="0">
      <text>
        <r>
          <rPr>
            <b/>
            <sz val="9"/>
            <color indexed="81"/>
            <rFont val="Tahoma"/>
            <family val="2"/>
            <charset val="186"/>
          </rPr>
          <t>DP7:</t>
        </r>
        <r>
          <rPr>
            <sz val="9"/>
            <color indexed="81"/>
            <rFont val="Tahoma"/>
            <family val="2"/>
            <charset val="186"/>
          </rPr>
          <t xml:space="preserve">
Lietotāju skaits = iestādes</t>
        </r>
      </text>
    </comment>
    <comment ref="B17" authorId="0">
      <text>
        <r>
          <rPr>
            <b/>
            <sz val="9"/>
            <color indexed="81"/>
            <rFont val="Tahoma"/>
            <family val="2"/>
            <charset val="186"/>
          </rPr>
          <t>DP7:</t>
        </r>
        <r>
          <rPr>
            <sz val="9"/>
            <color indexed="81"/>
            <rFont val="Tahoma"/>
            <family val="2"/>
            <charset val="186"/>
          </rPr>
          <t xml:space="preserve">
Automatizēti reģistrēto adrešu skaits</t>
        </r>
      </text>
    </comment>
    <comment ref="C17" authorId="0">
      <text>
        <r>
          <rPr>
            <b/>
            <sz val="9"/>
            <color indexed="81"/>
            <rFont val="Tahoma"/>
            <family val="2"/>
            <charset val="186"/>
          </rPr>
          <t>DP7:</t>
        </r>
        <r>
          <rPr>
            <sz val="9"/>
            <color indexed="81"/>
            <rFont val="Tahoma"/>
            <family val="2"/>
            <charset val="186"/>
          </rPr>
          <t xml:space="preserve">
automatizēti reģistrēto adrešu skaits</t>
        </r>
      </text>
    </comment>
    <comment ref="D17" authorId="0">
      <text>
        <r>
          <rPr>
            <b/>
            <sz val="9"/>
            <color indexed="81"/>
            <rFont val="Tahoma"/>
            <family val="2"/>
            <charset val="186"/>
          </rPr>
          <t>DP7:</t>
        </r>
        <r>
          <rPr>
            <sz val="9"/>
            <color indexed="81"/>
            <rFont val="Tahoma"/>
            <family val="2"/>
            <charset val="186"/>
          </rPr>
          <t xml:space="preserve">
VAR reģistrēto un aktualizēto adresācijas objektu skaits
Reģistrētas jaunas ~ 20K
Aktualizētie adres.obj. = 70K</t>
        </r>
      </text>
    </comment>
    <comment ref="F17" authorId="0">
      <text>
        <r>
          <rPr>
            <b/>
            <sz val="9"/>
            <color indexed="81"/>
            <rFont val="Tahoma"/>
            <family val="2"/>
            <charset val="186"/>
          </rPr>
          <t>DP7:</t>
        </r>
        <r>
          <rPr>
            <sz val="9"/>
            <color indexed="81"/>
            <rFont val="Tahoma"/>
            <family val="2"/>
            <charset val="186"/>
          </rPr>
          <t xml:space="preserve">
šobrīd 1 lietotājs - VZD</t>
        </r>
      </text>
    </comment>
    <comment ref="I17" authorId="0">
      <text>
        <r>
          <rPr>
            <b/>
            <sz val="9"/>
            <color indexed="81"/>
            <rFont val="Tahoma"/>
            <family val="2"/>
            <charset val="186"/>
          </rPr>
          <t>DP7:</t>
        </r>
        <r>
          <rPr>
            <sz val="9"/>
            <color indexed="81"/>
            <rFont val="Tahoma"/>
            <family val="2"/>
            <charset val="186"/>
          </rPr>
          <t xml:space="preserve">
VZD un 9 pašvaldības</t>
        </r>
      </text>
    </comment>
    <comment ref="Z17" authorId="0">
      <text>
        <r>
          <rPr>
            <b/>
            <sz val="9"/>
            <color indexed="81"/>
            <rFont val="Tahoma"/>
            <family val="2"/>
            <charset val="186"/>
          </rPr>
          <t>DP7:</t>
        </r>
        <r>
          <rPr>
            <sz val="9"/>
            <color indexed="81"/>
            <rFont val="Tahoma"/>
            <family val="2"/>
            <charset val="186"/>
          </rPr>
          <t xml:space="preserve">
119 pašvaldības
+
1 VZD</t>
        </r>
      </text>
    </comment>
    <comment ref="D19" authorId="0">
      <text>
        <r>
          <rPr>
            <b/>
            <sz val="9"/>
            <color indexed="81"/>
            <rFont val="Tahoma"/>
            <family val="2"/>
            <charset val="186"/>
          </rPr>
          <t>DP7:</t>
        </r>
        <r>
          <rPr>
            <sz val="9"/>
            <color indexed="81"/>
            <rFont val="Tahoma"/>
            <family val="2"/>
            <charset val="186"/>
          </rPr>
          <t xml:space="preserve">
Būves + zemes vienības + telpu grupas +aktualizāciju skaits</t>
        </r>
      </text>
    </comment>
    <comment ref="F19" authorId="0">
      <text>
        <r>
          <rPr>
            <b/>
            <sz val="9"/>
            <color indexed="81"/>
            <rFont val="Tahoma"/>
            <family val="2"/>
            <charset val="186"/>
          </rPr>
          <t>DP7:</t>
        </r>
        <r>
          <rPr>
            <sz val="9"/>
            <color indexed="81"/>
            <rFont val="Tahoma"/>
            <family val="2"/>
            <charset val="186"/>
          </rPr>
          <t xml:space="preserve">
šobrīd 1 lietotājs - VZD</t>
        </r>
      </text>
    </comment>
    <comment ref="H19" authorId="0">
      <text>
        <r>
          <rPr>
            <b/>
            <sz val="9"/>
            <color indexed="81"/>
            <rFont val="Tahoma"/>
            <family val="2"/>
            <charset val="186"/>
          </rPr>
          <t>DP7:</t>
        </r>
        <r>
          <rPr>
            <sz val="9"/>
            <color indexed="81"/>
            <rFont val="Tahoma"/>
            <family val="2"/>
            <charset val="186"/>
          </rPr>
          <t xml:space="preserve">
Būves + zemes vienības + telpu grupas +aktualizāciju skaits</t>
        </r>
      </text>
    </comment>
    <comment ref="J21" authorId="0">
      <text>
        <r>
          <rPr>
            <b/>
            <sz val="9"/>
            <color indexed="81"/>
            <rFont val="Tahoma"/>
            <family val="2"/>
            <charset val="186"/>
          </rPr>
          <t>DP7:</t>
        </r>
        <r>
          <rPr>
            <sz val="9"/>
            <color indexed="81"/>
            <rFont val="Tahoma"/>
            <family val="2"/>
            <charset val="186"/>
          </rPr>
          <t xml:space="preserve">
IK turētāji, kas sākot no 1.01.2014 (~ 4 mēnešos) varētu iesniegt datus</t>
        </r>
      </text>
    </comment>
    <comment ref="N21" authorId="0">
      <text>
        <r>
          <rPr>
            <b/>
            <sz val="9"/>
            <color indexed="81"/>
            <rFont val="Tahoma"/>
            <family val="2"/>
            <charset val="186"/>
          </rPr>
          <t>DP7:</t>
        </r>
        <r>
          <rPr>
            <sz val="9"/>
            <color indexed="81"/>
            <rFont val="Tahoma"/>
            <family val="2"/>
            <charset val="186"/>
          </rPr>
          <t xml:space="preserve">
120 pašvaldības x 2 (kom.sniedz).
+ 300 IK uzturētāji
Norādām vismaz +100</t>
        </r>
      </text>
    </comment>
    <comment ref="C23" authorId="0">
      <text>
        <r>
          <rPr>
            <b/>
            <sz val="9"/>
            <color indexed="81"/>
            <rFont val="Tahoma"/>
            <family val="2"/>
            <charset val="186"/>
          </rPr>
          <t>DP7:</t>
        </r>
        <r>
          <rPr>
            <sz val="9"/>
            <color indexed="81"/>
            <rFont val="Tahoma"/>
            <family val="2"/>
            <charset val="186"/>
          </rPr>
          <t xml:space="preserve">
ADTI planšetu skaits (reģistrētas atbilstoši specifikācijai)</t>
        </r>
      </text>
    </comment>
    <comment ref="D23" authorId="0">
      <text>
        <r>
          <rPr>
            <b/>
            <sz val="9"/>
            <color indexed="81"/>
            <rFont val="Tahoma"/>
            <family val="2"/>
            <charset val="186"/>
          </rPr>
          <t>DP7:</t>
        </r>
        <r>
          <rPr>
            <sz val="9"/>
            <color indexed="81"/>
            <rFont val="Tahoma"/>
            <family val="2"/>
            <charset val="186"/>
          </rPr>
          <t xml:space="preserve">
Kopējais reģistrēto planšetu skaits</t>
        </r>
      </text>
    </comment>
    <comment ref="F23" authorId="0">
      <text>
        <r>
          <rPr>
            <b/>
            <sz val="9"/>
            <color indexed="81"/>
            <rFont val="Tahoma"/>
            <family val="2"/>
            <charset val="186"/>
          </rPr>
          <t>DP7:</t>
        </r>
        <r>
          <rPr>
            <sz val="9"/>
            <color indexed="81"/>
            <rFont val="Tahoma"/>
            <family val="2"/>
            <charset val="186"/>
          </rPr>
          <t xml:space="preserve">
Šobrīd tikai 1 lietotājs = VZD</t>
        </r>
      </text>
    </comment>
    <comment ref="J23" authorId="0">
      <text>
        <r>
          <rPr>
            <b/>
            <sz val="9"/>
            <color indexed="81"/>
            <rFont val="Tahoma"/>
            <family val="2"/>
            <charset val="186"/>
          </rPr>
          <t>DP7:</t>
        </r>
        <r>
          <rPr>
            <sz val="9"/>
            <color indexed="81"/>
            <rFont val="Tahoma"/>
            <family val="2"/>
            <charset val="186"/>
          </rPr>
          <t xml:space="preserve">
Lietotājs ir datu centrs par 50 pašvaldībām, bet pieslēgumi ir 50. Norādām pieslēgumu skaitu.
119 pašvaldības + VZD</t>
        </r>
      </text>
    </comment>
    <comment ref="N23" authorId="0">
      <text>
        <r>
          <rPr>
            <b/>
            <sz val="9"/>
            <color indexed="81"/>
            <rFont val="Tahoma"/>
            <family val="2"/>
            <charset val="186"/>
          </rPr>
          <t>DP7:</t>
        </r>
        <r>
          <rPr>
            <sz val="9"/>
            <color indexed="81"/>
            <rFont val="Tahoma"/>
            <family val="2"/>
            <charset val="186"/>
          </rPr>
          <t xml:space="preserve">
Lietotājs ir datu centrs par 50 pašvaldībām, bet pieslēgumi ir 50. Norādām pieslēgumu skaitu.</t>
        </r>
      </text>
    </comment>
    <comment ref="R23" authorId="0">
      <text>
        <r>
          <rPr>
            <b/>
            <sz val="9"/>
            <color indexed="81"/>
            <rFont val="Tahoma"/>
            <family val="2"/>
            <charset val="186"/>
          </rPr>
          <t>DP7:</t>
        </r>
        <r>
          <rPr>
            <sz val="9"/>
            <color indexed="81"/>
            <rFont val="Tahoma"/>
            <family val="2"/>
            <charset val="186"/>
          </rPr>
          <t xml:space="preserve">
Lietotājs ir datu centrs par 50 pašvaldībām, bet pieslēgumi ir 50. Norādām pieslēgumu skaitu.</t>
        </r>
      </text>
    </comment>
    <comment ref="V23" authorId="0">
      <text>
        <r>
          <rPr>
            <b/>
            <sz val="9"/>
            <color indexed="81"/>
            <rFont val="Tahoma"/>
            <family val="2"/>
            <charset val="186"/>
          </rPr>
          <t>DP7:</t>
        </r>
        <r>
          <rPr>
            <sz val="9"/>
            <color indexed="81"/>
            <rFont val="Tahoma"/>
            <family val="2"/>
            <charset val="186"/>
          </rPr>
          <t xml:space="preserve">
Lietotājs ir datu centrs par 50 pašvaldībām, bet pieslēgumi ir 50. Norādām pieslēgumu skaitu.</t>
        </r>
      </text>
    </comment>
    <comment ref="Z23" authorId="0">
      <text>
        <r>
          <rPr>
            <b/>
            <sz val="9"/>
            <color indexed="81"/>
            <rFont val="Tahoma"/>
            <family val="2"/>
            <charset val="186"/>
          </rPr>
          <t>DP7:</t>
        </r>
        <r>
          <rPr>
            <sz val="9"/>
            <color indexed="81"/>
            <rFont val="Tahoma"/>
            <family val="2"/>
            <charset val="186"/>
          </rPr>
          <t xml:space="preserve">
Lietotājs ir datu centrs par 50 pašvaldībām, bet pieslēgumi ir 50. Norādām pieslēgumu skaitu.</t>
        </r>
      </text>
    </comment>
    <comment ref="D25" authorId="0">
      <text>
        <r>
          <rPr>
            <b/>
            <sz val="9"/>
            <color indexed="81"/>
            <rFont val="Tahoma"/>
            <family val="2"/>
            <charset val="186"/>
          </rPr>
          <t>DP7:</t>
        </r>
        <r>
          <rPr>
            <sz val="9"/>
            <color indexed="81"/>
            <rFont val="Tahoma"/>
            <family val="2"/>
            <charset val="186"/>
          </rPr>
          <t xml:space="preserve">
lauksaimniecībā izmantojamās zemes vērtību zonējums – 587 zonas
meža zemes vērtību zonējums – 587 zonas
dzīvojamo māju apbūves vērtību zonējums – 1535 zonas
rūpnieciskās ražošanas objektu apbūves vērtību zonējums – 1030 zonas
komercobjektu apbūves vērtību zonējums – 1201 zonas
</t>
        </r>
      </text>
    </comment>
    <comment ref="F25" authorId="0">
      <text>
        <r>
          <rPr>
            <b/>
            <sz val="9"/>
            <color indexed="81"/>
            <rFont val="Tahoma"/>
            <family val="2"/>
            <charset val="186"/>
          </rPr>
          <t>DP7:</t>
        </r>
        <r>
          <rPr>
            <sz val="9"/>
            <color indexed="81"/>
            <rFont val="Tahoma"/>
            <family val="2"/>
            <charset val="186"/>
          </rPr>
          <t xml:space="preserve">
1 lietotājs = VZD</t>
        </r>
      </text>
    </comment>
    <comment ref="H27" authorId="0">
      <text>
        <r>
          <rPr>
            <b/>
            <sz val="9"/>
            <color indexed="81"/>
            <rFont val="Tahoma"/>
            <family val="2"/>
            <charset val="186"/>
          </rPr>
          <t>DP7:</t>
        </r>
        <r>
          <rPr>
            <sz val="9"/>
            <color indexed="81"/>
            <rFont val="Tahoma"/>
            <family val="2"/>
            <charset val="186"/>
          </rPr>
          <t xml:space="preserve">
5 datu kopas:
Zemes vienības no IKK
Būves kontūras no IKK
Adreses (punkti un ielas)
Administratīvās robežas
Metadati (visiem metadatiem, kas katalogā viena pakalpe)
Replikācija reizi dienā. Tātad 365 reizes gadā x 5 datu kopas</t>
        </r>
      </text>
    </comment>
    <comment ref="J27" authorId="0">
      <text>
        <r>
          <rPr>
            <b/>
            <sz val="9"/>
            <color indexed="81"/>
            <rFont val="Tahoma"/>
            <family val="2"/>
            <charset val="186"/>
          </rPr>
          <t>DP7:</t>
        </r>
        <r>
          <rPr>
            <sz val="9"/>
            <color indexed="81"/>
            <rFont val="Tahoma"/>
            <family val="2"/>
            <charset val="186"/>
          </rPr>
          <t xml:space="preserve">
1 lietotājs = ĢeoPortāls</t>
        </r>
      </text>
    </comment>
    <comment ref="L27" authorId="0">
      <text>
        <r>
          <rPr>
            <b/>
            <sz val="9"/>
            <color indexed="81"/>
            <rFont val="Tahoma"/>
            <family val="2"/>
            <charset val="186"/>
          </rPr>
          <t>DP7:</t>
        </r>
        <r>
          <rPr>
            <sz val="9"/>
            <color indexed="81"/>
            <rFont val="Tahoma"/>
            <family val="2"/>
            <charset val="186"/>
          </rPr>
          <t xml:space="preserve">
5 datu kopas:
Zemes vienības no IKK
Būves kontūras no IKK
Adreses (punkti un ielas)
Administratīvās robežas
Metadati (visiem metadatiem, kas katalogā viena pakalpe)
Replikācija reizi dienā. Tātad 365 reizes gadā x 5 datu kopas</t>
        </r>
      </text>
    </comment>
    <comment ref="P27" authorId="0">
      <text>
        <r>
          <rPr>
            <b/>
            <sz val="9"/>
            <color indexed="81"/>
            <rFont val="Tahoma"/>
            <family val="2"/>
            <charset val="186"/>
          </rPr>
          <t>DP7:</t>
        </r>
        <r>
          <rPr>
            <sz val="9"/>
            <color indexed="81"/>
            <rFont val="Tahoma"/>
            <family val="2"/>
            <charset val="186"/>
          </rPr>
          <t xml:space="preserve">
5 datu kopas:
Zemes vienības no IKK
Būves kontūras no IKK
Adreses (punkti un ielas)
Administratīvās robežas
Metadati (visiem metadatiem, kas katalogā viena pakalpe)
Replikācija reizi dienā. Tātad 365 reizes gadā x 5 datu kopas</t>
        </r>
      </text>
    </comment>
    <comment ref="T27" authorId="0">
      <text>
        <r>
          <rPr>
            <b/>
            <sz val="9"/>
            <color indexed="81"/>
            <rFont val="Tahoma"/>
            <family val="2"/>
            <charset val="186"/>
          </rPr>
          <t>DP7:</t>
        </r>
        <r>
          <rPr>
            <sz val="9"/>
            <color indexed="81"/>
            <rFont val="Tahoma"/>
            <family val="2"/>
            <charset val="186"/>
          </rPr>
          <t xml:space="preserve">
5 datu kopas:
Zemes vienības no IKK
Būves kontūras no IKK
Adreses (punkti un ielas)
Administratīvās robežas
Metadati (visiem metadatiem, kas katalogā viena pakalpe)
Replikācija reizi dienā. Tātad 365 reizes gadā x 5 datu kopas</t>
        </r>
      </text>
    </comment>
    <comment ref="X27" authorId="0">
      <text>
        <r>
          <rPr>
            <b/>
            <sz val="9"/>
            <color indexed="81"/>
            <rFont val="Tahoma"/>
            <family val="2"/>
            <charset val="186"/>
          </rPr>
          <t>DP7:</t>
        </r>
        <r>
          <rPr>
            <sz val="9"/>
            <color indexed="81"/>
            <rFont val="Tahoma"/>
            <family val="2"/>
            <charset val="186"/>
          </rPr>
          <t xml:space="preserve">
5 datu kopas:
Zemes vienības no IKK
Būves kontūras no IKK
Adreses (punkti un ielas)
Administratīvās robežas
Metadati (visiem metadatiem, kas katalogā viena pakalpe)
Replikācija reizi dienā. Tātad 365 reizes gadā x 5 datu kopas</t>
        </r>
      </text>
    </comment>
    <comment ref="H29" authorId="0">
      <text>
        <r>
          <rPr>
            <b/>
            <sz val="9"/>
            <color indexed="81"/>
            <rFont val="Tahoma"/>
            <family val="2"/>
            <charset val="186"/>
          </rPr>
          <t>DP7:</t>
        </r>
        <r>
          <rPr>
            <sz val="9"/>
            <color indexed="81"/>
            <rFont val="Tahoma"/>
            <family val="2"/>
            <charset val="186"/>
          </rPr>
          <t xml:space="preserve">
ZKUL +BKUL
+ PAIS pasūtījumi</t>
        </r>
      </text>
    </comment>
    <comment ref="J29" authorId="0">
      <text>
        <r>
          <rPr>
            <b/>
            <sz val="9"/>
            <color indexed="81"/>
            <rFont val="Tahoma"/>
            <family val="2"/>
            <charset val="186"/>
          </rPr>
          <t>DP7:</t>
        </r>
        <r>
          <rPr>
            <sz val="9"/>
            <color indexed="81"/>
            <rFont val="Tahoma"/>
            <family val="2"/>
            <charset val="186"/>
          </rPr>
          <t xml:space="preserve">
88 BKU + 176 KI -  iekšējie lietotāji
+ 100 mērnieki</t>
        </r>
      </text>
    </comment>
    <comment ref="L29" authorId="0">
      <text>
        <r>
          <rPr>
            <b/>
            <sz val="9"/>
            <color indexed="81"/>
            <rFont val="Tahoma"/>
            <family val="2"/>
            <charset val="186"/>
          </rPr>
          <t>DP7:</t>
        </r>
        <r>
          <rPr>
            <sz val="9"/>
            <color indexed="81"/>
            <rFont val="Tahoma"/>
            <family val="2"/>
            <charset val="186"/>
          </rPr>
          <t xml:space="preserve">
ZKUL +BKUL
+ PAIS pasūtījumi</t>
        </r>
      </text>
    </comment>
    <comment ref="N29" authorId="0">
      <text>
        <r>
          <rPr>
            <b/>
            <sz val="9"/>
            <color indexed="81"/>
            <rFont val="Tahoma"/>
            <family val="2"/>
            <charset val="186"/>
          </rPr>
          <t>DP7:</t>
        </r>
        <r>
          <rPr>
            <sz val="9"/>
            <color indexed="81"/>
            <rFont val="Tahoma"/>
            <family val="2"/>
            <charset val="186"/>
          </rPr>
          <t xml:space="preserve">
88 BKU + 176 KI -  iekšējie lietotāji
+ 100 mērnieki</t>
        </r>
      </text>
    </comment>
    <comment ref="P29" authorId="0">
      <text>
        <r>
          <rPr>
            <b/>
            <sz val="9"/>
            <color indexed="81"/>
            <rFont val="Tahoma"/>
            <family val="2"/>
            <charset val="186"/>
          </rPr>
          <t>DP7:</t>
        </r>
        <r>
          <rPr>
            <sz val="9"/>
            <color indexed="81"/>
            <rFont val="Tahoma"/>
            <family val="2"/>
            <charset val="186"/>
          </rPr>
          <t xml:space="preserve">
ZKUL +BKUL
+ PAIS pasūtījumi</t>
        </r>
      </text>
    </comment>
    <comment ref="R29" authorId="0">
      <text>
        <r>
          <rPr>
            <b/>
            <sz val="9"/>
            <color indexed="81"/>
            <rFont val="Tahoma"/>
            <family val="2"/>
            <charset val="186"/>
          </rPr>
          <t>DP7:</t>
        </r>
        <r>
          <rPr>
            <sz val="9"/>
            <color indexed="81"/>
            <rFont val="Tahoma"/>
            <family val="2"/>
            <charset val="186"/>
          </rPr>
          <t xml:space="preserve">
88 BKU + 176 KI -  iekšējie lietotāji
+ 100 mērnieki</t>
        </r>
      </text>
    </comment>
    <comment ref="T29" authorId="0">
      <text>
        <r>
          <rPr>
            <b/>
            <sz val="9"/>
            <color indexed="81"/>
            <rFont val="Tahoma"/>
            <family val="2"/>
            <charset val="186"/>
          </rPr>
          <t>DP7:</t>
        </r>
        <r>
          <rPr>
            <sz val="9"/>
            <color indexed="81"/>
            <rFont val="Tahoma"/>
            <family val="2"/>
            <charset val="186"/>
          </rPr>
          <t xml:space="preserve">
ZKUL +BKUL
+ PAIS pasūtījumi</t>
        </r>
      </text>
    </comment>
    <comment ref="V29" authorId="0">
      <text>
        <r>
          <rPr>
            <b/>
            <sz val="9"/>
            <color indexed="81"/>
            <rFont val="Tahoma"/>
            <family val="2"/>
            <charset val="186"/>
          </rPr>
          <t>DP7:</t>
        </r>
        <r>
          <rPr>
            <sz val="9"/>
            <color indexed="81"/>
            <rFont val="Tahoma"/>
            <family val="2"/>
            <charset val="186"/>
          </rPr>
          <t xml:space="preserve">
88 BKU + 176 KI -  iekšējie lietotāji
+ 100 mērnieki</t>
        </r>
      </text>
    </comment>
    <comment ref="X29" authorId="0">
      <text>
        <r>
          <rPr>
            <b/>
            <sz val="9"/>
            <color indexed="81"/>
            <rFont val="Tahoma"/>
            <family val="2"/>
            <charset val="186"/>
          </rPr>
          <t>DP7:</t>
        </r>
        <r>
          <rPr>
            <sz val="9"/>
            <color indexed="81"/>
            <rFont val="Tahoma"/>
            <family val="2"/>
            <charset val="186"/>
          </rPr>
          <t xml:space="preserve">
ZKUL +BKUL
+ PAIS pasūtījumi</t>
        </r>
      </text>
    </comment>
    <comment ref="Z29" authorId="0">
      <text>
        <r>
          <rPr>
            <b/>
            <sz val="9"/>
            <color indexed="81"/>
            <rFont val="Tahoma"/>
            <family val="2"/>
            <charset val="186"/>
          </rPr>
          <t>DP7:</t>
        </r>
        <r>
          <rPr>
            <sz val="9"/>
            <color indexed="81"/>
            <rFont val="Tahoma"/>
            <family val="2"/>
            <charset val="186"/>
          </rPr>
          <t xml:space="preserve">
88 BKU + 176 KI -  iekšējie lietotāji
+ 100 mērnieki</t>
        </r>
      </text>
    </comment>
  </commentList>
</comments>
</file>

<file path=xl/comments10.xml><?xml version="1.0" encoding="utf-8"?>
<comments xmlns="http://schemas.openxmlformats.org/spreadsheetml/2006/main">
  <authors>
    <author>kaspars.kiesners</author>
  </authors>
  <commentList>
    <comment ref="D6" authorId="0">
      <text>
        <r>
          <rPr>
            <b/>
            <sz val="8"/>
            <color indexed="81"/>
            <rFont val="Tahoma"/>
            <family val="2"/>
            <charset val="186"/>
          </rPr>
          <t>kaspars.kiesners:</t>
        </r>
        <r>
          <rPr>
            <sz val="8"/>
            <color indexed="81"/>
            <rFont val="Tahoma"/>
            <family val="2"/>
            <charset val="186"/>
          </rPr>
          <t xml:space="preserve">
Apmācība klātienē
</t>
        </r>
      </text>
    </comment>
    <comment ref="I6" author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K6" authorId="0">
      <text>
        <r>
          <rPr>
            <b/>
            <sz val="8"/>
            <color indexed="81"/>
            <rFont val="Tahoma"/>
            <family val="2"/>
            <charset val="186"/>
          </rPr>
          <t>kaspars.kiesners:</t>
        </r>
        <r>
          <rPr>
            <sz val="8"/>
            <color indexed="81"/>
            <rFont val="Tahoma"/>
            <family val="2"/>
            <charset val="186"/>
          </rPr>
          <t xml:space="preserve">
Plānojam, ka nākamajā gadā ar licences iegūšanu no Izglītības un Zinātnes ministrijas apmācībai e-vidē viss būs kārtībā un puse no visiem apgūs apmācību e-vidē.
</t>
        </r>
      </text>
    </comment>
    <comment ref="I7" author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K7" authorId="0">
      <text>
        <r>
          <rPr>
            <b/>
            <sz val="8"/>
            <color indexed="81"/>
            <rFont val="Tahoma"/>
            <family val="2"/>
            <charset val="186"/>
          </rPr>
          <t>kaspars.kiesners:</t>
        </r>
        <r>
          <rPr>
            <sz val="8"/>
            <color indexed="81"/>
            <rFont val="Tahoma"/>
            <family val="2"/>
            <charset val="186"/>
          </rPr>
          <t xml:space="preserve">
Plānojam, ka nākamajā gadā ar licences iegūšanu no Izglītības un Zinātnes ministrijas apmācībai e-vidē viss būs kārtībā un puse no visiem apgūs apmācību e-vidē.</t>
        </r>
      </text>
    </comment>
    <comment ref="D15" authorId="0">
      <text>
        <r>
          <rPr>
            <b/>
            <sz val="8"/>
            <color indexed="81"/>
            <rFont val="Tahoma"/>
            <family val="2"/>
            <charset val="186"/>
          </rPr>
          <t>kaspars.kiesners:</t>
        </r>
        <r>
          <rPr>
            <sz val="8"/>
            <color indexed="81"/>
            <rFont val="Tahoma"/>
            <family val="2"/>
            <charset val="186"/>
          </rPr>
          <t xml:space="preserve">
Izglītības iestāžu audzēkņi, kuri noklausījušies lekcijas par ugunsdrošību.
Skaits norāda to audzēkņu skaitu izglītības iestādēs, kuri ir noklausījušies (apguvuši) lekciju par ugunsdrošību, drošību uz ledus, utt.
Viens process = lekcijas noklausīšanās/satura apgūšana vienam audzēknim.
Ar sabiedrības informēšanu nodarbojas VUGD Ugunsdrošības uzraudzības inspektori un atsevišķos gadījumos Preses un sabiedrisko attiecību nodaļas darbinieki - brauc uz skolām, bērnudārziem.</t>
        </r>
      </text>
    </comment>
    <comment ref="F15" authorId="0">
      <text>
        <r>
          <rPr>
            <b/>
            <sz val="8"/>
            <color indexed="81"/>
            <rFont val="Tahoma"/>
            <family val="2"/>
            <charset val="186"/>
          </rPr>
          <t>kaspars.kiesners:</t>
        </r>
        <r>
          <rPr>
            <sz val="8"/>
            <color indexed="81"/>
            <rFont val="Tahoma"/>
            <family val="2"/>
            <charset val="186"/>
          </rPr>
          <t xml:space="preserve">
Izglītības iestāžu audzēkņi, kuri noklausījušies lekcijas par ugunsdrošību.
Skaits norāda to audzēkņu skaitu izglītības iestādēs, kuri ir noklausījušies (apguvuši) lekciju par ugunsdrošību, drošību uz ledus, utt.
Viens process = lekcijas noklausīšanās/satura apgūšana vienam audzēknim.
Ar sabiedrības informēšanu nodarbojas VUGD Ugunsdrošības uzraudzības inspektori un atsevišķos gadījumos Preses un sabiedrisko attiecību nodaļas darbinieki - brauc uz skolām, bērnudārziem.</t>
        </r>
      </text>
    </comment>
    <comment ref="G15" authorId="0">
      <text>
        <r>
          <rPr>
            <b/>
            <sz val="8"/>
            <color indexed="81"/>
            <rFont val="Tahoma"/>
            <family val="2"/>
            <charset val="186"/>
          </rPr>
          <t>kaspars.kiesners:</t>
        </r>
        <r>
          <rPr>
            <sz val="8"/>
            <color indexed="81"/>
            <rFont val="Tahoma"/>
            <family val="2"/>
            <charset val="186"/>
          </rPr>
          <t xml:space="preserve">
Mēs ceram, ka procesu norišu skaits IS (nokārtoto testu skaits pēc materiālu apgūšanas) palielināsies, tādēļ esam izveidojuši www.lietpratejs.lv reklāmas bannerus, kurus regulāri izvietojam skolās visos reģionos atbilstoši plānam.</t>
        </r>
      </text>
    </comment>
    <comment ref="H15" authorId="0">
      <text>
        <r>
          <rPr>
            <b/>
            <sz val="8"/>
            <color indexed="81"/>
            <rFont val="Tahoma"/>
            <family val="2"/>
            <charset val="186"/>
          </rPr>
          <t>kaspars.kiesners:</t>
        </r>
        <r>
          <rPr>
            <sz val="8"/>
            <color indexed="81"/>
            <rFont val="Tahoma"/>
            <family val="2"/>
            <charset val="186"/>
          </rPr>
          <t xml:space="preserve">
Skaits norāda to bērnu skaitu, kuri ir noklausījušies (apguvuši) lekciju par ugunsdrošību, drošību uz ledus, utt.
Viens process = lekcijas noklausīšanās/satura apgūšana vienam bērnam.
Ar sabiedrības informēšanu nodarbojas VUGD Preses un sabiedrisko attiecību nodaļa - brauc uz skolām, bērnudārziem.</t>
        </r>
      </text>
    </comment>
    <comment ref="D16" authorId="0">
      <text>
        <r>
          <rPr>
            <b/>
            <sz val="8"/>
            <color indexed="81"/>
            <rFont val="Tahoma"/>
            <family val="2"/>
            <charset val="186"/>
          </rPr>
          <t>kaspars.kiesners:</t>
        </r>
        <r>
          <rPr>
            <sz val="8"/>
            <color indexed="81"/>
            <rFont val="Tahoma"/>
            <family val="2"/>
            <charset val="186"/>
          </rPr>
          <t xml:space="preserve">
Gada laikā.</t>
        </r>
      </text>
    </comment>
    <comment ref="F16" authorId="0">
      <text>
        <r>
          <rPr>
            <b/>
            <sz val="8"/>
            <color indexed="81"/>
            <rFont val="Tahoma"/>
            <family val="2"/>
            <charset val="186"/>
          </rPr>
          <t>kaspars.kiesners:</t>
        </r>
        <r>
          <rPr>
            <sz val="8"/>
            <color indexed="81"/>
            <rFont val="Tahoma"/>
            <family val="2"/>
            <charset val="186"/>
          </rPr>
          <t xml:space="preserve">
Gada laikā.</t>
        </r>
      </text>
    </comment>
    <comment ref="G16" author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H16" authorId="0">
      <text>
        <r>
          <rPr>
            <b/>
            <sz val="8"/>
            <color indexed="81"/>
            <rFont val="Tahoma"/>
            <family val="2"/>
            <charset val="186"/>
          </rPr>
          <t>kaspars.kiesners:</t>
        </r>
        <r>
          <rPr>
            <sz val="8"/>
            <color indexed="81"/>
            <rFont val="Tahoma"/>
            <family val="2"/>
            <charset val="186"/>
          </rPr>
          <t xml:space="preserve">
Klātienē šos divus kursus apgūstošo cilvēku skaits.
Viens process = kursa apgūšana vienam cilvēkam.</t>
        </r>
      </text>
    </comment>
    <comment ref="I16" author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J16" authorId="0">
      <text>
        <r>
          <rPr>
            <b/>
            <sz val="8"/>
            <color indexed="81"/>
            <rFont val="Tahoma"/>
            <family val="2"/>
            <charset val="186"/>
          </rPr>
          <t>kaspars.kiesners:</t>
        </r>
        <r>
          <rPr>
            <sz val="8"/>
            <color indexed="81"/>
            <rFont val="Tahoma"/>
            <family val="2"/>
            <charset val="186"/>
          </rPr>
          <t xml:space="preserve">
Klātienē šos divus kursus apgūstošo cilvēku skaits.
Viens process = kursa apgūšana vienam cilvēkam.</t>
        </r>
      </text>
    </comment>
    <comment ref="D20" authorId="0">
      <text>
        <r>
          <rPr>
            <b/>
            <sz val="8"/>
            <color indexed="81"/>
            <rFont val="Tahoma"/>
            <family val="2"/>
            <charset val="186"/>
          </rPr>
          <t>kaspars.kiesners:</t>
        </r>
        <r>
          <rPr>
            <sz val="8"/>
            <color indexed="81"/>
            <rFont val="Tahoma"/>
            <family val="2"/>
            <charset val="186"/>
          </rPr>
          <t xml:space="preserve">
Bibliotēkā izsniegto materiālu skaits.
Fiziskie pieprasījumu skaits - reizes cik izsniegtas grāmatas (materiāli).</t>
        </r>
      </text>
    </comment>
    <comment ref="G20" authorId="0">
      <text>
        <r>
          <rPr>
            <b/>
            <sz val="8"/>
            <color indexed="81"/>
            <rFont val="Tahoma"/>
            <family val="2"/>
            <charset val="186"/>
          </rPr>
          <t>kaspars.kiesners:</t>
        </r>
        <r>
          <rPr>
            <sz val="8"/>
            <color indexed="81"/>
            <rFont val="Tahoma"/>
            <family val="2"/>
            <charset val="186"/>
          </rPr>
          <t xml:space="preserve">
Piekļuves reižu skaits elektroniskajiem materiāliem e-bibliotēkā (UCAK kadetu piekļuve).
Informācija izgūta no UCAK gada publiskā pārskata (sadaļā Bibliotēka).</t>
        </r>
      </text>
    </comment>
    <comment ref="H20" authorId="0">
      <text>
        <r>
          <rPr>
            <b/>
            <sz val="8"/>
            <color indexed="81"/>
            <rFont val="Tahoma"/>
            <family val="2"/>
            <charset val="186"/>
          </rPr>
          <t>kaspars.kiesners:</t>
        </r>
        <r>
          <rPr>
            <sz val="8"/>
            <color indexed="81"/>
            <rFont val="Tahoma"/>
            <family val="2"/>
            <charset val="186"/>
          </rPr>
          <t xml:space="preserve">
Kopējais izsniegto materiālu skaits Ugunsdrošības un civilās aizsardzības koledžas bibliotēkā. Ne visi materiāli, kuri ir bibliotēkā ir digitalizēti.</t>
        </r>
      </text>
    </comment>
    <comment ref="I20" authorId="0">
      <text>
        <r>
          <rPr>
            <b/>
            <sz val="8"/>
            <color indexed="81"/>
            <rFont val="Tahoma"/>
            <family val="2"/>
            <charset val="186"/>
          </rPr>
          <t>kaspars.kiesners:</t>
        </r>
        <r>
          <rPr>
            <sz val="8"/>
            <color indexed="81"/>
            <rFont val="Tahoma"/>
            <family val="2"/>
            <charset val="186"/>
          </rPr>
          <t xml:space="preserve">
Kadetu skaits Ugunsdrošības un civilās aizsardzības koledžā.
Visiem kadetiem ir izsniegta piekļuve informācijas sistēmā un tie var apgūt materiālus izvietotajiem kursiem. Taču ne visi bibliotēkas materiāli ir digitalizēti. Digitalizēts ir tikai pats nepieciešamākais (grāmatas uz izjukšanas robežas, grāmatas vienā eksemplārā utt.), tādēļ kadeti izmanto arī parasto bibliotēku. Ja būtu nepieciešamie līdzekļi un nebūtu autortiesību aizlieguma, mēs labprāt digitalizētu visu bibliotēku pilnībā, tādā veidā optimizējot mācību procesa efektivitāti.</t>
        </r>
      </text>
    </comment>
    <comment ref="J20" authorId="0">
      <text>
        <r>
          <rPr>
            <b/>
            <sz val="8"/>
            <color indexed="81"/>
            <rFont val="Tahoma"/>
            <family val="2"/>
            <charset val="186"/>
          </rPr>
          <t>kaspars.kiesners:</t>
        </r>
        <r>
          <rPr>
            <sz val="8"/>
            <color indexed="81"/>
            <rFont val="Tahoma"/>
            <family val="2"/>
            <charset val="186"/>
          </rPr>
          <t xml:space="preserve">
Kadetu skaits Ugunsdrošības un civilās aizsardzības koledžā (UCAK). Kopējais kadetu skaits UCAK.</t>
        </r>
      </text>
    </comment>
    <comment ref="M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N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Q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R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U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V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Y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Z20"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D21" author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H21" author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I21"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L21" author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P21" author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T21" author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X21" author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D22" authorId="0">
      <text>
        <r>
          <rPr>
            <b/>
            <sz val="8"/>
            <color indexed="81"/>
            <rFont val="Tahoma"/>
            <family val="2"/>
            <charset val="186"/>
          </rPr>
          <t>kaspars.kiesners:</t>
        </r>
        <r>
          <rPr>
            <sz val="8"/>
            <color indexed="81"/>
            <rFont val="Tahoma"/>
            <family val="2"/>
            <charset val="186"/>
          </rPr>
          <t xml:space="preserve">
Materiālu (grāmatas, audio un video materiāli, bukleti, brošūras, plakāti utt.) skaits bibliotēkā.</t>
        </r>
      </text>
    </comment>
    <comment ref="H22" authorId="0">
      <text>
        <r>
          <rPr>
            <b/>
            <sz val="8"/>
            <color indexed="81"/>
            <rFont val="Tahoma"/>
            <family val="2"/>
            <charset val="186"/>
          </rPr>
          <t>kaspars.kiesners:</t>
        </r>
        <r>
          <rPr>
            <sz val="8"/>
            <color indexed="81"/>
            <rFont val="Tahoma"/>
            <family val="2"/>
            <charset val="186"/>
          </rPr>
          <t xml:space="preserve">
Projekta gaitā ir izdevies digitalizēt visus bojātos un nepietiekamā skaitā esošos bibliotēkas materiālus.</t>
        </r>
      </text>
    </comment>
    <comment ref="I22"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M22"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Q22"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U22"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Y22" author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List>
</comments>
</file>

<file path=xl/comments11.xml><?xml version="1.0" encoding="utf-8"?>
<comments xmlns="http://schemas.openxmlformats.org/spreadsheetml/2006/main">
  <authors>
    <author>Kristine</author>
  </authors>
  <commentList>
    <comment ref="D6" authorId="0">
      <text>
        <r>
          <rPr>
            <b/>
            <sz val="9"/>
            <color indexed="81"/>
            <rFont val="Tahoma"/>
            <family val="2"/>
            <charset val="186"/>
          </rPr>
          <t>Kristine:</t>
        </r>
        <r>
          <rPr>
            <sz val="9"/>
            <color indexed="81"/>
            <rFont val="Tahoma"/>
            <family val="2"/>
            <charset val="186"/>
          </rPr>
          <t xml:space="preserve">
Informācijas pieprasījumi, sagatavojot atļaujas, saskaņojumus, atzinumus, nosacījumus u.tml.</t>
        </r>
      </text>
    </comment>
    <comment ref="F6" authorId="0">
      <text>
        <r>
          <rPr>
            <b/>
            <sz val="9"/>
            <color indexed="81"/>
            <rFont val="Tahoma"/>
            <family val="2"/>
            <charset val="186"/>
          </rPr>
          <t>Kristine:</t>
        </r>
        <r>
          <rPr>
            <sz val="9"/>
            <color indexed="81"/>
            <rFont val="Tahoma"/>
            <family val="2"/>
            <charset val="186"/>
          </rPr>
          <t xml:space="preserve">
Pieņemot, ka viens informācijas pieprasījums ārpus iestādes ir arī viens lietotājs</t>
        </r>
      </text>
    </comment>
    <comment ref="D7" authorId="0">
      <text>
        <r>
          <rPr>
            <b/>
            <sz val="9"/>
            <color indexed="81"/>
            <rFont val="Tahoma"/>
            <family val="2"/>
            <charset val="186"/>
          </rPr>
          <t>Kristine:</t>
        </r>
        <r>
          <rPr>
            <sz val="9"/>
            <color indexed="81"/>
            <rFont val="Tahoma"/>
            <family val="2"/>
            <charset val="186"/>
          </rPr>
          <t xml:space="preserve">
Iestādes darbinieku un ekspertu iekšējie informācijas pieprasījumi, lai sagatavotu atļaujas, atzinumus, saskaņojumus, nosacījumus, pasākumus, nodarbības, pārbaudes, rakstus un relīzes u.tml.</t>
        </r>
      </text>
    </comment>
    <comment ref="F7" authorId="0">
      <text>
        <r>
          <rPr>
            <b/>
            <sz val="9"/>
            <color indexed="81"/>
            <rFont val="Tahoma"/>
            <family val="2"/>
            <charset val="186"/>
          </rPr>
          <t>Kristine:</t>
        </r>
        <r>
          <rPr>
            <sz val="9"/>
            <color indexed="81"/>
            <rFont val="Tahoma"/>
            <family val="2"/>
            <charset val="186"/>
          </rPr>
          <t xml:space="preserve">
Dabas aizsardzības pārvaldes darbinieki un sertificētie eksperti</t>
        </r>
      </text>
    </comment>
    <comment ref="B15" authorId="0">
      <text>
        <r>
          <rPr>
            <b/>
            <sz val="9"/>
            <color indexed="81"/>
            <rFont val="Tahoma"/>
            <family val="2"/>
            <charset val="186"/>
          </rPr>
          <t>Kristine:</t>
        </r>
        <r>
          <rPr>
            <sz val="9"/>
            <color indexed="81"/>
            <rFont val="Tahoma"/>
            <family val="2"/>
            <charset val="186"/>
          </rPr>
          <t xml:space="preserve">
skaitu nosaka normatīvo aktu izmaiņas, precīza plānošana nav iespējama, bet izmaiņas Sistēmā vaicamas ne vēlāk kā 1 mēneša laikā pēc normatīvā akta apstiprināšanas</t>
        </r>
      </text>
    </comment>
    <comment ref="G15" authorId="0">
      <text>
        <r>
          <rPr>
            <b/>
            <sz val="9"/>
            <color indexed="81"/>
            <rFont val="Tahoma"/>
            <family val="2"/>
            <charset val="186"/>
          </rPr>
          <t>Kristine:</t>
        </r>
        <r>
          <rPr>
            <sz val="9"/>
            <color indexed="81"/>
            <rFont val="Tahoma"/>
            <family val="2"/>
            <charset val="186"/>
          </rPr>
          <t xml:space="preserve">
sistēmai pievienoti projektā digitalizētie dati</t>
        </r>
      </text>
    </comment>
    <comment ref="I15" authorId="0">
      <text>
        <r>
          <rPr>
            <b/>
            <sz val="9"/>
            <color indexed="81"/>
            <rFont val="Tahoma"/>
            <family val="2"/>
            <charset val="186"/>
          </rPr>
          <t>Kristine:</t>
        </r>
        <r>
          <rPr>
            <sz val="9"/>
            <color indexed="81"/>
            <rFont val="Tahoma"/>
            <family val="2"/>
            <charset val="186"/>
          </rPr>
          <t xml:space="preserve">
piekļuve tikai no desktop daļas</t>
        </r>
      </text>
    </comment>
    <comment ref="K15" authorId="0">
      <text>
        <r>
          <rPr>
            <b/>
            <sz val="9"/>
            <color indexed="81"/>
            <rFont val="Tahoma"/>
            <family val="2"/>
            <charset val="186"/>
          </rPr>
          <t>Kristine:</t>
        </r>
        <r>
          <rPr>
            <sz val="9"/>
            <color indexed="81"/>
            <rFont val="Tahoma"/>
            <family val="2"/>
            <charset val="186"/>
          </rPr>
          <t xml:space="preserve">
plānota ģeoloģisko dabas pieminekļu robežu precizēšana, izdodot jaunus MK noteikumus</t>
        </r>
      </text>
    </comment>
    <comment ref="B16" authorId="0">
      <text>
        <r>
          <rPr>
            <b/>
            <sz val="9"/>
            <color indexed="81"/>
            <rFont val="Tahoma"/>
            <family val="2"/>
            <charset val="186"/>
          </rPr>
          <t>Kristine:</t>
        </r>
        <r>
          <rPr>
            <sz val="9"/>
            <color indexed="81"/>
            <rFont val="Tahoma"/>
            <family val="2"/>
            <charset val="186"/>
          </rPr>
          <t xml:space="preserve">
skaitu nav iespējams precīzi plānot, jo mikroliegumus izveido arī citas institūcijas, bet 1 mēneša laikā pēc lēmuma par mikrolieguma izveidi saņemšanas dati tiks pievienoti Sistēmai</t>
        </r>
      </text>
    </comment>
    <comment ref="G16" authorId="0">
      <text>
        <r>
          <rPr>
            <b/>
            <sz val="9"/>
            <color indexed="81"/>
            <rFont val="Tahoma"/>
            <family val="2"/>
            <charset val="186"/>
          </rPr>
          <t>Kristine:</t>
        </r>
        <r>
          <rPr>
            <sz val="9"/>
            <color indexed="81"/>
            <rFont val="Tahoma"/>
            <family val="2"/>
            <charset val="186"/>
          </rPr>
          <t xml:space="preserve">
sistēmai pievienoti DAP digitalizētie mikroliegumu dati</t>
        </r>
      </text>
    </comment>
    <comment ref="I16" authorId="0">
      <text>
        <r>
          <rPr>
            <b/>
            <sz val="9"/>
            <color indexed="81"/>
            <rFont val="Tahoma"/>
            <family val="2"/>
            <charset val="186"/>
          </rPr>
          <t>Kristine:</t>
        </r>
        <r>
          <rPr>
            <sz val="9"/>
            <color indexed="81"/>
            <rFont val="Tahoma"/>
            <family val="2"/>
            <charset val="186"/>
          </rPr>
          <t xml:space="preserve">
piekļuve tikai no desktop daļas</t>
        </r>
      </text>
    </comment>
    <comment ref="D17" authorId="0">
      <text>
        <r>
          <rPr>
            <b/>
            <sz val="9"/>
            <color indexed="81"/>
            <rFont val="Tahoma"/>
            <family val="2"/>
            <charset val="186"/>
          </rPr>
          <t>Kristine:</t>
        </r>
        <r>
          <rPr>
            <sz val="9"/>
            <color indexed="81"/>
            <rFont val="Tahoma"/>
            <family val="2"/>
            <charset val="186"/>
          </rPr>
          <t xml:space="preserve">
digitāli vektordatņu veidā ekspertiem un administrācijām, dabas aizsardzības plānos un natura monitoringā, kā arī apraksta veidā aizsargājamo sugu datu bāzē</t>
        </r>
      </text>
    </comment>
    <comment ref="G17" authorId="0">
      <text>
        <r>
          <rPr>
            <b/>
            <sz val="9"/>
            <color indexed="81"/>
            <rFont val="Tahoma"/>
            <family val="2"/>
            <charset val="186"/>
          </rPr>
          <t>Kristine:</t>
        </r>
        <r>
          <rPr>
            <sz val="9"/>
            <color indexed="81"/>
            <rFont val="Tahoma"/>
            <family val="2"/>
            <charset val="186"/>
          </rPr>
          <t xml:space="preserve">
sistēmai pievienoti projektā digitalizētie dabas aizsardzības plānu dati, kā arī dati no Natura monitoringa</t>
        </r>
      </text>
    </comment>
    <comment ref="K17" authorId="0">
      <text>
        <r>
          <rPr>
            <b/>
            <sz val="9"/>
            <color indexed="81"/>
            <rFont val="Tahoma"/>
            <family val="2"/>
            <charset val="186"/>
          </rPr>
          <t>Kristine:</t>
        </r>
        <r>
          <rPr>
            <sz val="9"/>
            <color indexed="81"/>
            <rFont val="Tahoma"/>
            <family val="2"/>
            <charset val="186"/>
          </rPr>
          <t xml:space="preserve">
aizsargājamo sugu datu bāzes un monitoringa datu, bioloģiski vērtīgo zālāju datu pievienošana Sistēmai</t>
        </r>
      </text>
    </comment>
    <comment ref="D18" authorId="0">
      <text>
        <r>
          <rPr>
            <b/>
            <sz val="9"/>
            <color indexed="81"/>
            <rFont val="Tahoma"/>
            <family val="2"/>
            <charset val="186"/>
          </rPr>
          <t>Kristine:</t>
        </r>
        <r>
          <rPr>
            <sz val="9"/>
            <color indexed="81"/>
            <rFont val="Tahoma"/>
            <family val="2"/>
            <charset val="186"/>
          </rPr>
          <t xml:space="preserve">
dabas aizsardzības plānos, kā arī projektētā un jaunuzbūvētā infrastruktūra</t>
        </r>
      </text>
    </comment>
    <comment ref="G18" authorId="0">
      <text>
        <r>
          <rPr>
            <b/>
            <sz val="9"/>
            <color indexed="81"/>
            <rFont val="Tahoma"/>
            <family val="2"/>
            <charset val="186"/>
          </rPr>
          <t>Kristine:</t>
        </r>
        <r>
          <rPr>
            <sz val="9"/>
            <color indexed="81"/>
            <rFont val="Tahoma"/>
            <family val="2"/>
            <charset val="186"/>
          </rPr>
          <t xml:space="preserve">
projektā veiktā dabas aizsardzības plānu digitalizācija un jaunizveidotā infrastruktūra</t>
        </r>
      </text>
    </comment>
  </commentList>
</comments>
</file>

<file path=xl/comments12.xml><?xml version="1.0" encoding="utf-8"?>
<comments xmlns="http://schemas.openxmlformats.org/spreadsheetml/2006/main">
  <authors>
    <author>Andris Putniņš</author>
  </authors>
  <commentList>
    <comment ref="G7" authorId="0">
      <text>
        <r>
          <rPr>
            <b/>
            <sz val="9"/>
            <color indexed="81"/>
            <rFont val="Tahoma"/>
            <family val="2"/>
            <charset val="186"/>
          </rPr>
          <t>Andris Putniņš:</t>
        </r>
        <r>
          <rPr>
            <sz val="9"/>
            <color indexed="81"/>
            <rFont val="Tahoma"/>
            <family val="2"/>
            <charset val="186"/>
          </rPr>
          <t xml:space="preserve">
Pieņemam, ka viens pieprasījums = viens lietotājs</t>
        </r>
      </text>
    </comment>
  </commentList>
</comments>
</file>

<file path=xl/comments13.xml><?xml version="1.0" encoding="utf-8"?>
<comments xmlns="http://schemas.openxmlformats.org/spreadsheetml/2006/main">
  <authors>
    <author>Sintija Cīrule</author>
    <author>xxl</author>
  </authors>
  <commentList>
    <comment ref="E7" authorId="0">
      <text>
        <r>
          <rPr>
            <b/>
            <sz val="8"/>
            <color indexed="81"/>
            <rFont val="Tahoma"/>
            <family val="2"/>
            <charset val="186"/>
          </rPr>
          <t>Sintija Cīrule:</t>
        </r>
        <r>
          <rPr>
            <sz val="8"/>
            <color indexed="81"/>
            <rFont val="Tahoma"/>
            <family val="2"/>
            <charset val="186"/>
          </rPr>
          <t xml:space="preserve">
Pieņemts, ka vidēji 3 reizes gadā iedzīvotājs skatījies www.latvija.lv</t>
        </r>
      </text>
    </comment>
    <comment ref="E8" authorId="0">
      <text>
        <r>
          <rPr>
            <b/>
            <sz val="8"/>
            <color indexed="81"/>
            <rFont val="Tahoma"/>
            <family val="2"/>
            <charset val="186"/>
          </rPr>
          <t>Sintija Cīrule:</t>
        </r>
        <r>
          <rPr>
            <sz val="8"/>
            <color indexed="81"/>
            <rFont val="Tahoma"/>
            <family val="2"/>
            <charset val="186"/>
          </rPr>
          <t xml:space="preserve">
Pieņemts, ka vidēji 3 reizes gadā iedzīvotājs skatījies www.latvija.lv
</t>
        </r>
      </text>
    </comment>
    <comment ref="E9" authorId="0">
      <text>
        <r>
          <rPr>
            <b/>
            <sz val="8"/>
            <color indexed="81"/>
            <rFont val="Tahoma"/>
            <family val="2"/>
            <charset val="186"/>
          </rPr>
          <t>Sintija Cīrule:</t>
        </r>
        <r>
          <rPr>
            <sz val="8"/>
            <color indexed="81"/>
            <rFont val="Tahoma"/>
            <family val="2"/>
            <charset val="186"/>
          </rPr>
          <t xml:space="preserve">
Pieņemts, ka vidēji 3 reizes gadā iedzīvotājs skatījies www.latvija.lv</t>
        </r>
      </text>
    </comment>
    <comment ref="E10" authorId="0">
      <text>
        <r>
          <rPr>
            <b/>
            <sz val="8"/>
            <color indexed="81"/>
            <rFont val="Tahoma"/>
            <family val="2"/>
            <charset val="186"/>
          </rPr>
          <t>Sintija Cīrule:</t>
        </r>
        <r>
          <rPr>
            <sz val="8"/>
            <color indexed="81"/>
            <rFont val="Tahoma"/>
            <family val="2"/>
            <charset val="186"/>
          </rPr>
          <t xml:space="preserve">
Pieņemts, ka vidēji 3 reizes gadā iedzīvotājs skatījies www.latvija.lv</t>
        </r>
      </text>
    </comment>
    <comment ref="F25" authorId="1">
      <text>
        <r>
          <rPr>
            <b/>
            <sz val="9"/>
            <color indexed="81"/>
            <rFont val="Tahoma"/>
            <family val="2"/>
            <charset val="204"/>
          </rPr>
          <t>xxl:</t>
        </r>
        <r>
          <rPr>
            <sz val="9"/>
            <color indexed="81"/>
            <rFont val="Tahoma"/>
            <family val="2"/>
            <charset val="204"/>
          </rPr>
          <t xml:space="preserve">
Ārstniec.iestādes</t>
        </r>
      </text>
    </comment>
  </commentList>
</comments>
</file>

<file path=xl/comments14.xml><?xml version="1.0" encoding="utf-8"?>
<comments xmlns="http://schemas.openxmlformats.org/spreadsheetml/2006/main">
  <authors>
    <author>IneseCirule</author>
  </authors>
  <commentList>
    <comment ref="G6" authorId="0">
      <text>
        <r>
          <rPr>
            <b/>
            <sz val="10"/>
            <color indexed="81"/>
            <rFont val="Tahoma"/>
            <family val="2"/>
            <charset val="186"/>
          </rPr>
          <t>IneseCirule:
gadā</t>
        </r>
      </text>
    </comment>
    <comment ref="C14" authorId="0">
      <text>
        <r>
          <rPr>
            <b/>
            <sz val="10"/>
            <color indexed="81"/>
            <rFont val="Tahoma"/>
            <family val="2"/>
            <charset val="186"/>
          </rPr>
          <t>IneseCirule:
vidējais rādītājs mēnesī * 12 mēneši</t>
        </r>
      </text>
    </comment>
    <comment ref="G14" authorId="0">
      <text>
        <r>
          <rPr>
            <b/>
            <sz val="10"/>
            <color indexed="81"/>
            <rFont val="Tahoma"/>
            <family val="2"/>
            <charset val="186"/>
          </rPr>
          <t>IneseCirule:
vidējais rādītājs mēnesī * 12 mēneši</t>
        </r>
      </text>
    </comment>
  </commentList>
</comments>
</file>

<file path=xl/comments15.xml><?xml version="1.0" encoding="utf-8"?>
<comments xmlns="http://schemas.openxmlformats.org/spreadsheetml/2006/main">
  <authors>
    <author>Daiga Uzaite</author>
  </authors>
  <commentList>
    <comment ref="D7" authorId="0">
      <text>
        <r>
          <rPr>
            <b/>
            <sz val="8"/>
            <color indexed="81"/>
            <rFont val="Tahoma"/>
            <family val="2"/>
            <charset val="186"/>
          </rPr>
          <t>Daiga Uzaite:</t>
        </r>
        <r>
          <rPr>
            <sz val="8"/>
            <color indexed="81"/>
            <rFont val="Tahoma"/>
            <family val="2"/>
            <charset val="186"/>
          </rPr>
          <t xml:space="preserve">
Noformēto muitas dokumenttu skaits 2011.gadā, izņemot noformētās starptautisskās pasta pavadzīmes</t>
        </r>
      </text>
    </comment>
    <comment ref="G7" authorId="0">
      <text>
        <r>
          <rPr>
            <b/>
            <sz val="8"/>
            <color indexed="81"/>
            <rFont val="Tahoma"/>
            <family val="2"/>
            <charset val="186"/>
          </rPr>
          <t>Daiga Uzaite:</t>
        </r>
        <r>
          <rPr>
            <sz val="8"/>
            <color indexed="81"/>
            <rFont val="Tahoma"/>
            <family val="2"/>
            <charset val="186"/>
          </rPr>
          <t xml:space="preserve">
Dokumenti tiek iesniegti tikai elektroniski
Dokumentu skaits var mainīties atkarībā no Latvijas ekonomiskajiem procesiem, pieņemam, ka turpmākos gadus tas paliek apmēram 2011.gada līmenī</t>
        </r>
      </text>
    </comment>
    <comment ref="I7" authorId="0">
      <text>
        <r>
          <rPr>
            <b/>
            <sz val="8"/>
            <color indexed="81"/>
            <rFont val="Tahoma"/>
            <family val="2"/>
            <charset val="186"/>
          </rPr>
          <t>Daiga Uzaite:</t>
        </r>
        <r>
          <rPr>
            <sz val="8"/>
            <color indexed="81"/>
            <rFont val="Tahoma"/>
            <family val="2"/>
            <charset val="186"/>
          </rPr>
          <t xml:space="preserve">
Sistēmas ārējo lietotāju skaits 2011.gadā, pieņemam, ka turpmākos gadus tas paliek iepriekšējā līmenī</t>
        </r>
      </text>
    </comment>
    <comment ref="D8" authorId="0">
      <text>
        <r>
          <rPr>
            <b/>
            <sz val="8"/>
            <color indexed="81"/>
            <rFont val="Tahoma"/>
            <family val="2"/>
            <charset val="186"/>
          </rPr>
          <t>Daiga Uzaite:</t>
        </r>
        <r>
          <rPr>
            <sz val="8"/>
            <color indexed="81"/>
            <rFont val="Tahoma"/>
            <family val="2"/>
            <charset val="186"/>
          </rPr>
          <t xml:space="preserve">
Šobrīd vidēji gadā noformē vairāk kā 50 000 maksājuma dokumentus par muitas iestāžu administrētajiem maksājumiem</t>
        </r>
      </text>
    </comment>
    <comment ref="H8" authorId="0">
      <text>
        <r>
          <rPr>
            <b/>
            <sz val="8"/>
            <color indexed="81"/>
            <rFont val="Tahoma"/>
            <family val="2"/>
            <charset val="186"/>
          </rPr>
          <t>Daiga Uzaite:</t>
        </r>
        <r>
          <rPr>
            <sz val="8"/>
            <color indexed="81"/>
            <rFont val="Tahoma"/>
            <family val="2"/>
            <charset val="186"/>
          </rPr>
          <t xml:space="preserve">
Kopējais maksājumu skaits var mainīties, pieņemam, ka turpmākos gadus tas paliek 2011.gada līmenī</t>
        </r>
      </text>
    </comment>
    <comment ref="I8" authorId="0">
      <text>
        <r>
          <rPr>
            <b/>
            <sz val="8"/>
            <color indexed="81"/>
            <rFont val="Tahoma"/>
            <family val="2"/>
            <charset val="186"/>
          </rPr>
          <t>Daiga Uzaite:</t>
        </r>
        <r>
          <rPr>
            <sz val="8"/>
            <color indexed="81"/>
            <rFont val="Tahoma"/>
            <family val="2"/>
            <charset val="186"/>
          </rPr>
          <t xml:space="preserve">
e-pakalpojuma lietotāju skaitu nav iespējams identificēt, tāpēc pieņemam, ka viens maksājums ir viens lietotājs</t>
        </r>
      </text>
    </comment>
    <comment ref="J8" authorId="0">
      <text>
        <r>
          <rPr>
            <b/>
            <sz val="8"/>
            <color indexed="81"/>
            <rFont val="Tahoma"/>
            <family val="2"/>
            <charset val="186"/>
          </rPr>
          <t>Daiga Uzaite:</t>
        </r>
        <r>
          <rPr>
            <sz val="8"/>
            <color indexed="81"/>
            <rFont val="Tahoma"/>
            <family val="2"/>
            <charset val="186"/>
          </rPr>
          <t xml:space="preserve">
Kopējo lietotāju skaitu nav iespējams noteikt</t>
        </r>
      </text>
    </comment>
    <comment ref="D15" authorId="0">
      <text>
        <r>
          <rPr>
            <b/>
            <sz val="8"/>
            <color indexed="81"/>
            <rFont val="Tahoma"/>
            <family val="2"/>
            <charset val="186"/>
          </rPr>
          <t>Daiga Uzaite:</t>
        </r>
        <r>
          <rPr>
            <sz val="8"/>
            <color indexed="81"/>
            <rFont val="Tahoma"/>
            <family val="2"/>
            <charset val="186"/>
          </rPr>
          <t xml:space="preserve">
Pēc 2011.gada datiem:
Noformēto pagaidu uzglābašanas dokumentu skaits (papira veidā) - 54365
Noformēto tranzīta un importa deklarāciju skaits (citas sistēmas+papīra veidā) - 740 780
Izrakstītās starptautiskā pasta sūtījuma pavadzīmes - 62071</t>
        </r>
      </text>
    </comment>
    <comment ref="E15" authorId="0">
      <text>
        <r>
          <rPr>
            <b/>
            <sz val="8"/>
            <color indexed="81"/>
            <rFont val="Tahoma"/>
            <family val="2"/>
            <charset val="186"/>
          </rPr>
          <t>Daiga Uzaite:</t>
        </r>
        <r>
          <rPr>
            <sz val="8"/>
            <color indexed="81"/>
            <rFont val="Tahoma"/>
            <family val="2"/>
            <charset val="186"/>
          </rPr>
          <t xml:space="preserve">
Vairāk kā 4000 ārējie lietotāji  +
800 iekšējie lietotāji</t>
        </r>
      </text>
    </comment>
    <comment ref="G15" authorId="0">
      <text>
        <r>
          <rPr>
            <b/>
            <sz val="8"/>
            <color indexed="81"/>
            <rFont val="Tahoma"/>
            <family val="2"/>
            <charset val="186"/>
          </rPr>
          <t>Daiga Uzaite:
Dokumenti tiek iesniegti tikai elektroniski</t>
        </r>
        <r>
          <rPr>
            <sz val="8"/>
            <color indexed="81"/>
            <rFont val="Tahoma"/>
            <family val="2"/>
            <charset val="186"/>
          </rPr>
          <t xml:space="preserve">
Dokumentu skaits var mainīties atkarībā no Latvijas ekonomiskajiem procesiem, pieņemam, ka turpmākos gadus tas paliek apmēram 2011.gada līmenī</t>
        </r>
      </text>
    </comment>
    <comment ref="I15" authorId="0">
      <text>
        <r>
          <rPr>
            <b/>
            <sz val="8"/>
            <color indexed="81"/>
            <rFont val="Tahoma"/>
            <family val="2"/>
            <charset val="186"/>
          </rPr>
          <t>Daiga Uzaite:</t>
        </r>
        <r>
          <rPr>
            <sz val="8"/>
            <color indexed="81"/>
            <rFont val="Tahoma"/>
            <family val="2"/>
            <charset val="186"/>
          </rPr>
          <t xml:space="preserve">
Sistēmas lietotāju skaits var mainīties, 
pieņemam, ka muitošanas procesos iesaistīto komersantu un sistēmas lietotāju skaits turpmākos gadus paliek 2011.gada līmenī</t>
        </r>
      </text>
    </comment>
  </commentList>
</comments>
</file>

<file path=xl/comments16.xml><?xml version="1.0" encoding="utf-8"?>
<comments xmlns="http://schemas.openxmlformats.org/spreadsheetml/2006/main">
  <authors>
    <author>Uldis</author>
  </authors>
  <commentList>
    <comment ref="C8" authorId="0">
      <text>
        <r>
          <rPr>
            <b/>
            <sz val="8"/>
            <color indexed="81"/>
            <rFont val="Tahoma"/>
            <family val="2"/>
            <charset val="186"/>
          </rPr>
          <t xml:space="preserve">Uldis:
</t>
        </r>
        <r>
          <rPr>
            <sz val="8"/>
            <color indexed="81"/>
            <rFont val="Tahoma"/>
            <family val="2"/>
            <charset val="186"/>
          </rPr>
          <t xml:space="preserve">Netika izsniegtas eID kartes.
</t>
        </r>
      </text>
    </comment>
    <comment ref="D8" authorId="0">
      <text>
        <r>
          <rPr>
            <b/>
            <sz val="8"/>
            <color indexed="81"/>
            <rFont val="Tahoma"/>
            <family val="2"/>
            <charset val="186"/>
          </rPr>
          <t>Uldis:</t>
        </r>
        <r>
          <rPr>
            <sz val="8"/>
            <color indexed="81"/>
            <rFont val="Tahoma"/>
            <family val="2"/>
            <charset val="186"/>
          </rPr>
          <t xml:space="preserve">
Izsniegtās uzturēšanās atļaujas ielīmju formā.</t>
        </r>
      </text>
    </comment>
    <comment ref="E8" authorId="0">
      <text>
        <r>
          <rPr>
            <b/>
            <sz val="8"/>
            <color indexed="81"/>
            <rFont val="Tahoma"/>
            <family val="2"/>
            <charset val="186"/>
          </rPr>
          <t>Uldis:</t>
        </r>
        <r>
          <rPr>
            <sz val="8"/>
            <color indexed="81"/>
            <rFont val="Tahoma"/>
            <family val="2"/>
            <charset val="186"/>
          </rPr>
          <t xml:space="preserve">
Publiskās pārvaldes iestādes, kas izmanto tiešsaistes datu apmaiņas procedūras, PMLP uzturētās lietojumprogrammas un Pasu sistēmu.</t>
        </r>
      </text>
    </comment>
    <comment ref="G8" authorId="0">
      <text>
        <r>
          <rPr>
            <b/>
            <sz val="8"/>
            <color indexed="81"/>
            <rFont val="Tahoma"/>
            <family val="2"/>
            <charset val="186"/>
          </rPr>
          <t>Uldis:</t>
        </r>
        <r>
          <rPr>
            <sz val="8"/>
            <color indexed="81"/>
            <rFont val="Tahoma"/>
            <family val="2"/>
            <charset val="186"/>
          </rPr>
          <t xml:space="preserve">
Izsniegtās elektroniskās identifikācijas kartes un elektroniskās uzturēšanās atļaujas.</t>
        </r>
      </text>
    </comment>
  </commentList>
</comments>
</file>

<file path=xl/comments17.xml><?xml version="1.0" encoding="utf-8"?>
<comments xmlns="http://schemas.openxmlformats.org/spreadsheetml/2006/main">
  <authors>
    <author>Aldis Zarins</author>
  </authors>
  <commentList>
    <comment ref="J6" authorId="0">
      <text>
        <r>
          <rPr>
            <b/>
            <sz val="8"/>
            <color indexed="81"/>
            <rFont val="Tahoma"/>
            <family val="2"/>
            <charset val="186"/>
          </rPr>
          <t>Aldis Zarins:</t>
        </r>
        <r>
          <rPr>
            <sz val="8"/>
            <color indexed="81"/>
            <rFont val="Tahoma"/>
            <family val="2"/>
            <charset val="186"/>
          </rPr>
          <t xml:space="preserve">
Ievērojot projekta iesniegumu - Saskaņā ar Centrālās statistikas pārvaldes informāciju (www.csb.gov.lv) Transporta un uzglabāšanas, Sauszemes transporta un cauruļvadu transporta, Ūdens transporta, Uzglabāšanas un transporta palīgdarbības un Gaisa transporta sektoros 2009. gadā ekonomiski aktīvo dalībnieku kopskaits sasniedza 8573 komercsabiedrību. Potenciāli sistēma paredzēta izmantošanai ikvienam dalībniekam, kas darbojas starptautisko kravu pārvadājumu nozarē.
</t>
        </r>
      </text>
    </comment>
    <comment ref="J7" authorId="0">
      <text>
        <r>
          <rPr>
            <b/>
            <sz val="8"/>
            <color indexed="81"/>
            <rFont val="Tahoma"/>
            <family val="2"/>
            <charset val="186"/>
          </rPr>
          <t>Aldis Zarins:</t>
        </r>
        <r>
          <rPr>
            <sz val="8"/>
            <color indexed="81"/>
            <rFont val="Tahoma"/>
            <family val="2"/>
            <charset val="186"/>
          </rPr>
          <t xml:space="preserve">
Šeit tiek identificētas IS, kas ir iesaistītas dokumentu apritēkravu pārvadājumu jomā - VID, PVD, RS, 3ostas; LDZ; SafeSeaNet</t>
        </r>
      </text>
    </comment>
    <comment ref="R7" authorId="0">
      <text>
        <r>
          <rPr>
            <b/>
            <sz val="8"/>
            <color indexed="81"/>
            <rFont val="Tahoma"/>
            <family val="2"/>
            <charset val="186"/>
          </rPr>
          <t>Aldis Zarins:</t>
        </r>
        <r>
          <rPr>
            <sz val="8"/>
            <color indexed="81"/>
            <rFont val="Tahoma"/>
            <family val="2"/>
            <charset val="186"/>
          </rPr>
          <t xml:space="preserve">
Pieņemam, ka tiek veidotas arī citas IS, kas iesaistās dokuementu un informācijas apstrādes procesā</t>
        </r>
      </text>
    </comment>
  </commentList>
</comments>
</file>

<file path=xl/comments18.xml><?xml version="1.0" encoding="utf-8"?>
<comments xmlns="http://schemas.openxmlformats.org/spreadsheetml/2006/main">
  <authors>
    <author>ineseb</author>
  </authors>
  <commentList>
    <comment ref="F31" authorId="0">
      <text>
        <r>
          <rPr>
            <b/>
            <sz val="8"/>
            <color indexed="81"/>
            <rFont val="Tahoma"/>
          </rPr>
          <t>ineseb:</t>
        </r>
        <r>
          <rPr>
            <sz val="8"/>
            <color indexed="81"/>
            <rFont val="Tahoma"/>
          </rPr>
          <t xml:space="preserve">
Tikai ministrijas ierēdņi</t>
        </r>
      </text>
    </comment>
    <comment ref="J31" authorId="0">
      <text>
        <r>
          <rPr>
            <b/>
            <sz val="8"/>
            <color indexed="81"/>
            <rFont val="Tahoma"/>
          </rPr>
          <t>ineseb:</t>
        </r>
        <r>
          <rPr>
            <sz val="8"/>
            <color indexed="81"/>
            <rFont val="Tahoma"/>
          </rPr>
          <t xml:space="preserve">
LM un 12 iestāžu ierēdņi</t>
        </r>
      </text>
    </comment>
    <comment ref="F32" authorId="0">
      <text>
        <r>
          <rPr>
            <b/>
            <sz val="8"/>
            <color indexed="81"/>
            <rFont val="Tahoma"/>
          </rPr>
          <t>ineseb:</t>
        </r>
        <r>
          <rPr>
            <sz val="8"/>
            <color indexed="81"/>
            <rFont val="Tahoma"/>
          </rPr>
          <t xml:space="preserve">
Tikai ministrijas ierēdņi</t>
        </r>
      </text>
    </comment>
    <comment ref="J32" authorId="0">
      <text>
        <r>
          <rPr>
            <b/>
            <sz val="8"/>
            <color indexed="81"/>
            <rFont val="Tahoma"/>
          </rPr>
          <t>ineseb:</t>
        </r>
        <r>
          <rPr>
            <sz val="8"/>
            <color indexed="81"/>
            <rFont val="Tahoma"/>
          </rPr>
          <t xml:space="preserve">
LM un 12 iestāžu ierēdņi</t>
        </r>
      </text>
    </comment>
  </commentList>
</comments>
</file>

<file path=xl/comments2.xml><?xml version="1.0" encoding="utf-8"?>
<comments xmlns="http://schemas.openxmlformats.org/spreadsheetml/2006/main">
  <authors>
    <author>murniece</author>
    <author>ilgmarslustiks</author>
  </authors>
  <commentList>
    <comment ref="F9" authorId="0">
      <text>
        <r>
          <rPr>
            <b/>
            <sz val="8"/>
            <color indexed="81"/>
            <rFont val="Tahoma"/>
            <family val="2"/>
            <charset val="186"/>
          </rPr>
          <t>murniece:</t>
        </r>
        <r>
          <rPr>
            <sz val="8"/>
            <color indexed="81"/>
            <rFont val="Tahoma"/>
            <family val="2"/>
            <charset val="186"/>
          </rPr>
          <t xml:space="preserve">
Ģimenes ārstu skaits Latvijā</t>
        </r>
      </text>
    </comment>
    <comment ref="F10" authorId="1">
      <text>
        <r>
          <rPr>
            <b/>
            <sz val="9"/>
            <color indexed="81"/>
            <rFont val="Tahoma"/>
            <family val="2"/>
            <charset val="186"/>
          </rPr>
          <t>ilgmarslustiks:</t>
        </r>
        <r>
          <rPr>
            <sz val="9"/>
            <color indexed="81"/>
            <rFont val="Tahoma"/>
            <family val="2"/>
            <charset val="186"/>
          </rPr>
          <t xml:space="preserve">
invalīdu skaits Latvijā</t>
        </r>
      </text>
    </comment>
  </commentList>
</comments>
</file>

<file path=xl/comments3.xml><?xml version="1.0" encoding="utf-8"?>
<comments xmlns="http://schemas.openxmlformats.org/spreadsheetml/2006/main">
  <authors>
    <author>Kristīne Pabērza</author>
  </authors>
  <commentList>
    <comment ref="D6"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E6" authorId="0">
      <text>
        <r>
          <rPr>
            <b/>
            <sz val="9"/>
            <color indexed="81"/>
            <rFont val="Tahoma"/>
            <family val="2"/>
            <charset val="186"/>
          </rPr>
          <t>Kristīne Pabērza:</t>
        </r>
        <r>
          <rPr>
            <sz val="9"/>
            <color indexed="81"/>
            <rFont val="Tahoma"/>
            <family val="2"/>
            <charset val="186"/>
          </rPr>
          <t xml:space="preserve">
Šie nav unikālie lietotāji, jo tos nav iespējams identificēt pie pašreizējā e-pakalpojuma līmeņa; Pieņemam, ka viens pieprasījums = viens lietotājs</t>
        </r>
      </text>
    </comment>
    <comment ref="F6" authorId="0">
      <text>
        <r>
          <rPr>
            <b/>
            <sz val="9"/>
            <color indexed="81"/>
            <rFont val="Tahoma"/>
            <family val="2"/>
            <charset val="186"/>
          </rPr>
          <t>Kristīne Pabērza:</t>
        </r>
        <r>
          <rPr>
            <sz val="9"/>
            <color indexed="81"/>
            <rFont val="Tahoma"/>
            <family val="2"/>
            <charset val="186"/>
          </rPr>
          <t xml:space="preserve">
Šie nav unikālie lietotāji, jo tos nav iespējams identificēt pie pašreizējā e-pakalpojuma līmeņa; Pieņemam, ka viens pieprasījums = viens lietotājs</t>
        </r>
      </text>
    </comment>
    <comment ref="D7"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E7"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F7"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D9" authorId="0">
      <text>
        <r>
          <rPr>
            <b/>
            <sz val="9"/>
            <color indexed="81"/>
            <rFont val="Tahoma"/>
            <family val="2"/>
            <charset val="186"/>
          </rPr>
          <t>Kristīne Pabērza:</t>
        </r>
        <r>
          <rPr>
            <sz val="9"/>
            <color indexed="81"/>
            <rFont val="Tahoma"/>
            <family val="2"/>
            <charset val="186"/>
          </rPr>
          <t xml:space="preserve">
Pieprasīšanas gadījumi gadā</t>
        </r>
      </text>
    </comment>
    <comment ref="F9" authorId="0">
      <text>
        <r>
          <rPr>
            <b/>
            <sz val="9"/>
            <color indexed="81"/>
            <rFont val="Tahoma"/>
            <family val="2"/>
            <charset val="186"/>
          </rPr>
          <t>Kristīne Pabērza:</t>
        </r>
        <r>
          <rPr>
            <sz val="9"/>
            <color indexed="81"/>
            <rFont val="Tahoma"/>
            <family val="2"/>
            <charset val="186"/>
          </rPr>
          <t xml:space="preserve">
Šie nav unikālie lietotāji, jo tos nav iespējams identificēt pie pašreizējā e-pakalpojuma līmeņa; Pieņemam, ka viens pieprasījums = viens lietotājs</t>
        </r>
      </text>
    </comment>
    <comment ref="D10" authorId="0">
      <text>
        <r>
          <rPr>
            <b/>
            <sz val="9"/>
            <color indexed="81"/>
            <rFont val="Tahoma"/>
            <family val="2"/>
            <charset val="186"/>
          </rPr>
          <t>Kristīne Pabērza:</t>
        </r>
        <r>
          <rPr>
            <sz val="9"/>
            <color indexed="81"/>
            <rFont val="Tahoma"/>
            <family val="2"/>
            <charset val="186"/>
          </rPr>
          <t xml:space="preserve">
atļauju izsniegšanas gadījumu skaits gadā</t>
        </r>
      </text>
    </comment>
    <comment ref="F10" authorId="0">
      <text>
        <r>
          <rPr>
            <b/>
            <sz val="9"/>
            <color indexed="81"/>
            <rFont val="Tahoma"/>
            <family val="2"/>
            <charset val="186"/>
          </rPr>
          <t>Kristīne Pabērza:</t>
        </r>
        <r>
          <rPr>
            <sz val="9"/>
            <color indexed="81"/>
            <rFont val="Tahoma"/>
            <family val="2"/>
            <charset val="186"/>
          </rPr>
          <t xml:space="preserve">
pētnieku skaits</t>
        </r>
      </text>
    </comment>
    <comment ref="D11" authorId="0">
      <text>
        <r>
          <rPr>
            <b/>
            <sz val="9"/>
            <color indexed="81"/>
            <rFont val="Tahoma"/>
            <family val="2"/>
            <charset val="186"/>
          </rPr>
          <t>Kristīne Pabērza:</t>
        </r>
        <r>
          <rPr>
            <sz val="9"/>
            <color indexed="81"/>
            <rFont val="Tahoma"/>
            <family val="2"/>
            <charset val="186"/>
          </rPr>
          <t xml:space="preserve">
Pasūtīšanas gadījumi gadā</t>
        </r>
      </text>
    </comment>
    <comment ref="F11" authorId="0">
      <text>
        <r>
          <rPr>
            <b/>
            <sz val="9"/>
            <color indexed="81"/>
            <rFont val="Tahoma"/>
            <family val="2"/>
            <charset val="186"/>
          </rPr>
          <t>Kristīne Pabērza:</t>
        </r>
        <r>
          <rPr>
            <sz val="9"/>
            <color indexed="81"/>
            <rFont val="Tahoma"/>
            <family val="2"/>
            <charset val="186"/>
          </rPr>
          <t xml:space="preserve">
Šie nav unikālie lietotāji, jo tos nav iespējams identificēt pie pašreizējā e-pakalpojuma līmeņa; Pieņemam, ka viens pieprasījums = viens lietotājs</t>
        </r>
      </text>
    </comment>
    <comment ref="D13" authorId="0">
      <text>
        <r>
          <rPr>
            <b/>
            <sz val="9"/>
            <color indexed="81"/>
            <rFont val="Tahoma"/>
            <family val="2"/>
            <charset val="186"/>
          </rPr>
          <t>Kristīne Pabērza:</t>
        </r>
        <r>
          <rPr>
            <sz val="9"/>
            <color indexed="81"/>
            <rFont val="Tahoma"/>
            <family val="2"/>
            <charset val="186"/>
          </rPr>
          <t xml:space="preserve">
Saskaņošanas gadījumi gadā</t>
        </r>
      </text>
    </comment>
    <comment ref="D14" authorId="0">
      <text>
        <r>
          <rPr>
            <b/>
            <sz val="9"/>
            <color indexed="81"/>
            <rFont val="Tahoma"/>
            <family val="2"/>
            <charset val="186"/>
          </rPr>
          <t>Kristīne Pabērza:</t>
        </r>
        <r>
          <rPr>
            <sz val="9"/>
            <color indexed="81"/>
            <rFont val="Tahoma"/>
            <family val="2"/>
            <charset val="186"/>
          </rPr>
          <t xml:space="preserve">
Saskaņošanas gadījumi gadā</t>
        </r>
      </text>
    </comment>
    <comment ref="D15" authorId="0">
      <text>
        <r>
          <rPr>
            <b/>
            <sz val="9"/>
            <color indexed="81"/>
            <rFont val="Tahoma"/>
            <family val="2"/>
            <charset val="186"/>
          </rPr>
          <t>Kristīne Pabērza:</t>
        </r>
        <r>
          <rPr>
            <sz val="9"/>
            <color indexed="81"/>
            <rFont val="Tahoma"/>
            <family val="2"/>
            <charset val="186"/>
          </rPr>
          <t xml:space="preserve">
Saskaņošanas gadījumi gadā</t>
        </r>
      </text>
    </comment>
    <comment ref="D16" authorId="0">
      <text>
        <r>
          <rPr>
            <b/>
            <sz val="9"/>
            <color indexed="81"/>
            <rFont val="Tahoma"/>
            <family val="2"/>
            <charset val="186"/>
          </rPr>
          <t>Kristīne Pabērza:</t>
        </r>
        <r>
          <rPr>
            <sz val="9"/>
            <color indexed="81"/>
            <rFont val="Tahoma"/>
            <family val="2"/>
            <charset val="186"/>
          </rPr>
          <t xml:space="preserve">
Institūciju skaits, kas nodod elektroniskos dokumentus</t>
        </r>
      </text>
    </comment>
    <comment ref="F23" authorId="0">
      <text>
        <r>
          <rPr>
            <b/>
            <sz val="9"/>
            <color indexed="81"/>
            <rFont val="Tahoma"/>
            <family val="2"/>
            <charset val="186"/>
          </rPr>
          <t>Kristīne Pabērza:</t>
        </r>
        <r>
          <rPr>
            <sz val="9"/>
            <color indexed="81"/>
            <rFont val="Tahoma"/>
            <family val="2"/>
            <charset val="186"/>
          </rPr>
          <t xml:space="preserve">
ārējie + iekšējie lietotāji</t>
        </r>
      </text>
    </comment>
    <comment ref="F24" authorId="0">
      <text>
        <r>
          <rPr>
            <b/>
            <sz val="9"/>
            <color indexed="81"/>
            <rFont val="Tahoma"/>
            <family val="2"/>
            <charset val="186"/>
          </rPr>
          <t>Kristīne Pabērza:</t>
        </r>
        <r>
          <rPr>
            <sz val="9"/>
            <color indexed="81"/>
            <rFont val="Tahoma"/>
            <family val="2"/>
            <charset val="186"/>
          </rPr>
          <t xml:space="preserve">
iekšējie lietotāji</t>
        </r>
      </text>
    </comment>
    <comment ref="D26" authorId="0">
      <text>
        <r>
          <rPr>
            <b/>
            <sz val="9"/>
            <color indexed="81"/>
            <rFont val="Tahoma"/>
            <family val="2"/>
            <charset val="186"/>
          </rPr>
          <t>Kristīne Pabērza:</t>
        </r>
        <r>
          <rPr>
            <sz val="9"/>
            <color indexed="81"/>
            <rFont val="Tahoma"/>
            <family val="2"/>
            <charset val="186"/>
          </rPr>
          <t xml:space="preserve">
Uzraudzīto institūciju skaits</t>
        </r>
      </text>
    </comment>
    <comment ref="F26" authorId="0">
      <text>
        <r>
          <rPr>
            <b/>
            <sz val="9"/>
            <color indexed="81"/>
            <rFont val="Tahoma"/>
            <family val="2"/>
            <charset val="186"/>
          </rPr>
          <t>Kristīne Pabērza:</t>
        </r>
        <r>
          <rPr>
            <sz val="9"/>
            <color indexed="81"/>
            <rFont val="Tahoma"/>
            <family val="2"/>
            <charset val="186"/>
          </rPr>
          <t xml:space="preserve">
30 LNA darbinieki + visas uzraudzības institūcijas 3222</t>
        </r>
      </text>
    </comment>
    <comment ref="I26" authorId="0">
      <text>
        <r>
          <rPr>
            <b/>
            <sz val="9"/>
            <color indexed="81"/>
            <rFont val="Tahoma"/>
            <family val="2"/>
            <charset val="186"/>
          </rPr>
          <t>Kristīne Pabērza:</t>
        </r>
        <r>
          <rPr>
            <sz val="9"/>
            <color indexed="81"/>
            <rFont val="Tahoma"/>
            <family val="2"/>
            <charset val="186"/>
          </rPr>
          <t xml:space="preserve">
uzraudzības institūcijas, kas izmanto IS + LNA darbinieki</t>
        </r>
      </text>
    </comment>
    <comment ref="D27" authorId="0">
      <text>
        <r>
          <rPr>
            <b/>
            <sz val="9"/>
            <color indexed="81"/>
            <rFont val="Tahoma"/>
            <family val="2"/>
            <charset val="186"/>
          </rPr>
          <t>Kristīne Pabērza:</t>
        </r>
        <r>
          <rPr>
            <sz val="9"/>
            <color indexed="81"/>
            <rFont val="Tahoma"/>
            <family val="2"/>
            <charset val="186"/>
          </rPr>
          <t xml:space="preserve">
Aprakstīto glabājamo vienību skaits</t>
        </r>
      </text>
    </comment>
    <comment ref="D28" authorId="0">
      <text>
        <r>
          <rPr>
            <b/>
            <sz val="9"/>
            <color indexed="81"/>
            <rFont val="Tahoma"/>
            <family val="2"/>
            <charset val="186"/>
          </rPr>
          <t>Kristīne Pabērza:</t>
        </r>
        <r>
          <rPr>
            <sz val="9"/>
            <color indexed="81"/>
            <rFont val="Tahoma"/>
            <family val="2"/>
            <charset val="186"/>
          </rPr>
          <t xml:space="preserve">
Glabājamo vienību skaits, kurām veikta esības pārbaude, restaurācija, mikrofilmēšana</t>
        </r>
      </text>
    </comment>
    <comment ref="D29" authorId="0">
      <text>
        <r>
          <rPr>
            <b/>
            <sz val="9"/>
            <color indexed="81"/>
            <rFont val="Tahoma"/>
            <family val="2"/>
            <charset val="186"/>
          </rPr>
          <t>Kristīne Pabērza:</t>
        </r>
        <r>
          <rPr>
            <sz val="9"/>
            <color indexed="81"/>
            <rFont val="Tahoma"/>
            <family val="2"/>
            <charset val="186"/>
          </rPr>
          <t xml:space="preserve">
Apmeklējumu skaits gadā</t>
        </r>
      </text>
    </comment>
    <comment ref="F29" authorId="0">
      <text>
        <r>
          <rPr>
            <b/>
            <sz val="9"/>
            <color indexed="81"/>
            <rFont val="Tahoma"/>
            <family val="2"/>
            <charset val="186"/>
          </rPr>
          <t>Kristīne Pabērza:</t>
        </r>
        <r>
          <rPr>
            <sz val="9"/>
            <color indexed="81"/>
            <rFont val="Tahoma"/>
            <family val="2"/>
            <charset val="186"/>
          </rPr>
          <t xml:space="preserve">
5000 pētnieki + 15 LNA darbinieki</t>
        </r>
      </text>
    </comment>
    <comment ref="E30" authorId="0">
      <text>
        <r>
          <rPr>
            <b/>
            <sz val="9"/>
            <color indexed="81"/>
            <rFont val="Tahoma"/>
            <family val="2"/>
            <charset val="186"/>
          </rPr>
          <t>Kristīne Pabērza:</t>
        </r>
        <r>
          <rPr>
            <sz val="9"/>
            <color indexed="81"/>
            <rFont val="Tahoma"/>
            <family val="2"/>
            <charset val="186"/>
          </rPr>
          <t xml:space="preserve">
E-pakalpojumu Nr.1 līdz Nr.4 lietotāju skaits + 30 LNA darbinieki</t>
        </r>
      </text>
    </comment>
    <comment ref="F30" authorId="0">
      <text>
        <r>
          <rPr>
            <b/>
            <sz val="9"/>
            <color indexed="81"/>
            <rFont val="Tahoma"/>
            <family val="2"/>
            <charset val="186"/>
          </rPr>
          <t>Kristīne Pabērza:</t>
        </r>
        <r>
          <rPr>
            <sz val="9"/>
            <color indexed="81"/>
            <rFont val="Tahoma"/>
            <family val="2"/>
            <charset val="186"/>
          </rPr>
          <t xml:space="preserve">
E-pakalpojumu Nr.1 līdz Nr.4 lietotāju skaits + 30 LNA darbinieki</t>
        </r>
      </text>
    </comment>
  </commentList>
</comments>
</file>

<file path=xl/comments4.xml><?xml version="1.0" encoding="utf-8"?>
<comments xmlns="http://schemas.openxmlformats.org/spreadsheetml/2006/main">
  <authors>
    <author>aija.vule</author>
  </authors>
  <commentList>
    <comment ref="C31" authorId="0">
      <text>
        <r>
          <rPr>
            <b/>
            <sz val="9"/>
            <color indexed="81"/>
            <rFont val="Tahoma"/>
            <family val="2"/>
            <charset val="186"/>
          </rPr>
          <t>aija.vule:</t>
        </r>
        <r>
          <rPr>
            <sz val="9"/>
            <color indexed="81"/>
            <rFont val="Tahoma"/>
            <family val="2"/>
            <charset val="186"/>
          </rPr>
          <t xml:space="preserve">
e-pakalpojumu izsaukumu skaits</t>
        </r>
      </text>
    </comment>
    <comment ref="D31" authorId="0">
      <text>
        <r>
          <rPr>
            <b/>
            <sz val="9"/>
            <color indexed="81"/>
            <rFont val="Tahoma"/>
            <family val="2"/>
            <charset val="186"/>
          </rPr>
          <t>aija.vule:</t>
        </r>
        <r>
          <rPr>
            <sz val="9"/>
            <color indexed="81"/>
            <rFont val="Tahoma"/>
            <family val="2"/>
            <charset val="186"/>
          </rPr>
          <t xml:space="preserve">
transakcijas VISS</t>
        </r>
      </text>
    </comment>
    <comment ref="E31" authorId="0">
      <text>
        <r>
          <rPr>
            <b/>
            <sz val="9"/>
            <color indexed="81"/>
            <rFont val="Tahoma"/>
            <family val="2"/>
            <charset val="186"/>
          </rPr>
          <t>aija.vule:</t>
        </r>
        <r>
          <rPr>
            <sz val="9"/>
            <color indexed="81"/>
            <rFont val="Tahoma"/>
            <family val="2"/>
            <charset val="186"/>
          </rPr>
          <t xml:space="preserve">
VISS lietotāji (aktīvie), kam piešķirtas VISS lietošanas tiesības </t>
        </r>
      </text>
    </comment>
    <comment ref="F31" authorId="0">
      <text>
        <r>
          <rPr>
            <b/>
            <sz val="9"/>
            <color indexed="81"/>
            <rFont val="Tahoma"/>
            <family val="2"/>
            <charset val="186"/>
          </rPr>
          <t>aija.vule:</t>
        </r>
        <r>
          <rPr>
            <sz val="9"/>
            <color indexed="81"/>
            <rFont val="Tahoma"/>
            <family val="2"/>
            <charset val="186"/>
          </rPr>
          <t xml:space="preserve">
kopējais e-pakalpojumu lietotāju skaits</t>
        </r>
      </text>
    </comment>
  </commentList>
</comments>
</file>

<file path=xl/comments5.xml><?xml version="1.0" encoding="utf-8"?>
<comments xmlns="http://schemas.openxmlformats.org/spreadsheetml/2006/main">
  <authors>
    <author>Kristīne Pabērza</author>
  </authors>
  <commentList>
    <comment ref="D6"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E6" authorId="0">
      <text>
        <r>
          <rPr>
            <b/>
            <sz val="9"/>
            <color indexed="81"/>
            <rFont val="Tahoma"/>
            <family val="2"/>
            <charset val="186"/>
          </rPr>
          <t>Kristīne Pabērza:</t>
        </r>
        <r>
          <rPr>
            <sz val="9"/>
            <color indexed="81"/>
            <rFont val="Tahoma"/>
            <family val="2"/>
            <charset val="186"/>
          </rPr>
          <t xml:space="preserve">
Šie nav unikālie lietotāji, jo tos nav iespējams identificēt pie pašreizējā e-pakalpojuma līmeņa; Pieņemam, ka viens pieprasījums = viens lietotājs</t>
        </r>
      </text>
    </comment>
    <comment ref="F6"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D7"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E7"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F7" author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F15" authorId="0">
      <text>
        <r>
          <rPr>
            <b/>
            <sz val="9"/>
            <color indexed="81"/>
            <rFont val="Tahoma"/>
            <family val="2"/>
            <charset val="186"/>
          </rPr>
          <t>Kristīne Pabērza:</t>
        </r>
        <r>
          <rPr>
            <sz val="9"/>
            <color indexed="81"/>
            <rFont val="Tahoma"/>
            <family val="2"/>
            <charset val="186"/>
          </rPr>
          <t xml:space="preserve">
ārējie + iekšējie lietotāji</t>
        </r>
      </text>
    </comment>
  </commentList>
</comments>
</file>

<file path=xl/comments6.xml><?xml version="1.0" encoding="utf-8"?>
<comments xmlns="http://schemas.openxmlformats.org/spreadsheetml/2006/main">
  <authors>
    <author>Linda</author>
  </authors>
  <commentList>
    <comment ref="G3" authorId="0">
      <text>
        <r>
          <rPr>
            <b/>
            <sz val="8"/>
            <color indexed="81"/>
            <rFont val="Tahoma"/>
            <family val="2"/>
            <charset val="186"/>
          </rPr>
          <t>Linda:</t>
        </r>
        <r>
          <rPr>
            <sz val="8"/>
            <color indexed="81"/>
            <rFont val="Tahoma"/>
            <family val="2"/>
            <charset val="186"/>
          </rPr>
          <t xml:space="preserve">
Kopējo lietotāju skaits, lai saņemtu Ģeoportālā pieejamos pakalpojumus, ir atkarīgs no vienošanās starp datu turētāju un ģeoportāla pārzini noslēgšanas, jo bez šādu vienošanos noslēgšanas dati nebūs pieejami. Papildus jānorāda, ka nav veikti pētījumi par kopējo iespējamo lietotāju skaitu. Ģeoportāla izveidi nosaka INSPIRE direktīva un secīgi Ģeotelpiskās informācijas likums.</t>
        </r>
      </text>
    </comment>
  </commentList>
</comments>
</file>

<file path=xl/comments7.xml><?xml version="1.0" encoding="utf-8"?>
<comments xmlns="http://schemas.openxmlformats.org/spreadsheetml/2006/main">
  <authors>
    <author>Roberts Linejs</author>
  </authors>
  <commentList>
    <comment ref="G6" authorId="0">
      <text>
        <r>
          <rPr>
            <b/>
            <sz val="9"/>
            <color indexed="81"/>
            <rFont val="Tahoma"/>
            <family val="2"/>
            <charset val="186"/>
          </rPr>
          <t>Roberts Linejs:</t>
        </r>
        <r>
          <rPr>
            <sz val="9"/>
            <color indexed="81"/>
            <rFont val="Tahoma"/>
            <family val="2"/>
            <charset val="186"/>
          </rPr>
          <t xml:space="preserve">
Ārstniecības personas kuras var izrakstīt receptes</t>
        </r>
      </text>
    </comment>
    <comment ref="G7" authorId="0">
      <text>
        <r>
          <rPr>
            <b/>
            <sz val="9"/>
            <color indexed="81"/>
            <rFont val="Tahoma"/>
            <family val="2"/>
            <charset val="186"/>
          </rPr>
          <t>Roberts Linejs:</t>
        </r>
        <r>
          <rPr>
            <sz val="9"/>
            <color indexed="81"/>
            <rFont val="Tahoma"/>
            <family val="2"/>
            <charset val="186"/>
          </rPr>
          <t xml:space="preserve">
Farmaceitu un faramceitu asistentu skaits pēc http://www.farmacija-mic.lv 2012. g. augusta datiem</t>
        </r>
      </text>
    </comment>
    <comment ref="E8" authorId="0">
      <text>
        <r>
          <rPr>
            <b/>
            <sz val="9"/>
            <color indexed="81"/>
            <rFont val="Tahoma"/>
            <family val="2"/>
            <charset val="186"/>
          </rPr>
          <t>Roberts Linejs:</t>
        </r>
        <r>
          <rPr>
            <sz val="9"/>
            <color indexed="81"/>
            <rFont val="Tahoma"/>
            <family val="2"/>
            <charset val="186"/>
          </rPr>
          <t xml:space="preserve">
Kompensējamo zāļu skaits</t>
        </r>
      </text>
    </comment>
    <comment ref="G8" authorId="0">
      <text>
        <r>
          <rPr>
            <b/>
            <sz val="9"/>
            <color indexed="81"/>
            <rFont val="Tahoma"/>
            <family val="2"/>
            <charset val="186"/>
          </rPr>
          <t>Roberts Linejs:</t>
        </r>
        <r>
          <rPr>
            <sz val="9"/>
            <color indexed="81"/>
            <rFont val="Tahoma"/>
            <family val="2"/>
            <charset val="186"/>
          </rPr>
          <t xml:space="preserve">
Aptiekas</t>
        </r>
      </text>
    </comment>
    <comment ref="G9" authorId="0">
      <text>
        <r>
          <rPr>
            <b/>
            <sz val="9"/>
            <color indexed="81"/>
            <rFont val="Tahoma"/>
            <family val="2"/>
            <charset val="186"/>
          </rPr>
          <t>Roberts Linejs:</t>
        </r>
        <r>
          <rPr>
            <sz val="9"/>
            <color indexed="81"/>
            <rFont val="Tahoma"/>
            <family val="2"/>
            <charset val="186"/>
          </rPr>
          <t xml:space="preserve">
Datu analītiķi VI etc.</t>
        </r>
      </text>
    </comment>
    <comment ref="E19" authorId="0">
      <text>
        <r>
          <rPr>
            <b/>
            <sz val="9"/>
            <color indexed="81"/>
            <rFont val="Tahoma"/>
            <family val="2"/>
            <charset val="186"/>
          </rPr>
          <t>Roberts Linejs:</t>
        </r>
        <r>
          <rPr>
            <sz val="9"/>
            <color indexed="81"/>
            <rFont val="Tahoma"/>
            <family val="2"/>
            <charset val="186"/>
          </rPr>
          <t xml:space="preserve">
Nav precīza skaita cik ir kļūdainas receptes, bet pēc GMC pētījuma Lielbritānija ~ 5%</t>
        </r>
      </text>
    </comment>
  </commentList>
</comments>
</file>

<file path=xl/comments8.xml><?xml version="1.0" encoding="utf-8"?>
<comments xmlns="http://schemas.openxmlformats.org/spreadsheetml/2006/main">
  <authors>
    <author>Andris Putniņš</author>
  </authors>
  <commentList>
    <comment ref="G6" authorId="0">
      <text>
        <r>
          <rPr>
            <b/>
            <sz val="9"/>
            <color indexed="81"/>
            <rFont val="Tahoma"/>
            <family val="2"/>
            <charset val="186"/>
          </rPr>
          <t>Andris Putniņš:</t>
        </r>
        <r>
          <rPr>
            <sz val="9"/>
            <color indexed="81"/>
            <rFont val="Tahoma"/>
            <family val="2"/>
            <charset val="186"/>
          </rPr>
          <t xml:space="preserve">
Pieņemam, ka viens pieprasījums = viens lietotājs</t>
        </r>
      </text>
    </comment>
  </commentList>
</comments>
</file>

<file path=xl/comments9.xml><?xml version="1.0" encoding="utf-8"?>
<comments xmlns="http://schemas.openxmlformats.org/spreadsheetml/2006/main">
  <authors>
    <author>ivetab</author>
    <author>Lilita Kalvāne</author>
  </authors>
  <commentList>
    <comment ref="F6" authorId="0">
      <text>
        <r>
          <rPr>
            <b/>
            <sz val="8"/>
            <color indexed="81"/>
            <rFont val="Tahoma"/>
            <family val="2"/>
            <charset val="186"/>
          </rPr>
          <t>ivetab:</t>
        </r>
        <r>
          <rPr>
            <sz val="8"/>
            <color indexed="81"/>
            <rFont val="Tahoma"/>
            <family val="2"/>
            <charset val="186"/>
          </rPr>
          <t xml:space="preserve">
Šie nav unikālie lietotāji, jo tos nav iespējams identificēt pie pašreizējā e-pakalpojuma līmeņa; Pieņemam, ka viens pieprasījums = viens lietotājs</t>
        </r>
      </text>
    </comment>
    <comment ref="F7" authorId="0">
      <text>
        <r>
          <rPr>
            <b/>
            <sz val="8"/>
            <color indexed="81"/>
            <rFont val="Tahoma"/>
            <family val="2"/>
            <charset val="186"/>
          </rPr>
          <t>ivetab:</t>
        </r>
        <r>
          <rPr>
            <sz val="8"/>
            <color indexed="81"/>
            <rFont val="Tahoma"/>
            <family val="2"/>
            <charset val="186"/>
          </rPr>
          <t xml:space="preserve">
Šie nav unikālie lietotāji, jo tos nav iespējams identificēt pie pašreizējā e-pakalpojuma līmeņa; Pieņemam, ka viens pieprasījums = viens lietotājs</t>
        </r>
      </text>
    </comment>
    <comment ref="G7" authorId="0">
      <text>
        <r>
          <rPr>
            <b/>
            <sz val="8"/>
            <color indexed="81"/>
            <rFont val="Tahoma"/>
            <family val="2"/>
            <charset val="186"/>
          </rPr>
          <t>ivetab:</t>
        </r>
        <r>
          <rPr>
            <sz val="8"/>
            <color indexed="81"/>
            <rFont val="Tahoma"/>
            <family val="2"/>
            <charset val="186"/>
          </rPr>
          <t xml:space="preserve">
20%</t>
        </r>
      </text>
    </comment>
    <comment ref="K7" authorId="0">
      <text>
        <r>
          <rPr>
            <b/>
            <sz val="8"/>
            <color indexed="81"/>
            <rFont val="Tahoma"/>
            <family val="2"/>
            <charset val="186"/>
          </rPr>
          <t>ivetab:</t>
        </r>
        <r>
          <rPr>
            <sz val="8"/>
            <color indexed="81"/>
            <rFont val="Tahoma"/>
            <family val="2"/>
            <charset val="186"/>
          </rPr>
          <t xml:space="preserve">
40%</t>
        </r>
      </text>
    </comment>
    <comment ref="O7" authorId="0">
      <text>
        <r>
          <rPr>
            <b/>
            <sz val="8"/>
            <color indexed="81"/>
            <rFont val="Tahoma"/>
            <family val="2"/>
            <charset val="186"/>
          </rPr>
          <t>ivetab:</t>
        </r>
        <r>
          <rPr>
            <sz val="8"/>
            <color indexed="81"/>
            <rFont val="Tahoma"/>
            <family val="2"/>
            <charset val="186"/>
          </rPr>
          <t xml:space="preserve">
50%</t>
        </r>
      </text>
    </comment>
    <comment ref="S7" authorId="0">
      <text>
        <r>
          <rPr>
            <b/>
            <sz val="8"/>
            <color indexed="81"/>
            <rFont val="Tahoma"/>
            <family val="2"/>
            <charset val="186"/>
          </rPr>
          <t>ivetab:</t>
        </r>
        <r>
          <rPr>
            <sz val="8"/>
            <color indexed="81"/>
            <rFont val="Tahoma"/>
            <family val="2"/>
            <charset val="186"/>
          </rPr>
          <t xml:space="preserve">
55%</t>
        </r>
      </text>
    </comment>
    <comment ref="W7" authorId="0">
      <text>
        <r>
          <rPr>
            <b/>
            <sz val="8"/>
            <color indexed="81"/>
            <rFont val="Tahoma"/>
            <family val="2"/>
            <charset val="186"/>
          </rPr>
          <t>ivetab:</t>
        </r>
        <r>
          <rPr>
            <sz val="8"/>
            <color indexed="81"/>
            <rFont val="Tahoma"/>
            <family val="2"/>
            <charset val="186"/>
          </rPr>
          <t xml:space="preserve">
60%</t>
        </r>
      </text>
    </comment>
    <comment ref="F8" authorId="0">
      <text>
        <r>
          <rPr>
            <b/>
            <sz val="8"/>
            <color indexed="81"/>
            <rFont val="Tahoma"/>
            <family val="2"/>
            <charset val="186"/>
          </rPr>
          <t>ivetab:</t>
        </r>
        <r>
          <rPr>
            <sz val="8"/>
            <color indexed="81"/>
            <rFont val="Tahoma"/>
            <family val="2"/>
            <charset val="186"/>
          </rPr>
          <t xml:space="preserve">
Šie nav unikālie lietotāji, jo tos nav iespējams identificēt pie pašreizējā e-pakalpojuma līmeņa; Pieņemam, ka viens pieprasījums = viens lietotājs</t>
        </r>
      </text>
    </comment>
    <comment ref="B9" authorId="0">
      <text>
        <r>
          <rPr>
            <b/>
            <sz val="8"/>
            <color indexed="81"/>
            <rFont val="Tahoma"/>
            <family val="2"/>
            <charset val="186"/>
          </rPr>
          <t>ivetab:</t>
        </r>
        <r>
          <rPr>
            <sz val="8"/>
            <color indexed="81"/>
            <rFont val="Tahoma"/>
            <family val="2"/>
            <charset val="186"/>
          </rPr>
          <t xml:space="preserve">
šādas informācijas sniegšana šobrīd sabiedrībā nav rosināta</t>
        </r>
      </text>
    </comment>
    <comment ref="F10" authorId="1">
      <text>
        <r>
          <rPr>
            <b/>
            <sz val="8"/>
            <color indexed="81"/>
            <rFont val="Tahoma"/>
            <family val="2"/>
            <charset val="186"/>
          </rPr>
          <t>Lilita Kalvāne:</t>
        </r>
        <r>
          <rPr>
            <sz val="8"/>
            <color indexed="81"/>
            <rFont val="Tahoma"/>
            <family val="2"/>
            <charset val="186"/>
          </rPr>
          <t xml:space="preserve">
šie nav unikālie lietotāji, bet iespējamais pieprasījumu skaits, ievērojot to, ka 2012.gadā ir bijušas 3573 kontroles ar pārkāpumiem.</t>
        </r>
      </text>
    </comment>
    <comment ref="G10" authorId="0">
      <text>
        <r>
          <rPr>
            <b/>
            <sz val="8"/>
            <color indexed="81"/>
            <rFont val="Tahoma"/>
            <family val="2"/>
            <charset val="186"/>
          </rPr>
          <t>ivetab:</t>
        </r>
        <r>
          <rPr>
            <sz val="8"/>
            <color indexed="81"/>
            <rFont val="Tahoma"/>
            <family val="2"/>
            <charset val="186"/>
          </rPr>
          <t xml:space="preserve">
10% no kontrolēm ar konstatētiem pārkāpumiem</t>
        </r>
      </text>
    </comment>
    <comment ref="B11" authorId="0">
      <text>
        <r>
          <rPr>
            <b/>
            <sz val="8"/>
            <color indexed="81"/>
            <rFont val="Tahoma"/>
            <family val="2"/>
            <charset val="186"/>
          </rPr>
          <t>ivetab:</t>
        </r>
        <r>
          <rPr>
            <sz val="8"/>
            <color indexed="81"/>
            <rFont val="Tahoma"/>
            <family val="2"/>
            <charset val="186"/>
          </rPr>
          <t xml:space="preserve">
šāda informācija šobrīd netiek sniegta</t>
        </r>
      </text>
    </comment>
    <comment ref="D11" authorId="0">
      <text>
        <r>
          <rPr>
            <b/>
            <sz val="8"/>
            <color indexed="81"/>
            <rFont val="Tahoma"/>
            <family val="2"/>
            <charset val="186"/>
          </rPr>
          <t>ivetab:</t>
        </r>
        <r>
          <rPr>
            <sz val="8"/>
            <color indexed="81"/>
            <rFont val="Tahoma"/>
            <family val="2"/>
            <charset val="186"/>
          </rPr>
          <t xml:space="preserve">
netiek atsevišķi uzturēts publicējams uzraudzības objektu katalogs</t>
        </r>
      </text>
    </comment>
    <comment ref="F11" authorId="0">
      <text>
        <r>
          <rPr>
            <b/>
            <sz val="8"/>
            <color indexed="81"/>
            <rFont val="Tahoma"/>
            <family val="2"/>
            <charset val="186"/>
          </rPr>
          <t>ivetab:</t>
        </r>
        <r>
          <rPr>
            <sz val="8"/>
            <color indexed="81"/>
            <rFont val="Tahoma"/>
            <family val="2"/>
            <charset val="186"/>
          </rPr>
          <t xml:space="preserve">
mājas lapas uzskaitīto lietotāju skaits</t>
        </r>
      </text>
    </comment>
    <comment ref="G11" authorId="0">
      <text>
        <r>
          <rPr>
            <b/>
            <sz val="8"/>
            <color indexed="81"/>
            <rFont val="Tahoma"/>
            <family val="2"/>
            <charset val="186"/>
          </rPr>
          <t>ivetab:</t>
        </r>
        <r>
          <rPr>
            <sz val="8"/>
            <color indexed="81"/>
            <rFont val="Tahoma"/>
            <family val="2"/>
            <charset val="186"/>
          </rPr>
          <t xml:space="preserve">
izveidots publicējams uzraudzības objektu katalogs</t>
        </r>
      </text>
    </comment>
    <comment ref="I11" authorId="0">
      <text>
        <r>
          <rPr>
            <b/>
            <sz val="8"/>
            <color indexed="81"/>
            <rFont val="Tahoma"/>
            <family val="2"/>
            <charset val="186"/>
          </rPr>
          <t>ivetab:</t>
        </r>
        <r>
          <rPr>
            <sz val="8"/>
            <color indexed="81"/>
            <rFont val="Tahoma"/>
            <family val="2"/>
            <charset val="186"/>
          </rPr>
          <t xml:space="preserve">
10%</t>
        </r>
      </text>
    </comment>
    <comment ref="M11" authorId="0">
      <text>
        <r>
          <rPr>
            <b/>
            <sz val="8"/>
            <color indexed="81"/>
            <rFont val="Tahoma"/>
            <family val="2"/>
            <charset val="186"/>
          </rPr>
          <t>ivetab:</t>
        </r>
        <r>
          <rPr>
            <sz val="8"/>
            <color indexed="81"/>
            <rFont val="Tahoma"/>
            <family val="2"/>
            <charset val="186"/>
          </rPr>
          <t xml:space="preserve">
20%</t>
        </r>
      </text>
    </comment>
    <comment ref="Q11" authorId="0">
      <text>
        <r>
          <rPr>
            <b/>
            <sz val="8"/>
            <color indexed="81"/>
            <rFont val="Tahoma"/>
            <family val="2"/>
            <charset val="186"/>
          </rPr>
          <t>ivetab:</t>
        </r>
        <r>
          <rPr>
            <sz val="8"/>
            <color indexed="81"/>
            <rFont val="Tahoma"/>
            <family val="2"/>
            <charset val="186"/>
          </rPr>
          <t xml:space="preserve">
30%</t>
        </r>
      </text>
    </comment>
    <comment ref="U11" authorId="0">
      <text>
        <r>
          <rPr>
            <b/>
            <sz val="8"/>
            <color indexed="81"/>
            <rFont val="Tahoma"/>
            <family val="2"/>
            <charset val="186"/>
          </rPr>
          <t>ivetab:</t>
        </r>
        <r>
          <rPr>
            <sz val="8"/>
            <color indexed="81"/>
            <rFont val="Tahoma"/>
            <family val="2"/>
            <charset val="186"/>
          </rPr>
          <t xml:space="preserve">
35%</t>
        </r>
      </text>
    </comment>
    <comment ref="Y11" authorId="0">
      <text>
        <r>
          <rPr>
            <b/>
            <sz val="8"/>
            <color indexed="81"/>
            <rFont val="Tahoma"/>
            <family val="2"/>
            <charset val="186"/>
          </rPr>
          <t>ivetab:</t>
        </r>
        <r>
          <rPr>
            <sz val="8"/>
            <color indexed="81"/>
            <rFont val="Tahoma"/>
            <family val="2"/>
            <charset val="186"/>
          </rPr>
          <t xml:space="preserve">
40%</t>
        </r>
      </text>
    </comment>
    <comment ref="C12" authorId="0">
      <text>
        <r>
          <rPr>
            <b/>
            <sz val="8"/>
            <color indexed="81"/>
            <rFont val="Tahoma"/>
            <family val="2"/>
            <charset val="186"/>
          </rPr>
          <t>ivetab:</t>
        </r>
        <r>
          <rPr>
            <sz val="8"/>
            <color indexed="81"/>
            <rFont val="Tahoma"/>
            <family val="2"/>
            <charset val="186"/>
          </rPr>
          <t xml:space="preserve">
apmēram puse no pieprasījumiem ienāk pa e-pastu/caur mājas lapu</t>
        </r>
      </text>
    </comment>
    <comment ref="D12" authorId="0">
      <text>
        <r>
          <rPr>
            <b/>
            <sz val="8"/>
            <color indexed="81"/>
            <rFont val="Tahoma"/>
            <family val="2"/>
            <charset val="186"/>
          </rPr>
          <t>ivetab:</t>
        </r>
        <r>
          <rPr>
            <sz val="8"/>
            <color indexed="81"/>
            <rFont val="Tahoma"/>
            <family val="2"/>
            <charset val="186"/>
          </rPr>
          <t xml:space="preserve">
informācija ņemta no mājas lapas sadaļas "Bieži uzdotie jautājumi"</t>
        </r>
      </text>
    </comment>
    <comment ref="F12" authorId="0">
      <text>
        <r>
          <rPr>
            <b/>
            <sz val="8"/>
            <color indexed="81"/>
            <rFont val="Tahoma"/>
            <family val="2"/>
            <charset val="186"/>
          </rPr>
          <t>ivetab:</t>
        </r>
        <r>
          <rPr>
            <sz val="8"/>
            <color indexed="81"/>
            <rFont val="Tahoma"/>
            <family val="2"/>
            <charset val="186"/>
          </rPr>
          <t xml:space="preserve">
mājas lapas uzskaitīto lietotāju skaits</t>
        </r>
      </text>
    </comment>
    <comment ref="C13" authorId="0">
      <text>
        <r>
          <rPr>
            <b/>
            <sz val="8"/>
            <color indexed="81"/>
            <rFont val="Tahoma"/>
            <family val="2"/>
            <charset val="186"/>
          </rPr>
          <t>ivetab:</t>
        </r>
        <r>
          <rPr>
            <sz val="8"/>
            <color indexed="81"/>
            <rFont val="Tahoma"/>
            <family val="2"/>
            <charset val="186"/>
          </rPr>
          <t xml:space="preserve">
apmēram puse no pieprasījumiem ienāk pa e-pastu/caur mājas lapu</t>
        </r>
      </text>
    </comment>
    <comment ref="D13" authorId="0">
      <text>
        <r>
          <rPr>
            <b/>
            <sz val="8"/>
            <color indexed="81"/>
            <rFont val="Tahoma"/>
            <family val="2"/>
            <charset val="186"/>
          </rPr>
          <t>ivetab:</t>
        </r>
        <r>
          <rPr>
            <sz val="8"/>
            <color indexed="81"/>
            <rFont val="Tahoma"/>
            <family val="2"/>
            <charset val="186"/>
          </rPr>
          <t xml:space="preserve">
informācija ņemta no mājas lapas sadaļas "Bieži uzdotie jautājumi"</t>
        </r>
      </text>
    </comment>
    <comment ref="F13" authorId="0">
      <text>
        <r>
          <rPr>
            <b/>
            <sz val="8"/>
            <color indexed="81"/>
            <rFont val="Tahoma"/>
            <family val="2"/>
            <charset val="186"/>
          </rPr>
          <t>ivetab:</t>
        </r>
        <r>
          <rPr>
            <sz val="8"/>
            <color indexed="81"/>
            <rFont val="Tahoma"/>
            <family val="2"/>
            <charset val="186"/>
          </rPr>
          <t xml:space="preserve">
mājas lapas uzskaitīto lietotāju skaits</t>
        </r>
      </text>
    </comment>
    <comment ref="E20" authorId="0">
      <text>
        <r>
          <rPr>
            <b/>
            <sz val="8"/>
            <color indexed="81"/>
            <rFont val="Tahoma"/>
            <family val="2"/>
            <charset val="186"/>
          </rPr>
          <t>ivetab:</t>
        </r>
        <r>
          <rPr>
            <sz val="8"/>
            <color indexed="81"/>
            <rFont val="Tahoma"/>
            <family val="2"/>
            <charset val="186"/>
          </rPr>
          <t xml:space="preserve">
reālais sistēmas lietotāju skaits</t>
        </r>
      </text>
    </comment>
    <comment ref="F20" authorId="0">
      <text>
        <r>
          <rPr>
            <b/>
            <sz val="8"/>
            <color indexed="81"/>
            <rFont val="Tahoma"/>
            <family val="2"/>
            <charset val="186"/>
          </rPr>
          <t>ivetab:</t>
        </r>
        <r>
          <rPr>
            <sz val="8"/>
            <color indexed="81"/>
            <rFont val="Tahoma"/>
            <family val="2"/>
            <charset val="186"/>
          </rPr>
          <t xml:space="preserve">
kopējais Inspekcijas aizņemto amata vietu skaits</t>
        </r>
      </text>
    </comment>
    <comment ref="G20" authorId="0">
      <text>
        <r>
          <rPr>
            <b/>
            <sz val="8"/>
            <color indexed="81"/>
            <rFont val="Tahoma"/>
            <family val="2"/>
            <charset val="186"/>
          </rPr>
          <t>ivetab:</t>
        </r>
        <r>
          <rPr>
            <sz val="8"/>
            <color indexed="81"/>
            <rFont val="Tahoma"/>
            <family val="2"/>
            <charset val="186"/>
          </rPr>
          <t xml:space="preserve">
izveidota viena informācijas sistēma</t>
        </r>
      </text>
    </comment>
    <comment ref="J20" authorId="0">
      <text>
        <r>
          <rPr>
            <b/>
            <sz val="8"/>
            <color indexed="81"/>
            <rFont val="Tahoma"/>
            <family val="2"/>
            <charset val="186"/>
          </rPr>
          <t>ivetab:</t>
        </r>
        <r>
          <rPr>
            <sz val="8"/>
            <color indexed="81"/>
            <rFont val="Tahoma"/>
            <family val="2"/>
            <charset val="186"/>
          </rPr>
          <t xml:space="preserve">
kopējais plānotais Inspekcijas aizņemto amata vietu skaits</t>
        </r>
      </text>
    </comment>
    <comment ref="N20" authorId="0">
      <text>
        <r>
          <rPr>
            <b/>
            <sz val="8"/>
            <color indexed="81"/>
            <rFont val="Tahoma"/>
            <family val="2"/>
            <charset val="186"/>
          </rPr>
          <t>ivetab:</t>
        </r>
        <r>
          <rPr>
            <sz val="8"/>
            <color indexed="81"/>
            <rFont val="Tahoma"/>
            <family val="2"/>
            <charset val="186"/>
          </rPr>
          <t xml:space="preserve">
kopējais plānotais Inspekcijas aizņemto amata vietu skaits</t>
        </r>
      </text>
    </comment>
    <comment ref="R20" authorId="0">
      <text>
        <r>
          <rPr>
            <b/>
            <sz val="8"/>
            <color indexed="81"/>
            <rFont val="Tahoma"/>
            <family val="2"/>
            <charset val="186"/>
          </rPr>
          <t>ivetab:</t>
        </r>
        <r>
          <rPr>
            <sz val="8"/>
            <color indexed="81"/>
            <rFont val="Tahoma"/>
            <family val="2"/>
            <charset val="186"/>
          </rPr>
          <t xml:space="preserve">
kopējais plānotais Inspekcijas aizņemto amata vietu skaits</t>
        </r>
      </text>
    </comment>
    <comment ref="V20" authorId="0">
      <text>
        <r>
          <rPr>
            <b/>
            <sz val="8"/>
            <color indexed="81"/>
            <rFont val="Tahoma"/>
            <family val="2"/>
            <charset val="186"/>
          </rPr>
          <t>ivetab:</t>
        </r>
        <r>
          <rPr>
            <sz val="8"/>
            <color indexed="81"/>
            <rFont val="Tahoma"/>
            <family val="2"/>
            <charset val="186"/>
          </rPr>
          <t xml:space="preserve">
kopējais plānotais Inspekcijas aizņemto amata vietu skaits</t>
        </r>
      </text>
    </comment>
    <comment ref="Z20" authorId="0">
      <text>
        <r>
          <rPr>
            <b/>
            <sz val="8"/>
            <color indexed="81"/>
            <rFont val="Tahoma"/>
            <family val="2"/>
            <charset val="186"/>
          </rPr>
          <t>ivetab:</t>
        </r>
        <r>
          <rPr>
            <sz val="8"/>
            <color indexed="81"/>
            <rFont val="Tahoma"/>
            <family val="2"/>
            <charset val="186"/>
          </rPr>
          <t xml:space="preserve">
kopējais plānotais Inspekcijas aizņemto amata vietu skaits</t>
        </r>
      </text>
    </comment>
    <comment ref="E21" authorId="0">
      <text>
        <r>
          <rPr>
            <b/>
            <sz val="8"/>
            <color indexed="81"/>
            <rFont val="Tahoma"/>
            <family val="2"/>
            <charset val="186"/>
          </rPr>
          <t>ivetab:</t>
        </r>
        <r>
          <rPr>
            <sz val="8"/>
            <color indexed="81"/>
            <rFont val="Tahoma"/>
            <family val="2"/>
            <charset val="186"/>
          </rPr>
          <t xml:space="preserve">
reālais inspektoru skaits, kas lieto sistēmu aktu veidošanai</t>
        </r>
      </text>
    </comment>
    <comment ref="F21" authorId="0">
      <text>
        <r>
          <rPr>
            <b/>
            <sz val="8"/>
            <color indexed="81"/>
            <rFont val="Tahoma"/>
            <family val="2"/>
            <charset val="186"/>
          </rPr>
          <t>ivetab:</t>
        </r>
        <r>
          <rPr>
            <sz val="8"/>
            <color indexed="81"/>
            <rFont val="Tahoma"/>
            <family val="2"/>
            <charset val="186"/>
          </rPr>
          <t xml:space="preserve">
reālais sistēmas lietotāju skaits</t>
        </r>
      </text>
    </comment>
    <comment ref="G21" authorId="0">
      <text>
        <r>
          <rPr>
            <b/>
            <sz val="8"/>
            <color indexed="81"/>
            <rFont val="Tahoma"/>
            <family val="2"/>
            <charset val="186"/>
          </rPr>
          <t>ivetab:</t>
        </r>
        <r>
          <rPr>
            <sz val="8"/>
            <color indexed="81"/>
            <rFont val="Tahoma"/>
            <family val="2"/>
            <charset val="186"/>
          </rPr>
          <t xml:space="preserve">
40% no visiem aktiem</t>
        </r>
      </text>
    </comment>
    <comment ref="K21" authorId="0">
      <text>
        <r>
          <rPr>
            <b/>
            <sz val="8"/>
            <color indexed="81"/>
            <rFont val="Tahoma"/>
            <family val="2"/>
            <charset val="186"/>
          </rPr>
          <t>ivetab:</t>
        </r>
        <r>
          <rPr>
            <sz val="8"/>
            <color indexed="81"/>
            <rFont val="Tahoma"/>
            <family val="2"/>
            <charset val="186"/>
          </rPr>
          <t xml:space="preserve">
50% no visiem aktiem</t>
        </r>
      </text>
    </comment>
    <comment ref="O21" authorId="0">
      <text>
        <r>
          <rPr>
            <b/>
            <sz val="8"/>
            <color indexed="81"/>
            <rFont val="Tahoma"/>
            <family val="2"/>
            <charset val="186"/>
          </rPr>
          <t>ivetab:</t>
        </r>
        <r>
          <rPr>
            <sz val="8"/>
            <color indexed="81"/>
            <rFont val="Tahoma"/>
            <family val="2"/>
            <charset val="186"/>
          </rPr>
          <t xml:space="preserve">
60% no visiem aktiem</t>
        </r>
      </text>
    </comment>
    <comment ref="S21" authorId="0">
      <text>
        <r>
          <rPr>
            <b/>
            <sz val="8"/>
            <color indexed="81"/>
            <rFont val="Tahoma"/>
            <family val="2"/>
            <charset val="186"/>
          </rPr>
          <t>ivetab:</t>
        </r>
        <r>
          <rPr>
            <sz val="8"/>
            <color indexed="81"/>
            <rFont val="Tahoma"/>
            <family val="2"/>
            <charset val="186"/>
          </rPr>
          <t xml:space="preserve">
75% no visiem aktiem</t>
        </r>
      </text>
    </comment>
    <comment ref="W21" authorId="0">
      <text>
        <r>
          <rPr>
            <b/>
            <sz val="8"/>
            <color indexed="81"/>
            <rFont val="Tahoma"/>
            <family val="2"/>
            <charset val="186"/>
          </rPr>
          <t>ivetab:</t>
        </r>
        <r>
          <rPr>
            <sz val="8"/>
            <color indexed="81"/>
            <rFont val="Tahoma"/>
            <family val="2"/>
            <charset val="186"/>
          </rPr>
          <t xml:space="preserve">
90% no visiem aktiem</t>
        </r>
      </text>
    </comment>
    <comment ref="D22" authorId="0">
      <text>
        <r>
          <rPr>
            <b/>
            <sz val="8"/>
            <color indexed="81"/>
            <rFont val="Tahoma"/>
            <family val="2"/>
            <charset val="186"/>
          </rPr>
          <t>ivetab:</t>
        </r>
        <r>
          <rPr>
            <sz val="8"/>
            <color indexed="81"/>
            <rFont val="Tahoma"/>
            <family val="2"/>
            <charset val="186"/>
          </rPr>
          <t xml:space="preserve">
uzturēts viens saraksts</t>
        </r>
      </text>
    </comment>
    <comment ref="E22" authorId="0">
      <text>
        <r>
          <rPr>
            <b/>
            <sz val="8"/>
            <color indexed="81"/>
            <rFont val="Tahoma"/>
            <family val="2"/>
            <charset val="186"/>
          </rPr>
          <t>ivetab:</t>
        </r>
        <r>
          <rPr>
            <sz val="8"/>
            <color indexed="81"/>
            <rFont val="Tahoma"/>
            <family val="2"/>
            <charset val="186"/>
          </rPr>
          <t xml:space="preserve">
reālais sistēmas lietotāju skaits</t>
        </r>
      </text>
    </comment>
    <comment ref="F22" authorId="0">
      <text>
        <r>
          <rPr>
            <b/>
            <sz val="8"/>
            <color indexed="81"/>
            <rFont val="Tahoma"/>
            <family val="2"/>
            <charset val="186"/>
          </rPr>
          <t>ivetab:</t>
        </r>
        <r>
          <rPr>
            <sz val="8"/>
            <color indexed="81"/>
            <rFont val="Tahoma"/>
            <family val="2"/>
            <charset val="186"/>
          </rPr>
          <t xml:space="preserve">
reālais sistēmas lietotāju skaits</t>
        </r>
      </text>
    </comment>
    <comment ref="G22" authorId="0">
      <text>
        <r>
          <rPr>
            <b/>
            <sz val="8"/>
            <color indexed="81"/>
            <rFont val="Tahoma"/>
            <family val="2"/>
            <charset val="186"/>
          </rPr>
          <t>ivetab:</t>
        </r>
        <r>
          <rPr>
            <sz val="8"/>
            <color indexed="81"/>
            <rFont val="Tahoma"/>
            <family val="2"/>
            <charset val="186"/>
          </rPr>
          <t xml:space="preserve">
izveidots viens kopējs elektronisks saraksts</t>
        </r>
      </text>
    </comment>
    <comment ref="D23" authorId="0">
      <text>
        <r>
          <rPr>
            <b/>
            <sz val="8"/>
            <color indexed="81"/>
            <rFont val="Tahoma"/>
            <family val="2"/>
            <charset val="186"/>
          </rPr>
          <t>ivetab:</t>
        </r>
        <r>
          <rPr>
            <sz val="8"/>
            <color indexed="81"/>
            <rFont val="Tahoma"/>
            <family val="2"/>
            <charset val="186"/>
          </rPr>
          <t xml:space="preserve">
2010.gada dati</t>
        </r>
      </text>
    </comment>
    <comment ref="E23" authorId="0">
      <text>
        <r>
          <rPr>
            <b/>
            <sz val="8"/>
            <color indexed="81"/>
            <rFont val="Tahoma"/>
            <family val="2"/>
            <charset val="186"/>
          </rPr>
          <t>ivetab:</t>
        </r>
        <r>
          <rPr>
            <sz val="8"/>
            <color indexed="81"/>
            <rFont val="Tahoma"/>
            <family val="2"/>
            <charset val="186"/>
          </rPr>
          <t xml:space="preserve">
lietotāju skaits, kas veido AP protokolus un lēmumus sistēmā</t>
        </r>
      </text>
    </comment>
    <comment ref="F23" authorId="0">
      <text>
        <r>
          <rPr>
            <b/>
            <sz val="8"/>
            <color indexed="81"/>
            <rFont val="Tahoma"/>
            <family val="2"/>
            <charset val="186"/>
          </rPr>
          <t>ivetab:</t>
        </r>
        <r>
          <rPr>
            <sz val="8"/>
            <color indexed="81"/>
            <rFont val="Tahoma"/>
            <family val="2"/>
            <charset val="186"/>
          </rPr>
          <t xml:space="preserve">
reālais sistēmas lietotāju skaits</t>
        </r>
      </text>
    </comment>
    <comment ref="E24" authorId="0">
      <text>
        <r>
          <rPr>
            <b/>
            <sz val="8"/>
            <color indexed="81"/>
            <rFont val="Tahoma"/>
            <family val="2"/>
            <charset val="186"/>
          </rPr>
          <t>ivetab:</t>
        </r>
        <r>
          <rPr>
            <sz val="8"/>
            <color indexed="81"/>
            <rFont val="Tahoma"/>
            <family val="2"/>
            <charset val="186"/>
          </rPr>
          <t xml:space="preserve">
reālais inspektoru skaits, kas lieto sistēmu kontroļu dokumentācijas sagatavošanai</t>
        </r>
      </text>
    </comment>
    <comment ref="F24" authorId="0">
      <text>
        <r>
          <rPr>
            <b/>
            <sz val="8"/>
            <color indexed="81"/>
            <rFont val="Tahoma"/>
            <family val="2"/>
            <charset val="186"/>
          </rPr>
          <t>ivetab:</t>
        </r>
        <r>
          <rPr>
            <sz val="8"/>
            <color indexed="81"/>
            <rFont val="Tahoma"/>
            <family val="2"/>
            <charset val="186"/>
          </rPr>
          <t xml:space="preserve">
reālais sistēmas lietotāju skaits</t>
        </r>
      </text>
    </comment>
    <comment ref="G24" authorId="0">
      <text>
        <r>
          <rPr>
            <b/>
            <sz val="8"/>
            <color indexed="81"/>
            <rFont val="Tahoma"/>
            <family val="2"/>
            <charset val="186"/>
          </rPr>
          <t>ivetab:</t>
        </r>
        <r>
          <rPr>
            <sz val="8"/>
            <color indexed="81"/>
            <rFont val="Tahoma"/>
            <family val="2"/>
            <charset val="186"/>
          </rPr>
          <t xml:space="preserve">
40% no visiem aktiem</t>
        </r>
      </text>
    </comment>
    <comment ref="E25" authorId="0">
      <text>
        <r>
          <rPr>
            <b/>
            <sz val="8"/>
            <color indexed="81"/>
            <rFont val="Tahoma"/>
            <family val="2"/>
            <charset val="186"/>
          </rPr>
          <t>ivetab:</t>
        </r>
        <r>
          <rPr>
            <sz val="8"/>
            <color indexed="81"/>
            <rFont val="Tahoma"/>
            <family val="2"/>
            <charset val="186"/>
          </rPr>
          <t xml:space="preserve">
reālais sistēmas lietotāju skaits</t>
        </r>
      </text>
    </comment>
    <comment ref="F25" authorId="0">
      <text>
        <r>
          <rPr>
            <b/>
            <sz val="8"/>
            <color indexed="81"/>
            <rFont val="Tahoma"/>
            <family val="2"/>
            <charset val="186"/>
          </rPr>
          <t>ivetab:</t>
        </r>
        <r>
          <rPr>
            <sz val="8"/>
            <color indexed="81"/>
            <rFont val="Tahoma"/>
            <family val="2"/>
            <charset val="186"/>
          </rPr>
          <t xml:space="preserve">
kopējais Inspekcijas aizņemto amata vietu skaits</t>
        </r>
      </text>
    </comment>
  </commentList>
</comments>
</file>

<file path=xl/sharedStrings.xml><?xml version="1.0" encoding="utf-8"?>
<sst xmlns="http://schemas.openxmlformats.org/spreadsheetml/2006/main" count="5149" uniqueCount="844">
  <si>
    <t>Projekta nosaukums un numurs:</t>
  </si>
  <si>
    <t>Nr.3DP/3.2.2.1.1/08/IPIA/IUMEPLS/001 „Biometrijas datu apstrādes sistēmas izveide”</t>
  </si>
  <si>
    <t>Elektronisko pakalpojumu izmantošanas plāns</t>
  </si>
  <si>
    <t>Nr.</t>
  </si>
  <si>
    <r>
      <t>Elektroniskā</t>
    </r>
    <r>
      <rPr>
        <sz val="10"/>
        <rFont val="Times New Roman"/>
        <family val="1"/>
        <charset val="186"/>
      </rPr>
      <t xml:space="preserve"> </t>
    </r>
    <r>
      <rPr>
        <b/>
        <sz val="10"/>
        <rFont val="Times New Roman"/>
        <family val="1"/>
        <charset val="186"/>
      </rPr>
      <t>pakalpojuma nosaukums</t>
    </r>
  </si>
  <si>
    <r>
      <t>Pakalpojuma pieprasījumu skaits un lietotāju skaits pirms e-pakalpojuma izstrādes projekta ietvaros</t>
    </r>
    <r>
      <rPr>
        <b/>
        <vertAlign val="superscript"/>
        <sz val="10"/>
        <color indexed="10"/>
        <rFont val="Times New Roman"/>
        <family val="1"/>
        <charset val="186"/>
      </rPr>
      <t>1</t>
    </r>
  </si>
  <si>
    <t>Elektronisko pakalpojumu izmantošanas rādītāji</t>
  </si>
  <si>
    <t xml:space="preserve">Esošais elektronisko pakalpojumu pieprasījumu apjoms pret plānoto elektronisko pakalpojumu pieprasījumu apjoms pēc 5 gadiem </t>
  </si>
  <si>
    <t>Plānotais elektronisko pakalpojumu pieprasījumu apjoms pret kopējo pieprasījumu apjomu pēc 5 gadiem</t>
  </si>
  <si>
    <t>Vienu gadu pēc projekta īstenošanas</t>
  </si>
  <si>
    <t>Divus gadus pēc projekta īstenošanas</t>
  </si>
  <si>
    <t>Trīs gadus pēc projekta īstenošanas</t>
  </si>
  <si>
    <t>Četrus gadus pēc projekta īstenošanas</t>
  </si>
  <si>
    <t>Piecus gadus pēc projekta īstenošanas</t>
  </si>
  <si>
    <t>Elektronisko pieprasījumu skaits</t>
  </si>
  <si>
    <t>Kopējais pieprasījumu skaits</t>
  </si>
  <si>
    <r>
      <t>e-pakalpojumu lietotāju skaits</t>
    </r>
    <r>
      <rPr>
        <b/>
        <vertAlign val="superscript"/>
        <sz val="9"/>
        <color indexed="10"/>
        <rFont val="Times New Roman"/>
        <family val="1"/>
        <charset val="186"/>
      </rPr>
      <t>2</t>
    </r>
  </si>
  <si>
    <r>
      <t>Kopējais lietotāju skaits</t>
    </r>
    <r>
      <rPr>
        <b/>
        <vertAlign val="superscript"/>
        <sz val="9"/>
        <color indexed="10"/>
        <rFont val="Times New Roman"/>
        <family val="1"/>
        <charset val="186"/>
      </rPr>
      <t>3</t>
    </r>
  </si>
  <si>
    <t>e-pakalpojumu lietotāju skaits</t>
  </si>
  <si>
    <t>Kopējais lietotāju skaits</t>
  </si>
  <si>
    <t>1.</t>
  </si>
  <si>
    <t>Biometrijas datu apstrādes sistēmā uzkrāto ziņu sniegšana datu subjektam un uzkrāto datu aktualizācijas pieteikums</t>
  </si>
  <si>
    <t>2.</t>
  </si>
  <si>
    <t>Personas verifikācija</t>
  </si>
  <si>
    <t>Vidējais rādītājs</t>
  </si>
  <si>
    <t>Informācijas sistēmu izmantošanas plāns</t>
  </si>
  <si>
    <t>Informācijas sistēmas nosaukums</t>
  </si>
  <si>
    <r>
      <t>Informācijas sistēmas vai pārvaldes procesu izmantošanas rādītāji pirms projekta informācijas sistēmas izstrādes vai uzlabošanas</t>
    </r>
    <r>
      <rPr>
        <b/>
        <vertAlign val="superscript"/>
        <sz val="10"/>
        <color indexed="10"/>
        <rFont val="Times New Roman"/>
        <family val="1"/>
        <charset val="186"/>
      </rPr>
      <t>4</t>
    </r>
  </si>
  <si>
    <t>Informācijas sistēmu izmantošanas rādītāji</t>
  </si>
  <si>
    <t>Esošais pilnu procesu norišu reižu skaits informācijas sistēmā pret plānoto pilnu procesu norišu reižu skaitu informācijas sistēmā pēc pieciem gadiem</t>
  </si>
  <si>
    <t>Plānotais pilnu procesu norišu reižu skaits informācijas sistēmā no kopējā procesu skaita (IS jomā) pēc pieciem gadiem</t>
  </si>
  <si>
    <r>
      <t>Pilnu procesu norišu reižu skaits IS</t>
    </r>
    <r>
      <rPr>
        <b/>
        <vertAlign val="superscript"/>
        <sz val="9"/>
        <color indexed="10"/>
        <rFont val="Times New Roman"/>
        <family val="1"/>
        <charset val="186"/>
      </rPr>
      <t>5</t>
    </r>
  </si>
  <si>
    <t>Kopējais pilnu procesu norišu reižu skaits</t>
  </si>
  <si>
    <t>Informācijas sistēmas lietotāju skaits</t>
  </si>
  <si>
    <t>Pilnu procesu norišu reižu skaits IS</t>
  </si>
  <si>
    <t>Biometrijas datu apstrādes sistēma</t>
  </si>
  <si>
    <t>1.1.</t>
  </si>
  <si>
    <t>Verifikācijas pieprasījumi</t>
  </si>
  <si>
    <t>1.2.</t>
  </si>
  <si>
    <t>Identifikācijas pieprasījumi</t>
  </si>
  <si>
    <t>Skaidrojumi</t>
  </si>
  <si>
    <t>1)</t>
  </si>
  <si>
    <t>Ieviešanas plāna mērķis - konstatēt sākotnējo situāciju par informācijas sistēmas vai pakalpojuma izmantošanu pirms projekta ieviešanas un definēt konkrētus sasniedzamos rādītājus piecu gadu laikā pēc projekta īstenošanas, un, ņemot vērā sasniedzamos rādītājus, izstrādāt pasākumus to sasniegšanai.</t>
  </si>
  <si>
    <t>2)</t>
  </si>
  <si>
    <t>Atsevišķu informācijas sistēmu un pakalpojumu izmantošanas rādītāju noteikšana var nebūt iespējama objektīvu apstākļu dēļ, tādā gadījumā lūdzam norādīt, kādēļ tas nav iespējams.</t>
  </si>
  <si>
    <r>
      <rPr>
        <vertAlign val="superscript"/>
        <sz val="10"/>
        <color indexed="8"/>
        <rFont val="Times New Roman"/>
        <family val="1"/>
        <charset val="186"/>
      </rPr>
      <t>1</t>
    </r>
    <r>
      <rPr>
        <sz val="10"/>
        <color indexed="8"/>
        <rFont val="Times New Roman"/>
        <family val="1"/>
        <charset val="186"/>
      </rPr>
      <t xml:space="preserve"> Ja elektroniskais pakalpojums pirms projekta īstenošanas netika izstrādāts,  kā sākotnējā rādītāja vērtība jānorāda "0".</t>
    </r>
  </si>
  <si>
    <r>
      <rPr>
        <vertAlign val="superscript"/>
        <sz val="10"/>
        <color indexed="8"/>
        <rFont val="Times New Roman"/>
        <family val="1"/>
        <charset val="186"/>
      </rPr>
      <t>2</t>
    </r>
    <r>
      <rPr>
        <sz val="10"/>
        <color indexed="8"/>
        <rFont val="Times New Roman"/>
        <family val="1"/>
        <charset val="186"/>
      </rPr>
      <t xml:space="preserve"> lietotājs var būt fiziska un jurdiska persona, t.sk. iestāde.</t>
    </r>
  </si>
  <si>
    <r>
      <rPr>
        <vertAlign val="superscript"/>
        <sz val="10"/>
        <color indexed="8"/>
        <rFont val="Times New Roman"/>
        <family val="1"/>
        <charset val="186"/>
      </rPr>
      <t>3</t>
    </r>
    <r>
      <rPr>
        <sz val="10"/>
        <color indexed="8"/>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</si>
  <si>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color indexed="8"/>
        <rFont val="Times New Roman"/>
        <family val="1"/>
        <charset val="186"/>
      </rPr>
      <t>4</t>
    </r>
    <r>
      <rPr>
        <sz val="10"/>
        <color indexed="8"/>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</si>
  <si>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0"/>
        <color indexed="8"/>
        <rFont val="Times New Roman"/>
        <family val="1"/>
        <charset val="186"/>
      </rPr>
      <t>5</t>
    </r>
    <r>
      <rPr>
        <sz val="10"/>
        <color indexed="8"/>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indexed="8"/>
        <rFont val="Times New Roman"/>
        <family val="1"/>
        <charset val="186"/>
      </rPr>
      <t>Ja informācijas sistēma pirms projekta īstenošanas netika izstrādāta,  kā sākotnējā rādītāja vērtība jānorāda "0".</t>
    </r>
  </si>
  <si>
    <r>
      <rPr>
        <vertAlign val="superscript"/>
        <sz val="10"/>
        <color indexed="8"/>
        <rFont val="Times New Roman"/>
        <family val="1"/>
        <charset val="186"/>
      </rPr>
      <t>6</t>
    </r>
    <r>
      <rPr>
        <sz val="10"/>
        <color indexed="8"/>
        <rFont val="Times New Roman"/>
        <family val="1"/>
        <charset val="186"/>
      </rPr>
      <t xml:space="preserve"> IS izmantošanas rādītājs - rādītājs vai vairāki galvenie rādītāji, kuri raksturo informācijas sistēmas izmantošanu, piemēram, nosūtītas elektroniskās vēstules.</t>
    </r>
  </si>
  <si>
    <t>Būvniecības informācijas sistēmas izstrāde, 3DP/3.2.2.1.1/08/IPIA/IUMEPLS/004</t>
  </si>
  <si>
    <t>Elektroniskā pakalpojuma nosaukums</t>
  </si>
  <si>
    <t>Pakalpojuma pieprasījumu skaits un lietotāju skaits pirms e-pakalpojuma izstrādes projekta ietvaros1</t>
  </si>
  <si>
    <t>e-pakalpojumu lietotāju skaits2</t>
  </si>
  <si>
    <t>Kopējais lietotāju skaits3</t>
  </si>
  <si>
    <t>Būvniecības ieceres izskatīšana</t>
  </si>
  <si>
    <t>nav datu</t>
  </si>
  <si>
    <t>potenciāli visi ekonomiski aktīvie iedzīvotāji un uzņēmumi, kas var pasūtīt būvdarbus</t>
  </si>
  <si>
    <t>NA</t>
  </si>
  <si>
    <t>Būvatļaujas izsniegšana</t>
  </si>
  <si>
    <t>3.</t>
  </si>
  <si>
    <t>Vienkāršotas rekonstrukcijas vai renovācijas saskaņošana</t>
  </si>
  <si>
    <t>4.</t>
  </si>
  <si>
    <t>Būves nodošana ekspluatācijā</t>
  </si>
  <si>
    <t>Informācijas sistēmas vai pārvaldes procesu izmantošanas rādītāji pirms projekta informācijas sistēmas izstrādes vai uzlabošanas4</t>
  </si>
  <si>
    <t>Pilnu procesu norišu reižu skaits IS5</t>
  </si>
  <si>
    <t>Būvniecības informācijas sistēma</t>
  </si>
  <si>
    <t>Ņemot vērā, ka būvniecības kontrole ir vietējo pašvaldību kompetencē, nav zināms precīzs procesu norišu reižu skaits</t>
  </si>
  <si>
    <t xml:space="preserve">Sistēmas izstrāde tiek balstīta paredzot vismaz šādu lietotāju skaitu: Anonīmie lietotāji: 100 vienlaicīgi lietotāji. Ārējā domēna lietotāji: Latvijas Valsts portālā autentificētie lietotāji (privātpersonas): 50 vienlaicīgi lietotāji; Profesionālie asociāciju pārstāvji: 12 nosauktie lietotāji; Būvniecības procesā iesaistīto juridisko personu pārstāvji: 50 vienlaicīgi lietotāji. Iekšējā domēna lietotāji: Valsts un pašvaldības iestāžu, arī būvvalžu lietotāji: 200 nosauktie lietotāji; Būvprocesa administratori: 5 nosauktie lietotāji; Sistēmas administratori: 3 nosauktie lietotāji.    </t>
  </si>
  <si>
    <t>Ņemot vērā, ka būvniecības kontrole ir vietējo pašvaldību kompetencē, nav zināms kopējais lietotāju skaits</t>
  </si>
  <si>
    <t>Kopējā funkcionalitātes izmantošana</t>
  </si>
  <si>
    <t xml:space="preserve">Būvniecības ieceres izskatīšanas process </t>
  </si>
  <si>
    <t>1.3.</t>
  </si>
  <si>
    <t xml:space="preserve">Būvprojekta sagatavošanas un akceptēšanas process </t>
  </si>
  <si>
    <t>1.4.</t>
  </si>
  <si>
    <t xml:space="preserve">Būvatļaujas izsniegšanas process </t>
  </si>
  <si>
    <t>Sakrīt ar e-pakalpojumu Nr.2.</t>
  </si>
  <si>
    <t>1.5.</t>
  </si>
  <si>
    <t xml:space="preserve">Pieņemšanas ekspluatācijas process </t>
  </si>
  <si>
    <t>Sakrīt ar e-pakalpojumu Nr.4.</t>
  </si>
  <si>
    <t>Sakrīt ar e-pakalpojumu Nr.4</t>
  </si>
  <si>
    <t>1.6.</t>
  </si>
  <si>
    <t xml:space="preserve">Būvju kadastrālās uzmērīšanas lietas pasūtīšanas un izstrādes process </t>
  </si>
  <si>
    <t>VZD kompetence</t>
  </si>
  <si>
    <t>1.7.</t>
  </si>
  <si>
    <t xml:space="preserve">Būvuzraudzības funkcionalitāte </t>
  </si>
  <si>
    <t>1.8.</t>
  </si>
  <si>
    <t>Atskaišu modulis</t>
  </si>
  <si>
    <t>1.9.</t>
  </si>
  <si>
    <t>E-paraksta iespējas</t>
  </si>
  <si>
    <t>1.10.</t>
  </si>
  <si>
    <t>Reģistrēto būvinspektoru skaits</t>
  </si>
  <si>
    <t>1.11.</t>
  </si>
  <si>
    <t>Reģistrētie māju pārvaldnieki</t>
  </si>
  <si>
    <t>1.12.</t>
  </si>
  <si>
    <t>Būvprakses un arhitektu prakses sertifikātu reģistrā reģistrēto sertifikātu skaits</t>
  </si>
  <si>
    <t>1.13.</t>
  </si>
  <si>
    <t>Reģistrēto būvkomersantu skaits</t>
  </si>
  <si>
    <t>1.14.</t>
  </si>
  <si>
    <t>Sertificētie energoauditori</t>
  </si>
  <si>
    <t>1.15.</t>
  </si>
  <si>
    <t>Ziņu izmaiņu skaits būvkomersantu reģistrā</t>
  </si>
  <si>
    <t>1.16.</t>
  </si>
  <si>
    <t>Ikgadējās informācijas atjaunošana būvkomersantu reģistrā</t>
  </si>
  <si>
    <t>1.17.</t>
  </si>
  <si>
    <t>Izslēgto būvkomersantu skaits būvkomersantu reģistrā</t>
  </si>
  <si>
    <t>1.18.</t>
  </si>
  <si>
    <t>Atkārtoti reģistrēto būvkomersantu skaits</t>
  </si>
  <si>
    <t>1.19.</t>
  </si>
  <si>
    <t>Atteikumu lēmumu skaits būvkomersantu reģistrā</t>
  </si>
  <si>
    <t>1.20.</t>
  </si>
  <si>
    <t>Atlikšanas lēmumu skaits būvkomersantu reģistrā</t>
  </si>
  <si>
    <t>1.21.</t>
  </si>
  <si>
    <t>Ēku energosertifikāti</t>
  </si>
  <si>
    <t>N/A - dati netiek apkopoti BIS neesamības dēļ</t>
  </si>
  <si>
    <t>1.22.</t>
  </si>
  <si>
    <t>Būvkomersanta reģistrācijas apturēšana</t>
  </si>
  <si>
    <t>Pašvaldību funkciju atbalsta sistēmas 1.kārtas izstrāde 3DP/3.2.2.1.1/08/IPIA/IUMEPLS/005</t>
  </si>
  <si>
    <t>Esošais epak. pieprasījumu apjoms pret plānoto pēc 5 gadiem</t>
  </si>
  <si>
    <t>Plānotais epak pieprasījumu apjoms pret kopējo pieprasījumu apjomu pēc 5 gadiem</t>
  </si>
  <si>
    <t>Nekustamā īpašuma nodokļa apmaksa tiešsaistē</t>
  </si>
  <si>
    <t>Mani dati sociālajā dienestā</t>
  </si>
  <si>
    <t>Vidējais rādītājs:</t>
  </si>
  <si>
    <t>Esošais pilnu procesu norišu reižu skaits IS pret plānoto pēc 5 gadiem</t>
  </si>
  <si>
    <t>Plānotais pilnu procesu norišu reižu skaits IS no kopējā skaita pēc 5 gadiem</t>
  </si>
  <si>
    <t>Pašvaldību vienotā informācijas sistēma</t>
  </si>
  <si>
    <t>NIN datu apstrādes procedūras</t>
  </si>
  <si>
    <t>VALSTS ZEMES DIENESTA ĢEOTELPISKO DATU ĢEOTELPISKĀS INFORMĀCIJAS SISTĒMAS IZVEIDE
ID Nr.3DP/3.2.2.1.1/08/IPIA/IUMEPLS/06</t>
  </si>
  <si>
    <r>
      <t>Pakalpojuma pieprasījumu skaits un lietotāju skaits pirms e-pakalpojuma izstrādes projekta ietvaros</t>
    </r>
    <r>
      <rPr>
        <b/>
        <vertAlign val="superscript"/>
        <sz val="10"/>
        <color rgb="FFFF0000"/>
        <rFont val="Times New Roman"/>
        <family val="1"/>
        <charset val="186"/>
      </rPr>
      <t>1</t>
    </r>
  </si>
  <si>
    <r>
      <t>e-pakalpojumu lietotāju skaits</t>
    </r>
    <r>
      <rPr>
        <b/>
        <vertAlign val="superscript"/>
        <sz val="9"/>
        <color rgb="FFFF0000"/>
        <rFont val="Times New Roman"/>
        <family val="1"/>
        <charset val="186"/>
      </rPr>
      <t>2</t>
    </r>
  </si>
  <si>
    <r>
      <t>Kopējais lietotāju skaits</t>
    </r>
    <r>
      <rPr>
        <b/>
        <vertAlign val="superscript"/>
        <sz val="9"/>
        <color rgb="FFFF0000"/>
        <rFont val="Times New Roman"/>
        <family val="1"/>
        <charset val="186"/>
      </rPr>
      <t>3</t>
    </r>
  </si>
  <si>
    <t>Datu atlase un izvade par konkrētiem objektiem vai apgabaliem pēc definētiem parametriem</t>
  </si>
  <si>
    <t>Tematisko karšu sagatavošana un attēlošana pēc definētiem parametriem</t>
  </si>
  <si>
    <t>VZD pakalpojumu elektronisks pasūtījums</t>
  </si>
  <si>
    <t>Datu atlase un izvade zemes kadastrālās uzmērīšanas veicējiem, būvju  kadastrālās uzmērīšanas veicējiem un topogrāfiskās uzmērīšanas veicējiem</t>
  </si>
  <si>
    <t>5.</t>
  </si>
  <si>
    <t xml:space="preserve">Informācijas servisi VZD datu izplatīšanai publiskās pārvaldes iestādēm </t>
  </si>
  <si>
    <t>Vidējais</t>
  </si>
  <si>
    <r>
      <t>Informācijas sistēmas vai pārvaldes procesu izmantošanas rādītāji pirms projekta informācijas sistēmas izstrādes vai uzlabošanas</t>
    </r>
    <r>
      <rPr>
        <b/>
        <vertAlign val="superscript"/>
        <sz val="10"/>
        <color rgb="FFFF0000"/>
        <rFont val="Times New Roman"/>
        <family val="1"/>
        <charset val="186"/>
      </rPr>
      <t>4</t>
    </r>
  </si>
  <si>
    <r>
      <t>Pilnu procesu norišu reižu skaits IS</t>
    </r>
    <r>
      <rPr>
        <b/>
        <vertAlign val="superscript"/>
        <sz val="9"/>
        <color rgb="FFFF0000"/>
        <rFont val="Times New Roman"/>
        <family val="1"/>
        <charset val="186"/>
      </rPr>
      <t>5</t>
    </r>
  </si>
  <si>
    <t>Valsts adrešu informācijas risinājums</t>
  </si>
  <si>
    <t>Adrešu datu reģistrēšana un aktualizācija</t>
  </si>
  <si>
    <t>Valsts kadastra informācijas risinājums</t>
  </si>
  <si>
    <t>2.1.</t>
  </si>
  <si>
    <t>Kadastra objektu reģistrēšana un aktualizācija</t>
  </si>
  <si>
    <t>Apgrūtināto teritoriju informācijas risinājums</t>
  </si>
  <si>
    <t>3.1.</t>
  </si>
  <si>
    <t>Apgrūtināto teritoriju un apgrūtinājumus izraisošo objektu reģistrēšana</t>
  </si>
  <si>
    <t>Augstas detalizācijas topogrāfiskās informācijas centrālās datu bāzes risinājums</t>
  </si>
  <si>
    <t>4.1.</t>
  </si>
  <si>
    <t>Augstas detalizācijas topogrāfiskās informācijas saņemšana</t>
  </si>
  <si>
    <t>Vērtību zonējumu risinājums</t>
  </si>
  <si>
    <t>5.1.</t>
  </si>
  <si>
    <t>Vērtību zonu noteikšana</t>
  </si>
  <si>
    <t>6.</t>
  </si>
  <si>
    <t>Datu izplatīšanas risinājums INSPIRE vajadzībām</t>
  </si>
  <si>
    <t>6.1.</t>
  </si>
  <si>
    <t>Datu kopu nodošana Ģeoportālam INSPIRE prasību nodrošināšanai</t>
  </si>
  <si>
    <t>7.</t>
  </si>
  <si>
    <t>Digitālo dokumentu krātuve</t>
  </si>
  <si>
    <t>7.1.</t>
  </si>
  <si>
    <t>Elektronisko dokumentu pakotnes sagatavošana saglabāšanai</t>
  </si>
  <si>
    <t>Elektronisko dokumentu pakotnes sagatavošana izmantošanai</t>
  </si>
  <si>
    <r>
      <rPr>
        <vertAlign val="superscript"/>
        <sz val="10"/>
        <color theme="1"/>
        <rFont val="Times New Roman"/>
        <family val="1"/>
        <charset val="186"/>
      </rPr>
      <t>1</t>
    </r>
    <r>
      <rPr>
        <sz val="10"/>
        <color theme="1"/>
        <rFont val="Times New Roman"/>
        <family val="1"/>
        <charset val="186"/>
      </rPr>
      <t xml:space="preserve"> Ja elektroniskais pakalpojums pirms projekta īstenošanas netika izstrādāts,  kā sākotnējā rādītāja vērtība jānorāda "0".</t>
    </r>
  </si>
  <si>
    <r>
      <rPr>
        <vertAlign val="superscript"/>
        <sz val="10"/>
        <color theme="1"/>
        <rFont val="Times New Roman"/>
        <family val="1"/>
        <charset val="186"/>
      </rPr>
      <t>2</t>
    </r>
    <r>
      <rPr>
        <sz val="10"/>
        <color theme="1"/>
        <rFont val="Times New Roman"/>
        <family val="1"/>
        <charset val="186"/>
      </rPr>
      <t xml:space="preserve"> lietotājs var būt fiziska un jurdiska persona, t.sk. iestāde.</t>
    </r>
  </si>
  <si>
    <r>
      <rPr>
        <vertAlign val="superscript"/>
        <sz val="10"/>
        <color theme="1"/>
        <rFont val="Times New Roman"/>
        <family val="1"/>
        <charset val="186"/>
      </rPr>
      <t>3</t>
    </r>
    <r>
      <rPr>
        <sz val="10"/>
        <color theme="1"/>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</si>
  <si>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color theme="1"/>
        <rFont val="Times New Roman"/>
        <family val="1"/>
        <charset val="186"/>
      </rPr>
      <t>4</t>
    </r>
    <r>
      <rPr>
        <sz val="10"/>
        <color theme="1"/>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</si>
  <si>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0"/>
        <color theme="1"/>
        <rFont val="Times New Roman"/>
        <family val="1"/>
        <charset val="186"/>
      </rPr>
      <t>5</t>
    </r>
    <r>
      <rPr>
        <sz val="10"/>
        <color theme="1"/>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theme="1"/>
        <rFont val="Times New Roman"/>
        <family val="1"/>
        <charset val="186"/>
      </rPr>
      <t>Ja informācijas sistēma pirms projekta īstenošanas netika izstrādāta,  kā sākotnējā rādītāja vērtība jānorāda "0".</t>
    </r>
  </si>
  <si>
    <r>
      <rPr>
        <vertAlign val="superscript"/>
        <sz val="10"/>
        <color theme="1"/>
        <rFont val="Times New Roman"/>
        <family val="1"/>
        <charset val="186"/>
      </rPr>
      <t>6</t>
    </r>
    <r>
      <rPr>
        <sz val="10"/>
        <color theme="1"/>
        <rFont val="Times New Roman"/>
        <family val="1"/>
        <charset val="186"/>
      </rPr>
      <t xml:space="preserve"> IS izmantošanas rādītājs - rādītājs vai vairāki galvenie rādītāji, kuri raksturo informācijas sistēmas izmantošanu, piemēram, nosūtītas elektroniskās vēstules.</t>
    </r>
  </si>
  <si>
    <t>E-iepirkumu sistēmas e-katalogu funkcionalitātes attīstība 3DP/3.2.2.1.1/08/IPIA/IUMEPLS/007</t>
  </si>
  <si>
    <t>Standartizētu preču iegāde izmantojot e-iepirkumu sistēmu</t>
  </si>
  <si>
    <t>E-iepirkumu statistikas atskaites</t>
  </si>
  <si>
    <t>E-iepirkumu sistēma</t>
  </si>
  <si>
    <t>Preču katalogu pieprasījumi (apskates un pirkumi)</t>
  </si>
  <si>
    <t>„Arhīva datu digitalizācija un e-pakalpojumu ieviešana” realizāciju (projekta ID Nr. 3DP/3.2.2.1.1./08/IPIA/IUMEPLS/008)</t>
  </si>
  <si>
    <t>Iesniegums VDEĀVK par invaliditātes ekspertīzes veikšanu</t>
  </si>
  <si>
    <t>Iesniegums invaliditātes ekspertīzes lēmuma apstrīdēšanai</t>
  </si>
  <si>
    <t xml:space="preserve">Universālais pakalpojums invaliditātes statusa pārbaudei </t>
  </si>
  <si>
    <t>Ģimenes ārsta pacienta nosūtījums uz VDEĀVK</t>
  </si>
  <si>
    <t>Mani dati VDEĀVK</t>
  </si>
  <si>
    <t>Ģimenes ārsta pacientu lietas VDEĀVK</t>
  </si>
  <si>
    <t>Invalidtātes informatīvā sistēma</t>
  </si>
  <si>
    <r>
      <t xml:space="preserve">IS izmantošanas rādītājs (pieņemtie/izsniegtie lēmumi) </t>
    </r>
    <r>
      <rPr>
        <b/>
        <vertAlign val="superscript"/>
        <sz val="10"/>
        <color rgb="FFFF0000"/>
        <rFont val="Times New Roman"/>
        <family val="1"/>
        <charset val="186"/>
      </rPr>
      <t xml:space="preserve">6   </t>
    </r>
  </si>
  <si>
    <t>Valsts vides dienesta informācijas sistēmas izveidošana</t>
  </si>
  <si>
    <t>3DP/3.2.2.1.1./08/IPIA/IUMPELS/009</t>
  </si>
  <si>
    <t>A un B kategorijas piesārņojošo darbības atļauju un C kategorijas piesārņojošo darbību apliecinājumu izsniegšana, grozījumu veikšana un anulēšana</t>
  </si>
  <si>
    <t>Siltumnīcefekta gāzu emisijas atļauju izsniegšana, grozījumu veikšana un anulēšana</t>
  </si>
  <si>
    <t>Tehnisko noteikumu izsniegšana, grozījumu veikšana un anulēšana</t>
  </si>
  <si>
    <t>Licenču darbībām ar aukstuma aģentiem izsniegšana, grozījumu veikšana un anulēšana</t>
  </si>
  <si>
    <t>Piezīme:</t>
  </si>
  <si>
    <t>Valsts vides dienesta informācijas sistēma  nodrošinās 4 e-pakalpojumus, to lietos e- pakalpojumu pieprasītāji, gan arī to izmantos visu pieprasījumu sagatavošanai VVD darbinieki (200 cilv)</t>
  </si>
  <si>
    <t>Digitālās bibliotēkas izveide - 2.kārta, 3DP/3.2.2.1.1/08/IPIA/IUMEPLS/010</t>
  </si>
  <si>
    <t>Grāmatu tekstu elektroniska meklēšana, pasūtīšana un lasīšana</t>
  </si>
  <si>
    <t>Elektroniskā kopkataloga izmantojamība</t>
  </si>
  <si>
    <t>Latvijas periodikas tekstu lietojumi elektroniskajā vidē</t>
  </si>
  <si>
    <t>Grāmatu un periodikas attēlu segmentēšanas un apstrādes informācijas sistēma</t>
  </si>
  <si>
    <t>Segmentēti izdevumi</t>
  </si>
  <si>
    <t>Kolekciju veidošanas sistēma</t>
  </si>
  <si>
    <t>Izveidotās kolekcijas</t>
  </si>
  <si>
    <t>Informācijas sistēma elektronisko grāmatu e-pakalpojuma saskarnes nodrošināšanai</t>
  </si>
  <si>
    <t>Grāmatu aplūkošanas reizes</t>
  </si>
  <si>
    <t>Informācijas sistēma elektronisko periodikas e-pakalpojuma saskarnes nodrošināšanai</t>
  </si>
  <si>
    <t>Periodikas aplūkošanas reizes</t>
  </si>
  <si>
    <t>Nacionālā krājuma rasmošanas risinājums</t>
  </si>
  <si>
    <t>Rasmotās tīmekļa vietnes</t>
  </si>
  <si>
    <t>Specializētais risinājums specializēto kolekciju parādīšanai</t>
  </si>
  <si>
    <t>Aplūkotās tīmekļa vietnes</t>
  </si>
  <si>
    <t>PIELIKUMS dokumentam "Par 3.2.2.1.1.apakšaktivitātes „Informācijas sistēmu un elektronisko pakalpojumu attīstība” projekta uzraudzības rezultātu izmantošanas nodrošināšanas plānu"</t>
  </si>
  <si>
    <t>V/A „Civilās aviācijas aģentūra” informācijas tehnoloģiju sistēmas konsolidācija un integrācija”</t>
  </si>
  <si>
    <t>Pieteikšanās īsziņai atgādinājumam „CAA izsniegto atļauju un apliecību  termiņa tuvošanās” aviācijas speciālistiem</t>
  </si>
  <si>
    <t>Elektroniska pieteikšanās eksāmeniem aviācijas speciālistiem</t>
  </si>
  <si>
    <t>Elektroniska pieteikšanās veselības apliecības saņemšanai aviācijas speciālistiem</t>
  </si>
  <si>
    <t>Darījumu apstrādes elektroniskie pakalpojumi no mājas lapas.</t>
  </si>
  <si>
    <t>Standarta veidlapu, sagatavju aizpildīšana. To digitāla parakstīšana un nosūtīšana tiešsaistē no vortāla.</t>
  </si>
  <si>
    <t>Brīva formas digitāli parakstītas informācijas dokumentu nosūtīšana caur mājas lapu.</t>
  </si>
  <si>
    <t>Eksāmenu kārtošanas rezultātu elektroniska pieejamības nodrošināšana</t>
  </si>
  <si>
    <t xml:space="preserve">8. </t>
  </si>
  <si>
    <t>Dokumentu veidlapas un sagatavju lejupielāde.</t>
  </si>
  <si>
    <t>9.</t>
  </si>
  <si>
    <t>Ierosinājumu, sūdzību un biežāk uzdotie jautājumu  sadaļa mājas lapā.</t>
  </si>
  <si>
    <t>Eiropas civilās aviācijas procesu vadības programmas ieviešana civilās aviācijas administrācijām</t>
  </si>
  <si>
    <t>Programmu izmanto pilnībā. Ievada datus. ( Ierakstu skaits)</t>
  </si>
  <si>
    <t xml:space="preserve">Programmu izmanto pilnībā. (Izdoto apliecību skaits)  </t>
  </si>
  <si>
    <t xml:space="preserve">2. </t>
  </si>
  <si>
    <t xml:space="preserve">Jaunas CAA mājas lapas izstrāde </t>
  </si>
  <si>
    <t xml:space="preserve">2.1. </t>
  </si>
  <si>
    <t>Ieviesti elektroniskie pakalpojumi mājas lapas klientiem (apmeklējumu skaits)</t>
  </si>
  <si>
    <t>Elektroniska eksāmenu kārtošanas datu bāzes ieviešana.</t>
  </si>
  <si>
    <t>Strādājoša sistēma: Elektroniski likto eksāmenu skaits</t>
  </si>
  <si>
    <t>IBM Lotus funkciju paplašināšana, drošības palielināšana. Dokumentu vadīobas sitēmas iespēju paplašināšana.</t>
  </si>
  <si>
    <t xml:space="preserve">Lotus Notes sistēmas atteikumu skaits.  </t>
  </si>
  <si>
    <t>Zemkopības ministrijas un tās padotībā esošo iestāžu un klientu orientētās pakalpojumu sistēmas izveide 3DP/3.2.2.1.1/08/IPIA/IUMEPLS/014</t>
  </si>
  <si>
    <r>
      <t>Elektroniskā</t>
    </r>
    <r>
      <rPr>
        <sz val="10"/>
        <rFont val="Times New Roman"/>
        <family val="1"/>
      </rPr>
      <t xml:space="preserve"> </t>
    </r>
    <r>
      <rPr>
        <b/>
        <sz val="10"/>
        <rFont val="Times New Roman"/>
        <family val="1"/>
      </rPr>
      <t>pakalpojuma nosaukums</t>
    </r>
  </si>
  <si>
    <r>
      <t>Pakalpojuma pieprasījumu skaits un lietotāju skaits pirms e-pakalpojuma izstrādes projekta ietvaros</t>
    </r>
    <r>
      <rPr>
        <b/>
        <vertAlign val="superscript"/>
        <sz val="10"/>
        <color indexed="10"/>
        <rFont val="Times New Roman"/>
        <family val="1"/>
      </rPr>
      <t>1</t>
    </r>
  </si>
  <si>
    <r>
      <t>e-pakalpojumu lietotāju skaits</t>
    </r>
    <r>
      <rPr>
        <b/>
        <vertAlign val="superscript"/>
        <sz val="9"/>
        <color indexed="10"/>
        <rFont val="Times New Roman"/>
        <family val="1"/>
      </rPr>
      <t>2</t>
    </r>
  </si>
  <si>
    <r>
      <t>Kopējais lietotāju skaits</t>
    </r>
    <r>
      <rPr>
        <b/>
        <vertAlign val="superscript"/>
        <sz val="9"/>
        <color indexed="10"/>
        <rFont val="Times New Roman"/>
        <family val="1"/>
      </rPr>
      <t>3</t>
    </r>
  </si>
  <si>
    <t xml:space="preserve">Atbalsts ciltsdarbam </t>
  </si>
  <si>
    <t>Ūdenstilpju un rūpnieciskās zvejas tiesību noma</t>
  </si>
  <si>
    <t>Licencētā rūpnieciskā zveja</t>
  </si>
  <si>
    <t>Licencētās amatierzveja – makšķerēšana</t>
  </si>
  <si>
    <t>Lauksaimniecības dzīvnieku ģenētisko resursu saglabāšana</t>
  </si>
  <si>
    <t>Atbalsts lauksaimniecības nozaru riska samazināšanai</t>
  </si>
  <si>
    <t>Piedalīties programmā ,,Valsts un ES atbalsts augļu un dārzeņu piegādei skolēniem vispārējās izglītības iestādēs ("Skolas auglis")</t>
  </si>
  <si>
    <t>8.</t>
  </si>
  <si>
    <t>Atbalsts Valsts un ES atbalsts augļu un dārzeņu piegādei skolēniem vispārējās izglītības iestādēs ("Skolas auglis")</t>
  </si>
  <si>
    <t>Piedalīties programmā Atbalsts piena un piena produktu piegādei izglītības iestāžu skolēniem (Skolas piens)</t>
  </si>
  <si>
    <t>10.</t>
  </si>
  <si>
    <t>Augu izcelsmes dzīvnieku barības robežkontrole</t>
  </si>
  <si>
    <t>11.</t>
  </si>
  <si>
    <t>Fitosanitārā robežkontrole</t>
  </si>
  <si>
    <t>12.</t>
  </si>
  <si>
    <t>Jauna ganāmpulka reģistrācija</t>
  </si>
  <si>
    <t>13.</t>
  </si>
  <si>
    <t>Ganāmpulka datu izmaiņa ganāmpulka reģistrā</t>
  </si>
  <si>
    <t>14.</t>
  </si>
  <si>
    <t>Jaunas dzīvnieku novietnes reģistrācija</t>
  </si>
  <si>
    <t>15.</t>
  </si>
  <si>
    <t>Dzīvnieku novietnes datu izmaiņa dzīvnieku novietņu reģistrā</t>
  </si>
  <si>
    <t>16.</t>
  </si>
  <si>
    <t>Izziņa par ganāmpulku no ganāmpulka reģistra</t>
  </si>
  <si>
    <t>17.</t>
  </si>
  <si>
    <t>Darījumu ar piena kvotām reģistrācija</t>
  </si>
  <si>
    <t>18.</t>
  </si>
  <si>
    <t>Izziņas izsniegšana par traktortehniku, tās piekabi, īpašnieku un vadītāju no traktortehnikas un tās piekabju, vadītāju datu bāzes un aģentūras arhīva</t>
  </si>
  <si>
    <t>19.</t>
  </si>
  <si>
    <t>Atsavināšanas aizlieguma atzīmes reģistrācija vai noņemšana, pamatojoties uz īpašnieka iesniegumu</t>
  </si>
  <si>
    <r>
      <t>Informācijas sistēmas vai pārvaldes procesu izmantošanas rādītāji pirms projekta informācijas sistēmas izstrādes vai uzlabošanas</t>
    </r>
    <r>
      <rPr>
        <b/>
        <vertAlign val="superscript"/>
        <sz val="10"/>
        <color indexed="10"/>
        <rFont val="Times New Roman"/>
        <family val="1"/>
      </rPr>
      <t>4</t>
    </r>
  </si>
  <si>
    <r>
      <t>Pilnu procesu norišu reižu skaits IS</t>
    </r>
    <r>
      <rPr>
        <b/>
        <vertAlign val="superscript"/>
        <sz val="9"/>
        <color indexed="10"/>
        <rFont val="Times New Roman"/>
        <family val="1"/>
      </rPr>
      <t>5</t>
    </r>
  </si>
  <si>
    <t>Centralizēta elektronisko klientu apkalpošanas kanāla izstrāde (portāls; publiskie lietotāji)</t>
  </si>
  <si>
    <t>Elektronisko pakalpojumu pieprasījumu skaits</t>
  </si>
  <si>
    <t>Infrormatīvo pieprasījumu skaits</t>
  </si>
  <si>
    <t>Klientu pārvaldības un darba plūsmu vadības sistēma (CRM)</t>
  </si>
  <si>
    <t>Klienta notikumu, datu apstrāde un izmaiņu veikšana</t>
  </si>
  <si>
    <t>Klientu reģistra un autentifikācijas sistēma</t>
  </si>
  <si>
    <t>Resora lietotāju profilu uzturēšana</t>
  </si>
  <si>
    <t>3.2.</t>
  </si>
  <si>
    <t>Resora lietotāju domēnu sinhronizācija</t>
  </si>
  <si>
    <t>3.3.</t>
  </si>
  <si>
    <t>Resora lietotāju autentifikācija un autorizācija</t>
  </si>
  <si>
    <t>IS integrācijas un datu apstrādes platforma</t>
  </si>
  <si>
    <t>Tīmekļa pakalpju izsaukumu apstrāde un monitorings</t>
  </si>
  <si>
    <t>4.2.</t>
  </si>
  <si>
    <t>Ziņojumu apstrāde</t>
  </si>
  <si>
    <t>4.3.</t>
  </si>
  <si>
    <t>Klasifikatoru izplatīšana</t>
  </si>
  <si>
    <t>Mājas dzīvnieku uzskaites vienotā IS</t>
  </si>
  <si>
    <t>Mājdzīvnieku reģistrācija</t>
  </si>
  <si>
    <t>5.2.</t>
  </si>
  <si>
    <t>Mājdzīvnieku datu uzkrāšana, apstrāde un aktualizēšana</t>
  </si>
  <si>
    <t>5.3.</t>
  </si>
  <si>
    <t>Mājdzīvnieku vakcinācijas datu uzkrāšana, apstrāde un aktualizēšana</t>
  </si>
  <si>
    <r>
      <rPr>
        <vertAlign val="superscript"/>
        <sz val="10"/>
        <color indexed="8"/>
        <rFont val="Times New Roman"/>
        <family val="1"/>
      </rPr>
      <t>1</t>
    </r>
    <r>
      <rPr>
        <sz val="10"/>
        <color indexed="8"/>
        <rFont val="Times New Roman"/>
        <family val="1"/>
      </rPr>
      <t xml:space="preserve"> Ja elektroniskais pakalpojums pirms projekta īstenošanas netika izstrādāts,  kā sākotnējā rādītāja vērtība jānorāda "0".</t>
    </r>
  </si>
  <si>
    <r>
      <rPr>
        <vertAlign val="superscript"/>
        <sz val="10"/>
        <color indexed="8"/>
        <rFont val="Times New Roman"/>
        <family val="1"/>
      </rPr>
      <t>2</t>
    </r>
    <r>
      <rPr>
        <sz val="10"/>
        <color indexed="8"/>
        <rFont val="Times New Roman"/>
        <family val="1"/>
      </rPr>
      <t xml:space="preserve"> lietotājs var būt fiziska un jurdiska persona, t.sk. iestāde.</t>
    </r>
  </si>
  <si>
    <r>
      <rPr>
        <vertAlign val="superscript"/>
        <sz val="10"/>
        <color indexed="8"/>
        <rFont val="Times New Roman"/>
        <family val="1"/>
      </rPr>
      <t>3</t>
    </r>
    <r>
      <rPr>
        <sz val="10"/>
        <color indexed="8"/>
        <rFont val="Times New Roman"/>
        <family val="1"/>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</si>
  <si>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color indexed="8"/>
        <rFont val="Times New Roman"/>
        <family val="1"/>
      </rPr>
      <t>4</t>
    </r>
    <r>
      <rPr>
        <sz val="10"/>
        <color indexed="8"/>
        <rFont val="Times New Roman"/>
        <family val="1"/>
      </rPr>
      <t xml:space="preserve"> Informācijas sistēmas vai pārvaldes procesu izmantošanas rādītāji - rādītāji, kas raksturo informācijas sistēmu vai pārvaldes procesu informācijas sistēmas jomā izmantošanas intensitāti. </t>
    </r>
  </si>
  <si>
    <r>
      <rPr>
        <vertAlign val="superscript"/>
        <sz val="10"/>
        <color indexed="8"/>
        <rFont val="Times New Roman"/>
        <family val="1"/>
      </rPr>
      <t>5</t>
    </r>
    <r>
      <rPr>
        <sz val="10"/>
        <color indexed="8"/>
        <rFont val="Times New Roman"/>
        <family val="1"/>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indexed="8"/>
        <rFont val="Times New Roman"/>
        <family val="1"/>
      </rPr>
      <t>Ja informācijas sistēma pirms projekta īstenošanas netika izstrādāta,  kā sākotnējā rādītāja vērtība jānorāda "0".</t>
    </r>
  </si>
  <si>
    <r>
      <rPr>
        <vertAlign val="superscript"/>
        <sz val="10"/>
        <color indexed="8"/>
        <rFont val="Times New Roman"/>
        <family val="1"/>
      </rPr>
      <t>6</t>
    </r>
    <r>
      <rPr>
        <sz val="10"/>
        <color indexed="8"/>
        <rFont val="Times New Roman"/>
        <family val="1"/>
      </rPr>
      <t xml:space="preserve"> IS izmantošanas rādītājs - rādītājs vai vairāki galvenie rādītāji, kuri raksturo informācijas sistēmas izmantošanu, piemēram, nosūtītas elektroniskās vēstules.</t>
    </r>
  </si>
  <si>
    <t>Nacionālā muzeju krājuma kopkataloga (NMKK) pilnveidošan. 2. kārta
3DP/3.2.2.1.1/08/IPIA/IUMEPLS/015</t>
  </si>
  <si>
    <t xml:space="preserve">Informatīvais e-pakalpojums „Latvijas muzejos uzkrātais kultūrvēsturiskais mantojums” </t>
  </si>
  <si>
    <r>
      <t>Ievadīti muzeja priekšmetu apraksti NMKK</t>
    </r>
    <r>
      <rPr>
        <b/>
        <vertAlign val="superscript"/>
        <sz val="10"/>
        <color rgb="FFFF0000"/>
        <rFont val="Times New Roman"/>
        <family val="1"/>
        <charset val="186"/>
      </rPr>
      <t>6</t>
    </r>
  </si>
  <si>
    <t>Vienotās valsts arhīvu informācijas sistēmas izstrādes un ieviešanas 2.kārta 3DP/3.2.2.1.1/08/IPIA/IUMEPLS/016</t>
  </si>
  <si>
    <t>Arhīva izziņas sociālos un tiesiskos jautājumos pasūtīšana un saņemšana</t>
  </si>
  <si>
    <t>Arhīva izziņas pasūtīšana un saņemšana</t>
  </si>
  <si>
    <t>Audiovizuālo, skaņas un foto dokumentu kopiju pasūtīšana un saņemšana</t>
  </si>
  <si>
    <t>Papīra dokumentu kopiju pasūtīšana un saņemšana</t>
  </si>
  <si>
    <t>Atļaujas saņemšana darbam lasītavā</t>
  </si>
  <si>
    <t>Dokumentu pasūtīšana darbam lasītavā</t>
  </si>
  <si>
    <t>Arhīva konsultāciju pieprasīšana un saņemšana</t>
  </si>
  <si>
    <t>Dokumentu klasifikācijas shēmu un glabāšanas termiņu saskaņošana</t>
  </si>
  <si>
    <t>Aprakstīšanas shēmas un dokumentu aprakstu izstrādāšana un saskaņošana</t>
  </si>
  <si>
    <t>Nodošanas – pieņemšanas aktu sagatavošana dokumentu nodošanai arhīvā</t>
  </si>
  <si>
    <t>Elektronisko dokumentu nodošana arhīvā</t>
  </si>
  <si>
    <t>VVAIS informācijas saņemšanas un uzglabāšanas risinājums</t>
  </si>
  <si>
    <r>
      <t>Elektronisko dokumentu pakotnes saņemšana</t>
    </r>
    <r>
      <rPr>
        <b/>
        <vertAlign val="superscript"/>
        <sz val="10"/>
        <color rgb="FFFF0000"/>
        <rFont val="Times New Roman"/>
        <family val="1"/>
        <charset val="186"/>
      </rPr>
      <t>6</t>
    </r>
  </si>
  <si>
    <t>Elektronisko dokumentu pakotnes sagatavošana saglabāšanai un izmantošanai</t>
  </si>
  <si>
    <t>VVAIS informācijas pārvaldības un piekļuves risinājums</t>
  </si>
  <si>
    <t>Institūciju uzraudzība</t>
  </si>
  <si>
    <t>2.2.</t>
  </si>
  <si>
    <t>Nacionālā dokumentārā mantojuma aprakstīšana arhīvā</t>
  </si>
  <si>
    <t>2.3.</t>
  </si>
  <si>
    <t>Nacionālā dokumentārā mantojuma saglabāšana</t>
  </si>
  <si>
    <t>2.4.</t>
  </si>
  <si>
    <t>Klientu apkalpošana lasītavā</t>
  </si>
  <si>
    <t>2.5.</t>
  </si>
  <si>
    <t>Klientu apkalpošana  ārpus lasītavas</t>
  </si>
  <si>
    <t>E-pakalpojumi un to infrastruktūras attīstība 3DP/3.2.2.1.1/08/IPIA/IUMEPLS/017</t>
  </si>
  <si>
    <t>Administratīvo sodu pārbaude un nomaksa</t>
  </si>
  <si>
    <t>Ieroču reģistrācija, atļauju, licenču un sertifikātu pārbaude</t>
  </si>
  <si>
    <t>Informācija par sociālās apdrošināšanas iemaksām un apdrošināšanas periodiem” (EP43)</t>
  </si>
  <si>
    <t xml:space="preserve">„Valsts fondēto pensiju shēmas (pensiju 2.līmeņa) dalībnieka konta izraksts” (EP44)
(EP44)
</t>
  </si>
  <si>
    <t>„Informācija par valsts  fondēto pensiju shēmas līdzekļu pārvaldītāja un ieguldījuma plāna maiņu (EP45)”</t>
  </si>
  <si>
    <t>„Informācija par izmaksātajiem pabalstiem/ pensijām/ atlīdzību un ieturēto ienākuma nodokli (ienākumu deklarēšanai) (EP46)”</t>
  </si>
  <si>
    <t>„Informācija par reģistrēto darba stāžu (līdz 1996.gadam) (EP47)”</t>
  </si>
  <si>
    <t>„Informācija par apdrošinātās personas pensijas kapitālu (EP48)”</t>
  </si>
  <si>
    <t>„Informācija par valsts fondēto pensiju shēmas dalībnieka reģistrāciju un ieguldījuma plāna izvēli (EP49)”</t>
  </si>
  <si>
    <t>„Informācija par ieturējumiem no izmaksātas pensijas/ pabalsta/ atlīdzības (EP50)”</t>
  </si>
  <si>
    <t>„Informācija par piešķirtās pensijas/ pabalsta/atlīdzības apmēru (EP51)”</t>
  </si>
  <si>
    <t>„Informācija par izmaksai nosūtīto pensiju/ pabalstu/ atlīdzību (EP52)”</t>
  </si>
  <si>
    <t>„Informācija par VSAA ieturēto ienākuma nodokli (EP53)”</t>
  </si>
  <si>
    <t>„Iesniegums par dzīvesvietas reģistrēšanu ārzemēs” (EP26)</t>
  </si>
  <si>
    <t>Elektroniska pieteikšanās studijām</t>
  </si>
  <si>
    <t>„Ministru kabineta elektroniskais pakalpojums iedzīvotājiem „Ministru kabineta sēžu un preses konferenču apraides digitalizācija un tiešraižu nodrošināšana”</t>
  </si>
  <si>
    <t>„Iedzīvotāju autentifikācija VID EDS portālā”</t>
  </si>
  <si>
    <t>Valsts amatpersonu EDS formu uzlabojumi</t>
  </si>
  <si>
    <t>Nepilngadīgo personu atbalsta informācijas sistēmai bāriņtiesas lēmumu datu nodošana iestāžu informācijas sistēmām</t>
  </si>
  <si>
    <t>VISS informācijas saņemšanas un uzglabāšanas risinājums</t>
  </si>
  <si>
    <t xml:space="preserve">Elektronisko pakalpojumu izmantošan,a izmantojot VISS funkcionalitāti </t>
  </si>
  <si>
    <t>Valsts informācijas sistēmas Uzturlīdzekļu garantiju fonda iesniedzēju un parādnieku reģistrs pilnveidošana 3DP/3.2.2.1.1/09/IPIA/IUMEPLS/001</t>
  </si>
  <si>
    <t>Pieteikšanās uzturlīdzekļu saņemšanai</t>
  </si>
  <si>
    <t>Lietas izskatīšanas procesa informācijas sniegšana</t>
  </si>
  <si>
    <t>Parādu informācijas sniegšana</t>
  </si>
  <si>
    <t>Uzturlīdzekļu garantiju fonda iesniedzēju un parādnieku reģistrs</t>
  </si>
  <si>
    <r>
      <t>Pieteikumu uzturlīdzekļu saņemšanai pieņemšana un lēmumu pieņemšana</t>
    </r>
    <r>
      <rPr>
        <b/>
        <vertAlign val="superscript"/>
        <sz val="10"/>
        <color rgb="FFFF0000"/>
        <rFont val="Times New Roman"/>
        <family val="1"/>
        <charset val="186"/>
      </rPr>
      <t>6</t>
    </r>
  </si>
  <si>
    <t>Pašvaldību teritorijas attīstības plānošanas, infrastruktūras un nekustamo īpašumu pārvaldības un uzraudzības informācijas sistēmas - 1.kārta Vienotā ģeotelpiskās informācijas portāla izveidošana un nozaru ĢIS sasaiste ar portālu
Vienošanās Nr. 3DP/3.2.2.1.1/09/IPIA/IUMEPLS/002
3DP/3.2.2.1.1/09/IPIA/IUMEPLS/005</t>
  </si>
  <si>
    <r>
      <t>Kopējais lietotāju skaits</t>
    </r>
    <r>
      <rPr>
        <vertAlign val="superscript"/>
        <sz val="9"/>
        <color indexed="10"/>
        <rFont val="Times New Roman"/>
        <family val="1"/>
        <charset val="186"/>
      </rPr>
      <t>3</t>
    </r>
  </si>
  <si>
    <t>Informācijas sistēmas izmantošanas plāns</t>
  </si>
  <si>
    <r>
      <t>Informācijas sistēmas vai pārvaldes procesu izmantošanas rādītāji pirms projekta informācijas sistēmas izstrādes vai uzlabošanas</t>
    </r>
    <r>
      <rPr>
        <vertAlign val="superscript"/>
        <sz val="10"/>
        <color indexed="10"/>
        <rFont val="Times New Roman"/>
        <family val="1"/>
        <charset val="186"/>
      </rPr>
      <t>4</t>
    </r>
  </si>
  <si>
    <r>
      <t>Pilnu procesu norišu reižu skaits IS</t>
    </r>
    <r>
      <rPr>
        <vertAlign val="superscript"/>
        <sz val="9"/>
        <color indexed="10"/>
        <rFont val="Times New Roman"/>
        <family val="1"/>
        <charset val="186"/>
      </rPr>
      <t>5</t>
    </r>
  </si>
  <si>
    <t>Ģeoportāls (t.sk.Ģeotelpisko datu savietotājs) tiek izstrādāts, lai nodrošinātu epakalpojumu darbību</t>
  </si>
  <si>
    <t xml:space="preserve">A - Visi 4 pakalpojumi ir noteikti Ģeotelpiskās informācijas likumā, ar kuru nacionālajā likumdošanā tiek pārņemta INSPIRE direktīva. 
1) Meklēšanas pakalpojums ir primārais pakalpojums, kuru izmantos Ģeoportālā. Meklēšanas pakalpojuma rezultātu atspoguļošana ir skatīšanās pakalpojums. 
2) Lejupielādes pakalpojums būs pieejams tikai noslēdzot līgumu par datu izmantošanu un veicot apmaksu (samaksa par lejupielādi tiks noteikta atbilstoši katra datu turētāja cenrādim. 
3) Transformācijas pakalpojums vairāk būtu nepieciešams ES institūcijām / iedzīvotājiem, piemēram, koordinātu sistēmas maiņai.
Jānorāda, ka ar lietotāju skaitu tiek uzskatītas unikālās IP adreses, kas veiks pieslēgumu Ģeoportālam.
Līdz šim katram datu turētājam ir izveidota sava sistēma savu datu izplatīšanai, tagad datu turētāji piedāvās savus datus arī ģeoportālā, tādējādi radot iespēju dažādu datu turētāju datu savietošanai vienā "kartē" (saukti ģeoprodukti). Ģeoportāla ieviešana neaizliedz datu turētājiem izplatīt datus arī izmantojot savu datu izplatīšanas kanālu.
</t>
  </si>
  <si>
    <t>Elektronisko recepšu informācijas sistēmas izveides pirmais posms 3DP/3.2.2.1.1/09/IPIA/IUMEPLS/003</t>
  </si>
  <si>
    <t>e-Receptes izrakstīšanas procesi</t>
  </si>
  <si>
    <t>Zāļu izsniegšana pret e-receptēm</t>
  </si>
  <si>
    <t>Datu nodošana par izsniegtajiem kompensējamiem ārstniecības līdzekļiem</t>
  </si>
  <si>
    <t>Datu analīze</t>
  </si>
  <si>
    <t xml:space="preserve">Pacienta informēšanu par pacientam vai pacienta pilnvardevējam izrakstīto recepti. </t>
  </si>
  <si>
    <t>Pacientam iespēju iegūt informāciju par derīgajām receptēm, tajā skaitā – par receptēm ārstēšanās kursam</t>
  </si>
  <si>
    <t>Pacienta pārskati par iegādātajiem medikamentiem noteiktā laika posmā</t>
  </si>
  <si>
    <t>Elektronisko recepšu informācijas sistēma</t>
  </si>
  <si>
    <t>Samazinātas kļūdas recepšu izsniegšanā dēļ ārsta rokraksta vai citu druku dēļ</t>
  </si>
  <si>
    <t xml:space="preserve">Vienotās ārlietu dienesta dokumentu vadības sistēmas uzlabojumi un papildinājumi, gatavojoties Latvijas prezidentūrai Eiropas Savienībā 
Vienošanās Nr. 3DP/3.2.2.1.1/09/IPIA/IUMEPLS/004
</t>
  </si>
  <si>
    <t>Elektroniska reģistrēšanās Konsulārajā reģistrā</t>
  </si>
  <si>
    <t>Elektroniska iesniegumu pieņemšana dokumentu izprasīšanai</t>
  </si>
  <si>
    <t>Elektroniska informācijas pieprasījumu pieņemšana un izpilde, pamatojoties uz Ārlietu dienesta arhīva dokumentiem</t>
  </si>
  <si>
    <t>Parakstīšanās uz Ārlietu dienesta ziņām</t>
  </si>
  <si>
    <t>Iesniegums Ārlietu ministrijai</t>
  </si>
  <si>
    <t>Pieteikums darbam diplomātiskajā un konsulārajā dienestā</t>
  </si>
  <si>
    <t>Izziņu izsniegšana</t>
  </si>
  <si>
    <t>VADDVS elektroniski apstrādāto dokumentu skaits</t>
  </si>
  <si>
    <t>Pašvaldību teritorijas attīstības plānošanas, infrastruktūras un nekustamo īpašumu pārvaldības un uzraudzības informācijas sistēmas - 1.kārta 3DP/3.2.2.1.1/09/IPIA/IUMEPLS/005</t>
  </si>
  <si>
    <t>Uzziņa par nekustamā īpašuma atļauto  izmantošanu saskaņā ar vietējās pašvaldības teritorijas plānojumu</t>
  </si>
  <si>
    <t>Informāciju un/vai nosacījumu pieprasīšana no 14 saskaņā ar 06.10.2009. MK noteikumiem Nr.1148</t>
  </si>
  <si>
    <t>Sabiedriskā apspriešanas norise un lēmumu pieņemšana saskaņā ar 06.10.2009. MK noteikumiem Nr.1148</t>
  </si>
  <si>
    <t>7 Vidēji gadā valstī tiek izstrādāti 35 teritorijas plānojumi vai to grozījumi, kas ietver procesus, kas norādīti 1.1.- 1.3. punktos</t>
  </si>
  <si>
    <r>
      <rPr>
        <vertAlign val="superscript"/>
        <sz val="10"/>
        <color theme="1"/>
        <rFont val="Times New Roman"/>
        <family val="1"/>
        <charset val="186"/>
      </rPr>
      <t xml:space="preserve">8 </t>
    </r>
    <r>
      <rPr>
        <sz val="10"/>
        <color theme="1"/>
        <rFont val="Times New Roman"/>
        <family val="1"/>
        <charset val="186"/>
      </rPr>
      <t>Teritorijas plānojumu sakaņošana un atzinumus par izstrādāto teritorijas plānojumu un tā grozījumu atbilstību nosacījumiem darbība ietver</t>
    </r>
    <r>
      <rPr>
        <b/>
        <u/>
        <sz val="10"/>
        <color theme="1"/>
        <rFont val="Times New Roman"/>
        <family val="1"/>
        <charset val="186"/>
      </rPr>
      <t xml:space="preserve"> ļoti lieu ģeotelpisko datu datu apjomu</t>
    </r>
    <r>
      <rPr>
        <sz val="10"/>
        <color theme="1"/>
        <rFont val="Times New Roman"/>
        <family val="1"/>
        <charset val="186"/>
      </rPr>
      <t xml:space="preserve"> pārsūtīšanu.</t>
    </r>
  </si>
  <si>
    <t>3)</t>
  </si>
  <si>
    <t xml:space="preserve">E-pakalpojuma kopējo lietotāju skaits, lai saņemtu pakalpojumu par "Uzziņa par nekustamā īpašuma atļauto  izmantošanu saskaņā ar vietējās pašvaldības teritorijas plānojumu",  ir atkarīgs no nekustamā īpašuma tirgus aktivitātes Latvijā. E-pakalpojuma izmantošanas plāns ir sastādīts izejot no situācijas, kāda ir uz 2011/2012.gadu. </t>
  </si>
  <si>
    <t>"Nozares vienotās uzraudzības informācijas sistēmas izstrāde.1.posms" (Nr.3DP/3.2.2.1.1/09/IPIA/IUMEPLS/006)</t>
  </si>
  <si>
    <t>Paziņojuma sniegšana par darbību</t>
  </si>
  <si>
    <t>Pieteikums Veselības inspekcijas atļaujas, atzinuma vai novērtējuma saņemšanai</t>
  </si>
  <si>
    <t>Iesniegums Veselības inspekcijai</t>
  </si>
  <si>
    <t>Informācijas sniegšana Veselības inspekcijas uzraudzības objektu katalogam</t>
  </si>
  <si>
    <t>Paziņojums par kontroles laikā uzlikto pienākumu izpildi</t>
  </si>
  <si>
    <t>Veselības inspekcijas uzraudzības objektu katalogs</t>
  </si>
  <si>
    <t>Informācija par patērētāja tiesībām saņemt kvalitatīvu pakalpojumu/preci</t>
  </si>
  <si>
    <t>Informatīvais pakalpojums par konkrētām dzīves situācijām piemērojamo regulējumu</t>
  </si>
  <si>
    <t>Vienotā uzraudzības informācijas sistēma</t>
  </si>
  <si>
    <r>
      <t>Elektroniski izveidoti kontroles akti</t>
    </r>
    <r>
      <rPr>
        <b/>
        <vertAlign val="superscript"/>
        <sz val="10"/>
        <color indexed="10"/>
        <rFont val="Times New Roman"/>
        <family val="1"/>
        <charset val="186"/>
      </rPr>
      <t>6</t>
    </r>
  </si>
  <si>
    <t>Elektroniski izveidots uzraudzības objektu saraksts</t>
  </si>
  <si>
    <t>Elektroniski izveidoti administratīvā pārkāpuma protokoli un lēmumi</t>
  </si>
  <si>
    <t>Kontroļu dokumentācijas elektroniskā sagatave</t>
  </si>
  <si>
    <t>E-pakalpojumu apstrādes gadījumi</t>
  </si>
  <si>
    <t>Publiskās pārvaldes dokumentu pārvaldības sistēmu integrācijas vides izveide, ID.Nr. 3DP/3.2.2.1.1/09/IPIA/IUMEPLS/007</t>
  </si>
  <si>
    <t>E-pakalpojums "Valsts iestāžu e-konsultācijas portālā www.latvija.lv"</t>
  </si>
  <si>
    <t>Publiskās pārvaldes dokumentu integrācijas vide (DIV)</t>
  </si>
  <si>
    <t>Caur DIV transportētās XML aploksnes</t>
  </si>
  <si>
    <t>Iestāžu skaits, kas pievienojies DIV</t>
  </si>
  <si>
    <t>Programmatūras, kura nodrošinās e-dokumenta izveidi integrācija dažādos e-pakalpojumos un IS</t>
  </si>
  <si>
    <t>Izveidoto e-dokumentu skaits</t>
  </si>
  <si>
    <t>Programmatūras risinājumu skaits, kurā integrēts e-parakstītājs</t>
  </si>
  <si>
    <t>"Valsts ģeotelpisko pamatdatu informācijas infrastruktūras izveide” (identifikācijas Nr. 3DP/3.2.2.1.1/09/IPIA/IUMEPLS/008)</t>
  </si>
  <si>
    <t>Ģeotelpiskie metadati</t>
  </si>
  <si>
    <t>Ģeotelpiskie pamatdati</t>
  </si>
  <si>
    <t>Koordinātu pārrēķina kalkulators</t>
  </si>
  <si>
    <t>Pastāvīgo e pakalpoju-mu klientu pieprasī-jums</t>
  </si>
  <si>
    <t>Patstāvīgo GPS bāzes staciju informācijas sistēmas LatPos</t>
  </si>
  <si>
    <t>Vietvārdu datu bāze</t>
  </si>
  <si>
    <t>Valsts ģeodēziskā tīkla datu bāze</t>
  </si>
  <si>
    <t>Ģeotelpisko pamatdatu informācijas sistēma (ĢPIS)</t>
  </si>
  <si>
    <r>
      <t>Par LĢIA e-pakalpojumiem noslēgto līgumu skaits</t>
    </r>
    <r>
      <rPr>
        <b/>
        <vertAlign val="superscript"/>
        <sz val="10"/>
        <color indexed="10"/>
        <rFont val="Times New Roman"/>
        <family val="1"/>
        <charset val="186"/>
      </rPr>
      <t>6</t>
    </r>
  </si>
  <si>
    <t>E-pakalpojumu sniegšanas ietvaros izpildīto pieprasījumu skaits</t>
  </si>
  <si>
    <r>
      <t xml:space="preserve">Atjaunoto karšu lapu skaits </t>
    </r>
    <r>
      <rPr>
        <sz val="8"/>
        <color rgb="FFFF0000"/>
        <rFont val="Times New Roman"/>
        <family val="1"/>
        <charset val="186"/>
      </rPr>
      <t>7</t>
    </r>
  </si>
  <si>
    <r>
      <t xml:space="preserve">Laboto vai ievādīto DB ierakstu skaits </t>
    </r>
    <r>
      <rPr>
        <sz val="8"/>
        <color rgb="FFFF0000"/>
        <rFont val="Times New Roman"/>
        <family val="1"/>
        <charset val="186"/>
      </rPr>
      <t>7</t>
    </r>
  </si>
  <si>
    <r>
      <rPr>
        <vertAlign val="superscript"/>
        <sz val="10"/>
        <color indexed="8"/>
        <rFont val="Times New Roman"/>
        <family val="1"/>
        <charset val="186"/>
      </rPr>
      <t>7</t>
    </r>
    <r>
      <rPr>
        <sz val="10"/>
        <color indexed="8"/>
        <rFont val="Times New Roman"/>
        <family val="1"/>
        <charset val="186"/>
      </rPr>
      <t xml:space="preserve"> Radītāja sasniegšana pēc ĢPIS ieviešanas ekspluatācijas ir atkarīga no finansējuma piešķiršanas LĢIA noteikto uzdevumu veikšanai.</t>
    </r>
  </si>
  <si>
    <t>Pašvaldību funkciju atbalsta sistēmas 2.kārta
 3DP/3.2.2.1.1/09/IPIA/IUMEPLS/009</t>
  </si>
  <si>
    <t>Maksājumu datu attēlošana – atskaite „Tavi maksājumi”</t>
  </si>
  <si>
    <t>Universālais maksājums</t>
  </si>
  <si>
    <t>Informācija par ienākušajām pakalpojumu apmaksām finanšu starpniecības iestādē</t>
  </si>
  <si>
    <t>Vienota vide informācijas pieprasījumiem par pakalpojumiem, kas saistīti ar uzņēmējdarbības veikšanu</t>
  </si>
  <si>
    <t>Strukturēto iesniegumu iesniegšana pašvaldībā</t>
  </si>
  <si>
    <t>Izziņa par nekustamā īpašuma nodokļa nomaksu</t>
  </si>
  <si>
    <t>Izziņa Zemesgrāmatas tiesu tiesnešiem par nekustamā īpašuma nodokļa nomaksu</t>
  </si>
  <si>
    <t>Izziņa pašvaldībai par Bāriņtiesas lēmumiem attiecībā uz jaundzimušo vecākiem</t>
  </si>
  <si>
    <t>Izziņa pašvaldību sociālajai pārvaldei no Zemesgrāmatas par personas valdījumā esošo nekustamo īpašumu</t>
  </si>
  <si>
    <t>Publisko pakalpojumu katalogs</t>
  </si>
  <si>
    <t>Ievietoto/aprakstīto publisko pakalpojumu skaits (procesi) pret elektronizētajiem (pilnie procesi)</t>
  </si>
  <si>
    <t>Vienota civilstāvokļa aktu reģistrācijas informācijas sistēma</t>
  </si>
  <si>
    <t>Atkārtotas dzimšanas apliecibas vai izziņas pieprasīšana</t>
  </si>
  <si>
    <t>Atkārtotas laulības apliecibas vai izziņas pieprasīšana</t>
  </si>
  <si>
    <t>Atkārtotas miršanas apliecibas vai izziņas pieprasīšana</t>
  </si>
  <si>
    <t xml:space="preserve"> Statistisko datu sniegšana pēc pieprasījuma</t>
  </si>
  <si>
    <r>
      <t>Reģistru ierakstos iekļauto ziņu un aktuālās informācijas sniegšana valsts pārvaldes iestādēm</t>
    </r>
    <r>
      <rPr>
        <b/>
        <vertAlign val="superscript"/>
        <sz val="10"/>
        <color rgb="FFFF0000"/>
        <rFont val="Times New Roman"/>
        <family val="1"/>
        <charset val="186"/>
      </rPr>
      <t>1</t>
    </r>
  </si>
  <si>
    <r>
      <rPr>
        <b/>
        <vertAlign val="superscript"/>
        <sz val="10"/>
        <color rgb="FFFF0000"/>
        <rFont val="Times New Roman"/>
        <family val="1"/>
        <charset val="186"/>
      </rPr>
      <t xml:space="preserve">1    </t>
    </r>
    <r>
      <rPr>
        <sz val="11"/>
        <color theme="1"/>
        <rFont val="Times New Roman"/>
        <family val="1"/>
        <charset val="186"/>
      </rPr>
      <t xml:space="preserve"> e- pakalpojumu " Reģistru ierakstos iekļauto ziņu un aktuālās informācijas sniegšana valsts pārvaldes iestādēm" tiks  ierosināts svītrot, izdarot attiecīgus grozījumus 2009.gada 4.decembra vienošanāsNr. 3DP/3.2.2.1.1/09/IPIA/IUMPELS/010 starp Reģionālās attīstības un pašvaldību lietu un Tieslietu ministriju par projekta īstenošanu.  V</t>
    </r>
    <r>
      <rPr>
        <sz val="11"/>
        <rFont val="Times New Roman"/>
        <family val="1"/>
        <charset val="186"/>
      </rPr>
      <t xml:space="preserve">alsts pārvaldes un pašvaldību iestādēm savu funkciju veikšanai nepieciešamo informāciju par Vienotajā civilstāvokļa aktu reģistrācijas informācijas sistēmā reģistrētajiem civilstāvokļa aktiem būs iespējams saņemt tieši no izveidotās sistēmas. </t>
    </r>
  </si>
  <si>
    <t>Informācijas sistēmas vai pārvaldes procesu izmantošanas rādītāji pirms projekta informācijas sistēmas izstrādes vai uzlabošanas</t>
  </si>
  <si>
    <r>
      <t>Kopējais lietotāju skaits</t>
    </r>
    <r>
      <rPr>
        <b/>
        <vertAlign val="superscript"/>
        <sz val="9"/>
        <color rgb="FFFF0000"/>
        <rFont val="Times New Roman"/>
        <family val="1"/>
        <charset val="186"/>
      </rPr>
      <t>1</t>
    </r>
  </si>
  <si>
    <t>Reģistrētie civilstāvokļa akti</t>
  </si>
  <si>
    <t xml:space="preserve">Izdarīti papildinājumi un labojumi civilstāvokļa aktos </t>
  </si>
  <si>
    <r>
      <t>Sagatavoti atkārtoti civilstāvokļa reģistrāciju apliecinoši dokumenti</t>
    </r>
    <r>
      <rPr>
        <b/>
        <vertAlign val="superscript"/>
        <sz val="10"/>
        <color rgb="FFFF0000"/>
        <rFont val="Times New Roman"/>
        <family val="1"/>
        <charset val="186"/>
      </rPr>
      <t>2</t>
    </r>
  </si>
  <si>
    <r>
      <rPr>
        <vertAlign val="superscript"/>
        <sz val="11"/>
        <color rgb="FFFF0000"/>
        <rFont val="Calibri"/>
        <family val="2"/>
        <charset val="186"/>
        <scheme val="minor"/>
      </rPr>
      <t xml:space="preserve">1   </t>
    </r>
    <r>
      <rPr>
        <sz val="11"/>
        <rFont val="Calibri"/>
        <family val="2"/>
        <charset val="186"/>
        <scheme val="minor"/>
      </rPr>
      <t xml:space="preserve"> </t>
    </r>
    <r>
      <rPr>
        <sz val="11"/>
        <rFont val="Times New Roman"/>
        <family val="1"/>
        <charset val="186"/>
      </rPr>
      <t xml:space="preserve"> norādīts iestāžu skaits - pašvaldību dzimtsarakstu nodaļas, Latvijas diplomātiskās un konsulārās pārstāvniecības ārvalstīs, Tieslietu ministrija.</t>
    </r>
  </si>
  <si>
    <r>
      <rPr>
        <vertAlign val="superscript"/>
        <sz val="11"/>
        <color rgb="FFFF0000"/>
        <rFont val="Calibri"/>
        <family val="2"/>
        <charset val="186"/>
        <scheme val="minor"/>
      </rPr>
      <t>2</t>
    </r>
    <r>
      <rPr>
        <vertAlign val="superscript"/>
        <sz val="11"/>
        <color theme="1"/>
        <rFont val="Calibri"/>
        <family val="2"/>
        <charset val="186"/>
        <scheme val="minor"/>
      </rPr>
      <t xml:space="preserve">      </t>
    </r>
    <r>
      <rPr>
        <sz val="11"/>
        <color theme="1"/>
        <rFont val="Times New Roman"/>
        <family val="1"/>
        <charset val="186"/>
      </rPr>
      <t xml:space="preserve"> aptuveni  10% atkārtotu civilstāvokļa reģistrāciju apliecinošu dokumentu (izziņas) joprojām tiks sagatavoti Word formātā, jo dokumentu pieprasītāji lūdz tajos ietvert ziņas no civilstāvokļa reģistriem, kas IS nav  iekļauti. No vēsturiskajiem civilstāvokļa reģistriem tiesību aktos paredzētos gadījumos tiks izsniegtas civilstāvokļa reģistru fotokopijas.</t>
    </r>
  </si>
  <si>
    <t>"Valsts darba inspekcijas informatīvās sistēmas pilnveidošana un e-pakalpojumu ieviešana" Nr.3DP/3.2.2.1.1/09/IPIA/IUMEPLS/011</t>
  </si>
  <si>
    <t>Vienu gadu pēc projekta īstenošanas 2013</t>
  </si>
  <si>
    <t>Divus gadus pēc projekta īstenošanas 2014</t>
  </si>
  <si>
    <t>Trīs gadus pēc projekta īstenošanas 2015</t>
  </si>
  <si>
    <t>Četrus gadus pēc projekta īstenošanas 2016</t>
  </si>
  <si>
    <t>Piecus gadus pēc projekta īstenošanas 2017</t>
  </si>
  <si>
    <t>Iesniegums VDI un VDI atbildes saņemšana</t>
  </si>
  <si>
    <t>VDI amatpersonas lēmuma apstrīdēšana</t>
  </si>
  <si>
    <t>VDI izdoto administratīvo aktu darba devējiem par konstatētajiem pārkāpumiem saņemšana</t>
  </si>
  <si>
    <t>Darba devēja paziņojums par novērstajiem pārkāpumiem</t>
  </si>
  <si>
    <t>Informācijas saņemšana no citām valsts institūcijām par iespējamiem pārkāpumiem VDI kompetences jomā</t>
  </si>
  <si>
    <t>VDI atļauja bērnu nodarbināšanai</t>
  </si>
  <si>
    <t>Izziņa par darba tiesību būtiskiem pārkāpumiem</t>
  </si>
  <si>
    <t>Paziņojums par notikušu nelaimes gadījumu darbā</t>
  </si>
  <si>
    <t>Darba devēja sastādītā izmeklēšanas akta/atzinuma par notikušu nelaimes gadījumu darbā iesniegšana</t>
  </si>
  <si>
    <t>VDI sastādītā izmeklēšanas akta/atzinuma par notikušu nelaimes gadījumu darbā saņemšana</t>
  </si>
  <si>
    <t>Paziņojums par kriminālprocesa ierosināšanu, ierosināšanas atteikumu vai izbeigšanu</t>
  </si>
  <si>
    <t>Ārstniecības personas/iestādes paziņojuma par cietušo nelaimes gadījumā darbā sniegšana</t>
  </si>
  <si>
    <t>Izziņa par veselības traucējumu smaguma pakāpi nelaimes gadījumā darbā</t>
  </si>
  <si>
    <t>Darba vietas higiēniskais raksturojums</t>
  </si>
  <si>
    <t>Ziņojums par arodslimības gadījumu</t>
  </si>
  <si>
    <t>Atzinums par nodarbinātā veselības un drošības apdraudējuma faktu darbā</t>
  </si>
  <si>
    <t>*Tiek pieņemts, ka piecu gadu periodā varētu prognozēt ~11% pieaugumu pirmo divu gada laikā, ~17% pieaugumu trešajā un ceturtajā gadā, un 32%pieaugumu  piektajā gadā</t>
  </si>
  <si>
    <t>VDI Informācijas sistēma (IS)</t>
  </si>
  <si>
    <t>Lietvedības apakšsistēma*</t>
  </si>
  <si>
    <t>*Tiek pieņemts, ka piecu gadu periodā varētu prognozēt ~5% pieaugumu gada laikā, balstoties uz valsts ekonomiskās aktivitātes pieaugumu</t>
  </si>
  <si>
    <t xml:space="preserve">Skaidrojumi </t>
  </si>
  <si>
    <t>"VUGD apmācības informācijas sistēmas pilnveidošana" 3DP/3.2.2.1.1/09/IPIA/IUMEPLS/012</t>
  </si>
  <si>
    <t xml:space="preserve"> Plānotais elektronisko pakalpojumu pieprasījumu apjoms pret kopējo pieprasījumu apjomu pēc 5 gadiem</t>
  </si>
  <si>
    <t>E-pakalpojums „Apmācība civilās aizsardzības jautājumos”</t>
  </si>
  <si>
    <t>E-pakalpojums „Par ugunsdrošību atbildīgo personu apmācība”</t>
  </si>
  <si>
    <t>E-pakalpojums „Ugunsdrošība un glābšana – esi lietpratējs!”</t>
  </si>
  <si>
    <t xml:space="preserve">Vidējais </t>
  </si>
  <si>
    <t>E-pakalpojumu Informācijas sistēma (IS)</t>
  </si>
  <si>
    <t>Apmācīto personu skaits kursā “Esi lietpratējs!”</t>
  </si>
  <si>
    <t>Apmācīto personu skaits kursos „Apmācība civilās aizsardzības jautājumos” un  „Par ugunsdrošību atbildīgo personu apmācība”</t>
  </si>
  <si>
    <t>E-studiju Informācijas sistēma</t>
  </si>
  <si>
    <t>2.1</t>
  </si>
  <si>
    <t>Bibliotēkā izsniegto materiālu skaits</t>
  </si>
  <si>
    <t>Koledžas kadetu apmācību (lekciju) skaits</t>
  </si>
  <si>
    <t>Materiālu skaits (vienības)  bibliotēkā</t>
  </si>
  <si>
    <t xml:space="preserve">Īpaši aizsargājamo dabas teritoriju aizsardzības un apsaimniekošanas pasākumu elektronizācija   Nr. 3DP/3.2.2.1.1/09/IPIA/IUMPELS/013/                      </t>
  </si>
  <si>
    <t>Latvijas īpaši aizsargājamo dabas teritoriju, mikroliegumu, sugu un biotopu informācija - publiskā daļa</t>
  </si>
  <si>
    <t>Latvijas īpaši aizsargājamo dabas teritoriju, mikroliegumu, sugu un biotopu informācija - reģistrēto lietotāju daļa</t>
  </si>
  <si>
    <t>Vienu gadu pēc projekta īstenošanas (2013)</t>
  </si>
  <si>
    <t>Divus gadus pēc projekta īstenošanas (2014)</t>
  </si>
  <si>
    <t>Trīs gadus pēc projekta īstenošanas (2015)</t>
  </si>
  <si>
    <t>Četrus gadus pēc projekta īstenošanas (2016)</t>
  </si>
  <si>
    <t>Piecus gadus pēc projekta īstenošanas (2017)</t>
  </si>
  <si>
    <t>Dabas datu pārvaldības sistēma "OZOLS"</t>
  </si>
  <si>
    <r>
      <t xml:space="preserve">Jaunu ģeotelpisko objektu datu pievienošana Sistēmai, </t>
    </r>
    <r>
      <rPr>
        <b/>
        <vertAlign val="superscript"/>
        <sz val="10"/>
        <color indexed="10"/>
        <rFont val="Times New Roman"/>
        <family val="1"/>
        <charset val="186"/>
      </rPr>
      <t xml:space="preserve">6 </t>
    </r>
    <r>
      <rPr>
        <b/>
        <sz val="10"/>
        <rFont val="Times New Roman"/>
        <family val="1"/>
        <charset val="186"/>
      </rPr>
      <t>tajā skaitā:</t>
    </r>
  </si>
  <si>
    <t>1.1.1.</t>
  </si>
  <si>
    <t>jaunizveidoto ĪADT un no jauna noteikto vai izmainīto funkcionālo zonu pievienošana Sistēmai,</t>
  </si>
  <si>
    <t>1.1.2.</t>
  </si>
  <si>
    <t>jaunizveidoto mikroliegumu pievienošana mikroliegumu datu bāzei,</t>
  </si>
  <si>
    <t>1.1.3.</t>
  </si>
  <si>
    <t>sugu atradņu un biotopu vienību pievienošana sugu un biotopu datu bāzei,</t>
  </si>
  <si>
    <t>1.1.4.</t>
  </si>
  <si>
    <t>dabas tūrisma infrastruktūras un apsaimniekošanas vienību pievienošana datu bāzei,</t>
  </si>
  <si>
    <t xml:space="preserve">1.1.5. </t>
  </si>
  <si>
    <t>aizsargājamo koku pievienošana datu bāzei.</t>
  </si>
  <si>
    <t>Sistēmā esošo ģeotelpisko objektu datu aktualizēšana</t>
  </si>
  <si>
    <t>Zemkopības ministrijas un tās padotībā esošo iestāžu vienotas informācijas telpas izveide 3DP/3.2.2.1.1/09/IPIA/IUMEPLS/014</t>
  </si>
  <si>
    <t>Apliecinājums koku ciršanai</t>
  </si>
  <si>
    <t>Atbalsts piena un piena produktu piegādei izglītības iestāžu skolēniem (Skolas piens)</t>
  </si>
  <si>
    <t>Veterinārās uzraudzības objekta reģistrācija un/vai atzīšana</t>
  </si>
  <si>
    <t>Pārtikas uzņēmuma reģistrācija vai atzīšana, bioloģiskās lauksaimniecības kontroles institūciju atzīšana</t>
  </si>
  <si>
    <t>Pārtikas robežkontrole, ievedot preces Eiropas Savienībā no trešajām valstīm</t>
  </si>
  <si>
    <t>Mēslošanas plānu kopsavilkumu iesniegšana</t>
  </si>
  <si>
    <t>Izplatīto augu aizsardzības līdzekļu pārskatu iesniegšana</t>
  </si>
  <si>
    <t>Veikt agroķīmisko augsnes izpēti</t>
  </si>
  <si>
    <t>Izziņa par dzīvnieku novietni no dzīvnieku un novietņu reģistra ( atkārtoti)</t>
  </si>
  <si>
    <t>Izziņa par piena kvotu</t>
  </si>
  <si>
    <t>Vienotās informatīvās telpas IS (DVS)</t>
  </si>
  <si>
    <t>Ienākošo dokumentu apstrāde</t>
  </si>
  <si>
    <t>Izejošo dokumentu apstrāde</t>
  </si>
  <si>
    <t>Pakalpojumu pieprasījumu apstrāde</t>
  </si>
  <si>
    <t>ZM un tās padotības iestāžu  pārvaldes dokumentu apstrāde</t>
  </si>
  <si>
    <t>3DP/3.2.2.1.1/09/IPIA/IUMPLS/015 "Elektroniska apmeklējumu rezervēšanas izveide (e-booking), veselības aprūpes darba plūsmu elektronizēšana (e-referrals) - 1.posms, sabiedrības veselības portāla izveide, informācijas drošības un personas datu aizsardzības nodrošināšana".</t>
  </si>
  <si>
    <r>
      <t>Elektroniskā</t>
    </r>
    <r>
      <rPr>
        <sz val="11"/>
        <rFont val="Times New Roman"/>
        <family val="1"/>
        <charset val="186"/>
      </rPr>
      <t xml:space="preserve"> </t>
    </r>
    <r>
      <rPr>
        <b/>
        <sz val="11"/>
        <rFont val="Times New Roman"/>
        <family val="1"/>
        <charset val="186"/>
      </rPr>
      <t>pakalpojuma nosaukums</t>
    </r>
  </si>
  <si>
    <r>
      <t>Pakalpojuma pieprasījumu skaits un lietotāju skaits pirms e-pakalpojuma izstrādes projekta ietvaros</t>
    </r>
    <r>
      <rPr>
        <b/>
        <vertAlign val="superscript"/>
        <sz val="11"/>
        <color indexed="10"/>
        <rFont val="Times New Roman"/>
        <family val="1"/>
        <charset val="186"/>
      </rPr>
      <t>1</t>
    </r>
  </si>
  <si>
    <t>PIEPRASĪJ</t>
  </si>
  <si>
    <t>ĀP/AI</t>
  </si>
  <si>
    <t xml:space="preserve">kopā </t>
  </si>
  <si>
    <t>Publ</t>
  </si>
  <si>
    <t xml:space="preserve">Ārstniecības personu (ĀP)  un ārstniecības iestāžu (ĀI)  katalogs </t>
  </si>
  <si>
    <t>Ārstniecības personas nosūtījums</t>
  </si>
  <si>
    <t xml:space="preserve">Mani nosūtījumi </t>
  </si>
  <si>
    <t xml:space="preserve">Darba nespējas lapas </t>
  </si>
  <si>
    <t xml:space="preserve">Pakalpojumu izmaksas </t>
  </si>
  <si>
    <t xml:space="preserve">Ārsta pieraksts- </t>
  </si>
  <si>
    <t xml:space="preserve">Mani pieraksti </t>
  </si>
  <si>
    <t xml:space="preserve">Reģistrēšanās pie ģimenes ārsta </t>
  </si>
  <si>
    <t xml:space="preserve">9. </t>
  </si>
  <si>
    <t xml:space="preserve">E-konsultācijas </t>
  </si>
  <si>
    <t xml:space="preserve">Pacienta profils </t>
  </si>
  <si>
    <t xml:space="preserve">Ārsta profils </t>
  </si>
  <si>
    <t xml:space="preserve">Veselības informācija </t>
  </si>
  <si>
    <t xml:space="preserve">13. </t>
  </si>
  <si>
    <t xml:space="preserve">E-formas </t>
  </si>
  <si>
    <t xml:space="preserve">e-nosūtījumu IS , e/pierakstu IS, Veselības portāla IS </t>
  </si>
  <si>
    <t>Samazināsies atkārtoti veikto izmeklējumu skaits un ietaupīsies pacienta un valsts budžeta finanšu līdzekļi</t>
  </si>
  <si>
    <r>
      <rPr>
        <vertAlign val="superscript"/>
        <sz val="11"/>
        <color indexed="8"/>
        <rFont val="Times New Roman"/>
        <family val="1"/>
        <charset val="186"/>
      </rPr>
      <t>1</t>
    </r>
    <r>
      <rPr>
        <sz val="11"/>
        <color indexed="8"/>
        <rFont val="Times New Roman"/>
        <family val="1"/>
        <charset val="186"/>
      </rPr>
      <t xml:space="preserve"> Ja elektroniskais pakalpojums pirms projekta īstenošanas netika izstrādāts,  kā sākotnējā rādītāja vērtība jānorāda "0".</t>
    </r>
  </si>
  <si>
    <r>
      <rPr>
        <vertAlign val="superscript"/>
        <sz val="11"/>
        <color indexed="8"/>
        <rFont val="Times New Roman"/>
        <family val="1"/>
        <charset val="186"/>
      </rPr>
      <t>2</t>
    </r>
    <r>
      <rPr>
        <sz val="11"/>
        <color indexed="8"/>
        <rFont val="Times New Roman"/>
        <family val="1"/>
        <charset val="186"/>
      </rPr>
      <t xml:space="preserve"> lietotājs var būt fiziska un jurdiska persona, t.sk. iestāde.</t>
    </r>
  </si>
  <si>
    <r>
      <rPr>
        <vertAlign val="superscript"/>
        <sz val="11"/>
        <color indexed="8"/>
        <rFont val="Times New Roman"/>
        <family val="1"/>
        <charset val="186"/>
      </rPr>
      <t>3</t>
    </r>
    <r>
      <rPr>
        <sz val="11"/>
        <color indexed="8"/>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</si>
  <si>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1"/>
        <color indexed="8"/>
        <rFont val="Times New Roman"/>
        <family val="1"/>
        <charset val="186"/>
      </rPr>
      <t>4</t>
    </r>
    <r>
      <rPr>
        <sz val="11"/>
        <color indexed="8"/>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</si>
  <si>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1"/>
        <color indexed="8"/>
        <rFont val="Times New Roman"/>
        <family val="1"/>
        <charset val="186"/>
      </rPr>
      <t>5</t>
    </r>
    <r>
      <rPr>
        <sz val="11"/>
        <color indexed="8"/>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1"/>
        <color indexed="8"/>
        <rFont val="Times New Roman"/>
        <family val="1"/>
        <charset val="186"/>
      </rPr>
      <t>Ja informācijas sistēma pirms projekta īstenošanas netika izstrādāta,  kā sākotnējā rādītāja vērtība jānorāda "0".</t>
    </r>
  </si>
  <si>
    <r>
      <rPr>
        <vertAlign val="superscript"/>
        <sz val="11"/>
        <color indexed="8"/>
        <rFont val="Times New Roman"/>
        <family val="1"/>
        <charset val="186"/>
      </rPr>
      <t>6</t>
    </r>
    <r>
      <rPr>
        <sz val="11"/>
        <color indexed="8"/>
        <rFont val="Times New Roman"/>
        <family val="1"/>
        <charset val="186"/>
      </rPr>
      <t xml:space="preserve"> IS izmantošanas rādītājs - rādītājs vai vairāki galvenie rādītāji, kuri raksturo informācijas sistēmas izmantošanu, piemēram, nosūtītas elektroniskās vēstules.</t>
    </r>
  </si>
  <si>
    <t>Digitālās bibliotēkas pakalpojumu attīstība, 3DP/3.2.2.1.1/09/IPIA/IUMEPLS/016</t>
  </si>
  <si>
    <t>Vienas pieturas informācijas meklēšanas pakalpojums visos LNB un tās partneru resursos</t>
  </si>
  <si>
    <t>Digitālā bibliotēka bērniem</t>
  </si>
  <si>
    <t>Digitālā bibliotēka cilvēkiem ar īpašām vajadzībām</t>
  </si>
  <si>
    <t>Digitalizēšana pēc pieprasījuma</t>
  </si>
  <si>
    <t>Tezauru sistēmas izmantošanas iespēja informācijas klasificētai meklēšanai</t>
  </si>
  <si>
    <t>Vecās rakstības tulkošanas pakalpojuma pilotprojekts</t>
  </si>
  <si>
    <t>Lasītāju attālinātas piekļuves pakalpojums</t>
  </si>
  <si>
    <t>Vēsturisko karšu pārskatīšanas pakalpojums</t>
  </si>
  <si>
    <t>Mobilās bibliotēkas pilotprojekts</t>
  </si>
  <si>
    <t>Vienotais resursu agregators</t>
  </si>
  <si>
    <t>Veiktie meklējumi</t>
  </si>
  <si>
    <t>Apmeklējumi</t>
  </si>
  <si>
    <t>Digitalizācijas pieprasījuma pieteikšanas sistēma</t>
  </si>
  <si>
    <t>Digitalizācijas pieprasījumi</t>
  </si>
  <si>
    <t>Mobilās bibliotēkas sistēma</t>
  </si>
  <si>
    <t>Lejupielādes</t>
  </si>
  <si>
    <t>Karšu pārlūkošanas risinājums</t>
  </si>
  <si>
    <t>Sistēma latviešu valodas atbalstam resursu atklāšanai</t>
  </si>
  <si>
    <t>Vecās rakstības automātiskās tulkošanas sistēma</t>
  </si>
  <si>
    <t>8.1.</t>
  </si>
  <si>
    <t>Pilnveidota DOM sistēma</t>
  </si>
  <si>
    <t>9.1.</t>
  </si>
  <si>
    <t>Ievietoti digitālie objekti</t>
  </si>
  <si>
    <t>Sistēma unificētai lasītāju atpazīšanai visās LNB sistēmās</t>
  </si>
  <si>
    <t>10.1.</t>
  </si>
  <si>
    <t>Autentifikācijas reizes</t>
  </si>
  <si>
    <t>Lasītāju attālinātās pieejas piekļuves risinājums</t>
  </si>
  <si>
    <t>11.1.</t>
  </si>
  <si>
    <t>Pieslēgšanās reizes</t>
  </si>
  <si>
    <t>Trešo pušu krājumu saņemšanas un indeksēšanas risinājums</t>
  </si>
  <si>
    <t>12.1.</t>
  </si>
  <si>
    <t>Iesniegtie objekti</t>
  </si>
  <si>
    <t>Lielapjoma datu glabāšanas pārvaldes risinājums</t>
  </si>
  <si>
    <t>13.1.</t>
  </si>
  <si>
    <t>Uzglabātie digitālie objekti</t>
  </si>
  <si>
    <t>Pašvaldību teritorijas attīstības plānošanas, infrastruktūras un nekustamo īpašumu pārvaldības un uzraudzības informācijas sistēmas ieviešana novados - 2.kārta 
3DP/3.2.2.1.1/09/IPIA/IUMEPLS/018</t>
  </si>
  <si>
    <t>Spēkā esošo teritorijas plānojumu un detālplānojumu meklētājs</t>
  </si>
  <si>
    <t>Izziņa par zemes īpašuma atļauto izmantošanu, ietverot izmantošanas aprobežojumus un tos aprakstošo informāciju</t>
  </si>
  <si>
    <t>Informācijas saņemšana par teritorijas plānojuma, detālplānojuma un to grozījumu izstrādi un sabiedriskās apspriešanas procesu norisi</t>
  </si>
  <si>
    <t>Datu saņemšana no ārējiem datu avotiem</t>
  </si>
  <si>
    <t>Dinamiskais pārskatu portāls pašvaldībām, reģioniem, valsts institūcijām un publiskajiem lietotājiem</t>
  </si>
  <si>
    <t>8 Teritorijas plānojumu sakaņošana un atzinumus par izstrādāto teritorijas plānojumu un tā grozījumu atbilstību nosacījumiem darbība ietver ļoti lieu ģeotelpisko datu datu apjomu pārsūtīšanu.</t>
  </si>
  <si>
    <t xml:space="preserve">E-pakalpojumu kopējo lietotāju skaits, lai saņemtu TAPIS ietvaros izstrādātos e-pakalpojumus, ir atkarīgs no nekustamā īpašuma tirgus aktivitātēm Latvijā. </t>
  </si>
  <si>
    <t>3DP/3.2.2..1.1/09/IPIA/IUMEPLS/019 Elektroniskās veselības kartes un integrācijas platformas informācijas sistēmas izveide, 1.posms</t>
  </si>
  <si>
    <t xml:space="preserve">Pacienta personas dati -nodrošina iespēju pacientam apskatīt savus personsa datus, kas uzkrāti EVK IS. Nodrošina iespēju ĀP apskatīt un ievadīt minēto informāciju. </t>
  </si>
  <si>
    <t xml:space="preserve">Pacienta signālatzīmes un medicīniskās ierīces - nodrošina pacientiem iespēju apskatīt savu veselības informāciju (par alerģijām, asins pārliešanām, vakcinācijām utt.) un medicīniskām ierīcēm. Nodrošina AP iespēju apskatīt un ievadīt minēto informāciju. </t>
  </si>
  <si>
    <t xml:space="preserve">Pacienta slimības un medikamenti - nodrošina iespēju pacientam apskatīt informāciju par savām slimībām un informāciju par lietojamajiem medikamentiem.  Nodrošina iespēju ĀP apskatīt un ievadīt minēto informāciju. </t>
  </si>
  <si>
    <t xml:space="preserve">Pacienta izmeklējumi -nodrošina iespēju pacientam apskatīt informāciju par saviem izmeklējumiem, diagnostiksa rezultātiem un slēdzieniem. Nodrošina iespēju ĀP apskatīt un ievadīt minēto informāciju. </t>
  </si>
  <si>
    <t xml:space="preserve">Pacienta veselības aprūpes gadījumi- nodrošina iespēju pacientam apskatīt informāciju par reģistrētiem veselības aprūpes gadījumiem- stacionāru dokumentu kopsavilkumi, ārsta apmeklējumi, neatliekamās medicīniskās palīdzības brigādes izsaukumiem utt. Nodrošina iespēju ĀP apskatīt un ievadīt minēto informāciju. </t>
  </si>
  <si>
    <t>Paziņojumi pacientiem- nodrošina iespēju sistēmai automātiski sūtīt pacientam e-pasta un ziņojumu veidā atgādinājumus par notikumiem veselības aprūpes un vakcinācijas plānos</t>
  </si>
  <si>
    <t>Pieejas tiesību uzstādīšana piekļuvei pacienta datiem</t>
  </si>
  <si>
    <t xml:space="preserve">Pacienta personas datu apskates vēsture </t>
  </si>
  <si>
    <t xml:space="preserve">Elektroniskā veselības kartes (EVK) IS </t>
  </si>
  <si>
    <t xml:space="preserve">Centralizēta pacienta veselības informācijas uzkrāšana, uzglabāšana un pieejamība ārstniecības personām (ĀP) un pacientiem. Projekta realizācijas termiņš- 2013.gada II ceturksnis  </t>
  </si>
  <si>
    <r>
      <t>IS izmantošanas rādītājs</t>
    </r>
    <r>
      <rPr>
        <b/>
        <vertAlign val="superscript"/>
        <sz val="10"/>
        <color indexed="10"/>
        <rFont val="Times New Roman"/>
        <family val="1"/>
        <charset val="186"/>
      </rPr>
      <t>6</t>
    </r>
  </si>
  <si>
    <t xml:space="preserve">Integrācijas platformas (IP) IS </t>
  </si>
  <si>
    <t>Veselības aprūpē izmantojamo klasifikatoru izplatīšana</t>
  </si>
  <si>
    <t>Kultūras un atmiņas institūciju vienotās informācijas pārvaldības sistēma, 3DP/3.2.2.1.1/09/IPIA/IUMEPLS/021</t>
  </si>
  <si>
    <t>Ģerboņu attēlošana un meklēšana</t>
  </si>
  <si>
    <t>Atskaites publiskā patapinājuma atlīdzības aprēķināšanai iesniegšana</t>
  </si>
  <si>
    <t>Izmaiņas skaitā atkarīgas no bibliotēku skaita, tiek rēķināts no biliotēku iesniegtajiem datiem Kultūras kartes IS. Noteikumi MK 2007.gada 21.augusta noteikumi Nr.565 „Kārtība, kādā aprēķina, izmaksā un sadala atlīdzību par publisko patapinājumu”</t>
  </si>
  <si>
    <t>Piešķirto apbalvojumu reģistrs</t>
  </si>
  <si>
    <t>Latvijas Kultūras kanons</t>
  </si>
  <si>
    <t>Pieteikšanās kultūras programmu projektu finansējuma konkursiem</t>
  </si>
  <si>
    <t>Izmaiņas atkarīgas no KKF pieejamā finansējuma</t>
  </si>
  <si>
    <t>Iesniegto projektu pieteikumu vērtēšana tiešsaistē</t>
  </si>
  <si>
    <t>Ekspertu skaits nemainīgs, var mainīties iesniegto projektu skaits atkarībā no KKF pieejamā finansējuma</t>
  </si>
  <si>
    <t>Iesniegto projektu pieteikumu apstiprināšana tiešsaistē</t>
  </si>
  <si>
    <t>Piešķirto finansējumu datu publicēšana Latvijas Digitālās Kultūras Kartes portālā</t>
  </si>
  <si>
    <t>Atkarīgs no KKF iesniegto projektu pieteikumu skaita - t.i., interesenti, kas vēlas uzzināt rezultātus par pieteikumu</t>
  </si>
  <si>
    <t>Pieteikšanās nozaru ekspertu komisijas locekļa konkursam</t>
  </si>
  <si>
    <t>Mūža stipendiātu pieteikumu iesniegšana</t>
  </si>
  <si>
    <t>Kultūras informācijas vienotais meklētājs</t>
  </si>
  <si>
    <t>Personalizēts kultūras portālu lietotāju profils</t>
  </si>
  <si>
    <t>Pieteikums apmācībām kultūras iestādē</t>
  </si>
  <si>
    <t>Pieteikums vakancēm kultūras iestādē</t>
  </si>
  <si>
    <t>Informācija par vakanci tiek publicēta LDKK, pieteikšanās notiks caur NVA vakanču portālu, atkarīgs no pieejamo vakanču skaita institūcijās</t>
  </si>
  <si>
    <t>Pieteikums kultūras objektu pakalpojuma saņemšanai (piemēram, telpu īre u.c.)</t>
  </si>
  <si>
    <t>Kultūras interešu izglītības kopu reģistrs</t>
  </si>
  <si>
    <t>Lietotāju skaits= institūciju skaits, kas uztur informāciju interešu reģistrā</t>
  </si>
  <si>
    <t>GPS koordināšu lejupielāde par kultūras objektiem</t>
  </si>
  <si>
    <t>IS uzbūves dēļ nav iespējams izmērīt koordināšu failu lejupielāžu skaitu</t>
  </si>
  <si>
    <t>Kultūras maršrutu meklēšana</t>
  </si>
  <si>
    <t>„Latvijas filmas bibliotēkās”</t>
  </si>
  <si>
    <t>20.</t>
  </si>
  <si>
    <t xml:space="preserve">Latvijas Digitālās Kultūras Kartes portāla piekļuves mobilās aplikācijas </t>
  </si>
  <si>
    <t>Latvijas digitālā kultūras karte</t>
  </si>
  <si>
    <t>Portāla apmeklējums</t>
  </si>
  <si>
    <t>pilns process - veiktās lapu apskates, kopējie lietotāji - apmeklējums</t>
  </si>
  <si>
    <t>Informācijas sistēmas apmeklējums</t>
  </si>
  <si>
    <t>Institūciju statistikas datu iesniegšana</t>
  </si>
  <si>
    <t>var mainīties atkarībā no institūciju skaita, kam jāiesniedz elektroniskās atskaites</t>
  </si>
  <si>
    <t>Institūciju statistikas datu apstiprināšana</t>
  </si>
  <si>
    <t>KKF projektu pieteikumu sistēma</t>
  </si>
  <si>
    <t>Pieteikumu iesniegšana, vērtēšana un apstiprināšana</t>
  </si>
  <si>
    <t>vai šis ir elektroniskais process pirms projekta?</t>
  </si>
  <si>
    <t>"Tieslietu ministrijas un tās padotībā esošo iestāžu arhīvu sagatavošana elektronisko pakalpojumu sniegšanai - 1.kārta" (vienošanās Nr.3DP/3.2.2.1.1/09/IPIA/IUMEPLS/022)</t>
  </si>
  <si>
    <t>Elektroniski pieejami arhīva dokumenti</t>
  </si>
  <si>
    <t>Elektroniska dokumentu iesniegšana un apstrāde</t>
  </si>
  <si>
    <t>Elektroniska analītisko datu par nekustamā īpašuma tirgu apkopošana un publicēšana</t>
  </si>
  <si>
    <t>Zemesgrāmatu informācijas izplatīšanas serviss</t>
  </si>
  <si>
    <t>Elektronisks paziņojums īpašniekam par tām fiziskajām vai juridiskajām personām, kuras noteiktā lapika posmā no VVDZ IS ir saņēmušas informāciju par viņam piederošajiem nekustamajiem īpašumiem</t>
  </si>
  <si>
    <t>Valsts vienotā datorizētā zemesgrāmata</t>
  </si>
  <si>
    <t>Nostiprinājuma lūguma izskatīšana</t>
  </si>
  <si>
    <t>Elektronisku datorizdrukas saņemšana</t>
  </si>
  <si>
    <t>"Sociālās politikas monitoringa sistēmas pilnveide – SPP vienotās informācijas sistēmas izstrāde, ieviešana un e-pakalpojumu attīstīšana"
Nr. 3DP/3.2.2.1.1/09/IPIA/IUMEPLS/023</t>
  </si>
  <si>
    <t>Personu sūdzības, iesniegumi un priekšlikumi par sociālo palīdzību un sociālajiem pakalpojumiem</t>
  </si>
  <si>
    <t>Iesnieguma statuss sociālo pakalpojumu saņemšanai, paziņojums par pieņemtajiem lēmumiem</t>
  </si>
  <si>
    <t>Rindas statuss sociālo pakalpojumu saņemšanai, paziņojums par pieņemtajiem lēmumiem</t>
  </si>
  <si>
    <t>Atskaišu un valsts statistikas pārskatu iesniegšana</t>
  </si>
  <si>
    <t>Sociālo pakalpojumu sniedzēju reģistrācija</t>
  </si>
  <si>
    <t>Valsts sociālās poltikas monitoringa IS (VSPMIS)</t>
  </si>
  <si>
    <t>Pielikums</t>
  </si>
  <si>
    <t>Valsts robežsardzes ____.08.2012. vēstulei Nr.____________________</t>
  </si>
  <si>
    <t>Projekta nosaukums un numurs: „Robežapsardzības informācijas sistēmas „RAIS 2009” izstrāde” (Nr.3DP/3.2.2.1.1/09/IPIA/ IUMEPLS/024)</t>
  </si>
  <si>
    <t>Elekronisko pakalpojumu izmantošanas plāns</t>
  </si>
  <si>
    <t>Elekronisko pakalpojumu izmantošanas plāns (turpinājums)</t>
  </si>
  <si>
    <t>Pakalpojuma pieprasījumu skaits un lietotāju skaits un lietotāju skaits pirms e-pakalpojuma izstrādes projekta ietvaros</t>
  </si>
  <si>
    <t>Pierobežas joslas speciālo caurlaižu pieteikšana un saņemšana</t>
  </si>
  <si>
    <t>Pieprasījumu, ierosinājumu un sūdzību apstrāde</t>
  </si>
  <si>
    <t>Aktuāla informācija par rindām uz robežas un prognoze</t>
  </si>
  <si>
    <t>Informācijas sistēmu izmantošanas plāns (turpinājums)</t>
  </si>
  <si>
    <t xml:space="preserve">Kopējais pilnu procesu norišu reižu skaits </t>
  </si>
  <si>
    <t>Robežapsardzības informācijas sistēma „RAIS 2009”</t>
  </si>
  <si>
    <t>Incidentu pārvaldība</t>
  </si>
  <si>
    <t>Norīkojumu pārvaldība</t>
  </si>
  <si>
    <t>Ārzemnieku uzturēšanas režīma kontrole</t>
  </si>
  <si>
    <t>Pārskati un statistika (diennakts ziņojuma informācijas sagatavošana, periodisko atskaišu sagatavošana, speciālie pārskati)</t>
  </si>
  <si>
    <t>Plānošana (mēneša maiņu grafika sastādīšana, starptautisko aktivitāšu pārvaldība u.c.)</t>
  </si>
  <si>
    <t>Informāciju sagatavoja:</t>
  </si>
  <si>
    <t>Valsts robežsardzes Galvenās pārvaldes Nodrošinājuma pārvaldes</t>
  </si>
  <si>
    <t>Informācijas sistēmu vadības nodaļas</t>
  </si>
  <si>
    <t>galvenā inspektore</t>
  </si>
  <si>
    <t>I.Mieriņa</t>
  </si>
  <si>
    <t>tālr. 67075760</t>
  </si>
  <si>
    <t>e-pasts: irina.mierina@rs.gov.lv</t>
  </si>
  <si>
    <t>15.08.2012.</t>
  </si>
  <si>
    <t>Vienotas vides informācijas sistēmas izveide - 2.etaps 
3DP/3.2.2.1.1/09/IPIA/IUMEPLS/025</t>
  </si>
  <si>
    <t xml:space="preserve"> Datu ievadīšana ikgadējam Valsts statistikas pārskatam Nr.3-Atkritumi
</t>
  </si>
  <si>
    <t>800*</t>
  </si>
  <si>
    <t>Datu ievadīšana Ķīmisko vielu un ķīmisko produktu datu bāzē</t>
  </si>
  <si>
    <t>Ūdens baseinu apsaimniekošanas informācijas sistēma</t>
  </si>
  <si>
    <t>Reģistrs „Videi nodarītais kaitējums un preventīvie un sanācijas pasākumi"</t>
  </si>
  <si>
    <t xml:space="preserve">Pazemes ūdeņu monitoringa sistēma degvielas uzpildes stacijām </t>
  </si>
  <si>
    <t>Zemes dzīļu izmantošanas licenču uzskaites  sistēma</t>
  </si>
  <si>
    <t>Informācijas sistēmu attīstība</t>
  </si>
  <si>
    <t>Koplietošanas klasifikatoru izmantošanas sistēmas izveide</t>
  </si>
  <si>
    <t>Vienotas lietotāju administrēšanas sistēmas un klientu vadības sistēmas izveide</t>
  </si>
  <si>
    <t>Prognozēto vides datu sagatavošanas un nosūtīšanas sistēmas izveide</t>
  </si>
  <si>
    <t xml:space="preserve">E-pakalpojumu portāla izveide </t>
  </si>
  <si>
    <t xml:space="preserve">Datu reģistra „Videi nodarītais kaitējums un preventīvie un sanācijas pasākumi” izveide </t>
  </si>
  <si>
    <t>Datu reģistru uzlabošana</t>
  </si>
  <si>
    <t>Ūdens baseinu apsaimniekošanas informācijas sistēmas izveidošana</t>
  </si>
  <si>
    <t>*Projektā ir paredzēts, ka uzlabosies elektronizācijas pakāpe jau esošajiem pakalpojumiem, uzlabosies operativitāte, samazināsies administratīvais slogs priekš iedzīvotājiem, uzņēmējiem, valsts un pašvaldību institūcijām, uzlabosies datu kvavalitāte, bet sistēmas ārējo lietotāju skaits varētu pieaugt minimāli, atbilstoši tam, kā ir uzrādīta tabulā.</t>
  </si>
  <si>
    <t>"Sociālās apdrošināšanas informācijas sistēmas pilnveidošana", 3DP/3.2.2.1.1/09/IPIA/RAPLM/026</t>
  </si>
  <si>
    <t>Sociālās apdrošināšanas informācijas sistēma (SAIS)</t>
  </si>
  <si>
    <r>
      <t>Pakalpojuma pieprasījumu skaits un lietotāju skaits pirms e-pakalpojuma izstrādes projekta ietvaros</t>
    </r>
    <r>
      <rPr>
        <b/>
        <vertAlign val="superscript"/>
        <sz val="10"/>
        <rFont val="Times New Roman"/>
        <family val="1"/>
        <charset val="186"/>
      </rPr>
      <t>1</t>
    </r>
  </si>
  <si>
    <r>
      <t>e-pakalpojumu lietotāju skaits</t>
    </r>
    <r>
      <rPr>
        <b/>
        <vertAlign val="superscript"/>
        <sz val="9"/>
        <rFont val="Times New Roman"/>
        <family val="1"/>
        <charset val="186"/>
      </rPr>
      <t>2</t>
    </r>
  </si>
  <si>
    <r>
      <t>Kopējais lietotāju skaits</t>
    </r>
    <r>
      <rPr>
        <b/>
        <vertAlign val="superscript"/>
        <sz val="9"/>
        <rFont val="Times New Roman"/>
        <family val="1"/>
        <charset val="186"/>
      </rPr>
      <t>3</t>
    </r>
  </si>
  <si>
    <t>E-pakalpojums "Informācijas par prognozējamo vecuma pensijas apmēru"</t>
  </si>
  <si>
    <r>
      <t>Informācijas sistēmas vai pārvaldes procesu izmantošanas rādītāji pirms projekta informācijas sistēmas izstrādes vai uzlabošanas</t>
    </r>
    <r>
      <rPr>
        <b/>
        <vertAlign val="superscript"/>
        <sz val="10"/>
        <rFont val="Times New Roman"/>
        <family val="1"/>
        <charset val="186"/>
      </rPr>
      <t>4</t>
    </r>
  </si>
  <si>
    <r>
      <t>Pilnu procesu norišu reižu skaits IS</t>
    </r>
    <r>
      <rPr>
        <b/>
        <vertAlign val="superscript"/>
        <sz val="9"/>
        <rFont val="Times New Roman"/>
        <family val="1"/>
        <charset val="186"/>
      </rPr>
      <t>5</t>
    </r>
  </si>
  <si>
    <r>
      <t>Pakalpojuma piešķiršana</t>
    </r>
    <r>
      <rPr>
        <b/>
        <vertAlign val="superscript"/>
        <sz val="10"/>
        <rFont val="Times New Roman"/>
        <family val="1"/>
        <charset val="186"/>
      </rPr>
      <t>6</t>
    </r>
  </si>
  <si>
    <r>
      <rPr>
        <vertAlign val="superscript"/>
        <sz val="10"/>
        <rFont val="Times New Roman"/>
        <family val="1"/>
        <charset val="186"/>
      </rPr>
      <t>1</t>
    </r>
    <r>
      <rPr>
        <sz val="10"/>
        <rFont val="Times New Roman"/>
        <family val="1"/>
        <charset val="186"/>
      </rPr>
      <t xml:space="preserve"> Ja elektroniskais pakalpojums pirms projekta īstenošanas netika izstrādāts,  kā sākotnējā rādītāja vērtība jānorāda "0".</t>
    </r>
  </si>
  <si>
    <r>
      <rPr>
        <vertAlign val="superscript"/>
        <sz val="10"/>
        <rFont val="Times New Roman"/>
        <family val="1"/>
        <charset val="186"/>
      </rPr>
      <t>2</t>
    </r>
    <r>
      <rPr>
        <sz val="10"/>
        <rFont val="Times New Roman"/>
        <family val="1"/>
        <charset val="186"/>
      </rPr>
      <t xml:space="preserve"> lietotājs var būt fiziska un jurdiska persona, t.sk. iestāde.</t>
    </r>
  </si>
  <si>
    <r>
      <rPr>
        <vertAlign val="superscript"/>
        <sz val="10"/>
        <rFont val="Times New Roman"/>
        <family val="1"/>
        <charset val="186"/>
      </rPr>
      <t>3</t>
    </r>
    <r>
      <rPr>
        <sz val="10"/>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</si>
  <si>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rFont val="Times New Roman"/>
        <family val="1"/>
        <charset val="186"/>
      </rPr>
      <t>4</t>
    </r>
    <r>
      <rPr>
        <sz val="10"/>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</si>
  <si>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0"/>
        <rFont val="Times New Roman"/>
        <family val="1"/>
        <charset val="186"/>
      </rPr>
      <t>5</t>
    </r>
    <r>
      <rPr>
        <sz val="10"/>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rFont val="Times New Roman"/>
        <family val="1"/>
        <charset val="186"/>
      </rPr>
      <t>Ja informācijas sistēma pirms projekta īstenošanas netika izstrādāta,  kā sākotnējā rādītāja vērtība jānorāda "0".</t>
    </r>
  </si>
  <si>
    <r>
      <rPr>
        <vertAlign val="superscript"/>
        <sz val="10"/>
        <rFont val="Times New Roman"/>
        <family val="1"/>
        <charset val="186"/>
      </rPr>
      <t>6</t>
    </r>
    <r>
      <rPr>
        <sz val="10"/>
        <rFont val="Times New Roman"/>
        <family val="1"/>
        <charset val="186"/>
      </rPr>
      <t xml:space="preserve"> IS izmantošanas rādītājs - rādītājs vai vairāki galvenie rādītāji, kuri raksturo informācijas sistēmas izmantošanu, piemēram, nosūtītas elektroniskās vēstules.</t>
    </r>
  </si>
  <si>
    <r>
      <t>e-pakalpojumu lietotāju skaits</t>
    </r>
    <r>
      <rPr>
        <b/>
        <vertAlign val="superscript"/>
        <sz val="8"/>
        <color indexed="10"/>
        <rFont val="Times New Roman"/>
        <family val="1"/>
        <charset val="186"/>
      </rPr>
      <t>2</t>
    </r>
  </si>
  <si>
    <r>
      <t>Kopējais lietotāju skaits</t>
    </r>
    <r>
      <rPr>
        <b/>
        <vertAlign val="superscript"/>
        <sz val="8"/>
        <color indexed="10"/>
        <rFont val="Times New Roman"/>
        <family val="1"/>
        <charset val="186"/>
      </rPr>
      <t>3</t>
    </r>
  </si>
  <si>
    <r>
      <t>Informācijas sistēmas vai pārvaldes procesu izmantošanas rādītāji pirms projekta informācijas sistēmas izstrādes vai uzlabošanas</t>
    </r>
    <r>
      <rPr>
        <b/>
        <vertAlign val="superscript"/>
        <sz val="9"/>
        <color indexed="10"/>
        <rFont val="Times New Roman"/>
        <family val="1"/>
        <charset val="186"/>
      </rPr>
      <t>4</t>
    </r>
  </si>
  <si>
    <r>
      <t>Pilnu procesu norišu reižu skaits IS</t>
    </r>
    <r>
      <rPr>
        <b/>
        <vertAlign val="superscript"/>
        <sz val="8"/>
        <color indexed="10"/>
        <rFont val="Times New Roman"/>
        <family val="1"/>
        <charset val="186"/>
      </rPr>
      <t>5</t>
    </r>
  </si>
  <si>
    <r>
      <t>Pilnu procesu norišu reižu skaits IS</t>
    </r>
    <r>
      <rPr>
        <vertAlign val="superscript"/>
        <sz val="6"/>
        <color rgb="FFFF0000"/>
        <rFont val="Times New Roman"/>
        <family val="1"/>
        <charset val="186"/>
      </rPr>
      <t>5</t>
    </r>
  </si>
  <si>
    <r>
      <t>Kopējais lietotāju skaits</t>
    </r>
    <r>
      <rPr>
        <vertAlign val="superscript"/>
        <sz val="6"/>
        <color rgb="FFFF0000"/>
        <rFont val="Times New Roman"/>
        <family val="1"/>
        <charset val="186"/>
      </rPr>
      <t>3</t>
    </r>
  </si>
  <si>
    <t>IIIS VNR</t>
  </si>
  <si>
    <r>
      <t>reģistrētie notikumi</t>
    </r>
    <r>
      <rPr>
        <b/>
        <vertAlign val="superscript"/>
        <sz val="10"/>
        <color rgb="FFFF0000"/>
        <rFont val="Times New Roman"/>
        <family val="1"/>
        <charset val="186"/>
      </rPr>
      <t>6</t>
    </r>
  </si>
  <si>
    <t> 197 000</t>
  </si>
  <si>
    <t>197 000 </t>
  </si>
  <si>
    <t> 2200</t>
  </si>
  <si>
    <t> 2500</t>
  </si>
  <si>
    <t>2600 </t>
  </si>
  <si>
    <t> 2600</t>
  </si>
  <si>
    <t> 2700</t>
  </si>
  <si>
    <r>
      <t>1</t>
    </r>
    <r>
      <rPr>
        <sz val="8"/>
        <color rgb="FF000000"/>
        <rFont val="Times New Roman"/>
        <family val="1"/>
        <charset val="186"/>
      </rPr>
      <t xml:space="preserve"> Ja elektroniskais pakalpojums pirms projekta īstenošanas netika izstrādāts,  kā sākotnējā rādītāja vērtība jānorāda "0".</t>
    </r>
  </si>
  <si>
    <r>
      <t>2</t>
    </r>
    <r>
      <rPr>
        <sz val="8"/>
        <color rgb="FF000000"/>
        <rFont val="Times New Roman"/>
        <family val="1"/>
        <charset val="186"/>
      </rPr>
      <t xml:space="preserve"> lietotājs var būt fiziska un jurdiska persona, t.sk. iestāde.</t>
    </r>
  </si>
  <si>
    <r>
      <t>3</t>
    </r>
    <r>
      <rPr>
        <sz val="8"/>
        <color rgb="FF000000"/>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</si>
  <si>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t>4</t>
    </r>
    <r>
      <rPr>
        <sz val="8"/>
        <color rgb="FF000000"/>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</si>
  <si>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t>5</t>
    </r>
    <r>
      <rPr>
        <sz val="8"/>
        <color rgb="FF000000"/>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t>
    </r>
  </si>
  <si>
    <t>Ja informācijas sistēma pirms projekta īstenošanas netika izstrādāta,  kā sākotnējā rādītāja vērtība jānorāda "0".</t>
  </si>
  <si>
    <r>
      <t>6</t>
    </r>
    <r>
      <rPr>
        <sz val="10"/>
        <color rgb="FF000000"/>
        <rFont val="Times New Roman"/>
        <family val="1"/>
        <charset val="186"/>
      </rPr>
      <t xml:space="preserve"> IS izmantošanas rādītājs - rādītājs vai vairāki galvenie rādītāji, kuri raksturo informācijas sistēmas izmantošanu, piemēram, nosūtītas elektroniskās vēstules.</t>
    </r>
  </si>
  <si>
    <r>
      <t>Meklēšanas pakalpojums</t>
    </r>
    <r>
      <rPr>
        <b/>
        <sz val="10"/>
        <color rgb="FFFF0000"/>
        <rFont val="Times New Roman"/>
        <family val="1"/>
        <charset val="186"/>
      </rPr>
      <t xml:space="preserve"> (sk.komentāru A)</t>
    </r>
  </si>
  <si>
    <r>
      <t xml:space="preserve">Skatīšanās pakapojums  </t>
    </r>
    <r>
      <rPr>
        <b/>
        <sz val="10"/>
        <color rgb="FFFF0000"/>
        <rFont val="Times New Roman"/>
        <family val="1"/>
        <charset val="186"/>
      </rPr>
      <t>(sk.komentāru A)</t>
    </r>
  </si>
  <si>
    <r>
      <t xml:space="preserve">Lejupielādes pakalpojums </t>
    </r>
    <r>
      <rPr>
        <b/>
        <sz val="10"/>
        <color rgb="FFFF0000"/>
        <rFont val="Times New Roman"/>
        <family val="1"/>
        <charset val="186"/>
      </rPr>
      <t xml:space="preserve"> (sk.komentāru A)</t>
    </r>
  </si>
  <si>
    <r>
      <t xml:space="preserve">Transformācijas pakalpojums </t>
    </r>
    <r>
      <rPr>
        <b/>
        <sz val="10"/>
        <color rgb="FFFF0000"/>
        <rFont val="Times New Roman"/>
        <family val="1"/>
        <charset val="186"/>
      </rPr>
      <t>(sk.komentāru A)</t>
    </r>
  </si>
  <si>
    <t>Statistiku šajos konkrētajos konsulārajos pakalpojumos bojā lielais neelektronizējamo pieprasījumu skaits no Krievijas un austrumu valstīm. Tomēr tas nevar būt iemesls, lai jau šobrīd pakalpojumu neelektronētu pārējai pasaulei.</t>
  </si>
  <si>
    <r>
      <t xml:space="preserve">Pašvaldību teritorijas attīstības plānošanas, infrastruktūras un nekustamo īpašumu pārvaldības un uzraudzības informācijas sistēma  </t>
    </r>
    <r>
      <rPr>
        <b/>
        <vertAlign val="superscript"/>
        <sz val="10"/>
        <color theme="1"/>
        <rFont val="Times New Roman"/>
        <family val="1"/>
        <charset val="186"/>
      </rPr>
      <t>7</t>
    </r>
  </si>
  <si>
    <r>
      <t xml:space="preserve">Teritorijas plānojumu sakaņošana un atzinumus par izstrādāto teritorijas plānojumu un tā grozījumu atbilstību nosacījumiem saskaņā ar 06.10.2009. MK noteikumiem Nr.1148 </t>
    </r>
    <r>
      <rPr>
        <b/>
        <vertAlign val="superscript"/>
        <sz val="10"/>
        <color theme="1"/>
        <rFont val="Times New Roman"/>
        <family val="1"/>
        <charset val="186"/>
      </rPr>
      <t>8</t>
    </r>
  </si>
  <si>
    <r>
      <t>e-pakalpojumu lietotāju skaits</t>
    </r>
    <r>
      <rPr>
        <b/>
        <vertAlign val="superscript"/>
        <sz val="10"/>
        <color indexed="10"/>
        <rFont val="Times New Roman"/>
        <family val="1"/>
        <charset val="186"/>
      </rPr>
      <t>2</t>
    </r>
  </si>
  <si>
    <r>
      <t>Kopējais lietotāju skaits</t>
    </r>
    <r>
      <rPr>
        <b/>
        <vertAlign val="superscript"/>
        <sz val="10"/>
        <color indexed="10"/>
        <rFont val="Times New Roman"/>
        <family val="1"/>
        <charset val="186"/>
      </rPr>
      <t>3</t>
    </r>
  </si>
  <si>
    <r>
      <t>Pilnu procesu norišu reižu skaits IS</t>
    </r>
    <r>
      <rPr>
        <b/>
        <vertAlign val="superscript"/>
        <sz val="10"/>
        <color indexed="10"/>
        <rFont val="Times New Roman"/>
        <family val="1"/>
        <charset val="186"/>
      </rPr>
      <t>5</t>
    </r>
  </si>
  <si>
    <r>
      <t xml:space="preserve">Pašvaldību teritorijas attīstības plānošanas, infrastruktūras un nekustamo īpašumu pārvaldības un uzraudzības informācijas sistēma </t>
    </r>
    <r>
      <rPr>
        <b/>
        <vertAlign val="superscript"/>
        <sz val="10"/>
        <color theme="1"/>
        <rFont val="Times New Roman"/>
        <family val="1"/>
        <charset val="186"/>
      </rPr>
      <t>7</t>
    </r>
  </si>
  <si>
    <r>
      <t xml:space="preserve">Reģionālās attīstības indikatoru uzraudzības un novērtēšanas modulis (RAIM ) </t>
    </r>
    <r>
      <rPr>
        <b/>
        <vertAlign val="superscript"/>
        <sz val="10"/>
        <color theme="1"/>
        <rFont val="Times New Roman"/>
        <family val="1"/>
        <charset val="186"/>
      </rPr>
      <t>10</t>
    </r>
  </si>
  <si>
    <r>
      <t xml:space="preserve">12 </t>
    </r>
    <r>
      <rPr>
        <b/>
        <vertAlign val="superscript"/>
        <sz val="10"/>
        <color theme="1"/>
        <rFont val="Times New Roman"/>
        <family val="1"/>
        <charset val="186"/>
      </rPr>
      <t>9</t>
    </r>
  </si>
  <si>
    <r>
      <rPr>
        <b/>
        <vertAlign val="superscript"/>
        <sz val="10"/>
        <color indexed="8"/>
        <rFont val="Times New Roman"/>
        <family val="1"/>
        <charset val="186"/>
      </rPr>
      <t>1</t>
    </r>
    <r>
      <rPr>
        <b/>
        <sz val="10"/>
        <color indexed="8"/>
        <rFont val="Times New Roman"/>
        <family val="1"/>
        <charset val="186"/>
      </rPr>
      <t xml:space="preserve"> Ja elektroniskais pakalpojums pirms projekta īstenošanas netika izstrādāts,  kā sākotnējā rādītāja vērtība jānorāda "0".</t>
    </r>
  </si>
  <si>
    <r>
      <rPr>
        <b/>
        <vertAlign val="superscript"/>
        <sz val="10"/>
        <color indexed="8"/>
        <rFont val="Times New Roman"/>
        <family val="1"/>
        <charset val="186"/>
      </rPr>
      <t>2</t>
    </r>
    <r>
      <rPr>
        <b/>
        <sz val="10"/>
        <color indexed="8"/>
        <rFont val="Times New Roman"/>
        <family val="1"/>
        <charset val="186"/>
      </rPr>
      <t xml:space="preserve"> lietotājs var būt fiziska un jurdiska persona, t.sk. iestāde.</t>
    </r>
  </si>
  <si>
    <r>
      <rPr>
        <b/>
        <vertAlign val="superscript"/>
        <sz val="10"/>
        <color indexed="8"/>
        <rFont val="Times New Roman"/>
        <family val="1"/>
        <charset val="186"/>
      </rPr>
      <t>3</t>
    </r>
    <r>
      <rPr>
        <b/>
        <sz val="10"/>
        <color indexed="8"/>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</si>
  <si>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b/>
        <vertAlign val="superscript"/>
        <sz val="10"/>
        <color indexed="8"/>
        <rFont val="Times New Roman"/>
        <family val="1"/>
        <charset val="186"/>
      </rPr>
      <t>4</t>
    </r>
    <r>
      <rPr>
        <b/>
        <sz val="10"/>
        <color indexed="8"/>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</si>
  <si>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b/>
        <vertAlign val="superscript"/>
        <sz val="10"/>
        <color indexed="8"/>
        <rFont val="Times New Roman"/>
        <family val="1"/>
        <charset val="186"/>
      </rPr>
      <t>5</t>
    </r>
    <r>
      <rPr>
        <b/>
        <sz val="10"/>
        <color indexed="8"/>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Ja informācijas sistēma pirms projekta īstenošanas netika izstrādāta,  kā sākotnējā rādītāja vērtība jānorāda "0".</t>
    </r>
  </si>
  <si>
    <r>
      <rPr>
        <b/>
        <vertAlign val="superscript"/>
        <sz val="10"/>
        <color indexed="8"/>
        <rFont val="Times New Roman"/>
        <family val="1"/>
        <charset val="186"/>
      </rPr>
      <t>6</t>
    </r>
    <r>
      <rPr>
        <b/>
        <sz val="10"/>
        <color indexed="8"/>
        <rFont val="Times New Roman"/>
        <family val="1"/>
        <charset val="186"/>
      </rPr>
      <t xml:space="preserve"> IS izmantošanas rādītājs - rādītājs vai vairāki galvenie rādītāji, kuri raksturo informācijas sistēmas izmantošanu, piemēram, nosūtītas elektroniskās vēstules.</t>
    </r>
  </si>
  <si>
    <r>
      <rPr>
        <b/>
        <vertAlign val="superscript"/>
        <sz val="10"/>
        <color theme="1"/>
        <rFont val="Times New Roman"/>
        <family val="1"/>
        <charset val="186"/>
      </rPr>
      <t xml:space="preserve">7 </t>
    </r>
    <r>
      <rPr>
        <b/>
        <sz val="10"/>
        <color theme="1"/>
        <rFont val="Times New Roman"/>
        <family val="1"/>
        <charset val="186"/>
      </rPr>
      <t>Vidēji gadā valstī tiek izstrādāti 35 teritorijas plānojumi vai to grozījumi, kas ietver procesus, kas norādīti 1.1.- 1.3. punktos</t>
    </r>
  </si>
  <si>
    <r>
      <rPr>
        <b/>
        <vertAlign val="superscript"/>
        <sz val="10"/>
        <color theme="1"/>
        <rFont val="Times New Roman"/>
        <family val="1"/>
        <charset val="186"/>
      </rPr>
      <t xml:space="preserve">9 </t>
    </r>
    <r>
      <rPr>
        <b/>
        <sz val="10"/>
        <color theme="1"/>
        <rFont val="Times New Roman"/>
        <family val="1"/>
        <charset val="186"/>
      </rPr>
      <t>viens datu avots, kurš sniedz IS datus =  viens pilnu procesu norišu reižu skaits IS</t>
    </r>
  </si>
  <si>
    <r>
      <rPr>
        <b/>
        <vertAlign val="superscript"/>
        <sz val="10"/>
        <color theme="1"/>
        <rFont val="Times New Roman"/>
        <family val="1"/>
        <charset val="186"/>
      </rPr>
      <t>10</t>
    </r>
    <r>
      <rPr>
        <b/>
        <sz val="10"/>
        <color theme="1"/>
        <rFont val="Times New Roman"/>
        <family val="1"/>
        <charset val="186"/>
      </rPr>
      <t xml:space="preserve"> Sistēmā ir 35 datu kopas, kurās ir 68 pamatrādītāji, kopējais rādītāju skaits ir 198 no tiem katru gadu tiek aprēķināti 130 atvasinātie rādītāji</t>
    </r>
  </si>
  <si>
    <r>
      <t>Pilnu procesu norišu reižu skaits IS</t>
    </r>
    <r>
      <rPr>
        <b/>
        <vertAlign val="superscript"/>
        <sz val="10"/>
        <color rgb="FFFF0000"/>
        <rFont val="Times New Roman"/>
        <family val="1"/>
        <charset val="186"/>
      </rPr>
      <t>5</t>
    </r>
  </si>
  <si>
    <r>
      <t>Kopējais lietotāju skaits</t>
    </r>
    <r>
      <rPr>
        <b/>
        <vertAlign val="superscript"/>
        <sz val="10"/>
        <color rgb="FFFF0000"/>
        <rFont val="Times New Roman"/>
        <family val="1"/>
        <charset val="186"/>
      </rPr>
      <t>3</t>
    </r>
  </si>
  <si>
    <t xml:space="preserve">1.pielikums
Valsts ieņēmumu dienesta
2012.gada  ___.augusta
vēstulei Nr.19-12/_______
</t>
  </si>
  <si>
    <t>Akcīzes preču pārvietošanas un kontroles sistēmas ieviešana 3DP/3.2.2.1.1/10/IPIA/RAPLM/001</t>
  </si>
  <si>
    <t>Akcīzes preču elektroniska administratīvā dokumenta (e-AD) iesniegšana, apstrāde un slēgšana Akcīzes preču pārvietošanas un kontroles sistēmā (EMCS)</t>
  </si>
  <si>
    <t>Informācijas apmaiņa ar citām ES dalībvalstu nodokļu administrācijām par akcīzes preču kustību atliktajā akcīzes nodokļa maksāšanas režīmā izmantojot akcīzes preču elektronisko administratīvo dokumentu (e-AD) Akcīzes preču pārvietošanas un kontroles sistēmā (EMCS)</t>
  </si>
  <si>
    <t>Akcīzes preču pārvietošanas un kontroles sistēma (EMCS)</t>
  </si>
  <si>
    <r>
      <t>e-AD skaits</t>
    </r>
    <r>
      <rPr>
        <b/>
        <vertAlign val="superscript"/>
        <sz val="10"/>
        <color rgb="FFFF0000"/>
        <rFont val="Times New Roman"/>
        <family val="1"/>
        <charset val="186"/>
      </rPr>
      <t>6</t>
    </r>
  </si>
  <si>
    <t>ziņojumi</t>
  </si>
  <si>
    <t>datu pārbaude</t>
  </si>
  <si>
    <t>administratīvās sadarbības piepasījumi</t>
  </si>
  <si>
    <t>atgadījuma ziņojumi</t>
  </si>
  <si>
    <t>kontroles ziņojumi</t>
  </si>
  <si>
    <t>nodokļa pieprasījuma pamatojums</t>
  </si>
  <si>
    <t>"Valsts kases tiešsaistes datu apmaiņas sistēmas pilnveidošana"
Nr.3DP/3.2.1.1.1/10/IPIA/CFLA/001/002</t>
  </si>
  <si>
    <t>Infomrācija par valsts budžetā veiktā maksājuma statusu</t>
  </si>
  <si>
    <t>Maksājumu datu pieprasīšana izmantojot Valsts kases tiešsaistes datu apmaiņas sistēmu</t>
  </si>
  <si>
    <t>Maksājumu datu apmaiņa ar Valsts kasi tiešsaistes režīmā</t>
  </si>
  <si>
    <t>"Uzņēmumu reģistra informācijas sistēmas izveide" 3DP/3.2.2.1.1/10/IPIA/CFLA/002</t>
  </si>
  <si>
    <t>Elektroniskā reģistrācijas pieteikuma (t.sk.dokumentu) aizpildīšana un iesniegšana</t>
  </si>
  <si>
    <t>Elektroiska informācijas pieprasīšana un saņemšana</t>
  </si>
  <si>
    <t>Uzņēmumu reģistra informācijas sistēma</t>
  </si>
  <si>
    <r>
      <t>Izskatīto reģistrācijas pieprasījumu skaits</t>
    </r>
    <r>
      <rPr>
        <b/>
        <vertAlign val="superscript"/>
        <sz val="10"/>
        <color rgb="FFFF0000"/>
        <rFont val="Times New Roman"/>
        <family val="1"/>
        <charset val="186"/>
      </rPr>
      <t>6</t>
    </r>
  </si>
  <si>
    <t>Izskatīto informācijas pieprasījumu skaits</t>
  </si>
  <si>
    <t>Elektronisko sarakstes dokumentu saņemšana</t>
  </si>
  <si>
    <t>Elektronisko sarakstes dokumentu nosūtīšana</t>
  </si>
  <si>
    <t>2.pielikums
Valsts ieņēmumu dienesta
2012.gada  ___.augusta
vēstulei Nr.19-12/_______</t>
  </si>
  <si>
    <t>Elektroniskās muitas datu apstrādes sistēmas izstrāde, pilnveidošana un uzturēšana  Nr.3DP/3.2.2.1.1/11/IPIA/CFLA/001</t>
  </si>
  <si>
    <t>Muitas deklarāciju un citu muitas dokumentu elektroniska iesniegšana un apstrāde</t>
  </si>
  <si>
    <t>Muitas maksājumu veikšana tiešsaistes režīmā</t>
  </si>
  <si>
    <t>x</t>
  </si>
  <si>
    <t>EMDAS</t>
  </si>
  <si>
    <r>
      <t>Sistēmā noformēto un apstrādāto muitas dokumentu skaits</t>
    </r>
    <r>
      <rPr>
        <b/>
        <vertAlign val="superscript"/>
        <sz val="10"/>
        <color rgb="FFFF0000"/>
        <rFont val="Times New Roman"/>
        <family val="1"/>
        <charset val="186"/>
      </rPr>
      <t>6</t>
    </r>
  </si>
  <si>
    <t>Projekts Nr.3DP/3.2.2.1.1/11/IPIA/CFLA/002/002 "Pasu sistēmas un vienotās migrācijas informācijas sistēmas (VMIS) attīstība elektronisko identifikācijas karšu un elektronisko uzturēšanās atļauju (karšu) izsniegšanai"</t>
  </si>
  <si>
    <t>Personu apliecinošu dokumentu informācijas sistēma (PADIS) un attīstītā Vienotā migrācijas informācijas sistēma (VMIS)</t>
  </si>
  <si>
    <r>
      <t>Izsniegtās personas apliecības (elektroniskās identifikācijas kartes un elektroniskās uzturēšanās atļauju kartes)</t>
    </r>
    <r>
      <rPr>
        <b/>
        <vertAlign val="superscript"/>
        <sz val="10"/>
        <color indexed="10"/>
        <rFont val="Times New Roman"/>
        <family val="1"/>
        <charset val="186"/>
      </rPr>
      <t>6</t>
    </r>
  </si>
  <si>
    <t>Starptautiskās kravu loģistikas un ostu informācijas sistēma. ID nr. 3DP/3.2.2.1.1./11/IPIA/CFLA/003</t>
  </si>
  <si>
    <t>Standartizētas informācijas un dokumentu iesniegšana un nodošana starptautisko kravu pārvadājumu procesā iesaistītajiem dalībniekiem, izmantojot lietotāju saskarni”.</t>
  </si>
  <si>
    <t xml:space="preserve">E-pakalpojums „Standartizētas informācijas un dokumentu iesniegšana un nodošana starptautisko kravu pārvadājumu procesā iesaistītajiem dalībniekiem, izmantojot sistēmu līmeņa saskarni”. </t>
  </si>
  <si>
    <t xml:space="preserve">E-pakalpojums „Informācija par kravas statusiem, statistikas atskaites un cita informācija”. </t>
  </si>
  <si>
    <t>Nav identificējams. Iesaistītās puses katra atsevišķi veic uzskaiti.</t>
  </si>
  <si>
    <t>Starptautiskās kravu loģistikas un ostu informācijas sistēma</t>
  </si>
  <si>
    <t>IS iesniegto, apstrādāto un nosūtīto dokumentu skaits</t>
  </si>
  <si>
    <t>IS veikto statusa pārbaužu, informācijas pieprasījumu un atskaišu skaits</t>
  </si>
  <si>
    <t xml:space="preserve">3.2.2.1.1.apakšaktivitātes  "Informācijas sistēmu un elektronisko paklapojumu attīstība" projektu ietvaros izveidoto un uzlaboto elektronisko pakalpojumu un izveidoto un attīstīto informācijas sistēmu izmantošanas plāni </t>
  </si>
  <si>
    <t>"Vienotās Labklājības informācijas sistēmas (LabIS), nozares centralizēto funkciju informācijas sistēmu un centralizētas IKT infrastruktūras attīstība"
Nr. 3DP/3.2.2.1.1/12/IPIA/IUMEPLS/001</t>
  </si>
  <si>
    <t xml:space="preserve">E-iesniegums VSAA pakalpojumiem  </t>
  </si>
  <si>
    <t xml:space="preserve">E-lēmumi par VSAA pakalpojumiem  </t>
  </si>
  <si>
    <t>Informācijas ieguve par personas datiem no VSAA reģistriem</t>
  </si>
  <si>
    <t>Personas datu paziņošana VSAA</t>
  </si>
  <si>
    <t>Paziņojums par darba devēja zaudējumiem sakarā ar nelaimes gadījumu darbā</t>
  </si>
  <si>
    <t>Paziņojums par būvdarbu veikšanu</t>
  </si>
  <si>
    <t>Apliecību pieprasījums sociālo garantiju nodrošināšanai</t>
  </si>
  <si>
    <t>Atkārtota invalīda apliecības izsniegšana</t>
  </si>
  <si>
    <t>Lēmumi un VDEĀVK ekspertīzes akti</t>
  </si>
  <si>
    <t>Mani dati</t>
  </si>
  <si>
    <t>NVA lēmumu un notikumu paziņošana klientam</t>
  </si>
  <si>
    <t>Iesniegumi par NVA pakalpojumu saņemšanu</t>
  </si>
  <si>
    <t>Iesniegumi un sūdzības</t>
  </si>
  <si>
    <t>Bezdarbnieka vai darba meklētāja statuss</t>
  </si>
  <si>
    <t>Karjeras konsultācijas</t>
  </si>
  <si>
    <t xml:space="preserve">Tiešsaistes konsultēšana bērniem krīzes situācijā </t>
  </si>
  <si>
    <t>Aktīvās nodarbinātības pasākumu īstenotāju pieteikumi</t>
  </si>
  <si>
    <t>Reģistrēšanās apmācībām ar kuponu metodi</t>
  </si>
  <si>
    <t>Elektroniska pieteikšanās uz vizīti</t>
  </si>
  <si>
    <t>Vienotās Labklājības informācijas sistēma (LabIS)</t>
  </si>
  <si>
    <t>Dokumentu vadības procesi (atskaites, statistikas pārskati, e-vēstules, pētījumi, informatīvie ziņojumi u.c. dokumenti)</t>
  </si>
  <si>
    <t xml:space="preserve">3.pielikums
Informatīvajam ziņojumam par „Par darbības programmas „Infrastruktūra un pakalpojumi” 3.2.2.1.1.apakšaktivitātes „Informācijas sistēmu un elektronisko pakalpojumu attīstība” īstenošanas progresu un projektu ieviešanas plānu izvērtēšanu” </t>
  </si>
  <si>
    <t>R.Timermanis</t>
  </si>
  <si>
    <t>67770324, Ritvars.Timermanis@varam.gov.lv</t>
  </si>
  <si>
    <t>30.10.2012.</t>
  </si>
</sst>
</file>

<file path=xl/styles.xml><?xml version="1.0" encoding="utf-8"?>
<styleSheet xmlns="http://schemas.openxmlformats.org/spreadsheetml/2006/main">
  <numFmts count="2">
    <numFmt numFmtId="164" formatCode="0.0%"/>
    <numFmt numFmtId="165" formatCode="0;[Red]0"/>
  </numFmts>
  <fonts count="122">
    <font>
      <sz val="11"/>
      <color theme="1"/>
      <name val="Calibri"/>
      <family val="2"/>
      <charset val="186"/>
      <scheme val="minor"/>
    </font>
    <font>
      <sz val="11"/>
      <color theme="1"/>
      <name val="Calibri"/>
      <family val="2"/>
      <charset val="186"/>
      <scheme val="minor"/>
    </font>
    <font>
      <sz val="14"/>
      <color theme="1"/>
      <name val="Calibri"/>
      <family val="2"/>
      <charset val="186"/>
      <scheme val="minor"/>
    </font>
    <font>
      <b/>
      <sz val="14"/>
      <color theme="1"/>
      <name val="Calibri"/>
      <family val="2"/>
      <charset val="186"/>
      <scheme val="minor"/>
    </font>
    <font>
      <b/>
      <sz val="18"/>
      <color theme="1"/>
      <name val="Calibri"/>
      <family val="2"/>
      <charset val="186"/>
      <scheme val="minor"/>
    </font>
    <font>
      <b/>
      <sz val="10"/>
      <color theme="1"/>
      <name val="Times New Roman"/>
      <family val="1"/>
      <charset val="186"/>
    </font>
    <font>
      <b/>
      <sz val="10"/>
      <name val="Times New Roman"/>
      <family val="1"/>
      <charset val="186"/>
    </font>
    <font>
      <sz val="10"/>
      <name val="Times New Roman"/>
      <family val="1"/>
      <charset val="186"/>
    </font>
    <font>
      <b/>
      <vertAlign val="superscript"/>
      <sz val="10"/>
      <color indexed="10"/>
      <name val="Times New Roman"/>
      <family val="1"/>
      <charset val="186"/>
    </font>
    <font>
      <b/>
      <sz val="9"/>
      <color theme="1"/>
      <name val="Times New Roman"/>
      <family val="1"/>
      <charset val="186"/>
    </font>
    <font>
      <b/>
      <vertAlign val="superscript"/>
      <sz val="9"/>
      <color indexed="10"/>
      <name val="Times New Roman"/>
      <family val="1"/>
      <charset val="186"/>
    </font>
    <font>
      <sz val="10"/>
      <color theme="1"/>
      <name val="Times New Roman"/>
      <family val="1"/>
      <charset val="186"/>
    </font>
    <font>
      <vertAlign val="superscript"/>
      <sz val="10"/>
      <color indexed="8"/>
      <name val="Times New Roman"/>
      <family val="1"/>
      <charset val="186"/>
    </font>
    <font>
      <sz val="10"/>
      <color indexed="8"/>
      <name val="Times New Roman"/>
      <family val="1"/>
      <charset val="186"/>
    </font>
    <font>
      <b/>
      <sz val="10"/>
      <color indexed="8"/>
      <name val="Times New Roman"/>
      <family val="1"/>
      <charset val="186"/>
    </font>
    <font>
      <sz val="11"/>
      <color rgb="FF1F497D"/>
      <name val="Calibri"/>
      <family val="2"/>
      <charset val="186"/>
      <scheme val="minor"/>
    </font>
    <font>
      <b/>
      <sz val="12"/>
      <color theme="1"/>
      <name val="Times New Roman"/>
      <family val="1"/>
      <charset val="186"/>
    </font>
    <font>
      <b/>
      <sz val="12"/>
      <color theme="1"/>
      <name val="Calibri"/>
      <family val="2"/>
      <charset val="186"/>
      <scheme val="minor"/>
    </font>
    <font>
      <b/>
      <sz val="10"/>
      <color rgb="FF000000"/>
      <name val="Times New Roman"/>
      <family val="1"/>
      <charset val="186"/>
    </font>
    <font>
      <b/>
      <sz val="11"/>
      <color rgb="FF000000"/>
      <name val="Calibri"/>
      <family val="2"/>
      <charset val="186"/>
      <scheme val="minor"/>
    </font>
    <font>
      <b/>
      <sz val="10"/>
      <color theme="0"/>
      <name val="Times New Roman"/>
      <family val="1"/>
      <charset val="186"/>
    </font>
    <font>
      <sz val="14"/>
      <color theme="1"/>
      <name val="Times New Roman"/>
      <family val="1"/>
      <charset val="186"/>
    </font>
    <font>
      <b/>
      <sz val="14"/>
      <color theme="1"/>
      <name val="Times New Roman"/>
      <family val="1"/>
      <charset val="186"/>
    </font>
    <font>
      <b/>
      <sz val="18"/>
      <color theme="1"/>
      <name val="Times New Roman"/>
      <family val="1"/>
      <charset val="186"/>
    </font>
    <font>
      <vertAlign val="superscript"/>
      <sz val="10"/>
      <color indexed="10"/>
      <name val="Times New Roman"/>
      <family val="1"/>
      <charset val="186"/>
    </font>
    <font>
      <sz val="11"/>
      <color theme="1"/>
      <name val="Times New Roman"/>
      <family val="1"/>
      <charset val="186"/>
    </font>
    <font>
      <sz val="9"/>
      <color theme="1"/>
      <name val="Times New Roman"/>
      <family val="1"/>
      <charset val="186"/>
    </font>
    <font>
      <vertAlign val="superscript"/>
      <sz val="9"/>
      <color indexed="10"/>
      <name val="Times New Roman"/>
      <family val="1"/>
      <charset val="186"/>
    </font>
    <font>
      <b/>
      <sz val="11"/>
      <color theme="1"/>
      <name val="Calibri"/>
      <family val="2"/>
      <charset val="186"/>
      <scheme val="minor"/>
    </font>
    <font>
      <b/>
      <vertAlign val="superscript"/>
      <sz val="10"/>
      <color rgb="FFFF0000"/>
      <name val="Times New Roman"/>
      <family val="1"/>
      <charset val="186"/>
    </font>
    <font>
      <b/>
      <vertAlign val="superscript"/>
      <sz val="9"/>
      <color rgb="FFFF0000"/>
      <name val="Times New Roman"/>
      <family val="1"/>
      <charset val="186"/>
    </font>
    <font>
      <b/>
      <sz val="8"/>
      <color theme="1"/>
      <name val="Times New Roman"/>
      <family val="1"/>
      <charset val="186"/>
    </font>
    <font>
      <vertAlign val="superscript"/>
      <sz val="10"/>
      <color theme="1"/>
      <name val="Times New Roman"/>
      <family val="1"/>
      <charset val="186"/>
    </font>
    <font>
      <b/>
      <sz val="9"/>
      <color indexed="81"/>
      <name val="Tahoma"/>
      <family val="2"/>
      <charset val="186"/>
    </font>
    <font>
      <sz val="9"/>
      <color indexed="81"/>
      <name val="Tahoma"/>
      <family val="2"/>
      <charset val="186"/>
    </font>
    <font>
      <sz val="10"/>
      <name val="Arial"/>
      <family val="2"/>
      <charset val="186"/>
    </font>
    <font>
      <b/>
      <sz val="11"/>
      <color theme="1"/>
      <name val="Times New Roman"/>
      <family val="1"/>
      <charset val="186"/>
    </font>
    <font>
      <b/>
      <sz val="8"/>
      <color indexed="81"/>
      <name val="Tahoma"/>
      <family val="2"/>
      <charset val="186"/>
    </font>
    <font>
      <sz val="8"/>
      <color indexed="81"/>
      <name val="Tahoma"/>
      <family val="2"/>
      <charset val="186"/>
    </font>
    <font>
      <sz val="14"/>
      <color indexed="8"/>
      <name val="Calibri"/>
      <family val="2"/>
      <charset val="186"/>
    </font>
    <font>
      <b/>
      <sz val="14"/>
      <color indexed="8"/>
      <name val="Calibri"/>
      <family val="2"/>
      <charset val="186"/>
    </font>
    <font>
      <b/>
      <sz val="18"/>
      <color indexed="8"/>
      <name val="Calibri"/>
      <family val="2"/>
      <charset val="186"/>
    </font>
    <font>
      <b/>
      <sz val="9"/>
      <color indexed="8"/>
      <name val="Times New Roman"/>
      <family val="1"/>
      <charset val="186"/>
    </font>
    <font>
      <sz val="11"/>
      <color indexed="56"/>
      <name val="Calibri"/>
      <family val="2"/>
      <charset val="186"/>
    </font>
    <font>
      <b/>
      <sz val="12"/>
      <color rgb="FF000000"/>
      <name val="Times New Roman"/>
      <family val="1"/>
      <charset val="186"/>
    </font>
    <font>
      <sz val="14"/>
      <color theme="1"/>
      <name val="Calibri"/>
      <family val="2"/>
      <scheme val="minor"/>
    </font>
    <font>
      <b/>
      <sz val="10"/>
      <color theme="1"/>
      <name val="Calibri"/>
      <family val="2"/>
      <scheme val="minor"/>
    </font>
    <font>
      <b/>
      <sz val="18"/>
      <color theme="1"/>
      <name val="Calibri"/>
      <family val="2"/>
      <scheme val="minor"/>
    </font>
    <font>
      <b/>
      <sz val="10"/>
      <color theme="1"/>
      <name val="Times New Roman"/>
      <family val="1"/>
    </font>
    <font>
      <b/>
      <sz val="10"/>
      <name val="Times New Roman"/>
      <family val="1"/>
    </font>
    <font>
      <sz val="10"/>
      <name val="Times New Roman"/>
      <family val="1"/>
    </font>
    <font>
      <b/>
      <vertAlign val="superscript"/>
      <sz val="10"/>
      <color indexed="10"/>
      <name val="Times New Roman"/>
      <family val="1"/>
    </font>
    <font>
      <b/>
      <sz val="9"/>
      <color theme="1"/>
      <name val="Times New Roman"/>
      <family val="1"/>
    </font>
    <font>
      <b/>
      <vertAlign val="superscript"/>
      <sz val="9"/>
      <color indexed="10"/>
      <name val="Times New Roman"/>
      <family val="1"/>
    </font>
    <font>
      <u/>
      <sz val="11"/>
      <color theme="10"/>
      <name val="Calibri"/>
      <family val="2"/>
    </font>
    <font>
      <b/>
      <sz val="10"/>
      <color theme="1"/>
      <name val="Calibri"/>
      <family val="2"/>
    </font>
    <font>
      <b/>
      <sz val="10"/>
      <color rgb="FF000000"/>
      <name val="Times New Roman"/>
      <family val="1"/>
    </font>
    <font>
      <vertAlign val="superscript"/>
      <sz val="10"/>
      <color indexed="8"/>
      <name val="Times New Roman"/>
      <family val="1"/>
    </font>
    <font>
      <sz val="10"/>
      <color indexed="8"/>
      <name val="Times New Roman"/>
      <family val="1"/>
    </font>
    <font>
      <b/>
      <sz val="10"/>
      <color indexed="8"/>
      <name val="Times New Roman"/>
      <family val="1"/>
    </font>
    <font>
      <sz val="11"/>
      <color rgb="FF1F497D"/>
      <name val="Calibri"/>
      <family val="2"/>
      <scheme val="minor"/>
    </font>
    <font>
      <sz val="10"/>
      <color rgb="FF000000"/>
      <name val="Times New Roman"/>
      <family val="1"/>
      <charset val="186"/>
    </font>
    <font>
      <sz val="14"/>
      <color indexed="8"/>
      <name val="Times New Roman"/>
      <family val="1"/>
      <charset val="186"/>
    </font>
    <font>
      <b/>
      <sz val="12"/>
      <color indexed="8"/>
      <name val="Times New Roman"/>
      <family val="1"/>
      <charset val="186"/>
    </font>
    <font>
      <b/>
      <sz val="18"/>
      <color indexed="8"/>
      <name val="Times New Roman"/>
      <family val="1"/>
      <charset val="186"/>
    </font>
    <font>
      <sz val="11"/>
      <color indexed="8"/>
      <name val="Times New Roman"/>
      <family val="1"/>
      <charset val="186"/>
    </font>
    <font>
      <sz val="9"/>
      <color indexed="8"/>
      <name val="Times New Roman"/>
      <family val="1"/>
      <charset val="186"/>
    </font>
    <font>
      <sz val="10"/>
      <color rgb="FFFF0000"/>
      <name val="Times New Roman"/>
      <family val="1"/>
      <charset val="186"/>
    </font>
    <font>
      <sz val="11"/>
      <name val="Times New Roman"/>
      <family val="1"/>
      <charset val="186"/>
    </font>
    <font>
      <sz val="10"/>
      <color indexed="10"/>
      <name val="Times New Roman"/>
      <family val="1"/>
      <charset val="186"/>
    </font>
    <font>
      <b/>
      <sz val="11"/>
      <name val="Times New Roman"/>
      <family val="1"/>
      <charset val="186"/>
    </font>
    <font>
      <sz val="11"/>
      <color rgb="FF1F497D"/>
      <name val="Times New Roman"/>
      <family val="1"/>
      <charset val="186"/>
    </font>
    <font>
      <b/>
      <u/>
      <sz val="10"/>
      <color theme="1"/>
      <name val="Times New Roman"/>
      <family val="1"/>
      <charset val="186"/>
    </font>
    <font>
      <sz val="8"/>
      <color rgb="FFFF0000"/>
      <name val="Times New Roman"/>
      <family val="1"/>
      <charset val="186"/>
    </font>
    <font>
      <b/>
      <sz val="10"/>
      <color rgb="FFFF0000"/>
      <name val="Times New Roman"/>
      <family val="1"/>
      <charset val="186"/>
    </font>
    <font>
      <vertAlign val="superscript"/>
      <sz val="11"/>
      <color rgb="FFFF0000"/>
      <name val="Calibri"/>
      <family val="2"/>
      <charset val="186"/>
      <scheme val="minor"/>
    </font>
    <font>
      <sz val="11"/>
      <name val="Calibri"/>
      <family val="2"/>
      <charset val="186"/>
      <scheme val="minor"/>
    </font>
    <font>
      <vertAlign val="superscript"/>
      <sz val="11"/>
      <color theme="1"/>
      <name val="Calibri"/>
      <family val="2"/>
      <charset val="186"/>
      <scheme val="minor"/>
    </font>
    <font>
      <b/>
      <sz val="9"/>
      <name val="Times New Roman"/>
      <family val="1"/>
      <charset val="186"/>
    </font>
    <font>
      <b/>
      <sz val="10"/>
      <name val="Calibri"/>
      <family val="2"/>
      <charset val="186"/>
      <scheme val="minor"/>
    </font>
    <font>
      <sz val="10"/>
      <color theme="1"/>
      <name val="Times New Roman"/>
      <family val="1"/>
      <charset val="186"/>
    </font>
    <font>
      <b/>
      <sz val="11"/>
      <color indexed="8"/>
      <name val="Times New Roman"/>
      <family val="1"/>
      <charset val="186"/>
    </font>
    <font>
      <b/>
      <vertAlign val="superscript"/>
      <sz val="11"/>
      <color indexed="10"/>
      <name val="Times New Roman"/>
      <family val="1"/>
      <charset val="186"/>
    </font>
    <font>
      <sz val="11"/>
      <color indexed="8"/>
      <name val="Calibri"/>
      <family val="2"/>
      <charset val="186"/>
    </font>
    <font>
      <vertAlign val="superscript"/>
      <sz val="11"/>
      <color indexed="8"/>
      <name val="Times New Roman"/>
      <family val="1"/>
      <charset val="186"/>
    </font>
    <font>
      <b/>
      <sz val="9"/>
      <color indexed="81"/>
      <name val="Tahoma"/>
      <family val="2"/>
      <charset val="204"/>
    </font>
    <font>
      <sz val="9"/>
      <color indexed="81"/>
      <name val="Tahoma"/>
      <family val="2"/>
      <charset val="204"/>
    </font>
    <font>
      <b/>
      <sz val="9"/>
      <color indexed="8"/>
      <name val="Calibri"/>
      <family val="2"/>
      <charset val="186"/>
    </font>
    <font>
      <sz val="12"/>
      <color theme="1"/>
      <name val="Times New Roman"/>
      <family val="1"/>
      <charset val="186"/>
    </font>
    <font>
      <sz val="18"/>
      <color indexed="8"/>
      <name val="Calibri"/>
      <family val="2"/>
      <charset val="186"/>
    </font>
    <font>
      <b/>
      <sz val="10"/>
      <color indexed="81"/>
      <name val="Tahoma"/>
      <family val="2"/>
      <charset val="186"/>
    </font>
    <font>
      <sz val="14"/>
      <name val="Calibri"/>
      <family val="2"/>
      <charset val="186"/>
    </font>
    <font>
      <b/>
      <sz val="14"/>
      <name val="Calibri"/>
      <family val="2"/>
      <charset val="186"/>
    </font>
    <font>
      <b/>
      <sz val="18"/>
      <name val="Calibri"/>
      <family val="2"/>
      <charset val="186"/>
    </font>
    <font>
      <b/>
      <vertAlign val="superscript"/>
      <sz val="10"/>
      <name val="Times New Roman"/>
      <family val="1"/>
      <charset val="186"/>
    </font>
    <font>
      <b/>
      <vertAlign val="superscript"/>
      <sz val="9"/>
      <name val="Times New Roman"/>
      <family val="1"/>
      <charset val="186"/>
    </font>
    <font>
      <vertAlign val="superscript"/>
      <sz val="10"/>
      <name val="Times New Roman"/>
      <family val="1"/>
      <charset val="186"/>
    </font>
    <font>
      <sz val="11"/>
      <name val="Calibri"/>
      <family val="2"/>
      <charset val="186"/>
    </font>
    <font>
      <b/>
      <vertAlign val="superscript"/>
      <sz val="8"/>
      <color indexed="10"/>
      <name val="Times New Roman"/>
      <family val="1"/>
      <charset val="186"/>
    </font>
    <font>
      <b/>
      <sz val="14"/>
      <color rgb="FF000000"/>
      <name val="Calibri"/>
      <family val="2"/>
      <charset val="186"/>
    </font>
    <font>
      <vertAlign val="superscript"/>
      <sz val="6"/>
      <color rgb="FFFF0000"/>
      <name val="Times New Roman"/>
      <family val="1"/>
      <charset val="186"/>
    </font>
    <font>
      <b/>
      <sz val="6"/>
      <color rgb="FF000000"/>
      <name val="Times New Roman"/>
      <family val="1"/>
      <charset val="186"/>
    </font>
    <font>
      <b/>
      <sz val="8"/>
      <color rgb="FF000000"/>
      <name val="Times New Roman"/>
      <family val="1"/>
      <charset val="186"/>
    </font>
    <font>
      <sz val="8"/>
      <color rgb="FF000000"/>
      <name val="Times New Roman"/>
      <family val="1"/>
      <charset val="186"/>
    </font>
    <font>
      <vertAlign val="superscript"/>
      <sz val="8"/>
      <color rgb="FF000000"/>
      <name val="Times New Roman"/>
      <family val="1"/>
      <charset val="186"/>
    </font>
    <font>
      <sz val="11"/>
      <color rgb="FF000000"/>
      <name val="Calibri"/>
      <family val="2"/>
      <charset val="186"/>
    </font>
    <font>
      <vertAlign val="superscript"/>
      <sz val="10"/>
      <color rgb="FF000000"/>
      <name val="Times New Roman"/>
      <family val="1"/>
      <charset val="186"/>
    </font>
    <font>
      <b/>
      <sz val="9"/>
      <color rgb="FF000000"/>
      <name val="Times New Roman"/>
      <family val="1"/>
      <charset val="186"/>
    </font>
    <font>
      <b/>
      <vertAlign val="superscript"/>
      <sz val="10"/>
      <color theme="1"/>
      <name val="Times New Roman"/>
      <family val="1"/>
      <charset val="186"/>
    </font>
    <font>
      <b/>
      <sz val="10"/>
      <color theme="1"/>
      <name val="Calibri"/>
      <family val="2"/>
      <charset val="186"/>
      <scheme val="minor"/>
    </font>
    <font>
      <b/>
      <vertAlign val="superscript"/>
      <sz val="10"/>
      <color indexed="8"/>
      <name val="Times New Roman"/>
      <family val="1"/>
      <charset val="186"/>
    </font>
    <font>
      <b/>
      <sz val="11"/>
      <color rgb="FF1F497D"/>
      <name val="Times New Roman"/>
      <family val="1"/>
      <charset val="186"/>
    </font>
    <font>
      <b/>
      <sz val="10"/>
      <color indexed="8"/>
      <name val="Times New Roman"/>
      <family val="1"/>
      <charset val="204"/>
    </font>
    <font>
      <b/>
      <sz val="9"/>
      <color indexed="8"/>
      <name val="Times New Roman"/>
      <family val="1"/>
      <charset val="204"/>
    </font>
    <font>
      <sz val="10"/>
      <color theme="1"/>
      <name val="Calibri"/>
      <family val="2"/>
      <charset val="186"/>
      <scheme val="minor"/>
    </font>
    <font>
      <b/>
      <sz val="8"/>
      <color indexed="8"/>
      <name val="Times New Roman"/>
      <family val="1"/>
      <charset val="186"/>
    </font>
    <font>
      <sz val="18"/>
      <color theme="1"/>
      <name val="Times New Roman"/>
      <family val="1"/>
      <charset val="186"/>
    </font>
    <font>
      <b/>
      <sz val="20"/>
      <color theme="1"/>
      <name val="Times New Roman"/>
      <family val="1"/>
      <charset val="186"/>
    </font>
    <font>
      <b/>
      <sz val="8"/>
      <color indexed="8"/>
      <name val="Calibri"/>
      <family val="2"/>
      <charset val="186"/>
    </font>
    <font>
      <sz val="8"/>
      <color theme="1"/>
      <name val="Times New Roman"/>
      <family val="1"/>
      <charset val="186"/>
    </font>
    <font>
      <b/>
      <sz val="8"/>
      <color indexed="81"/>
      <name val="Tahoma"/>
    </font>
    <font>
      <sz val="8"/>
      <color indexed="81"/>
      <name val="Tahoma"/>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54" fillId="0" borderId="0" applyNumberFormat="0" applyFill="0" applyBorder="0" applyAlignment="0" applyProtection="0">
      <alignment vertical="top"/>
      <protection locked="0"/>
    </xf>
  </cellStyleXfs>
  <cellXfs count="773">
    <xf numFmtId="0" fontId="0" fillId="0" borderId="0" xfId="0"/>
    <xf numFmtId="0" fontId="2" fillId="0" borderId="0" xfId="0" applyFont="1"/>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 fillId="0" borderId="6" xfId="0" applyFont="1" applyBorder="1" applyAlignment="1">
      <alignment vertical="top" wrapText="1"/>
    </xf>
    <xf numFmtId="0" fontId="5" fillId="0" borderId="0" xfId="0" applyFont="1" applyBorder="1" applyAlignment="1">
      <alignment vertical="top" wrapText="1"/>
    </xf>
    <xf numFmtId="3" fontId="5" fillId="0" borderId="6" xfId="0" applyNumberFormat="1" applyFont="1" applyBorder="1" applyAlignment="1">
      <alignment vertical="top" wrapText="1"/>
    </xf>
    <xf numFmtId="0" fontId="5" fillId="0" borderId="0" xfId="0" applyFont="1" applyFill="1" applyBorder="1" applyAlignment="1">
      <alignment vertical="top" wrapText="1"/>
    </xf>
    <xf numFmtId="0" fontId="0" fillId="0" borderId="0" xfId="0" applyAlignment="1">
      <alignment horizontal="right" vertical="center"/>
    </xf>
    <xf numFmtId="0" fontId="15" fillId="0" borderId="0" xfId="0" applyFont="1"/>
    <xf numFmtId="2" fontId="2" fillId="0" borderId="0" xfId="0" applyNumberFormat="1" applyFont="1"/>
    <xf numFmtId="2" fontId="0" fillId="0" borderId="0" xfId="0" applyNumberFormat="1"/>
    <xf numFmtId="2" fontId="9" fillId="2" borderId="6" xfId="0" applyNumberFormat="1" applyFont="1" applyFill="1" applyBorder="1" applyAlignment="1">
      <alignment horizontal="center" vertical="center" wrapText="1"/>
    </xf>
    <xf numFmtId="2" fontId="5" fillId="0" borderId="6" xfId="0" applyNumberFormat="1" applyFont="1" applyBorder="1" applyAlignment="1">
      <alignment vertical="top" wrapText="1"/>
    </xf>
    <xf numFmtId="2" fontId="5" fillId="0" borderId="6" xfId="0" applyNumberFormat="1" applyFont="1" applyBorder="1" applyAlignment="1">
      <alignment horizontal="center" vertical="top" wrapText="1"/>
    </xf>
    <xf numFmtId="2" fontId="5" fillId="0" borderId="6" xfId="1" applyNumberFormat="1" applyFont="1" applyBorder="1" applyAlignment="1">
      <alignment vertical="top" wrapText="1"/>
    </xf>
    <xf numFmtId="2" fontId="5" fillId="0" borderId="6" xfId="0" applyNumberFormat="1" applyFont="1" applyBorder="1" applyAlignment="1">
      <alignment wrapText="1"/>
    </xf>
    <xf numFmtId="2" fontId="5" fillId="0" borderId="7" xfId="0" applyNumberFormat="1" applyFont="1" applyBorder="1" applyAlignment="1">
      <alignment horizontal="center" vertical="top" wrapText="1"/>
    </xf>
    <xf numFmtId="2" fontId="5" fillId="0" borderId="6" xfId="0" applyNumberFormat="1" applyFont="1" applyFill="1" applyBorder="1" applyAlignment="1">
      <alignment vertical="top" wrapText="1"/>
    </xf>
    <xf numFmtId="2" fontId="0" fillId="0" borderId="6" xfId="0" applyNumberFormat="1" applyBorder="1"/>
    <xf numFmtId="2" fontId="18" fillId="0" borderId="0" xfId="0" applyNumberFormat="1" applyFont="1" applyFill="1" applyBorder="1" applyAlignment="1">
      <alignment horizontal="center"/>
    </xf>
    <xf numFmtId="2" fontId="18" fillId="0" borderId="6" xfId="0" applyNumberFormat="1" applyFont="1" applyFill="1" applyBorder="1" applyAlignment="1">
      <alignment horizontal="center"/>
    </xf>
    <xf numFmtId="2" fontId="6" fillId="0" borderId="6" xfId="0" applyNumberFormat="1" applyFont="1" applyBorder="1" applyAlignment="1">
      <alignment wrapText="1"/>
    </xf>
    <xf numFmtId="2" fontId="18" fillId="0" borderId="6" xfId="0" applyNumberFormat="1" applyFont="1" applyBorder="1" applyAlignment="1">
      <alignment horizontal="center"/>
    </xf>
    <xf numFmtId="2" fontId="5" fillId="0" borderId="6" xfId="0" applyNumberFormat="1" applyFont="1" applyFill="1" applyBorder="1" applyAlignment="1">
      <alignment horizontal="center"/>
    </xf>
    <xf numFmtId="2" fontId="18" fillId="0" borderId="0" xfId="0" applyNumberFormat="1" applyFont="1" applyAlignment="1">
      <alignment horizontal="center"/>
    </xf>
    <xf numFmtId="2" fontId="19" fillId="0" borderId="6" xfId="0" applyNumberFormat="1" applyFont="1" applyBorder="1" applyAlignment="1">
      <alignment horizontal="center"/>
    </xf>
    <xf numFmtId="2" fontId="5" fillId="0" borderId="6" xfId="0" applyNumberFormat="1" applyFont="1" applyFill="1" applyBorder="1" applyAlignment="1">
      <alignment horizontal="center" wrapText="1"/>
    </xf>
    <xf numFmtId="2" fontId="0" fillId="0" borderId="0" xfId="0" applyNumberFormat="1" applyAlignment="1">
      <alignment horizontal="right" vertical="center"/>
    </xf>
    <xf numFmtId="2" fontId="15" fillId="0" borderId="0" xfId="0" applyNumberFormat="1" applyFont="1"/>
    <xf numFmtId="2" fontId="5" fillId="2" borderId="6" xfId="1" applyNumberFormat="1" applyFont="1" applyFill="1" applyBorder="1" applyAlignment="1">
      <alignment vertical="top" wrapText="1"/>
    </xf>
    <xf numFmtId="2" fontId="0" fillId="2" borderId="0" xfId="0" applyNumberFormat="1" applyFill="1"/>
    <xf numFmtId="0" fontId="21" fillId="0" borderId="0" xfId="0" applyFont="1"/>
    <xf numFmtId="0" fontId="11" fillId="0" borderId="0" xfId="0" applyFont="1" applyBorder="1" applyAlignment="1">
      <alignment vertical="center" wrapText="1"/>
    </xf>
    <xf numFmtId="0" fontId="25" fillId="0" borderId="0" xfId="0" applyFont="1"/>
    <xf numFmtId="0" fontId="11" fillId="0" borderId="6" xfId="0" applyFont="1" applyBorder="1" applyAlignment="1">
      <alignment vertical="top" wrapText="1"/>
    </xf>
    <xf numFmtId="0" fontId="3" fillId="0" borderId="0" xfId="0" applyFont="1" applyBorder="1" applyAlignment="1">
      <alignment horizontal="center" wrapText="1"/>
    </xf>
    <xf numFmtId="0" fontId="4" fillId="0" borderId="0" xfId="0" applyFont="1" applyBorder="1" applyAlignment="1">
      <alignment horizontal="center"/>
    </xf>
    <xf numFmtId="0" fontId="5" fillId="0" borderId="11" xfId="0" applyFont="1" applyBorder="1" applyAlignment="1">
      <alignment vertical="top" wrapText="1"/>
    </xf>
    <xf numFmtId="49" fontId="5" fillId="0" borderId="6" xfId="0" applyNumberFormat="1" applyFont="1" applyBorder="1" applyAlignment="1">
      <alignment vertical="top" wrapText="1"/>
    </xf>
    <xf numFmtId="0" fontId="9" fillId="0" borderId="6" xfId="0" applyFont="1" applyBorder="1"/>
    <xf numFmtId="0" fontId="5" fillId="0" borderId="6" xfId="0" applyFont="1" applyBorder="1" applyAlignment="1">
      <alignment vertical="top"/>
    </xf>
    <xf numFmtId="0" fontId="5" fillId="0" borderId="6" xfId="0" applyFont="1" applyBorder="1" applyAlignment="1">
      <alignment horizontal="right" vertical="top" wrapText="1"/>
    </xf>
    <xf numFmtId="49" fontId="5" fillId="0" borderId="6" xfId="0" applyNumberFormat="1" applyFont="1" applyBorder="1" applyAlignment="1">
      <alignment horizontal="right" vertical="top" wrapText="1"/>
    </xf>
    <xf numFmtId="0" fontId="5" fillId="0" borderId="6" xfId="0" applyFont="1" applyBorder="1" applyAlignment="1">
      <alignment vertical="center" wrapText="1"/>
    </xf>
    <xf numFmtId="0" fontId="5" fillId="3" borderId="6" xfId="0" applyFont="1" applyFill="1" applyBorder="1" applyAlignment="1">
      <alignment vertical="top" wrapText="1"/>
    </xf>
    <xf numFmtId="0" fontId="5" fillId="3" borderId="6" xfId="0" applyFont="1" applyFill="1" applyBorder="1" applyAlignment="1">
      <alignment vertical="center" wrapText="1"/>
    </xf>
    <xf numFmtId="0" fontId="5" fillId="0" borderId="6" xfId="0" applyFont="1" applyFill="1" applyBorder="1" applyAlignment="1">
      <alignment vertical="top" wrapText="1"/>
    </xf>
    <xf numFmtId="164" fontId="9" fillId="0" borderId="6" xfId="1" applyNumberFormat="1" applyFont="1" applyFill="1" applyBorder="1" applyAlignment="1">
      <alignment vertical="top"/>
    </xf>
    <xf numFmtId="0" fontId="0" fillId="0" borderId="0" xfId="0" applyFill="1"/>
    <xf numFmtId="0" fontId="36" fillId="0" borderId="6" xfId="0" applyFont="1" applyBorder="1" applyAlignment="1">
      <alignment wrapText="1"/>
    </xf>
    <xf numFmtId="0" fontId="25" fillId="0" borderId="0" xfId="0" applyFont="1" applyAlignment="1">
      <alignment wrapText="1"/>
    </xf>
    <xf numFmtId="0" fontId="5" fillId="0" borderId="6" xfId="0" applyFont="1" applyBorder="1"/>
    <xf numFmtId="0" fontId="5" fillId="0" borderId="6" xfId="0" applyFont="1" applyFill="1" applyBorder="1"/>
    <xf numFmtId="1" fontId="5" fillId="0" borderId="6" xfId="0" applyNumberFormat="1" applyFont="1" applyBorder="1"/>
    <xf numFmtId="165" fontId="5" fillId="0" borderId="6" xfId="0" applyNumberFormat="1" applyFont="1" applyBorder="1"/>
    <xf numFmtId="0" fontId="36" fillId="0" borderId="0" xfId="0" applyFont="1" applyBorder="1" applyAlignment="1">
      <alignment wrapText="1"/>
    </xf>
    <xf numFmtId="0" fontId="5" fillId="0" borderId="0" xfId="0" applyFont="1" applyBorder="1"/>
    <xf numFmtId="0" fontId="5" fillId="0" borderId="0" xfId="0" applyFont="1" applyFill="1" applyBorder="1"/>
    <xf numFmtId="1" fontId="5" fillId="0" borderId="0" xfId="0" applyNumberFormat="1" applyFont="1" applyBorder="1"/>
    <xf numFmtId="165" fontId="5" fillId="0" borderId="0" xfId="0" applyNumberFormat="1" applyFont="1" applyBorder="1"/>
    <xf numFmtId="1" fontId="9" fillId="0" borderId="6" xfId="0" applyNumberFormat="1" applyFont="1" applyFill="1" applyBorder="1" applyAlignment="1">
      <alignment vertical="center" wrapText="1"/>
    </xf>
    <xf numFmtId="164" fontId="25" fillId="0" borderId="0" xfId="1" applyNumberFormat="1" applyFont="1" applyFill="1" applyBorder="1" applyAlignment="1">
      <alignment vertical="top"/>
    </xf>
    <xf numFmtId="164" fontId="9" fillId="2" borderId="6" xfId="1" applyNumberFormat="1" applyFont="1" applyFill="1" applyBorder="1" applyAlignment="1">
      <alignment vertical="top"/>
    </xf>
    <xf numFmtId="0" fontId="39" fillId="0" borderId="0" xfId="0" applyFont="1"/>
    <xf numFmtId="0" fontId="14" fillId="4" borderId="6" xfId="0" applyFont="1" applyFill="1" applyBorder="1" applyAlignment="1">
      <alignment horizontal="center" vertical="center" wrapText="1"/>
    </xf>
    <xf numFmtId="0" fontId="42" fillId="4" borderId="6" xfId="0" applyFont="1" applyFill="1" applyBorder="1" applyAlignment="1">
      <alignment horizontal="center" vertical="center" wrapText="1"/>
    </xf>
    <xf numFmtId="0" fontId="14" fillId="0" borderId="6" xfId="0" applyFont="1" applyBorder="1" applyAlignment="1">
      <alignment vertical="top" wrapText="1"/>
    </xf>
    <xf numFmtId="0" fontId="14" fillId="0" borderId="6" xfId="0" applyFont="1" applyBorder="1" applyAlignment="1">
      <alignment horizontal="center" vertical="center" wrapText="1"/>
    </xf>
    <xf numFmtId="9" fontId="0" fillId="0" borderId="6" xfId="1" applyFont="1" applyBorder="1" applyAlignment="1">
      <alignment horizontal="center" vertical="center"/>
    </xf>
    <xf numFmtId="0" fontId="14" fillId="0" borderId="6" xfId="0" applyFont="1" applyBorder="1" applyAlignment="1">
      <alignment vertical="center" wrapText="1"/>
    </xf>
    <xf numFmtId="0" fontId="13" fillId="0" borderId="6" xfId="0" applyFont="1" applyBorder="1" applyAlignment="1">
      <alignment horizontal="center" vertical="center" wrapText="1"/>
    </xf>
    <xf numFmtId="0" fontId="14" fillId="0" borderId="0" xfId="0" applyFont="1" applyBorder="1" applyAlignment="1">
      <alignment vertical="top" wrapText="1"/>
    </xf>
    <xf numFmtId="0" fontId="14" fillId="0" borderId="0" xfId="0" applyFont="1" applyAlignment="1">
      <alignment vertical="center" wrapText="1"/>
    </xf>
    <xf numFmtId="0" fontId="14" fillId="0" borderId="0" xfId="0" applyFont="1" applyBorder="1" applyAlignment="1">
      <alignment horizontal="center" vertical="center" wrapText="1"/>
    </xf>
    <xf numFmtId="0" fontId="14" fillId="0" borderId="0" xfId="0" applyFont="1" applyFill="1" applyBorder="1" applyAlignment="1">
      <alignment vertical="top" wrapText="1"/>
    </xf>
    <xf numFmtId="0" fontId="43" fillId="0" borderId="0" xfId="0" applyFont="1"/>
    <xf numFmtId="9" fontId="0" fillId="2" borderId="6" xfId="1" applyFont="1" applyFill="1" applyBorder="1" applyAlignment="1">
      <alignment horizontal="center" vertical="center"/>
    </xf>
    <xf numFmtId="0" fontId="5" fillId="0" borderId="7" xfId="0" applyFont="1" applyFill="1" applyBorder="1" applyAlignment="1">
      <alignment vertical="top" wrapText="1"/>
    </xf>
    <xf numFmtId="0" fontId="0" fillId="0" borderId="15" xfId="0" applyBorder="1"/>
    <xf numFmtId="0" fontId="0" fillId="0" borderId="0" xfId="0" applyBorder="1"/>
    <xf numFmtId="0" fontId="0" fillId="0" borderId="12" xfId="0" applyBorder="1"/>
    <xf numFmtId="0" fontId="9" fillId="2" borderId="11" xfId="0" applyFont="1" applyFill="1" applyBorder="1" applyAlignment="1">
      <alignment horizontal="center" vertical="center" wrapText="1"/>
    </xf>
    <xf numFmtId="0" fontId="18" fillId="0" borderId="6" xfId="0" applyFont="1" applyBorder="1" applyAlignment="1">
      <alignment horizontal="left" vertical="top" wrapText="1" readingOrder="1"/>
    </xf>
    <xf numFmtId="0" fontId="18" fillId="0" borderId="6" xfId="0" applyFont="1" applyBorder="1" applyAlignment="1">
      <alignment vertical="top" wrapText="1" readingOrder="1"/>
    </xf>
    <xf numFmtId="0" fontId="0" fillId="0" borderId="6" xfId="0" applyBorder="1"/>
    <xf numFmtId="0" fontId="0" fillId="0" borderId="2" xfId="0" applyBorder="1"/>
    <xf numFmtId="0" fontId="5" fillId="0" borderId="2" xfId="0" applyFont="1" applyBorder="1" applyAlignment="1">
      <alignment vertical="top" wrapText="1"/>
    </xf>
    <xf numFmtId="9" fontId="28" fillId="0" borderId="6" xfId="1" applyFont="1" applyBorder="1" applyAlignment="1">
      <alignment horizontal="center" vertical="center"/>
    </xf>
    <xf numFmtId="0" fontId="44" fillId="0" borderId="0" xfId="0" applyFont="1" applyBorder="1" applyAlignment="1">
      <alignment horizontal="left" vertical="top" wrapText="1" readingOrder="1"/>
    </xf>
    <xf numFmtId="0" fontId="5" fillId="0" borderId="6" xfId="0" applyFont="1" applyBorder="1" applyAlignment="1">
      <alignment horizontal="justify" vertical="top"/>
    </xf>
    <xf numFmtId="0" fontId="11" fillId="0" borderId="0" xfId="0" applyFont="1" applyBorder="1" applyAlignment="1">
      <alignment horizontal="justify" vertical="top"/>
    </xf>
    <xf numFmtId="0" fontId="45" fillId="0" borderId="0" xfId="0" applyFont="1"/>
    <xf numFmtId="0" fontId="52" fillId="2" borderId="6" xfId="0" applyFont="1" applyFill="1" applyBorder="1" applyAlignment="1">
      <alignment horizontal="center" vertical="center" wrapText="1"/>
    </xf>
    <xf numFmtId="0" fontId="48" fillId="0" borderId="6" xfId="0" applyFont="1" applyBorder="1" applyAlignment="1">
      <alignment vertical="top" wrapText="1"/>
    </xf>
    <xf numFmtId="0" fontId="48" fillId="0" borderId="6" xfId="0" applyFont="1" applyBorder="1" applyAlignment="1">
      <alignment horizontal="center" vertical="top" wrapText="1"/>
    </xf>
    <xf numFmtId="1" fontId="48" fillId="0" borderId="6" xfId="0" applyNumberFormat="1" applyFont="1" applyBorder="1" applyAlignment="1">
      <alignment horizontal="center" vertical="top" wrapText="1"/>
    </xf>
    <xf numFmtId="0" fontId="48" fillId="0" borderId="2" xfId="0" applyFont="1" applyBorder="1" applyAlignment="1">
      <alignment vertical="top" wrapText="1"/>
    </xf>
    <xf numFmtId="0" fontId="48" fillId="0" borderId="0" xfId="0" applyFont="1"/>
    <xf numFmtId="0" fontId="48" fillId="0" borderId="13" xfId="0" applyFont="1" applyBorder="1" applyAlignment="1">
      <alignment horizontal="center" vertical="top" wrapText="1"/>
    </xf>
    <xf numFmtId="0" fontId="48" fillId="0" borderId="6" xfId="0" applyFont="1" applyBorder="1"/>
    <xf numFmtId="0" fontId="55" fillId="0" borderId="6" xfId="2" applyFont="1" applyBorder="1" applyAlignment="1" applyProtection="1"/>
    <xf numFmtId="0" fontId="55" fillId="0" borderId="6" xfId="2" applyFont="1" applyBorder="1" applyAlignment="1" applyProtection="1">
      <alignment wrapText="1"/>
    </xf>
    <xf numFmtId="0" fontId="55" fillId="0" borderId="6" xfId="2" applyFont="1" applyFill="1" applyBorder="1" applyAlignment="1" applyProtection="1">
      <alignment wrapText="1"/>
    </xf>
    <xf numFmtId="0" fontId="48" fillId="0" borderId="6" xfId="0" applyFont="1" applyFill="1" applyBorder="1" applyAlignment="1">
      <alignment wrapText="1"/>
    </xf>
    <xf numFmtId="0" fontId="48" fillId="0" borderId="6" xfId="0" applyFont="1" applyBorder="1" applyAlignment="1">
      <alignment wrapText="1"/>
    </xf>
    <xf numFmtId="0" fontId="48" fillId="0" borderId="6" xfId="0" applyFont="1" applyBorder="1" applyAlignment="1">
      <alignment horizontal="left" wrapText="1"/>
    </xf>
    <xf numFmtId="0" fontId="48" fillId="0" borderId="0" xfId="0" applyFont="1" applyBorder="1" applyAlignment="1">
      <alignment vertical="top" wrapText="1"/>
    </xf>
    <xf numFmtId="0" fontId="48" fillId="0" borderId="0" xfId="0" applyFont="1" applyBorder="1" applyAlignment="1">
      <alignment horizontal="left" wrapText="1"/>
    </xf>
    <xf numFmtId="0" fontId="48" fillId="0" borderId="0" xfId="0" applyFont="1" applyBorder="1" applyAlignment="1">
      <alignment horizontal="center" vertical="top" wrapText="1"/>
    </xf>
    <xf numFmtId="1" fontId="48" fillId="0" borderId="0" xfId="0" applyNumberFormat="1" applyFont="1" applyBorder="1" applyAlignment="1">
      <alignment horizontal="center" vertical="top" wrapText="1"/>
    </xf>
    <xf numFmtId="1" fontId="11" fillId="0" borderId="6" xfId="0" applyNumberFormat="1" applyFont="1" applyFill="1" applyBorder="1" applyAlignment="1">
      <alignment vertical="top" wrapText="1"/>
    </xf>
    <xf numFmtId="0" fontId="56" fillId="0" borderId="6" xfId="0" applyFont="1" applyBorder="1" applyAlignment="1">
      <alignment horizontal="center" vertical="top" wrapText="1"/>
    </xf>
    <xf numFmtId="1" fontId="56" fillId="0" borderId="13" xfId="0" applyNumberFormat="1" applyFont="1" applyBorder="1" applyAlignment="1">
      <alignment horizontal="center" vertical="top" wrapText="1"/>
    </xf>
    <xf numFmtId="0" fontId="56" fillId="0" borderId="10" xfId="0" applyFont="1" applyBorder="1" applyAlignment="1">
      <alignment horizontal="center" vertical="top" wrapText="1"/>
    </xf>
    <xf numFmtId="1" fontId="56" fillId="0" borderId="9" xfId="0" applyNumberFormat="1" applyFont="1" applyBorder="1" applyAlignment="1">
      <alignment horizontal="center" vertical="top" wrapText="1"/>
    </xf>
    <xf numFmtId="1" fontId="56" fillId="0" borderId="10" xfId="0" applyNumberFormat="1" applyFont="1" applyBorder="1" applyAlignment="1">
      <alignment horizontal="center" vertical="top" wrapText="1"/>
    </xf>
    <xf numFmtId="0" fontId="49" fillId="0" borderId="6" xfId="0" applyFont="1" applyBorder="1" applyAlignment="1">
      <alignment horizontal="center" vertical="top" wrapText="1"/>
    </xf>
    <xf numFmtId="0" fontId="48" fillId="0" borderId="6" xfId="0" applyFont="1" applyBorder="1" applyAlignment="1">
      <alignment horizontal="left" vertical="top" wrapText="1"/>
    </xf>
    <xf numFmtId="0" fontId="11" fillId="0" borderId="6" xfId="0" applyFont="1" applyBorder="1" applyAlignment="1">
      <alignment horizontal="left" vertical="top" wrapText="1"/>
    </xf>
    <xf numFmtId="0" fontId="11" fillId="0" borderId="6" xfId="0" applyFont="1" applyFill="1" applyBorder="1" applyAlignment="1">
      <alignment vertical="top" wrapText="1"/>
    </xf>
    <xf numFmtId="0" fontId="56" fillId="0" borderId="9" xfId="0" applyFont="1" applyBorder="1" applyAlignment="1">
      <alignment horizontal="center" vertical="top" wrapText="1"/>
    </xf>
    <xf numFmtId="0" fontId="48" fillId="0" borderId="7" xfId="0" applyFont="1" applyFill="1" applyBorder="1" applyAlignment="1">
      <alignment vertical="top" wrapText="1"/>
    </xf>
    <xf numFmtId="0" fontId="56" fillId="0" borderId="10" xfId="0" applyFont="1" applyBorder="1" applyAlignment="1">
      <alignment vertical="top" wrapText="1"/>
    </xf>
    <xf numFmtId="0" fontId="56" fillId="0" borderId="9" xfId="0" applyFont="1" applyBorder="1" applyAlignment="1">
      <alignment vertical="top" wrapText="1"/>
    </xf>
    <xf numFmtId="0" fontId="48" fillId="0" borderId="0" xfId="0" applyFont="1" applyFill="1" applyBorder="1" applyAlignment="1">
      <alignment vertical="top" wrapText="1"/>
    </xf>
    <xf numFmtId="0" fontId="60" fillId="0" borderId="0" xfId="0" applyFont="1"/>
    <xf numFmtId="3" fontId="5" fillId="2" borderId="6" xfId="0" applyNumberFormat="1" applyFont="1" applyFill="1" applyBorder="1" applyAlignment="1">
      <alignment vertical="top" wrapText="1"/>
    </xf>
    <xf numFmtId="1" fontId="5" fillId="3" borderId="6" xfId="0" applyNumberFormat="1" applyFont="1" applyFill="1" applyBorder="1" applyAlignment="1">
      <alignment vertical="top" wrapText="1"/>
    </xf>
    <xf numFmtId="1" fontId="5" fillId="0" borderId="6" xfId="0" applyNumberFormat="1" applyFont="1" applyBorder="1" applyAlignment="1">
      <alignment vertical="top" wrapText="1"/>
    </xf>
    <xf numFmtId="1" fontId="5" fillId="2" borderId="6" xfId="0" applyNumberFormat="1" applyFont="1" applyFill="1" applyBorder="1" applyAlignment="1">
      <alignment vertical="top" wrapText="1"/>
    </xf>
    <xf numFmtId="0" fontId="31" fillId="2" borderId="6" xfId="0" applyFont="1" applyFill="1" applyBorder="1" applyAlignment="1">
      <alignment horizontal="center" vertical="center" wrapText="1"/>
    </xf>
    <xf numFmtId="0" fontId="26" fillId="2" borderId="0" xfId="0" applyFont="1" applyFill="1" applyBorder="1" applyAlignment="1">
      <alignment horizontal="center" vertical="top" wrapText="1"/>
    </xf>
    <xf numFmtId="0" fontId="0" fillId="0" borderId="0" xfId="0" applyAlignment="1">
      <alignment horizontal="center" vertical="center"/>
    </xf>
    <xf numFmtId="0" fontId="0" fillId="0" borderId="0" xfId="0" applyAlignment="1">
      <alignment wrapText="1"/>
    </xf>
    <xf numFmtId="0" fontId="16" fillId="0" borderId="6" xfId="0" applyFont="1" applyBorder="1" applyAlignment="1">
      <alignment wrapText="1"/>
    </xf>
    <xf numFmtId="1" fontId="26" fillId="0" borderId="6" xfId="0" applyNumberFormat="1" applyFont="1" applyFill="1" applyBorder="1" applyAlignment="1">
      <alignment vertical="top" wrapText="1"/>
    </xf>
    <xf numFmtId="0" fontId="62" fillId="0" borderId="0" xfId="0" applyFont="1"/>
    <xf numFmtId="0" fontId="65" fillId="0" borderId="0" xfId="0" applyFont="1"/>
    <xf numFmtId="0" fontId="66" fillId="4" borderId="6" xfId="0" applyFont="1" applyFill="1" applyBorder="1" applyAlignment="1">
      <alignment horizontal="center" vertical="center" wrapText="1"/>
    </xf>
    <xf numFmtId="0" fontId="65" fillId="0" borderId="0" xfId="0" applyFont="1" applyAlignment="1">
      <alignment vertical="center"/>
    </xf>
    <xf numFmtId="0" fontId="65" fillId="4" borderId="0" xfId="0" applyFont="1" applyFill="1" applyAlignment="1">
      <alignment vertical="center"/>
    </xf>
    <xf numFmtId="0" fontId="65" fillId="0" borderId="0" xfId="0" applyFont="1" applyAlignment="1">
      <alignment horizontal="right" vertical="center"/>
    </xf>
    <xf numFmtId="0" fontId="69" fillId="0" borderId="0" xfId="0" applyFont="1" applyAlignment="1">
      <alignment vertical="top" wrapText="1"/>
    </xf>
    <xf numFmtId="0" fontId="69" fillId="0" borderId="0" xfId="0" applyFont="1" applyAlignment="1">
      <alignment wrapText="1"/>
    </xf>
    <xf numFmtId="0" fontId="69" fillId="0" borderId="0" xfId="0" applyFont="1"/>
    <xf numFmtId="0" fontId="14" fillId="0" borderId="6" xfId="0" applyFont="1" applyBorder="1" applyAlignment="1">
      <alignment horizontal="left" vertical="center" wrapText="1"/>
    </xf>
    <xf numFmtId="1" fontId="14" fillId="0" borderId="6" xfId="0" applyNumberFormat="1" applyFont="1" applyBorder="1" applyAlignment="1">
      <alignment horizontal="center" vertical="center" wrapText="1"/>
    </xf>
    <xf numFmtId="1" fontId="14" fillId="0" borderId="11" xfId="0" applyNumberFormat="1" applyFont="1" applyBorder="1" applyAlignment="1">
      <alignment horizontal="center" vertical="center" wrapText="1"/>
    </xf>
    <xf numFmtId="164" fontId="5" fillId="0" borderId="6" xfId="1" applyNumberFormat="1" applyFont="1" applyBorder="1" applyAlignment="1">
      <alignment horizontal="center" vertical="center" wrapText="1"/>
    </xf>
    <xf numFmtId="0" fontId="14" fillId="0" borderId="11" xfId="0" applyFont="1" applyBorder="1" applyAlignment="1">
      <alignment horizontal="center" vertical="center" wrapText="1"/>
    </xf>
    <xf numFmtId="1" fontId="14" fillId="0" borderId="6" xfId="0" applyNumberFormat="1" applyFont="1" applyBorder="1" applyAlignment="1">
      <alignment horizontal="center" vertical="center"/>
    </xf>
    <xf numFmtId="0" fontId="14" fillId="0" borderId="6" xfId="0" applyFont="1" applyBorder="1" applyAlignment="1">
      <alignment horizontal="center" vertical="center"/>
    </xf>
    <xf numFmtId="0" fontId="14" fillId="0" borderId="6" xfId="0" applyFont="1" applyFill="1" applyBorder="1" applyAlignment="1">
      <alignment horizontal="left" vertical="top" wrapText="1"/>
    </xf>
    <xf numFmtId="0" fontId="0" fillId="0" borderId="0" xfId="0" applyAlignment="1"/>
    <xf numFmtId="0" fontId="28" fillId="0" borderId="0" xfId="0" applyFont="1"/>
    <xf numFmtId="9" fontId="14" fillId="0" borderId="6"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0" fontId="14" fillId="0" borderId="0" xfId="0" applyFont="1" applyAlignment="1">
      <alignment horizontal="center" vertical="center" wrapText="1"/>
    </xf>
    <xf numFmtId="0" fontId="13" fillId="0" borderId="6" xfId="0" applyFont="1" applyBorder="1" applyAlignment="1">
      <alignment vertical="top" wrapText="1"/>
    </xf>
    <xf numFmtId="0" fontId="0" fillId="0" borderId="6" xfId="0" applyBorder="1" applyAlignment="1">
      <alignment horizontal="center" vertical="center"/>
    </xf>
    <xf numFmtId="0" fontId="14" fillId="0" borderId="0" xfId="0" applyFont="1" applyFill="1" applyBorder="1" applyAlignment="1">
      <alignment horizontal="center" vertical="center" wrapText="1"/>
    </xf>
    <xf numFmtId="0" fontId="21" fillId="0" borderId="0" xfId="0" applyFont="1" applyFill="1"/>
    <xf numFmtId="0" fontId="25" fillId="0" borderId="0" xfId="0" applyFont="1" applyFill="1"/>
    <xf numFmtId="0" fontId="9" fillId="0" borderId="6" xfId="0" applyFont="1" applyFill="1" applyBorder="1" applyAlignment="1">
      <alignment horizontal="center" vertical="center" wrapText="1"/>
    </xf>
    <xf numFmtId="1" fontId="5" fillId="0" borderId="6" xfId="0" applyNumberFormat="1" applyFont="1" applyFill="1" applyBorder="1" applyAlignment="1">
      <alignment vertical="top" wrapText="1"/>
    </xf>
    <xf numFmtId="0" fontId="25" fillId="0" borderId="0" xfId="0" applyFont="1" applyFill="1" applyAlignment="1">
      <alignment horizontal="right" vertical="center"/>
    </xf>
    <xf numFmtId="0" fontId="71" fillId="0" borderId="0" xfId="0" applyFont="1" applyFill="1"/>
    <xf numFmtId="0" fontId="25" fillId="0" borderId="0" xfId="0" applyFont="1" applyAlignment="1">
      <alignment vertical="center"/>
    </xf>
    <xf numFmtId="0" fontId="25" fillId="2" borderId="0" xfId="0" applyFont="1" applyFill="1" applyAlignment="1">
      <alignment vertical="center"/>
    </xf>
    <xf numFmtId="1" fontId="11" fillId="2" borderId="0" xfId="0" applyNumberFormat="1" applyFont="1" applyFill="1" applyBorder="1" applyAlignment="1">
      <alignment vertical="center" wrapText="1"/>
    </xf>
    <xf numFmtId="0" fontId="25" fillId="0" borderId="0" xfId="0" applyFont="1" applyAlignment="1">
      <alignment horizontal="right" vertical="center"/>
    </xf>
    <xf numFmtId="0" fontId="7" fillId="0" borderId="0" xfId="0" applyFont="1" applyAlignment="1">
      <alignment vertical="top" wrapText="1"/>
    </xf>
    <xf numFmtId="0" fontId="67" fillId="0" borderId="0" xfId="0" applyFont="1" applyAlignment="1">
      <alignment wrapText="1"/>
    </xf>
    <xf numFmtId="0" fontId="67" fillId="0" borderId="0" xfId="0" applyFont="1"/>
    <xf numFmtId="0" fontId="5" fillId="2" borderId="6" xfId="0" applyFont="1" applyFill="1" applyBorder="1" applyAlignment="1">
      <alignment vertical="top" wrapText="1"/>
    </xf>
    <xf numFmtId="3" fontId="5" fillId="0" borderId="6" xfId="0" applyNumberFormat="1" applyFont="1" applyBorder="1" applyAlignment="1">
      <alignment vertical="top" shrinkToFit="1"/>
    </xf>
    <xf numFmtId="0" fontId="5" fillId="0" borderId="0" xfId="0" applyFont="1" applyBorder="1" applyAlignment="1">
      <alignment horizontal="center" vertical="center" wrapText="1"/>
    </xf>
    <xf numFmtId="49" fontId="14" fillId="0" borderId="6" xfId="0" applyNumberFormat="1" applyFont="1" applyBorder="1" applyAlignment="1">
      <alignment vertical="top" wrapText="1"/>
    </xf>
    <xf numFmtId="0" fontId="14" fillId="0" borderId="6" xfId="0" applyFont="1" applyFill="1" applyBorder="1" applyAlignment="1">
      <alignment vertical="top" wrapText="1"/>
    </xf>
    <xf numFmtId="49" fontId="14" fillId="0" borderId="0" xfId="0" applyNumberFormat="1" applyFont="1" applyBorder="1" applyAlignment="1">
      <alignment vertical="top" wrapText="1"/>
    </xf>
    <xf numFmtId="0" fontId="25" fillId="0" borderId="6" xfId="0" applyFont="1" applyBorder="1"/>
    <xf numFmtId="16" fontId="5" fillId="0" borderId="6" xfId="0" applyNumberFormat="1" applyFont="1" applyBorder="1" applyAlignment="1">
      <alignment vertical="top" wrapText="1"/>
    </xf>
    <xf numFmtId="0" fontId="0" fillId="0" borderId="4" xfId="0" applyBorder="1"/>
    <xf numFmtId="0" fontId="0" fillId="0" borderId="0" xfId="0"/>
    <xf numFmtId="0" fontId="0" fillId="2" borderId="6" xfId="0" applyFill="1" applyBorder="1"/>
    <xf numFmtId="0" fontId="0" fillId="0" borderId="0" xfId="0"/>
    <xf numFmtId="0" fontId="13" fillId="0" borderId="6" xfId="0" applyFont="1" applyBorder="1" applyAlignment="1">
      <alignment wrapText="1"/>
    </xf>
    <xf numFmtId="0" fontId="14" fillId="4" borderId="6" xfId="0" applyFont="1" applyFill="1" applyBorder="1" applyAlignment="1">
      <alignment horizontal="center" vertical="top" wrapText="1"/>
    </xf>
    <xf numFmtId="0" fontId="6" fillId="0" borderId="6" xfId="0" applyFont="1" applyFill="1" applyBorder="1" applyAlignment="1">
      <alignment vertical="top"/>
    </xf>
    <xf numFmtId="0" fontId="14" fillId="0" borderId="6" xfId="0" applyFont="1" applyBorder="1" applyAlignment="1">
      <alignment vertical="top"/>
    </xf>
    <xf numFmtId="0" fontId="0" fillId="0" borderId="1" xfId="0" applyBorder="1"/>
    <xf numFmtId="0" fontId="13" fillId="0" borderId="0" xfId="0" applyFont="1" applyBorder="1" applyAlignment="1">
      <alignment wrapText="1"/>
    </xf>
    <xf numFmtId="0" fontId="14" fillId="4" borderId="1" xfId="0" applyFont="1" applyFill="1" applyBorder="1" applyAlignment="1">
      <alignment horizontal="center" vertical="top" wrapText="1"/>
    </xf>
    <xf numFmtId="0" fontId="6" fillId="0" borderId="1" xfId="0" applyFont="1" applyFill="1" applyBorder="1" applyAlignment="1">
      <alignment vertical="top"/>
    </xf>
    <xf numFmtId="0" fontId="14" fillId="0" borderId="1" xfId="0" applyFont="1" applyBorder="1" applyAlignment="1">
      <alignment vertical="top"/>
    </xf>
    <xf numFmtId="0" fontId="42" fillId="4" borderId="1" xfId="0" applyFont="1" applyFill="1" applyBorder="1" applyAlignment="1">
      <alignment horizontal="center" vertical="center" wrapText="1"/>
    </xf>
    <xf numFmtId="0" fontId="6" fillId="0" borderId="1" xfId="0" applyFont="1" applyFill="1" applyBorder="1"/>
    <xf numFmtId="0" fontId="14" fillId="0" borderId="1" xfId="0" applyFont="1" applyBorder="1"/>
    <xf numFmtId="0" fontId="6" fillId="0" borderId="6" xfId="0" applyFont="1" applyBorder="1" applyAlignment="1">
      <alignment vertical="top" wrapText="1"/>
    </xf>
    <xf numFmtId="0" fontId="14" fillId="0" borderId="6" xfId="0" applyFont="1" applyBorder="1" applyAlignment="1"/>
    <xf numFmtId="0" fontId="74" fillId="0" borderId="6" xfId="0" applyFont="1" applyBorder="1" applyAlignment="1">
      <alignment vertical="top" wrapText="1"/>
    </xf>
    <xf numFmtId="0" fontId="9" fillId="0" borderId="6" xfId="0" applyFont="1" applyBorder="1" applyAlignment="1">
      <alignment vertical="top" wrapText="1"/>
    </xf>
    <xf numFmtId="0" fontId="5" fillId="3" borderId="11" xfId="0" applyFont="1" applyFill="1" applyBorder="1" applyAlignment="1">
      <alignment vertical="top" wrapText="1"/>
    </xf>
    <xf numFmtId="164" fontId="0" fillId="0" borderId="0" xfId="0" applyNumberFormat="1" applyBorder="1"/>
    <xf numFmtId="0" fontId="6" fillId="0" borderId="11" xfId="0" applyFont="1" applyBorder="1" applyAlignment="1">
      <alignment vertical="top" wrapText="1"/>
    </xf>
    <xf numFmtId="0" fontId="6" fillId="0" borderId="0" xfId="0" applyFont="1" applyBorder="1" applyAlignment="1">
      <alignment vertical="top" wrapText="1"/>
    </xf>
    <xf numFmtId="0" fontId="78" fillId="0" borderId="0" xfId="0" applyFont="1" applyBorder="1" applyAlignment="1">
      <alignment vertical="top" wrapText="1"/>
    </xf>
    <xf numFmtId="0" fontId="76" fillId="0" borderId="0" xfId="0" applyFont="1"/>
    <xf numFmtId="0" fontId="6" fillId="3" borderId="6" xfId="0" applyFont="1" applyFill="1" applyBorder="1" applyAlignment="1">
      <alignment vertical="top" wrapText="1"/>
    </xf>
    <xf numFmtId="0" fontId="5" fillId="0" borderId="6" xfId="0" applyFont="1" applyBorder="1" applyAlignment="1">
      <alignment wrapText="1"/>
    </xf>
    <xf numFmtId="9" fontId="5" fillId="0" borderId="6" xfId="1" applyFont="1" applyBorder="1" applyAlignment="1">
      <alignment vertical="top" wrapText="1"/>
    </xf>
    <xf numFmtId="0" fontId="46" fillId="0" borderId="6" xfId="0" applyFont="1" applyBorder="1" applyAlignment="1">
      <alignment wrapText="1"/>
    </xf>
    <xf numFmtId="0" fontId="79" fillId="0" borderId="6" xfId="0" applyFont="1" applyBorder="1" applyAlignment="1">
      <alignment wrapText="1"/>
    </xf>
    <xf numFmtId="0" fontId="80" fillId="0" borderId="6" xfId="0" applyFont="1" applyBorder="1" applyAlignment="1">
      <alignment vertical="top" wrapText="1"/>
    </xf>
    <xf numFmtId="0" fontId="5" fillId="2"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0" xfId="0"/>
    <xf numFmtId="0" fontId="25" fillId="0" borderId="0" xfId="0" applyFont="1" applyFill="1" applyAlignment="1">
      <alignment vertical="center"/>
    </xf>
    <xf numFmtId="0" fontId="65" fillId="0" borderId="0" xfId="0" applyFont="1" applyFill="1"/>
    <xf numFmtId="0" fontId="25" fillId="0" borderId="0" xfId="0" applyFont="1" applyFill="1" applyAlignment="1">
      <alignment horizontal="center" vertical="center"/>
    </xf>
    <xf numFmtId="0" fontId="25" fillId="0" borderId="0" xfId="0" applyFont="1" applyFill="1" applyAlignment="1">
      <alignment horizontal="left" vertical="center"/>
    </xf>
    <xf numFmtId="0" fontId="81" fillId="0" borderId="0" xfId="0" applyFont="1" applyFill="1" applyBorder="1" applyAlignment="1">
      <alignment vertical="top" wrapText="1"/>
    </xf>
    <xf numFmtId="0" fontId="25" fillId="0" borderId="0" xfId="0" applyFont="1" applyFill="1" applyAlignment="1"/>
    <xf numFmtId="0" fontId="81" fillId="0" borderId="0"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top" wrapText="1"/>
    </xf>
    <xf numFmtId="9" fontId="81" fillId="0" borderId="0" xfId="0" applyNumberFormat="1" applyFont="1" applyFill="1" applyBorder="1" applyAlignment="1">
      <alignment vertical="top" wrapText="1"/>
    </xf>
    <xf numFmtId="3" fontId="81" fillId="0" borderId="0" xfId="0" applyNumberFormat="1" applyFont="1" applyFill="1" applyBorder="1" applyAlignment="1">
      <alignment vertical="top" wrapText="1"/>
    </xf>
    <xf numFmtId="0" fontId="81" fillId="0" borderId="0" xfId="0" applyFont="1" applyFill="1" applyAlignment="1">
      <alignment vertical="top" wrapText="1"/>
    </xf>
    <xf numFmtId="0" fontId="81" fillId="0" borderId="0" xfId="0" applyFont="1" applyFill="1" applyBorder="1" applyAlignment="1">
      <alignment horizontal="left" vertical="center" wrapText="1"/>
    </xf>
    <xf numFmtId="0" fontId="71" fillId="0" borderId="0" xfId="0" applyFont="1"/>
    <xf numFmtId="0" fontId="9" fillId="0" borderId="6" xfId="0" applyFont="1" applyFill="1" applyBorder="1" applyAlignment="1">
      <alignment horizontal="center" vertical="center" wrapText="1"/>
    </xf>
    <xf numFmtId="0" fontId="14" fillId="0" borderId="7" xfId="0" applyFont="1" applyFill="1" applyBorder="1" applyAlignment="1">
      <alignment vertical="top"/>
    </xf>
    <xf numFmtId="0" fontId="14" fillId="0" borderId="0" xfId="0" applyFont="1" applyBorder="1" applyAlignment="1">
      <alignment vertical="top"/>
    </xf>
    <xf numFmtId="0" fontId="14" fillId="0" borderId="0" xfId="0" applyFont="1" applyFill="1" applyBorder="1" applyAlignment="1">
      <alignment vertical="top"/>
    </xf>
    <xf numFmtId="0" fontId="43" fillId="0" borderId="0" xfId="0" applyFont="1" applyAlignment="1"/>
    <xf numFmtId="0" fontId="9" fillId="2" borderId="0" xfId="0" applyFont="1" applyFill="1" applyBorder="1" applyAlignment="1">
      <alignment horizontal="center" vertical="center" wrapText="1"/>
    </xf>
    <xf numFmtId="0" fontId="0" fillId="3" borderId="0" xfId="0" applyFill="1"/>
    <xf numFmtId="0" fontId="5" fillId="2" borderId="11" xfId="0" applyFont="1" applyFill="1" applyBorder="1" applyAlignment="1">
      <alignment vertical="top" wrapText="1"/>
    </xf>
    <xf numFmtId="0" fontId="5" fillId="2" borderId="6" xfId="0" applyFont="1" applyFill="1" applyBorder="1" applyAlignment="1">
      <alignment wrapText="1"/>
    </xf>
    <xf numFmtId="0" fontId="5" fillId="2" borderId="6" xfId="0" applyFont="1" applyFill="1" applyBorder="1" applyAlignment="1">
      <alignment vertical="top"/>
    </xf>
    <xf numFmtId="0" fontId="5" fillId="2" borderId="11" xfId="0" applyFont="1" applyFill="1" applyBorder="1" applyAlignment="1">
      <alignment vertical="top"/>
    </xf>
    <xf numFmtId="0" fontId="5" fillId="0" borderId="14" xfId="0" applyFont="1" applyFill="1" applyBorder="1" applyAlignment="1">
      <alignment vertical="top" wrapText="1"/>
    </xf>
    <xf numFmtId="0" fontId="5" fillId="2" borderId="14" xfId="0" applyFont="1" applyFill="1" applyBorder="1" applyAlignment="1">
      <alignment wrapText="1"/>
    </xf>
    <xf numFmtId="0" fontId="5" fillId="2" borderId="14" xfId="0" applyFont="1" applyFill="1" applyBorder="1" applyAlignment="1">
      <alignment vertical="top"/>
    </xf>
    <xf numFmtId="1" fontId="13" fillId="0" borderId="0" xfId="0" applyNumberFormat="1" applyFont="1" applyFill="1" applyBorder="1" applyAlignment="1">
      <alignment vertical="center" wrapText="1"/>
    </xf>
    <xf numFmtId="164" fontId="65" fillId="0" borderId="0" xfId="1" applyNumberFormat="1" applyFont="1" applyFill="1" applyBorder="1"/>
    <xf numFmtId="164" fontId="65" fillId="0" borderId="6" xfId="1" applyNumberFormat="1" applyFont="1" applyFill="1" applyBorder="1"/>
    <xf numFmtId="0" fontId="87" fillId="0" borderId="6" xfId="0" applyFont="1" applyFill="1" applyBorder="1"/>
    <xf numFmtId="0" fontId="21" fillId="0" borderId="0" xfId="0" applyFont="1" applyAlignment="1">
      <alignment horizontal="right" readingOrder="1"/>
    </xf>
    <xf numFmtId="0" fontId="88" fillId="0" borderId="0" xfId="0" applyFont="1" applyAlignment="1">
      <alignment horizontal="right" readingOrder="1"/>
    </xf>
    <xf numFmtId="0" fontId="21" fillId="0" borderId="0" xfId="0" applyFont="1" applyAlignment="1">
      <alignment horizontal="left" vertical="center"/>
    </xf>
    <xf numFmtId="0" fontId="21" fillId="0" borderId="0" xfId="0" applyFont="1" applyAlignment="1">
      <alignment horizontal="justify"/>
    </xf>
    <xf numFmtId="0" fontId="23" fillId="0" borderId="0" xfId="0" applyFont="1"/>
    <xf numFmtId="0" fontId="11" fillId="0" borderId="6" xfId="0" applyFont="1" applyBorder="1" applyAlignment="1">
      <alignment horizontal="justify" vertical="center" wrapText="1"/>
    </xf>
    <xf numFmtId="0" fontId="16" fillId="0" borderId="11" xfId="0"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vertical="center"/>
    </xf>
    <xf numFmtId="0" fontId="88" fillId="0" borderId="0" xfId="0" applyFont="1" applyFill="1" applyBorder="1" applyAlignment="1">
      <alignment vertical="center" readingOrder="1"/>
    </xf>
    <xf numFmtId="0" fontId="83" fillId="0" borderId="0" xfId="0" applyFont="1"/>
    <xf numFmtId="9" fontId="0" fillId="0" borderId="6" xfId="0" applyNumberFormat="1" applyBorder="1"/>
    <xf numFmtId="0" fontId="13" fillId="6" borderId="6" xfId="0" applyFont="1" applyFill="1" applyBorder="1" applyAlignment="1">
      <alignment vertical="top" wrapText="1"/>
    </xf>
    <xf numFmtId="0" fontId="91" fillId="0" borderId="0" xfId="0" applyFont="1"/>
    <xf numFmtId="0" fontId="78" fillId="4" borderId="6" xfId="0" applyFont="1" applyFill="1" applyBorder="1" applyAlignment="1">
      <alignment horizontal="center" vertical="center" wrapText="1"/>
    </xf>
    <xf numFmtId="0" fontId="6" fillId="6" borderId="6" xfId="0" applyFont="1" applyFill="1" applyBorder="1" applyAlignment="1">
      <alignment vertical="top" wrapText="1"/>
    </xf>
    <xf numFmtId="0" fontId="6" fillId="0" borderId="0" xfId="0" applyFont="1" applyFill="1" applyBorder="1" applyAlignment="1">
      <alignment vertical="top" wrapText="1"/>
    </xf>
    <xf numFmtId="0" fontId="76" fillId="0" borderId="0" xfId="0" applyFont="1" applyAlignment="1">
      <alignment horizontal="right" vertical="center"/>
    </xf>
    <xf numFmtId="0" fontId="97" fillId="0" borderId="0" xfId="0" applyFont="1"/>
    <xf numFmtId="0" fontId="0" fillId="0" borderId="0" xfId="0"/>
    <xf numFmtId="9" fontId="20" fillId="2" borderId="6" xfId="1" applyFont="1" applyFill="1" applyBorder="1" applyAlignment="1">
      <alignment vertical="top" wrapText="1"/>
    </xf>
    <xf numFmtId="9" fontId="5" fillId="2" borderId="6" xfId="1" applyFont="1" applyFill="1" applyBorder="1" applyAlignment="1">
      <alignment vertical="top" wrapText="1"/>
    </xf>
    <xf numFmtId="0" fontId="5" fillId="0" borderId="6"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Fill="1" applyBorder="1" applyAlignment="1">
      <alignment vertical="center" wrapText="1"/>
    </xf>
    <xf numFmtId="1" fontId="5" fillId="0" borderId="11" xfId="0" applyNumberFormat="1" applyFont="1" applyFill="1" applyBorder="1" applyAlignment="1">
      <alignment vertical="center" wrapText="1"/>
    </xf>
    <xf numFmtId="0" fontId="5" fillId="0" borderId="0" xfId="0" applyFont="1" applyBorder="1" applyAlignment="1">
      <alignment vertical="center" wrapText="1"/>
    </xf>
    <xf numFmtId="1" fontId="5" fillId="0" borderId="0" xfId="0" applyNumberFormat="1" applyFont="1" applyBorder="1" applyAlignment="1">
      <alignment vertical="center" wrapText="1"/>
    </xf>
    <xf numFmtId="1" fontId="5" fillId="0" borderId="0" xfId="0" applyNumberFormat="1" applyFont="1" applyFill="1" applyBorder="1" applyAlignment="1">
      <alignment vertical="center" wrapText="1"/>
    </xf>
    <xf numFmtId="1" fontId="5" fillId="3" borderId="6" xfId="0" applyNumberFormat="1" applyFont="1" applyFill="1" applyBorder="1" applyAlignment="1">
      <alignment vertical="center" wrapText="1"/>
    </xf>
    <xf numFmtId="164" fontId="36" fillId="3" borderId="6" xfId="1" applyNumberFormat="1" applyFont="1" applyFill="1" applyBorder="1"/>
    <xf numFmtId="0" fontId="31" fillId="0" borderId="13" xfId="0" applyFont="1" applyBorder="1" applyAlignment="1">
      <alignment vertical="top" wrapText="1"/>
    </xf>
    <xf numFmtId="49" fontId="5" fillId="0" borderId="2" xfId="0" applyNumberFormat="1" applyFont="1" applyBorder="1" applyAlignment="1">
      <alignment horizontal="right" vertical="top" wrapText="1"/>
    </xf>
    <xf numFmtId="0" fontId="5" fillId="0" borderId="4" xfId="0" applyFont="1" applyBorder="1" applyAlignment="1">
      <alignment vertical="top" wrapText="1"/>
    </xf>
    <xf numFmtId="0" fontId="5" fillId="0" borderId="5" xfId="0" applyFont="1" applyBorder="1" applyAlignment="1">
      <alignment vertical="top" wrapText="1"/>
    </xf>
    <xf numFmtId="3" fontId="31" fillId="0" borderId="6" xfId="0" applyNumberFormat="1" applyFont="1" applyFill="1" applyBorder="1" applyAlignment="1">
      <alignment vertical="center" wrapText="1"/>
    </xf>
    <xf numFmtId="3" fontId="31" fillId="0" borderId="6" xfId="0" applyNumberFormat="1" applyFont="1" applyBorder="1" applyAlignment="1">
      <alignment vertical="center" wrapText="1"/>
    </xf>
    <xf numFmtId="0" fontId="36" fillId="0" borderId="0" xfId="0" applyFont="1"/>
    <xf numFmtId="1" fontId="31" fillId="3" borderId="6" xfId="0" applyNumberFormat="1" applyFont="1" applyFill="1" applyBorder="1" applyAlignment="1">
      <alignment vertical="center" wrapText="1"/>
    </xf>
    <xf numFmtId="9" fontId="36" fillId="3" borderId="6" xfId="1" applyFont="1" applyFill="1" applyBorder="1" applyAlignment="1">
      <alignment horizontal="right" vertical="top"/>
    </xf>
    <xf numFmtId="1" fontId="31" fillId="0" borderId="6" xfId="0" applyNumberFormat="1" applyFont="1" applyFill="1" applyBorder="1" applyAlignment="1">
      <alignment vertical="center" wrapText="1"/>
    </xf>
    <xf numFmtId="0" fontId="40" fillId="0" borderId="0" xfId="0" applyFont="1"/>
    <xf numFmtId="0" fontId="40" fillId="0" borderId="0" xfId="0" applyFont="1" applyAlignment="1">
      <alignment horizontal="right" vertical="center"/>
    </xf>
    <xf numFmtId="9" fontId="5" fillId="0" borderId="11" xfId="1" applyFont="1" applyBorder="1" applyAlignment="1">
      <alignment vertical="top" wrapText="1"/>
    </xf>
    <xf numFmtId="9" fontId="36" fillId="0" borderId="6" xfId="1" applyFont="1" applyBorder="1" applyAlignment="1">
      <alignment horizontal="right" vertical="top"/>
    </xf>
    <xf numFmtId="0" fontId="5" fillId="0" borderId="3" xfId="0" applyFont="1" applyBorder="1" applyAlignment="1">
      <alignment vertical="top" wrapText="1"/>
    </xf>
    <xf numFmtId="0" fontId="2" fillId="0" borderId="0" xfId="0" applyFont="1" applyBorder="1"/>
    <xf numFmtId="9" fontId="28" fillId="0" borderId="6" xfId="0" applyNumberFormat="1" applyFont="1" applyBorder="1"/>
    <xf numFmtId="9" fontId="28" fillId="0" borderId="13" xfId="1" applyFont="1" applyBorder="1" applyAlignment="1">
      <alignment horizontal="center" vertical="center"/>
    </xf>
    <xf numFmtId="0" fontId="18" fillId="0" borderId="2" xfId="0" applyFont="1" applyBorder="1" applyAlignment="1">
      <alignment horizontal="left" vertical="top" wrapText="1" readingOrder="1"/>
    </xf>
    <xf numFmtId="0" fontId="18" fillId="0" borderId="4" xfId="0" applyFont="1" applyBorder="1" applyAlignment="1">
      <alignment horizontal="left" vertical="top" wrapText="1" readingOrder="1"/>
    </xf>
    <xf numFmtId="9" fontId="5" fillId="0" borderId="6" xfId="1" applyFont="1" applyBorder="1" applyAlignment="1">
      <alignment horizontal="center" vertical="center"/>
    </xf>
    <xf numFmtId="9" fontId="5" fillId="2" borderId="6" xfId="1" applyFont="1" applyFill="1" applyBorder="1" applyAlignment="1">
      <alignment horizontal="center" vertical="center"/>
    </xf>
    <xf numFmtId="0" fontId="102" fillId="0" borderId="0" xfId="0" applyFont="1" applyAlignment="1">
      <alignment vertical="top" wrapText="1"/>
    </xf>
    <xf numFmtId="0" fontId="103" fillId="0" borderId="0" xfId="0" applyFont="1"/>
    <xf numFmtId="0" fontId="103" fillId="0" borderId="0" xfId="0" applyFont="1" applyAlignment="1">
      <alignment horizontal="right"/>
    </xf>
    <xf numFmtId="0" fontId="105" fillId="0" borderId="0" xfId="0" applyFont="1"/>
    <xf numFmtId="0" fontId="18" fillId="9" borderId="6" xfId="0" applyFont="1" applyFill="1" applyBorder="1" applyAlignment="1">
      <alignment vertical="top" wrapText="1"/>
    </xf>
    <xf numFmtId="0" fontId="101" fillId="9" borderId="6" xfId="0" applyFont="1" applyFill="1" applyBorder="1" applyAlignment="1">
      <alignment vertical="top" wrapText="1"/>
    </xf>
    <xf numFmtId="0" fontId="18" fillId="0" borderId="6" xfId="0" applyFont="1" applyBorder="1" applyAlignment="1">
      <alignment vertical="top" wrapText="1"/>
    </xf>
    <xf numFmtId="0" fontId="18" fillId="0" borderId="0" xfId="0" applyFont="1" applyBorder="1" applyAlignment="1">
      <alignment vertical="top" wrapText="1"/>
    </xf>
    <xf numFmtId="0" fontId="9" fillId="2" borderId="6" xfId="0" applyNumberFormat="1" applyFont="1" applyFill="1" applyBorder="1" applyAlignment="1">
      <alignment horizontal="center" vertical="center" wrapText="1"/>
    </xf>
    <xf numFmtId="0" fontId="18" fillId="0" borderId="6" xfId="0" applyFont="1" applyBorder="1" applyAlignment="1">
      <alignment wrapText="1"/>
    </xf>
    <xf numFmtId="1" fontId="5" fillId="0" borderId="11" xfId="0" applyNumberFormat="1" applyFont="1" applyBorder="1" applyAlignment="1">
      <alignment vertical="top" wrapText="1"/>
    </xf>
    <xf numFmtId="1" fontId="5" fillId="3" borderId="11" xfId="0" applyNumberFormat="1" applyFont="1" applyFill="1" applyBorder="1" applyAlignment="1">
      <alignment vertical="top" wrapText="1"/>
    </xf>
    <xf numFmtId="0" fontId="28" fillId="0" borderId="6" xfId="0" applyFont="1" applyBorder="1"/>
    <xf numFmtId="0" fontId="107" fillId="5" borderId="6" xfId="0" applyFont="1" applyFill="1" applyBorder="1" applyAlignment="1">
      <alignment horizontal="center" vertical="top" wrapText="1"/>
    </xf>
    <xf numFmtId="0" fontId="31" fillId="0" borderId="6" xfId="0" applyFont="1" applyBorder="1" applyAlignment="1">
      <alignment wrapText="1"/>
    </xf>
    <xf numFmtId="3" fontId="14" fillId="0" borderId="6" xfId="0" applyNumberFormat="1" applyFont="1" applyBorder="1" applyAlignment="1">
      <alignment vertical="center" wrapText="1"/>
    </xf>
    <xf numFmtId="0" fontId="14" fillId="0" borderId="0" xfId="0" applyFont="1" applyBorder="1" applyAlignment="1">
      <alignment vertical="center" wrapText="1"/>
    </xf>
    <xf numFmtId="3" fontId="14" fillId="0" borderId="0" xfId="0" applyNumberFormat="1" applyFont="1" applyBorder="1" applyAlignment="1">
      <alignment vertical="center" wrapText="1"/>
    </xf>
    <xf numFmtId="0" fontId="81" fillId="0" borderId="0" xfId="0" applyFont="1"/>
    <xf numFmtId="0" fontId="5" fillId="0" borderId="4" xfId="0" applyFont="1" applyBorder="1" applyAlignment="1">
      <alignment wrapText="1"/>
    </xf>
    <xf numFmtId="9" fontId="36" fillId="0" borderId="4" xfId="0" applyNumberFormat="1" applyFont="1" applyBorder="1"/>
    <xf numFmtId="9" fontId="5" fillId="0" borderId="6" xfId="1" applyNumberFormat="1" applyFont="1" applyBorder="1" applyAlignment="1">
      <alignment horizontal="center" vertical="center" wrapText="1"/>
    </xf>
    <xf numFmtId="9" fontId="5" fillId="2" borderId="6" xfId="1" applyNumberFormat="1" applyFont="1" applyFill="1" applyBorder="1" applyAlignment="1">
      <alignment horizontal="center" vertical="center" wrapText="1"/>
    </xf>
    <xf numFmtId="3" fontId="5" fillId="0" borderId="6" xfId="0" applyNumberFormat="1" applyFont="1" applyBorder="1" applyAlignment="1">
      <alignment vertical="center" wrapText="1"/>
    </xf>
    <xf numFmtId="0" fontId="5" fillId="2" borderId="6" xfId="0" applyFont="1" applyFill="1" applyBorder="1" applyAlignment="1">
      <alignment vertical="center" wrapText="1"/>
    </xf>
    <xf numFmtId="1" fontId="5" fillId="2" borderId="6" xfId="0" applyNumberFormat="1" applyFont="1" applyFill="1" applyBorder="1" applyAlignment="1">
      <alignment vertical="center" wrapText="1"/>
    </xf>
    <xf numFmtId="1" fontId="5" fillId="2" borderId="11" xfId="0" applyNumberFormat="1" applyFont="1" applyFill="1" applyBorder="1" applyAlignment="1">
      <alignment vertical="center" wrapText="1"/>
    </xf>
    <xf numFmtId="3" fontId="5" fillId="0" borderId="6"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5" fillId="0" borderId="0" xfId="0" applyFont="1" applyAlignment="1">
      <alignment vertical="center" wrapText="1"/>
    </xf>
    <xf numFmtId="9" fontId="9" fillId="0" borderId="6" xfId="1" applyNumberFormat="1" applyFont="1" applyFill="1" applyBorder="1" applyAlignment="1">
      <alignment horizontal="center" vertical="top"/>
    </xf>
    <xf numFmtId="9" fontId="36" fillId="0" borderId="6" xfId="1" applyNumberFormat="1" applyFont="1" applyFill="1" applyBorder="1"/>
    <xf numFmtId="9" fontId="9" fillId="0" borderId="6" xfId="1" applyNumberFormat="1" applyFont="1" applyFill="1" applyBorder="1" applyAlignment="1">
      <alignment vertical="top"/>
    </xf>
    <xf numFmtId="9" fontId="9" fillId="2" borderId="6" xfId="1" applyNumberFormat="1" applyFont="1" applyFill="1" applyBorder="1" applyAlignment="1">
      <alignment vertical="top"/>
    </xf>
    <xf numFmtId="9" fontId="9" fillId="0" borderId="6" xfId="1" applyNumberFormat="1" applyFont="1" applyFill="1" applyBorder="1"/>
    <xf numFmtId="0" fontId="5" fillId="0" borderId="6" xfId="0" applyFont="1" applyBorder="1" applyAlignment="1">
      <alignment horizontal="center" vertical="center" wrapText="1"/>
    </xf>
    <xf numFmtId="0" fontId="5" fillId="8" borderId="6" xfId="0" applyFont="1" applyFill="1" applyBorder="1" applyAlignment="1">
      <alignment horizontal="left" vertical="center" wrapText="1"/>
    </xf>
    <xf numFmtId="0" fontId="5" fillId="8" borderId="6" xfId="0" applyFont="1" applyFill="1" applyBorder="1" applyAlignment="1">
      <alignment vertical="top" wrapText="1"/>
    </xf>
    <xf numFmtId="0" fontId="5" fillId="8" borderId="6" xfId="0" applyFont="1" applyFill="1" applyBorder="1" applyAlignment="1">
      <alignment horizontal="center" vertical="center" wrapText="1"/>
    </xf>
    <xf numFmtId="0" fontId="5" fillId="0" borderId="6" xfId="0" applyFont="1" applyBorder="1" applyAlignment="1">
      <alignment horizontal="left" vertical="center" wrapText="1"/>
    </xf>
    <xf numFmtId="3" fontId="5" fillId="0" borderId="6" xfId="0" applyNumberFormat="1" applyFont="1" applyBorder="1" applyAlignment="1">
      <alignment horizontal="center" vertical="center" wrapText="1"/>
    </xf>
    <xf numFmtId="0" fontId="13" fillId="0" borderId="6" xfId="0" applyFont="1" applyFill="1" applyBorder="1" applyAlignment="1">
      <alignment vertical="top" wrapText="1"/>
    </xf>
    <xf numFmtId="0" fontId="42" fillId="0" borderId="6" xfId="0" applyFont="1" applyBorder="1" applyAlignment="1">
      <alignment vertical="top" wrapText="1"/>
    </xf>
    <xf numFmtId="9" fontId="5" fillId="0" borderId="6" xfId="1" applyFont="1" applyBorder="1"/>
    <xf numFmtId="0" fontId="5" fillId="0" borderId="10" xfId="0" applyFont="1" applyBorder="1" applyAlignment="1">
      <alignment wrapText="1"/>
    </xf>
    <xf numFmtId="0" fontId="9" fillId="0" borderId="6" xfId="0" applyFont="1" applyBorder="1" applyAlignment="1">
      <alignment vertical="center" wrapText="1"/>
    </xf>
    <xf numFmtId="0" fontId="5" fillId="0" borderId="0" xfId="0" applyFont="1"/>
    <xf numFmtId="9" fontId="5" fillId="0" borderId="6" xfId="1" applyFont="1" applyBorder="1" applyAlignment="1">
      <alignment vertical="center"/>
    </xf>
    <xf numFmtId="9" fontId="5" fillId="0" borderId="6" xfId="0" applyNumberFormat="1" applyFont="1" applyBorder="1" applyAlignment="1">
      <alignment vertical="center"/>
    </xf>
    <xf numFmtId="9" fontId="5" fillId="3" borderId="6" xfId="1" applyFont="1" applyFill="1" applyBorder="1" applyAlignment="1">
      <alignment vertical="center"/>
    </xf>
    <xf numFmtId="9" fontId="5" fillId="0" borderId="6" xfId="1" applyFont="1" applyFill="1" applyBorder="1" applyAlignment="1">
      <alignment vertical="center"/>
    </xf>
    <xf numFmtId="0" fontId="5" fillId="0" borderId="0" xfId="0" applyFont="1" applyAlignment="1">
      <alignment wrapText="1"/>
    </xf>
    <xf numFmtId="9" fontId="5" fillId="0" borderId="6" xfId="0" applyNumberFormat="1" applyFont="1" applyFill="1" applyBorder="1" applyAlignment="1">
      <alignment vertical="center"/>
    </xf>
    <xf numFmtId="0" fontId="5" fillId="0" borderId="11" xfId="0" applyFont="1" applyBorder="1" applyAlignment="1">
      <alignment horizontal="right" vertical="top" wrapText="1"/>
    </xf>
    <xf numFmtId="0" fontId="109" fillId="0" borderId="0" xfId="0" applyFont="1"/>
    <xf numFmtId="9" fontId="5" fillId="0" borderId="6" xfId="1" applyNumberFormat="1" applyFont="1" applyFill="1" applyBorder="1" applyAlignment="1">
      <alignment vertical="top"/>
    </xf>
    <xf numFmtId="9" fontId="6" fillId="0" borderId="11" xfId="1" applyFont="1" applyBorder="1" applyAlignment="1">
      <alignment vertical="top" wrapText="1"/>
    </xf>
    <xf numFmtId="0" fontId="5" fillId="0" borderId="0" xfId="0" applyFont="1" applyFill="1" applyAlignment="1">
      <alignment vertical="center"/>
    </xf>
    <xf numFmtId="0" fontId="5" fillId="0" borderId="0" xfId="0" applyFont="1" applyFill="1"/>
    <xf numFmtId="0" fontId="14" fillId="0" borderId="6" xfId="0" applyFont="1" applyFill="1" applyBorder="1" applyAlignment="1">
      <alignment horizontal="center" vertical="center" wrapText="1"/>
    </xf>
    <xf numFmtId="0" fontId="5" fillId="0" borderId="0" xfId="0" applyFont="1" applyFill="1" applyAlignment="1">
      <alignment wrapText="1"/>
    </xf>
    <xf numFmtId="0" fontId="5" fillId="0" borderId="6" xfId="0" applyFont="1" applyFill="1" applyBorder="1" applyAlignment="1">
      <alignment horizontal="right" vertical="center"/>
    </xf>
    <xf numFmtId="0" fontId="14" fillId="0" borderId="13" xfId="0" applyFont="1" applyFill="1" applyBorder="1" applyAlignment="1">
      <alignment horizontal="right" vertical="center"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right" vertical="center" wrapText="1"/>
    </xf>
    <xf numFmtId="1" fontId="14" fillId="0" borderId="6" xfId="0" applyNumberFormat="1" applyFont="1" applyFill="1" applyBorder="1" applyAlignment="1">
      <alignment horizontal="right" vertical="center" wrapText="1"/>
    </xf>
    <xf numFmtId="1" fontId="5" fillId="0" borderId="0" xfId="0" applyNumberFormat="1" applyFont="1" applyFill="1" applyAlignment="1">
      <alignment horizontal="right" vertical="center"/>
    </xf>
    <xf numFmtId="1" fontId="14" fillId="0" borderId="11" xfId="0" applyNumberFormat="1" applyFont="1" applyFill="1" applyBorder="1" applyAlignment="1">
      <alignment horizontal="right" vertical="center" wrapText="1"/>
    </xf>
    <xf numFmtId="9" fontId="5" fillId="0" borderId="6" xfId="1" applyNumberFormat="1" applyFont="1" applyFill="1" applyBorder="1" applyAlignment="1">
      <alignment horizontal="center" vertical="center" wrapText="1"/>
    </xf>
    <xf numFmtId="0" fontId="5" fillId="0" borderId="0" xfId="0" applyFont="1" applyFill="1" applyAlignment="1">
      <alignment horizontal="right" vertical="center"/>
    </xf>
    <xf numFmtId="0" fontId="14" fillId="0" borderId="11" xfId="0"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1" fontId="14" fillId="0" borderId="6" xfId="0" applyNumberFormat="1" applyFont="1" applyFill="1" applyBorder="1" applyAlignment="1">
      <alignment horizontal="right" vertical="center"/>
    </xf>
    <xf numFmtId="0" fontId="14" fillId="0" borderId="6" xfId="0" applyFont="1" applyFill="1" applyBorder="1" applyAlignment="1">
      <alignment horizontal="right" vertical="center"/>
    </xf>
    <xf numFmtId="0" fontId="14" fillId="0" borderId="6" xfId="0" applyFont="1" applyFill="1" applyBorder="1" applyAlignment="1">
      <alignment horizontal="right" vertical="top" wrapText="1"/>
    </xf>
    <xf numFmtId="1" fontId="14" fillId="0" borderId="6" xfId="0" applyNumberFormat="1" applyFont="1" applyFill="1" applyBorder="1" applyAlignment="1">
      <alignment horizontal="right" vertical="top" wrapText="1"/>
    </xf>
    <xf numFmtId="0" fontId="14" fillId="0" borderId="6" xfId="0" applyFont="1" applyFill="1" applyBorder="1" applyAlignment="1">
      <alignment horizontal="right" vertical="top"/>
    </xf>
    <xf numFmtId="0" fontId="14" fillId="0" borderId="11" xfId="0" applyFont="1" applyFill="1" applyBorder="1" applyAlignment="1">
      <alignment horizontal="right" vertical="top" wrapText="1"/>
    </xf>
    <xf numFmtId="0" fontId="5" fillId="0" borderId="0" xfId="0" applyFont="1" applyFill="1" applyAlignment="1">
      <alignment horizontal="right"/>
    </xf>
    <xf numFmtId="1" fontId="5" fillId="0" borderId="6" xfId="0" applyNumberFormat="1" applyFont="1" applyFill="1" applyBorder="1" applyAlignment="1">
      <alignment horizontal="right" vertical="center"/>
    </xf>
    <xf numFmtId="49" fontId="14" fillId="0" borderId="0" xfId="0" applyNumberFormat="1" applyFont="1" applyFill="1" applyBorder="1" applyAlignment="1">
      <alignment horizontal="right" vertical="center" wrapText="1"/>
    </xf>
    <xf numFmtId="0" fontId="14" fillId="0" borderId="7"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9" fontId="5" fillId="0" borderId="6"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Fill="1"/>
    <xf numFmtId="0" fontId="13" fillId="0" borderId="6" xfId="0" applyFont="1" applyFill="1" applyBorder="1" applyAlignment="1">
      <alignment horizontal="left" vertical="center" wrapText="1"/>
    </xf>
    <xf numFmtId="9" fontId="14" fillId="0" borderId="6" xfId="0" applyNumberFormat="1" applyFont="1" applyFill="1" applyBorder="1" applyAlignment="1">
      <alignment vertical="top" wrapText="1"/>
    </xf>
    <xf numFmtId="3" fontId="14" fillId="0" borderId="6" xfId="0" applyNumberFormat="1" applyFont="1" applyFill="1" applyBorder="1" applyAlignment="1">
      <alignment vertical="top" wrapText="1"/>
    </xf>
    <xf numFmtId="0" fontId="11" fillId="0" borderId="6" xfId="0" applyFont="1" applyFill="1" applyBorder="1" applyAlignment="1">
      <alignment horizontal="center" vertical="center"/>
    </xf>
    <xf numFmtId="0" fontId="11" fillId="0" borderId="0" xfId="0" applyFont="1" applyFill="1" applyAlignment="1">
      <alignment horizontal="center" vertical="center"/>
    </xf>
    <xf numFmtId="0" fontId="13" fillId="0" borderId="6" xfId="0" applyFont="1" applyFill="1" applyBorder="1" applyAlignment="1">
      <alignment horizontal="center" vertical="center" wrapText="1"/>
    </xf>
    <xf numFmtId="1" fontId="14" fillId="0" borderId="6" xfId="0" applyNumberFormat="1" applyFont="1" applyFill="1" applyBorder="1" applyAlignment="1">
      <alignment horizontal="center" vertical="center" wrapText="1"/>
    </xf>
    <xf numFmtId="0" fontId="22" fillId="0" borderId="0" xfId="0" applyFont="1"/>
    <xf numFmtId="3" fontId="36" fillId="0" borderId="6" xfId="0" applyNumberFormat="1" applyFont="1" applyBorder="1" applyAlignment="1">
      <alignment vertical="center"/>
    </xf>
    <xf numFmtId="3" fontId="5" fillId="0" borderId="11" xfId="0" applyNumberFormat="1" applyFont="1" applyBorder="1" applyAlignment="1">
      <alignment vertical="center" wrapText="1"/>
    </xf>
    <xf numFmtId="0" fontId="36" fillId="0" borderId="0" xfId="0" applyFont="1" applyAlignment="1">
      <alignment vertical="center"/>
    </xf>
    <xf numFmtId="0" fontId="36" fillId="2" borderId="0" xfId="0" applyFont="1" applyFill="1" applyAlignment="1">
      <alignment vertical="center"/>
    </xf>
    <xf numFmtId="1" fontId="5" fillId="2" borderId="0" xfId="0" applyNumberFormat="1" applyFont="1" applyFill="1" applyBorder="1" applyAlignment="1">
      <alignment vertical="center" wrapText="1"/>
    </xf>
    <xf numFmtId="1" fontId="5" fillId="0" borderId="6" xfId="0" applyNumberFormat="1" applyFont="1" applyFill="1" applyBorder="1" applyAlignment="1">
      <alignment horizontal="center" vertical="center" wrapText="1"/>
    </xf>
    <xf numFmtId="0" fontId="36" fillId="0" borderId="0" xfId="0" applyFont="1" applyAlignment="1">
      <alignment horizontal="right" vertical="center"/>
    </xf>
    <xf numFmtId="0" fontId="6" fillId="0" borderId="0" xfId="0" applyFont="1" applyAlignment="1">
      <alignment vertical="top" wrapText="1"/>
    </xf>
    <xf numFmtId="0" fontId="70" fillId="0" borderId="0" xfId="0" applyFont="1"/>
    <xf numFmtId="0" fontId="111" fillId="0" borderId="0" xfId="0" applyFont="1"/>
    <xf numFmtId="9" fontId="5" fillId="2" borderId="6" xfId="1" applyNumberFormat="1" applyFont="1" applyFill="1" applyBorder="1" applyAlignment="1">
      <alignment vertical="center"/>
    </xf>
    <xf numFmtId="9" fontId="5" fillId="0" borderId="6" xfId="0" applyNumberFormat="1" applyFont="1" applyBorder="1"/>
    <xf numFmtId="9" fontId="5" fillId="0" borderId="0" xfId="0" applyNumberFormat="1" applyFont="1"/>
    <xf numFmtId="0" fontId="112" fillId="0" borderId="6" xfId="0" applyFont="1" applyBorder="1" applyAlignment="1">
      <alignment vertical="top" wrapText="1"/>
    </xf>
    <xf numFmtId="3" fontId="42" fillId="0" borderId="6" xfId="0" applyNumberFormat="1" applyFont="1" applyBorder="1" applyAlignment="1">
      <alignment vertical="top" wrapText="1"/>
    </xf>
    <xf numFmtId="3" fontId="42" fillId="2" borderId="6" xfId="0" applyNumberFormat="1" applyFont="1" applyFill="1" applyBorder="1" applyAlignment="1">
      <alignment vertical="top" wrapText="1"/>
    </xf>
    <xf numFmtId="49" fontId="112" fillId="0" borderId="6" xfId="0" applyNumberFormat="1" applyFont="1" applyBorder="1" applyAlignment="1">
      <alignment vertical="top" wrapText="1"/>
    </xf>
    <xf numFmtId="0" fontId="112" fillId="0" borderId="6" xfId="0" applyFont="1" applyFill="1" applyBorder="1" applyAlignment="1">
      <alignment vertical="top" wrapText="1"/>
    </xf>
    <xf numFmtId="49" fontId="112" fillId="0" borderId="6" xfId="0" applyNumberFormat="1" applyFont="1" applyFill="1" applyBorder="1" applyAlignment="1">
      <alignment vertical="top" wrapText="1"/>
    </xf>
    <xf numFmtId="0" fontId="28" fillId="0" borderId="0" xfId="0" applyFont="1" applyAlignment="1"/>
    <xf numFmtId="3" fontId="113" fillId="2" borderId="6" xfId="0" applyNumberFormat="1" applyFont="1" applyFill="1" applyBorder="1" applyAlignment="1">
      <alignment vertical="top" wrapText="1"/>
    </xf>
    <xf numFmtId="0" fontId="112" fillId="2" borderId="6" xfId="0" applyFont="1" applyFill="1" applyBorder="1" applyAlignment="1">
      <alignment vertical="top" wrapText="1"/>
    </xf>
    <xf numFmtId="9" fontId="36" fillId="0" borderId="6" xfId="1" applyNumberFormat="1" applyFont="1" applyFill="1" applyBorder="1" applyAlignment="1">
      <alignment vertical="center"/>
    </xf>
    <xf numFmtId="9" fontId="5" fillId="0" borderId="6" xfId="1" applyNumberFormat="1" applyFont="1" applyFill="1" applyBorder="1" applyAlignment="1">
      <alignment horizontal="right" vertical="center" wrapText="1"/>
    </xf>
    <xf numFmtId="9" fontId="5" fillId="0" borderId="6" xfId="1" applyNumberFormat="1" applyFont="1" applyFill="1" applyBorder="1" applyAlignment="1">
      <alignment vertical="center"/>
    </xf>
    <xf numFmtId="9" fontId="109" fillId="0" borderId="0" xfId="0" applyNumberFormat="1" applyFont="1"/>
    <xf numFmtId="9" fontId="109" fillId="0" borderId="6" xfId="0" applyNumberFormat="1" applyFont="1" applyBorder="1"/>
    <xf numFmtId="9" fontId="114" fillId="0" borderId="0" xfId="0" applyNumberFormat="1" applyFont="1"/>
    <xf numFmtId="9" fontId="5" fillId="0" borderId="6" xfId="0" applyNumberFormat="1" applyFont="1" applyBorder="1" applyAlignment="1">
      <alignment vertical="top" wrapText="1"/>
    </xf>
    <xf numFmtId="9" fontId="5" fillId="0" borderId="6" xfId="1" applyNumberFormat="1" applyFont="1" applyBorder="1" applyAlignment="1">
      <alignment vertical="top" wrapText="1"/>
    </xf>
    <xf numFmtId="9" fontId="4" fillId="0" borderId="0" xfId="0" applyNumberFormat="1" applyFont="1" applyBorder="1" applyAlignment="1">
      <alignment horizontal="center"/>
    </xf>
    <xf numFmtId="9" fontId="5" fillId="3" borderId="6" xfId="0" applyNumberFormat="1" applyFont="1" applyFill="1" applyBorder="1" applyAlignment="1">
      <alignment vertical="top" wrapText="1"/>
    </xf>
    <xf numFmtId="9" fontId="5" fillId="0" borderId="6" xfId="1" applyNumberFormat="1" applyFont="1" applyFill="1" applyBorder="1" applyAlignment="1">
      <alignment vertical="top" wrapText="1"/>
    </xf>
    <xf numFmtId="9" fontId="5" fillId="0" borderId="6" xfId="1" applyNumberFormat="1" applyFont="1" applyBorder="1"/>
    <xf numFmtId="9" fontId="5" fillId="0" borderId="6" xfId="1" applyNumberFormat="1" applyFont="1" applyBorder="1" applyAlignment="1">
      <alignment vertical="top"/>
    </xf>
    <xf numFmtId="9" fontId="5" fillId="0" borderId="6" xfId="1" applyNumberFormat="1" applyFont="1" applyFill="1" applyBorder="1" applyAlignment="1">
      <alignment horizontal="right" vertical="top"/>
    </xf>
    <xf numFmtId="9" fontId="14" fillId="0" borderId="6" xfId="1" applyNumberFormat="1" applyFont="1" applyFill="1" applyBorder="1" applyAlignment="1">
      <alignment horizontal="right" vertical="top"/>
    </xf>
    <xf numFmtId="1" fontId="14" fillId="0" borderId="6" xfId="0" applyNumberFormat="1" applyFont="1" applyFill="1" applyBorder="1" applyAlignment="1">
      <alignment vertical="center" wrapText="1"/>
    </xf>
    <xf numFmtId="0" fontId="5" fillId="0" borderId="6" xfId="0" applyFont="1" applyBorder="1" applyAlignment="1">
      <alignment horizontal="justify" vertical="top" wrapText="1"/>
    </xf>
    <xf numFmtId="1" fontId="5" fillId="0" borderId="6" xfId="0" applyNumberFormat="1" applyFont="1" applyBorder="1" applyAlignment="1">
      <alignment horizontal="center" vertical="center" wrapText="1"/>
    </xf>
    <xf numFmtId="0" fontId="5" fillId="0" borderId="6" xfId="0" applyFont="1" applyBorder="1" applyAlignment="1">
      <alignment horizontal="justify" vertical="center" wrapText="1"/>
    </xf>
    <xf numFmtId="0" fontId="5" fillId="0" borderId="6" xfId="0" applyFont="1" applyFill="1" applyBorder="1" applyAlignment="1">
      <alignment horizontal="justify" vertical="center" wrapText="1"/>
    </xf>
    <xf numFmtId="0" fontId="115" fillId="0" borderId="6" xfId="0" applyFont="1" applyBorder="1" applyAlignment="1">
      <alignment vertical="top" wrapText="1"/>
    </xf>
    <xf numFmtId="9" fontId="5" fillId="0" borderId="6" xfId="1" applyFont="1" applyBorder="1" applyAlignment="1"/>
    <xf numFmtId="9" fontId="5" fillId="0" borderId="6" xfId="1" applyFont="1" applyBorder="1" applyAlignment="1">
      <alignment vertical="top"/>
    </xf>
    <xf numFmtId="9" fontId="6" fillId="0" borderId="6" xfId="1" applyNumberFormat="1" applyFont="1" applyFill="1" applyBorder="1" applyAlignment="1">
      <alignment vertical="top"/>
    </xf>
    <xf numFmtId="1" fontId="6" fillId="0" borderId="6" xfId="0" applyNumberFormat="1" applyFont="1" applyFill="1" applyBorder="1" applyAlignment="1">
      <alignment vertical="top" wrapText="1"/>
    </xf>
    <xf numFmtId="1" fontId="6" fillId="0" borderId="6" xfId="0" applyNumberFormat="1" applyFont="1" applyFill="1" applyBorder="1" applyAlignment="1">
      <alignment vertical="center" wrapText="1"/>
    </xf>
    <xf numFmtId="9" fontId="6" fillId="0" borderId="6" xfId="1" applyNumberFormat="1" applyFont="1" applyFill="1" applyBorder="1"/>
    <xf numFmtId="9" fontId="5" fillId="2" borderId="6" xfId="1" applyNumberFormat="1" applyFont="1" applyFill="1" applyBorder="1" applyAlignment="1">
      <alignment vertical="top" wrapText="1"/>
    </xf>
    <xf numFmtId="3" fontId="5" fillId="0" borderId="6" xfId="1" applyNumberFormat="1" applyFont="1" applyBorder="1" applyAlignment="1">
      <alignment vertical="center"/>
    </xf>
    <xf numFmtId="3" fontId="5" fillId="0" borderId="6" xfId="0" applyNumberFormat="1" applyFont="1" applyBorder="1"/>
    <xf numFmtId="9" fontId="5" fillId="2" borderId="6" xfId="1" applyNumberFormat="1" applyFont="1" applyFill="1" applyBorder="1" applyAlignment="1">
      <alignment vertical="top"/>
    </xf>
    <xf numFmtId="0" fontId="114" fillId="0" borderId="0" xfId="0" applyFont="1"/>
    <xf numFmtId="9" fontId="5" fillId="0" borderId="6" xfId="1" applyFont="1" applyBorder="1" applyAlignment="1">
      <alignment horizontal="right" vertical="top"/>
    </xf>
    <xf numFmtId="9" fontId="6" fillId="2" borderId="6" xfId="1" applyFont="1" applyFill="1" applyBorder="1"/>
    <xf numFmtId="9" fontId="5" fillId="2" borderId="6" xfId="1" applyFont="1" applyFill="1" applyBorder="1"/>
    <xf numFmtId="9" fontId="5" fillId="0" borderId="6" xfId="1" applyFont="1" applyFill="1" applyBorder="1" applyAlignment="1">
      <alignment horizontal="right" vertical="top"/>
    </xf>
    <xf numFmtId="9" fontId="5" fillId="2" borderId="6" xfId="1" applyFont="1" applyFill="1" applyBorder="1" applyAlignment="1">
      <alignment horizontal="right" vertical="top"/>
    </xf>
    <xf numFmtId="9" fontId="5" fillId="2" borderId="6" xfId="0" applyNumberFormat="1" applyFont="1" applyFill="1" applyBorder="1" applyAlignment="1">
      <alignment horizontal="right" vertical="top"/>
    </xf>
    <xf numFmtId="0" fontId="11" fillId="0" borderId="0" xfId="0" applyFont="1"/>
    <xf numFmtId="9" fontId="5" fillId="2" borderId="6" xfId="0" applyNumberFormat="1" applyFont="1" applyFill="1" applyBorder="1" applyAlignment="1">
      <alignment vertical="center"/>
    </xf>
    <xf numFmtId="9" fontId="5" fillId="0" borderId="6" xfId="1" applyFont="1" applyFill="1" applyBorder="1"/>
    <xf numFmtId="9" fontId="5" fillId="0" borderId="6" xfId="1" applyNumberFormat="1" applyFont="1" applyBorder="1" applyAlignment="1">
      <alignment horizontal="right" vertical="top"/>
    </xf>
    <xf numFmtId="9" fontId="5" fillId="0" borderId="6" xfId="0" applyNumberFormat="1" applyFont="1" applyBorder="1" applyAlignment="1">
      <alignment horizontal="right" vertical="top"/>
    </xf>
    <xf numFmtId="9" fontId="6" fillId="0" borderId="6" xfId="1" applyFont="1" applyBorder="1" applyAlignment="1">
      <alignment vertical="top" wrapText="1"/>
    </xf>
    <xf numFmtId="3" fontId="5" fillId="0" borderId="6" xfId="0" applyNumberFormat="1" applyFont="1" applyFill="1" applyBorder="1" applyAlignment="1">
      <alignment vertical="top" wrapText="1"/>
    </xf>
    <xf numFmtId="9" fontId="5" fillId="0" borderId="6" xfId="0" applyNumberFormat="1" applyFont="1" applyBorder="1" applyAlignment="1">
      <alignment vertical="top"/>
    </xf>
    <xf numFmtId="3" fontId="5" fillId="0" borderId="6" xfId="0" applyNumberFormat="1" applyFont="1" applyFill="1" applyBorder="1" applyAlignment="1">
      <alignment wrapText="1"/>
    </xf>
    <xf numFmtId="9" fontId="5" fillId="0" borderId="6" xfId="0" applyNumberFormat="1" applyFont="1" applyBorder="1" applyAlignment="1"/>
    <xf numFmtId="0" fontId="5" fillId="0" borderId="1" xfId="0" applyFont="1" applyBorder="1" applyAlignment="1">
      <alignment vertical="top" wrapText="1"/>
    </xf>
    <xf numFmtId="0" fontId="5" fillId="0" borderId="1" xfId="0" applyFont="1" applyBorder="1" applyAlignment="1">
      <alignment wrapText="1"/>
    </xf>
    <xf numFmtId="164" fontId="5" fillId="0" borderId="6" xfId="0" applyNumberFormat="1" applyFont="1" applyBorder="1" applyAlignment="1">
      <alignment vertical="top"/>
    </xf>
    <xf numFmtId="0" fontId="6" fillId="0" borderId="6"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Fill="1" applyBorder="1" applyAlignment="1">
      <alignment horizontal="center" vertical="top" wrapText="1"/>
    </xf>
    <xf numFmtId="9" fontId="5" fillId="0" borderId="6" xfId="1" applyFont="1" applyFill="1" applyBorder="1" applyAlignment="1">
      <alignment vertical="top"/>
    </xf>
    <xf numFmtId="0" fontId="5" fillId="0" borderId="0" xfId="0" applyFont="1" applyAlignment="1">
      <alignment vertical="top"/>
    </xf>
    <xf numFmtId="0" fontId="14" fillId="6" borderId="6" xfId="0" applyFont="1" applyFill="1" applyBorder="1" applyAlignment="1">
      <alignment vertical="top" wrapText="1"/>
    </xf>
    <xf numFmtId="0" fontId="14" fillId="0" borderId="6" xfId="0" applyFont="1" applyBorder="1" applyAlignment="1">
      <alignment horizontal="center" vertical="top" wrapText="1"/>
    </xf>
    <xf numFmtId="9" fontId="14" fillId="0" borderId="6" xfId="1" applyFont="1" applyBorder="1" applyAlignment="1">
      <alignment horizontal="center" vertical="top" wrapText="1"/>
    </xf>
    <xf numFmtId="9" fontId="13" fillId="0" borderId="6" xfId="1" applyFont="1" applyBorder="1" applyAlignment="1">
      <alignment wrapText="1"/>
    </xf>
    <xf numFmtId="0" fontId="14" fillId="0" borderId="6" xfId="0" applyFont="1" applyBorder="1" applyAlignment="1">
      <alignment horizontal="center" wrapText="1"/>
    </xf>
    <xf numFmtId="0" fontId="115" fillId="0" borderId="6" xfId="0" applyFont="1" applyBorder="1" applyAlignment="1">
      <alignment horizontal="center" vertical="center" wrapText="1"/>
    </xf>
    <xf numFmtId="9" fontId="115" fillId="0" borderId="6" xfId="1" applyFont="1" applyBorder="1" applyAlignment="1">
      <alignment horizontal="center" vertical="center"/>
    </xf>
    <xf numFmtId="0" fontId="115" fillId="0" borderId="6" xfId="0" applyFont="1" applyFill="1" applyBorder="1" applyAlignment="1">
      <alignment horizontal="center" vertical="center" wrapText="1"/>
    </xf>
    <xf numFmtId="0" fontId="118" fillId="0" borderId="6" xfId="0" applyFont="1" applyBorder="1" applyAlignment="1">
      <alignment horizontal="center" vertical="center"/>
    </xf>
    <xf numFmtId="9" fontId="14" fillId="0" borderId="6" xfId="1" applyFont="1" applyBorder="1" applyAlignment="1">
      <alignment horizontal="center" vertical="center"/>
    </xf>
    <xf numFmtId="0" fontId="14" fillId="0" borderId="6" xfId="0" applyNumberFormat="1" applyFont="1" applyBorder="1" applyAlignment="1">
      <alignment vertical="top" wrapText="1"/>
    </xf>
    <xf numFmtId="0" fontId="14" fillId="0" borderId="6" xfId="0" applyNumberFormat="1" applyFont="1" applyBorder="1" applyAlignment="1">
      <alignment horizontal="center" vertical="center"/>
    </xf>
    <xf numFmtId="0" fontId="14" fillId="0" borderId="6" xfId="0" applyNumberFormat="1" applyFont="1" applyBorder="1" applyAlignment="1">
      <alignment horizontal="center" vertical="center" wrapText="1"/>
    </xf>
    <xf numFmtId="0" fontId="14" fillId="0" borderId="6" xfId="1" applyNumberFormat="1" applyFont="1" applyBorder="1" applyAlignment="1">
      <alignment horizontal="center" vertical="center"/>
    </xf>
    <xf numFmtId="0" fontId="5" fillId="0" borderId="0" xfId="0" applyNumberFormat="1" applyFont="1"/>
    <xf numFmtId="0" fontId="14" fillId="0" borderId="6" xfId="0" applyNumberFormat="1" applyFont="1" applyFill="1" applyBorder="1" applyAlignment="1">
      <alignment horizontal="center" vertical="center" wrapText="1"/>
    </xf>
    <xf numFmtId="0" fontId="11" fillId="0" borderId="0" xfId="0" applyNumberFormat="1" applyFont="1"/>
    <xf numFmtId="0" fontId="14" fillId="0" borderId="6" xfId="0" applyNumberFormat="1" applyFont="1" applyBorder="1" applyAlignment="1">
      <alignment wrapText="1"/>
    </xf>
    <xf numFmtId="0" fontId="7" fillId="0" borderId="0" xfId="0" applyFont="1" applyFill="1" applyAlignment="1">
      <alignment horizontal="left" wrapText="1"/>
    </xf>
    <xf numFmtId="0" fontId="0" fillId="0" borderId="0" xfId="0"/>
    <xf numFmtId="0" fontId="42" fillId="0" borderId="6" xfId="0" applyFont="1" applyFill="1" applyBorder="1" applyAlignment="1">
      <alignment horizontal="center" vertical="center" wrapText="1"/>
    </xf>
    <xf numFmtId="3" fontId="66" fillId="0" borderId="6" xfId="0" applyNumberFormat="1" applyFont="1" applyFill="1" applyBorder="1" applyAlignment="1">
      <alignment wrapText="1"/>
    </xf>
    <xf numFmtId="3" fontId="66" fillId="0" borderId="6" xfId="0" applyNumberFormat="1" applyFont="1" applyFill="1" applyBorder="1" applyAlignment="1"/>
    <xf numFmtId="164" fontId="13" fillId="0" borderId="0" xfId="1" applyNumberFormat="1" applyFont="1" applyFill="1" applyBorder="1"/>
    <xf numFmtId="9" fontId="14" fillId="0" borderId="6" xfId="1" applyFont="1" applyFill="1" applyBorder="1"/>
    <xf numFmtId="1" fontId="14" fillId="0" borderId="10" xfId="0" applyNumberFormat="1" applyFont="1" applyFill="1" applyBorder="1" applyAlignment="1">
      <alignment vertical="center" wrapText="1"/>
    </xf>
    <xf numFmtId="0" fontId="7" fillId="0" borderId="0" xfId="0" applyFont="1" applyFill="1" applyAlignment="1">
      <alignment horizontal="left" wrapText="1"/>
    </xf>
    <xf numFmtId="0" fontId="22" fillId="0" borderId="0" xfId="0" applyFont="1" applyAlignment="1">
      <alignment horizontal="center" wrapText="1"/>
    </xf>
    <xf numFmtId="0" fontId="119" fillId="0" borderId="0" xfId="0" applyFont="1" applyAlignment="1">
      <alignment horizontal="left" wrapText="1"/>
    </xf>
    <xf numFmtId="0" fontId="11" fillId="0" borderId="0" xfId="0" applyFont="1" applyFill="1" applyBorder="1" applyAlignment="1">
      <alignment horizontal="left" vertical="top" wrapText="1"/>
    </xf>
    <xf numFmtId="0" fontId="5" fillId="2" borderId="2" xfId="0" applyFont="1" applyFill="1" applyBorder="1" applyAlignment="1">
      <alignment horizontal="center" vertical="top" wrapText="1"/>
    </xf>
    <xf numFmtId="0" fontId="0" fillId="0" borderId="7" xfId="0" applyBorder="1" applyAlignment="1">
      <alignment horizontal="center" vertical="top" wrapText="1"/>
    </xf>
    <xf numFmtId="0" fontId="0" fillId="0" borderId="10" xfId="0" applyBorder="1" applyAlignment="1">
      <alignment horizontal="center" vertical="top" wrapText="1"/>
    </xf>
    <xf numFmtId="0" fontId="5" fillId="2" borderId="6" xfId="0" applyFont="1" applyFill="1" applyBorder="1" applyAlignment="1">
      <alignment horizontal="center" vertical="center" wrapText="1"/>
    </xf>
    <xf numFmtId="0" fontId="4" fillId="0" borderId="1" xfId="0" applyFont="1" applyBorder="1" applyAlignment="1">
      <alignment horizont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right" vertical="center"/>
    </xf>
    <xf numFmtId="0" fontId="3" fillId="0" borderId="1" xfId="0" applyFont="1" applyBorder="1" applyAlignment="1">
      <alignment horizontal="center" wrapText="1"/>
    </xf>
    <xf numFmtId="2" fontId="11" fillId="0" borderId="0" xfId="0" applyNumberFormat="1" applyFont="1" applyFill="1" applyBorder="1" applyAlignment="1">
      <alignment horizontal="left" vertical="top" wrapText="1"/>
    </xf>
    <xf numFmtId="2" fontId="5" fillId="2" borderId="2" xfId="0" applyNumberFormat="1" applyFont="1" applyFill="1" applyBorder="1" applyAlignment="1">
      <alignment horizontal="center" vertical="top" wrapText="1"/>
    </xf>
    <xf numFmtId="2" fontId="0" fillId="0" borderId="7" xfId="0" applyNumberFormat="1" applyBorder="1" applyAlignment="1">
      <alignment horizontal="center" vertical="top" wrapText="1"/>
    </xf>
    <xf numFmtId="2" fontId="0" fillId="0" borderId="10" xfId="0" applyNumberFormat="1" applyBorder="1" applyAlignment="1">
      <alignment horizontal="center" vertical="top" wrapText="1"/>
    </xf>
    <xf numFmtId="2" fontId="5" fillId="2" borderId="6"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2" fontId="0" fillId="0" borderId="7" xfId="0" applyNumberFormat="1" applyBorder="1" applyAlignment="1">
      <alignment horizontal="center" vertical="center" wrapText="1"/>
    </xf>
    <xf numFmtId="2" fontId="0" fillId="0" borderId="10" xfId="0" applyNumberFormat="1" applyBorder="1" applyAlignment="1">
      <alignment horizontal="center" vertical="center" wrapText="1"/>
    </xf>
    <xf numFmtId="2" fontId="5" fillId="0" borderId="2" xfId="0" applyNumberFormat="1" applyFont="1" applyBorder="1" applyAlignment="1">
      <alignment horizontal="center" vertical="top" wrapText="1"/>
    </xf>
    <xf numFmtId="2" fontId="5" fillId="0" borderId="7"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2" fontId="4" fillId="0" borderId="1" xfId="0" applyNumberFormat="1" applyFont="1" applyBorder="1" applyAlignment="1">
      <alignment horizontal="center"/>
    </xf>
    <xf numFmtId="2" fontId="5" fillId="2" borderId="7" xfId="0" applyNumberFormat="1"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7" xfId="0" applyNumberFormat="1" applyFont="1" applyFill="1" applyBorder="1" applyAlignment="1">
      <alignment horizontal="center" vertical="center" wrapText="1"/>
    </xf>
    <xf numFmtId="2" fontId="6" fillId="2" borderId="10"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2" fontId="2" fillId="0" borderId="0" xfId="0" applyNumberFormat="1" applyFont="1" applyAlignment="1">
      <alignment horizontal="right" vertical="center"/>
    </xf>
    <xf numFmtId="2" fontId="16" fillId="0" borderId="1" xfId="0" applyNumberFormat="1" applyFont="1" applyBorder="1" applyAlignment="1">
      <alignment horizontal="center" wrapText="1"/>
    </xf>
    <xf numFmtId="2" fontId="17" fillId="0" borderId="1" xfId="0" applyNumberFormat="1" applyFont="1" applyBorder="1" applyAlignment="1">
      <alignment horizont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9" fillId="2" borderId="6" xfId="0" applyFont="1" applyFill="1" applyBorder="1" applyAlignment="1">
      <alignment horizontal="center" vertical="center" wrapText="1"/>
    </xf>
    <xf numFmtId="0" fontId="23" fillId="0" borderId="1" xfId="0" applyFont="1" applyBorder="1" applyAlignment="1">
      <alignment horizontal="center"/>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8" fillId="2" borderId="2" xfId="0" applyFont="1" applyFill="1" applyBorder="1" applyAlignment="1">
      <alignment horizontal="center" vertical="center" wrapText="1"/>
    </xf>
    <xf numFmtId="0" fontId="78" fillId="2" borderId="7" xfId="0" applyFont="1" applyFill="1" applyBorder="1" applyAlignment="1">
      <alignment horizontal="center" vertical="center" wrapText="1"/>
    </xf>
    <xf numFmtId="0" fontId="78"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21" fillId="0" borderId="0" xfId="0" applyFont="1" applyAlignment="1">
      <alignment horizontal="right"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xf>
    <xf numFmtId="0" fontId="3" fillId="0" borderId="0"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40" fillId="0" borderId="0" xfId="0" applyFont="1" applyAlignment="1">
      <alignment horizontal="right" vertical="center"/>
    </xf>
    <xf numFmtId="0" fontId="40" fillId="0" borderId="1" xfId="0" applyFont="1" applyBorder="1" applyAlignment="1">
      <alignment horizontal="center" wrapText="1"/>
    </xf>
    <xf numFmtId="0" fontId="40" fillId="0" borderId="14" xfId="0" applyFont="1" applyBorder="1" applyAlignment="1">
      <alignment horizontal="center" wrapText="1"/>
    </xf>
    <xf numFmtId="0" fontId="41" fillId="0" borderId="1" xfId="0" applyFont="1" applyBorder="1" applyAlignment="1">
      <alignment horizontal="center"/>
    </xf>
    <xf numFmtId="0" fontId="14" fillId="4" borderId="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3" fillId="0" borderId="0" xfId="0" applyFont="1" applyFill="1" applyBorder="1" applyAlignment="1">
      <alignment horizontal="left" vertical="top" wrapText="1"/>
    </xf>
    <xf numFmtId="0" fontId="43" fillId="0" borderId="0" xfId="0" applyFont="1" applyAlignment="1">
      <alignment horizontal="left" vertical="center" wrapText="1"/>
    </xf>
    <xf numFmtId="0" fontId="5" fillId="2" borderId="1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xf>
    <xf numFmtId="0" fontId="22" fillId="0" borderId="1" xfId="0" applyFont="1" applyBorder="1" applyAlignment="1">
      <alignment horizontal="center" wrapText="1"/>
    </xf>
    <xf numFmtId="0" fontId="103" fillId="0" borderId="0" xfId="0" applyFont="1"/>
    <xf numFmtId="0" fontId="104" fillId="0" borderId="0" xfId="0" applyFont="1" applyAlignment="1">
      <alignment vertical="top" wrapText="1"/>
    </xf>
    <xf numFmtId="0" fontId="102" fillId="0" borderId="0" xfId="0" applyFont="1" applyAlignment="1">
      <alignment vertical="top" wrapText="1"/>
    </xf>
    <xf numFmtId="0" fontId="106" fillId="0" borderId="0" xfId="0" applyFont="1" applyAlignment="1">
      <alignment vertical="top" wrapText="1"/>
    </xf>
    <xf numFmtId="0" fontId="103" fillId="0" borderId="0" xfId="0" applyFont="1" applyAlignment="1">
      <alignment vertical="top" wrapText="1"/>
    </xf>
    <xf numFmtId="0" fontId="99" fillId="0" borderId="0" xfId="0" applyFont="1" applyBorder="1" applyAlignment="1">
      <alignment horizontal="center"/>
    </xf>
    <xf numFmtId="0" fontId="18" fillId="5" borderId="6" xfId="0" applyFont="1" applyFill="1" applyBorder="1" applyAlignment="1">
      <alignment horizontal="center" wrapText="1"/>
    </xf>
    <xf numFmtId="0" fontId="5" fillId="5" borderId="6" xfId="0" applyFont="1" applyFill="1" applyBorder="1" applyAlignment="1">
      <alignment horizontal="center" wrapText="1"/>
    </xf>
    <xf numFmtId="0" fontId="45" fillId="0" borderId="0" xfId="0" applyFont="1" applyAlignment="1">
      <alignment horizontal="right" vertical="center"/>
    </xf>
    <xf numFmtId="0" fontId="46" fillId="0" borderId="1" xfId="0" applyFont="1" applyBorder="1" applyAlignment="1">
      <alignment horizontal="center" wrapText="1"/>
    </xf>
    <xf numFmtId="0" fontId="47" fillId="0" borderId="1" xfId="0" applyFont="1" applyBorder="1" applyAlignment="1">
      <alignment horizontal="center"/>
    </xf>
    <xf numFmtId="0" fontId="48" fillId="2" borderId="2"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8" fillId="2" borderId="5"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5" fillId="2" borderId="7" xfId="0" applyFont="1" applyFill="1" applyBorder="1" applyAlignment="1">
      <alignment horizontal="center" vertical="top" wrapText="1"/>
    </xf>
    <xf numFmtId="0" fontId="5" fillId="2" borderId="10"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10" xfId="0" applyFont="1" applyFill="1" applyBorder="1" applyAlignment="1">
      <alignment horizontal="center" vertical="top" wrapText="1"/>
    </xf>
    <xf numFmtId="0" fontId="62" fillId="0" borderId="0" xfId="0" applyFont="1" applyAlignment="1">
      <alignment horizontal="right" vertical="center"/>
    </xf>
    <xf numFmtId="0" fontId="63" fillId="0" borderId="1" xfId="0" applyFont="1" applyBorder="1" applyAlignment="1">
      <alignment horizontal="center" wrapText="1"/>
    </xf>
    <xf numFmtId="0" fontId="64" fillId="6" borderId="1" xfId="0" applyFont="1" applyFill="1" applyBorder="1" applyAlignment="1">
      <alignment horizontal="center"/>
    </xf>
    <xf numFmtId="0" fontId="69" fillId="0" borderId="0" xfId="0" applyFont="1" applyAlignment="1">
      <alignment horizontal="left" wrapText="1"/>
    </xf>
    <xf numFmtId="0" fontId="14" fillId="4" borderId="1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39" fillId="0" borderId="0" xfId="0" applyFont="1" applyAlignment="1">
      <alignment horizontal="right" vertical="center"/>
    </xf>
    <xf numFmtId="0" fontId="14" fillId="0" borderId="1" xfId="0" applyFont="1" applyBorder="1" applyAlignment="1">
      <alignment horizontal="center" wrapText="1"/>
    </xf>
    <xf numFmtId="0" fontId="21" fillId="0" borderId="0" xfId="0" applyFont="1" applyFill="1" applyAlignment="1">
      <alignment horizontal="right" vertical="center"/>
    </xf>
    <xf numFmtId="0" fontId="25" fillId="0" borderId="1" xfId="0" applyFont="1" applyFill="1" applyBorder="1" applyAlignment="1">
      <alignment horizontal="center" wrapText="1"/>
    </xf>
    <xf numFmtId="0" fontId="23" fillId="0" borderId="1" xfId="0" applyFont="1" applyFill="1" applyBorder="1" applyAlignment="1">
      <alignment horizontal="center"/>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0" xfId="0" applyFont="1" applyFill="1" applyAlignment="1">
      <alignment wrapText="1"/>
    </xf>
    <xf numFmtId="0" fontId="6" fillId="0" borderId="0" xfId="0" applyFont="1" applyFill="1" applyAlignment="1">
      <alignment wrapText="1"/>
    </xf>
    <xf numFmtId="0" fontId="5" fillId="0" borderId="1" xfId="0" applyFont="1" applyFill="1" applyBorder="1" applyAlignment="1">
      <alignment horizontal="center"/>
    </xf>
    <xf numFmtId="0" fontId="23" fillId="7" borderId="1" xfId="0" applyFont="1" applyFill="1" applyBorder="1" applyAlignment="1">
      <alignment horizontal="center"/>
    </xf>
    <xf numFmtId="0" fontId="7" fillId="0" borderId="0" xfId="0" applyFont="1" applyAlignment="1">
      <alignment horizontal="left" wrapText="1"/>
    </xf>
    <xf numFmtId="0" fontId="39" fillId="0" borderId="1" xfId="0" applyFont="1" applyBorder="1" applyAlignment="1">
      <alignment horizontal="left" vertical="center" wrapText="1"/>
    </xf>
    <xf numFmtId="0" fontId="5" fillId="0" borderId="1" xfId="0" applyFont="1" applyBorder="1" applyAlignment="1">
      <alignment horizontal="center"/>
    </xf>
    <xf numFmtId="0" fontId="74" fillId="0" borderId="4" xfId="0" applyFont="1" applyFill="1" applyBorder="1" applyAlignment="1">
      <alignment vertical="top" wrapText="1"/>
    </xf>
    <xf numFmtId="0" fontId="74" fillId="0" borderId="1" xfId="0" applyFont="1" applyFill="1" applyBorder="1" applyAlignment="1">
      <alignment vertical="top" wrapText="1"/>
    </xf>
    <xf numFmtId="0" fontId="77" fillId="0" borderId="0" xfId="0" applyFont="1" applyAlignment="1">
      <alignment horizontal="left"/>
    </xf>
    <xf numFmtId="0" fontId="0" fillId="0" borderId="0" xfId="0"/>
    <xf numFmtId="0" fontId="39" fillId="0" borderId="1" xfId="0" applyFont="1" applyBorder="1" applyAlignment="1">
      <alignment horizontal="center" wrapText="1"/>
    </xf>
    <xf numFmtId="0" fontId="80" fillId="0" borderId="0" xfId="0" applyFont="1" applyFill="1" applyBorder="1" applyAlignment="1">
      <alignment horizontal="left" vertical="top" wrapText="1"/>
    </xf>
    <xf numFmtId="0" fontId="65" fillId="0" borderId="0" xfId="0" applyFont="1" applyFill="1" applyAlignment="1">
      <alignment horizontal="right" vertical="center"/>
    </xf>
    <xf numFmtId="0" fontId="81" fillId="0" borderId="1" xfId="0" applyFont="1" applyFill="1" applyBorder="1" applyAlignment="1">
      <alignment horizontal="center" wrapText="1"/>
    </xf>
    <xf numFmtId="0" fontId="81" fillId="0" borderId="1" xfId="0" applyFont="1" applyFill="1" applyBorder="1" applyAlignment="1">
      <alignment horizontal="center"/>
    </xf>
    <xf numFmtId="0" fontId="81" fillId="0" borderId="2" xfId="0" applyFont="1" applyFill="1" applyBorder="1" applyAlignment="1">
      <alignment horizontal="center" vertical="center" wrapText="1"/>
    </xf>
    <xf numFmtId="0" fontId="81" fillId="0" borderId="7"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70" fillId="0" borderId="2" xfId="0" applyFont="1" applyFill="1" applyBorder="1" applyAlignment="1">
      <alignment horizontal="left" vertical="center" wrapText="1"/>
    </xf>
    <xf numFmtId="0" fontId="70" fillId="0" borderId="7"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81" fillId="0" borderId="3"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1" fillId="0" borderId="5"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81" fillId="0" borderId="6"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65" fillId="0" borderId="0" xfId="0" applyFont="1" applyFill="1" applyBorder="1" applyAlignment="1">
      <alignment horizontal="left" vertical="top" wrapText="1"/>
    </xf>
    <xf numFmtId="0" fontId="3" fillId="0" borderId="0" xfId="0" applyFont="1" applyBorder="1" applyAlignment="1">
      <alignment horizontal="center" vertical="center" wrapText="1"/>
    </xf>
    <xf numFmtId="0" fontId="22" fillId="0" borderId="0" xfId="0" applyFont="1" applyAlignment="1">
      <alignment horizontal="right" vertical="center"/>
    </xf>
    <xf numFmtId="0" fontId="16" fillId="0" borderId="1" xfId="0" applyFont="1" applyBorder="1" applyAlignment="1">
      <alignment horizontal="center" vertical="center" wrapText="1"/>
    </xf>
    <xf numFmtId="0" fontId="5" fillId="0" borderId="0" xfId="0" applyFont="1" applyFill="1" applyBorder="1" applyAlignment="1">
      <alignment horizontal="left" vertical="top" wrapText="1"/>
    </xf>
    <xf numFmtId="9" fontId="5" fillId="2" borderId="6" xfId="0" applyNumberFormat="1" applyFont="1" applyFill="1" applyBorder="1" applyAlignment="1">
      <alignment horizontal="center" vertical="center" wrapText="1"/>
    </xf>
    <xf numFmtId="0" fontId="6" fillId="0" borderId="0" xfId="0" applyFont="1" applyAlignment="1">
      <alignment horizontal="left" wrapText="1"/>
    </xf>
    <xf numFmtId="0" fontId="40" fillId="0" borderId="1" xfId="0" applyFont="1" applyBorder="1" applyAlignment="1">
      <alignment wrapText="1"/>
    </xf>
    <xf numFmtId="0" fontId="9" fillId="0" borderId="6"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0" xfId="0" applyFont="1" applyFill="1" applyBorder="1" applyAlignment="1">
      <alignment horizontal="center" vertical="center"/>
    </xf>
    <xf numFmtId="9" fontId="5" fillId="0" borderId="2"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0" fontId="17" fillId="0" borderId="1" xfId="0" applyFont="1" applyBorder="1" applyAlignment="1">
      <alignment horizontal="center" wrapText="1"/>
    </xf>
    <xf numFmtId="0" fontId="4" fillId="0" borderId="14" xfId="0" applyFont="1" applyBorder="1" applyAlignment="1">
      <alignment horizontal="center" wrapText="1"/>
    </xf>
    <xf numFmtId="0" fontId="42" fillId="0" borderId="2"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5" fillId="0" borderId="6" xfId="0" applyFont="1" applyBorder="1" applyAlignment="1">
      <alignment horizont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10" xfId="0" applyFont="1" applyBorder="1" applyAlignment="1">
      <alignment horizontal="center" vertical="top"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89" fillId="0" borderId="1" xfId="0" applyFont="1" applyBorder="1" applyAlignment="1">
      <alignment horizontal="center"/>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35" fillId="0" borderId="0" xfId="0" applyFont="1" applyAlignment="1">
      <alignment wrapText="1"/>
    </xf>
    <xf numFmtId="0" fontId="91" fillId="0" borderId="0" xfId="0" applyFont="1" applyAlignment="1">
      <alignment horizontal="right" vertical="center"/>
    </xf>
    <xf numFmtId="0" fontId="92" fillId="0" borderId="1" xfId="0" applyFont="1" applyBorder="1" applyAlignment="1">
      <alignment horizontal="center" wrapText="1"/>
    </xf>
    <xf numFmtId="0" fontId="93" fillId="0" borderId="1" xfId="0" applyFont="1" applyBorder="1" applyAlignment="1">
      <alignment horizont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8" fillId="0" borderId="2" xfId="0" applyFont="1" applyBorder="1" applyAlignment="1">
      <alignment horizontal="center" vertical="center" wrapText="1"/>
    </xf>
    <xf numFmtId="0" fontId="78" fillId="0" borderId="7"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6" xfId="0" applyFont="1" applyBorder="1" applyAlignment="1">
      <alignment horizontal="center" vertical="center" wrapText="1"/>
    </xf>
    <xf numFmtId="0" fontId="7" fillId="0" borderId="0" xfId="0" applyFont="1" applyFill="1" applyBorder="1" applyAlignment="1">
      <alignment horizontal="left" vertical="top" wrapText="1"/>
    </xf>
    <xf numFmtId="0" fontId="116" fillId="0" borderId="0" xfId="0" applyFont="1" applyAlignment="1">
      <alignment horizontal="right" vertical="top" wrapText="1"/>
    </xf>
    <xf numFmtId="0" fontId="116" fillId="0" borderId="0" xfId="0" applyFont="1" applyAlignment="1">
      <alignment horizontal="right" vertical="top"/>
    </xf>
    <xf numFmtId="0" fontId="117" fillId="0" borderId="1" xfId="0" applyFont="1" applyBorder="1" applyAlignment="1">
      <alignment horizontal="center" wrapText="1"/>
    </xf>
    <xf numFmtId="0" fontId="117" fillId="0" borderId="0" xfId="0" applyFont="1" applyBorder="1" applyAlignment="1">
      <alignment horizontal="center" wrapText="1"/>
    </xf>
    <xf numFmtId="0" fontId="14" fillId="4" borderId="2" xfId="0" applyFont="1" applyFill="1" applyBorder="1" applyAlignment="1">
      <alignment horizontal="center" vertical="top" wrapText="1"/>
    </xf>
    <xf numFmtId="0" fontId="41" fillId="0" borderId="1" xfId="0"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c-projektu%20istenosanas%20plani%20-%20JAUNIE/Pl&#257;ni/KOP&#274;JIE%20PL&#256;NI/09_015%20NVD_x/09_015_Pielikums_I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c-projektu%20istenosanas%20plani%20-%20JAUNIE/Pl&#257;ni/KOP&#274;JIE%20PL&#256;NI/09_019%20NVD/Pielikums_I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jekts Nr19."/>
      <sheetName val="Projekts Nr.15..."/>
      <sheetName val="izejas info"/>
    </sheetNames>
    <sheetDataSet>
      <sheetData sheetId="0" refreshError="1"/>
      <sheetData sheetId="1" refreshError="1"/>
      <sheetData sheetId="2">
        <row r="3">
          <cell r="B3">
            <v>47395</v>
          </cell>
        </row>
        <row r="4">
          <cell r="B4">
            <v>12900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jekts Nr19."/>
      <sheetName val="Projekts Nr.15..."/>
      <sheetName val="Projekts Nr.3"/>
      <sheetName val="izejas info"/>
    </sheetNames>
    <sheetDataSet>
      <sheetData sheetId="0">
        <row r="25">
          <cell r="I25">
            <v>405.90000000000003</v>
          </cell>
          <cell r="J25">
            <v>4059</v>
          </cell>
          <cell r="M25">
            <v>811.80000000000007</v>
          </cell>
          <cell r="N25">
            <v>4059</v>
          </cell>
          <cell r="Q25">
            <v>2029.5</v>
          </cell>
          <cell r="R25">
            <v>4059</v>
          </cell>
          <cell r="U25">
            <v>2232.4500000000003</v>
          </cell>
          <cell r="V25">
            <v>4059</v>
          </cell>
          <cell r="Y25">
            <v>2841.2999999999997</v>
          </cell>
          <cell r="Z25">
            <v>4059</v>
          </cell>
        </row>
      </sheetData>
      <sheetData sheetId="1" refreshError="1"/>
      <sheetData sheetId="2" refreshError="1"/>
      <sheetData sheetId="3">
        <row r="13">
          <cell r="B13">
            <v>12500000</v>
          </cell>
          <cell r="I13">
            <v>45.557080000000006</v>
          </cell>
        </row>
        <row r="14">
          <cell r="B14">
            <v>1500000</v>
          </cell>
        </row>
        <row r="15">
          <cell r="I15">
            <v>54.442919999999994</v>
          </cell>
        </row>
        <row r="16">
          <cell r="B16">
            <v>7622008.7999999998</v>
          </cell>
        </row>
        <row r="17">
          <cell r="B17">
            <v>550768</v>
          </cell>
        </row>
        <row r="21">
          <cell r="B21">
            <v>377881.13097954699</v>
          </cell>
        </row>
        <row r="22">
          <cell r="B22">
            <v>11000000</v>
          </cell>
        </row>
        <row r="23">
          <cell r="B23">
            <v>47395</v>
          </cell>
        </row>
        <row r="25">
          <cell r="B25">
            <v>1081509.7902666668</v>
          </cell>
        </row>
        <row r="28">
          <cell r="B28">
            <v>10560.05</v>
          </cell>
        </row>
        <row r="29">
          <cell r="B29">
            <v>4059</v>
          </cell>
        </row>
        <row r="30">
          <cell r="B30">
            <v>754287</v>
          </cell>
        </row>
        <row r="35">
          <cell r="B35">
            <v>92648</v>
          </cell>
        </row>
        <row r="47">
          <cell r="B47">
            <v>216301.95805333336</v>
          </cell>
        </row>
        <row r="49">
          <cell r="B49">
            <v>60</v>
          </cell>
        </row>
        <row r="50">
          <cell r="B50">
            <v>370</v>
          </cell>
        </row>
        <row r="51">
          <cell r="B51">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lad.gov.lv/lv/es-atbalsts/tirgus-veicinasanas-pasakumi/valsts-un-es-atbalsts-auglu-un-darzenu-piegadasanai-izglitojamiem-visparejas-izglitibas-iestades-(-skolas-auglis-)/" TargetMode="External"/><Relationship Id="rId2" Type="http://schemas.openxmlformats.org/officeDocument/2006/relationships/hyperlink" Target="http://www.lad.gov.lv/lv/es-atbalsts/tirgus-veicinasanas-pasakumi/valsts-un-es-atbalsts-auglu-un-darzenu-piegadasanai-izglitojamiem-visparejas-izglitibas-iestades-(-skolas-auglis-)/" TargetMode="External"/><Relationship Id="rId1" Type="http://schemas.openxmlformats.org/officeDocument/2006/relationships/hyperlink" Target="http://www.lad.gov.lv/lv/es-atbalsts/tiesie-maksajumi/lauksaimniecibas-dzivnieku-genetisko-resursu-saglabasana-(ldgrs-08)/"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G2:U16"/>
  <sheetViews>
    <sheetView topLeftCell="D43" workbookViewId="0">
      <selection activeCell="L4" sqref="L4:Q7"/>
    </sheetView>
  </sheetViews>
  <sheetFormatPr defaultRowHeight="15"/>
  <cols>
    <col min="16" max="16" width="10.42578125" customWidth="1"/>
  </cols>
  <sheetData>
    <row r="2" spans="7:21" ht="15" customHeight="1">
      <c r="O2" s="506"/>
      <c r="P2" s="506"/>
      <c r="Q2" s="506"/>
      <c r="R2" s="506"/>
      <c r="S2" s="506"/>
      <c r="T2" s="506"/>
      <c r="U2" s="506"/>
    </row>
    <row r="3" spans="7:21" s="271" customFormat="1" ht="15" customHeight="1">
      <c r="O3" s="498"/>
      <c r="P3" s="498"/>
      <c r="Q3" s="498"/>
      <c r="R3" s="498"/>
      <c r="S3" s="498"/>
      <c r="T3" s="498"/>
      <c r="U3" s="498"/>
    </row>
    <row r="4" spans="7:21" s="271" customFormat="1" ht="15" customHeight="1">
      <c r="L4" s="508" t="s">
        <v>840</v>
      </c>
      <c r="M4" s="508"/>
      <c r="N4" s="508"/>
      <c r="O4" s="508"/>
      <c r="P4" s="508"/>
      <c r="Q4" s="508"/>
      <c r="R4" s="498"/>
      <c r="S4" s="498"/>
      <c r="T4" s="498"/>
      <c r="U4" s="498"/>
    </row>
    <row r="5" spans="7:21" s="271" customFormat="1" ht="15" customHeight="1">
      <c r="L5" s="508"/>
      <c r="M5" s="508"/>
      <c r="N5" s="508"/>
      <c r="O5" s="508"/>
      <c r="P5" s="508"/>
      <c r="Q5" s="508"/>
      <c r="R5" s="498"/>
      <c r="S5" s="498"/>
      <c r="T5" s="498"/>
      <c r="U5" s="498"/>
    </row>
    <row r="6" spans="7:21" s="271" customFormat="1" ht="15" customHeight="1">
      <c r="L6" s="508"/>
      <c r="M6" s="508"/>
      <c r="N6" s="508"/>
      <c r="O6" s="508"/>
      <c r="P6" s="508"/>
      <c r="Q6" s="508"/>
      <c r="R6" s="498"/>
      <c r="S6" s="498"/>
      <c r="T6" s="498"/>
      <c r="U6" s="498"/>
    </row>
    <row r="7" spans="7:21" s="271" customFormat="1" ht="15" customHeight="1">
      <c r="L7" s="508"/>
      <c r="M7" s="508"/>
      <c r="N7" s="508"/>
      <c r="O7" s="508"/>
      <c r="P7" s="508"/>
      <c r="Q7" s="508"/>
      <c r="R7" s="498"/>
      <c r="S7" s="498"/>
      <c r="T7" s="498"/>
      <c r="U7" s="498"/>
    </row>
    <row r="8" spans="7:21" s="271" customFormat="1" ht="15" customHeight="1">
      <c r="O8" s="498"/>
      <c r="P8" s="498"/>
      <c r="Q8" s="498"/>
      <c r="R8" s="498"/>
      <c r="S8" s="498"/>
      <c r="T8" s="498"/>
      <c r="U8" s="498"/>
    </row>
    <row r="14" spans="7:21" ht="15.75" customHeight="1">
      <c r="G14" s="507" t="s">
        <v>817</v>
      </c>
      <c r="H14" s="507"/>
      <c r="I14" s="507"/>
      <c r="J14" s="507"/>
      <c r="K14" s="507"/>
      <c r="L14" s="507"/>
      <c r="M14" s="507"/>
      <c r="N14" s="507"/>
      <c r="O14" s="507"/>
      <c r="P14" s="507"/>
    </row>
    <row r="15" spans="7:21">
      <c r="G15" s="507"/>
      <c r="H15" s="507"/>
      <c r="I15" s="507"/>
      <c r="J15" s="507"/>
      <c r="K15" s="507"/>
      <c r="L15" s="507"/>
      <c r="M15" s="507"/>
      <c r="N15" s="507"/>
      <c r="O15" s="507"/>
      <c r="P15" s="507"/>
    </row>
    <row r="16" spans="7:21" ht="46.5" customHeight="1">
      <c r="G16" s="507"/>
      <c r="H16" s="507"/>
      <c r="I16" s="507"/>
      <c r="J16" s="507"/>
      <c r="K16" s="507"/>
      <c r="L16" s="507"/>
      <c r="M16" s="507"/>
      <c r="N16" s="507"/>
      <c r="O16" s="507"/>
      <c r="P16" s="507"/>
    </row>
  </sheetData>
  <mergeCells count="3">
    <mergeCell ref="O2:U2"/>
    <mergeCell ref="G14:P16"/>
    <mergeCell ref="L4:Q7"/>
  </mergeCells>
  <pageMargins left="0.70866141732283472" right="0.70866141732283472" top="0.74803149606299213" bottom="0.74803149606299213" header="0.31496062992125984" footer="0.31496062992125984"/>
  <pageSetup paperSize="9" scale="80" orientation="landscape" r:id="rId1"/>
  <headerFooter>
    <oddFooter xml:space="preserve">&amp;L&amp;F3.2.2.1.1.apakšaktivitātes  "Informācijas sistēmu un elektronisko paklapojumu attīstība" projektu ietvaros izveidoto un uzlaboto elektronisko pakalpojumu un izveidoto un attīstīto informācijas sistēmu izmantošanas plāni </oddFooter>
  </headerFooter>
</worksheet>
</file>

<file path=xl/worksheets/sheet10.xml><?xml version="1.0" encoding="utf-8"?>
<worksheet xmlns="http://schemas.openxmlformats.org/spreadsheetml/2006/main" xmlns:r="http://schemas.openxmlformats.org/officeDocument/2006/relationships">
  <dimension ref="A1:DB748"/>
  <sheetViews>
    <sheetView topLeftCell="G10" workbookViewId="0">
      <selection activeCell="B25" sqref="B24:R25"/>
    </sheetView>
  </sheetViews>
  <sheetFormatPr defaultRowHeight="15"/>
  <cols>
    <col min="1" max="1" width="5" customWidth="1"/>
    <col min="2" max="2" width="26.42578125" customWidth="1"/>
    <col min="3" max="6" width="7.7109375" customWidth="1"/>
    <col min="7" max="26" width="7" customWidth="1"/>
    <col min="27" max="27" width="9.140625" style="81"/>
    <col min="28" max="33" width="9.140625" style="82"/>
    <col min="34" max="34" width="9.140625" style="83"/>
  </cols>
  <sheetData>
    <row r="1" spans="1:106" ht="28.5" customHeight="1">
      <c r="A1" s="605" t="s">
        <v>208</v>
      </c>
      <c r="B1" s="606"/>
      <c r="C1" s="606"/>
      <c r="D1" s="606"/>
      <c r="E1" s="606"/>
      <c r="F1" s="606"/>
      <c r="G1" s="606"/>
      <c r="H1" s="606"/>
      <c r="I1" s="606"/>
      <c r="J1" s="606"/>
      <c r="K1" s="606"/>
      <c r="L1" s="606"/>
      <c r="M1" s="606"/>
      <c r="N1" s="606"/>
      <c r="O1" s="606"/>
      <c r="P1" s="606"/>
      <c r="Q1" s="606"/>
      <c r="R1" s="606"/>
      <c r="S1" s="606"/>
      <c r="T1" s="606"/>
      <c r="U1" s="606"/>
      <c r="V1" s="606"/>
      <c r="W1" s="606"/>
      <c r="X1" s="606"/>
      <c r="Y1" s="606"/>
      <c r="Z1" s="607"/>
      <c r="AA1" s="82"/>
      <c r="AH1" s="82"/>
      <c r="AI1" s="82"/>
      <c r="AJ1" s="82"/>
      <c r="AK1" s="82"/>
    </row>
    <row r="2" spans="1:106" s="1" customFormat="1" ht="59.25" customHeight="1">
      <c r="A2" s="529" t="s">
        <v>0</v>
      </c>
      <c r="B2" s="529"/>
      <c r="C2" s="529"/>
      <c r="D2" s="529"/>
      <c r="E2" s="529"/>
      <c r="F2" s="608" t="s">
        <v>209</v>
      </c>
      <c r="G2" s="530"/>
      <c r="H2" s="530"/>
      <c r="I2" s="530"/>
      <c r="J2" s="530"/>
      <c r="K2" s="530"/>
      <c r="L2" s="530"/>
      <c r="M2" s="530"/>
      <c r="N2" s="530"/>
      <c r="O2" s="530"/>
      <c r="P2" s="530"/>
      <c r="Q2" s="530"/>
      <c r="R2" s="530"/>
      <c r="AA2" s="300"/>
      <c r="AB2" s="300"/>
      <c r="AC2" s="300"/>
      <c r="AD2" s="300"/>
      <c r="AE2" s="300"/>
      <c r="AF2" s="300"/>
      <c r="AG2" s="300"/>
      <c r="AH2" s="300"/>
      <c r="AI2" s="300"/>
      <c r="AJ2" s="300"/>
      <c r="AK2" s="300"/>
    </row>
    <row r="3" spans="1:106" ht="31.5" customHeight="1">
      <c r="A3" s="514" t="s">
        <v>2</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82"/>
      <c r="AH3" s="82"/>
      <c r="AI3" s="82"/>
      <c r="AJ3" s="82"/>
      <c r="AK3" s="82"/>
    </row>
    <row r="4" spans="1:106" ht="44.25" customHeight="1">
      <c r="A4" s="515" t="s">
        <v>3</v>
      </c>
      <c r="B4" s="2" t="s">
        <v>4</v>
      </c>
      <c r="C4" s="521" t="s">
        <v>129</v>
      </c>
      <c r="D4" s="522"/>
      <c r="E4" s="522"/>
      <c r="F4" s="523"/>
      <c r="G4" s="513" t="s">
        <v>6</v>
      </c>
      <c r="H4" s="513"/>
      <c r="I4" s="513"/>
      <c r="J4" s="513"/>
      <c r="K4" s="513"/>
      <c r="L4" s="513"/>
      <c r="M4" s="513"/>
      <c r="N4" s="513"/>
      <c r="O4" s="513"/>
      <c r="P4" s="513"/>
      <c r="Q4" s="513"/>
      <c r="R4" s="513"/>
      <c r="S4" s="513"/>
      <c r="T4" s="513"/>
      <c r="U4" s="513"/>
      <c r="V4" s="513"/>
      <c r="W4" s="513"/>
      <c r="X4" s="513"/>
      <c r="Y4" s="513"/>
      <c r="Z4" s="604"/>
      <c r="AA4" s="513" t="s">
        <v>119</v>
      </c>
      <c r="AB4" s="513" t="s">
        <v>120</v>
      </c>
      <c r="AH4" s="82"/>
      <c r="AI4" s="82"/>
      <c r="AJ4" s="82"/>
      <c r="AK4" s="82"/>
    </row>
    <row r="5" spans="1:106" ht="44.25" customHeight="1">
      <c r="A5" s="516"/>
      <c r="B5" s="3"/>
      <c r="C5" s="524"/>
      <c r="D5" s="525"/>
      <c r="E5" s="525"/>
      <c r="F5" s="526"/>
      <c r="G5" s="513" t="s">
        <v>9</v>
      </c>
      <c r="H5" s="513"/>
      <c r="I5" s="513"/>
      <c r="J5" s="513"/>
      <c r="K5" s="513" t="s">
        <v>10</v>
      </c>
      <c r="L5" s="513"/>
      <c r="M5" s="513"/>
      <c r="N5" s="513"/>
      <c r="O5" s="513" t="s">
        <v>11</v>
      </c>
      <c r="P5" s="513"/>
      <c r="Q5" s="513"/>
      <c r="R5" s="513"/>
      <c r="S5" s="513" t="s">
        <v>12</v>
      </c>
      <c r="T5" s="513"/>
      <c r="U5" s="513"/>
      <c r="V5" s="513"/>
      <c r="W5" s="513" t="s">
        <v>13</v>
      </c>
      <c r="X5" s="513"/>
      <c r="Y5" s="513"/>
      <c r="Z5" s="604"/>
      <c r="AA5" s="513"/>
      <c r="AB5" s="513"/>
      <c r="AH5" s="82"/>
      <c r="AI5" s="82"/>
      <c r="AJ5" s="82"/>
      <c r="AK5" s="82"/>
    </row>
    <row r="6" spans="1:106" ht="75.75" customHeight="1">
      <c r="A6" s="517"/>
      <c r="B6" s="4"/>
      <c r="C6" s="5" t="s">
        <v>14</v>
      </c>
      <c r="D6" s="5" t="s">
        <v>15</v>
      </c>
      <c r="E6" s="5" t="s">
        <v>130</v>
      </c>
      <c r="F6" s="5" t="s">
        <v>131</v>
      </c>
      <c r="G6" s="5" t="s">
        <v>14</v>
      </c>
      <c r="H6" s="5" t="s">
        <v>15</v>
      </c>
      <c r="I6" s="5" t="s">
        <v>18</v>
      </c>
      <c r="J6" s="5" t="s">
        <v>19</v>
      </c>
      <c r="K6" s="5" t="s">
        <v>14</v>
      </c>
      <c r="L6" s="5" t="s">
        <v>15</v>
      </c>
      <c r="M6" s="5" t="s">
        <v>18</v>
      </c>
      <c r="N6" s="5" t="s">
        <v>19</v>
      </c>
      <c r="O6" s="5" t="s">
        <v>14</v>
      </c>
      <c r="P6" s="5" t="s">
        <v>15</v>
      </c>
      <c r="Q6" s="5" t="s">
        <v>18</v>
      </c>
      <c r="R6" s="5" t="s">
        <v>19</v>
      </c>
      <c r="S6" s="5" t="s">
        <v>14</v>
      </c>
      <c r="T6" s="5" t="s">
        <v>15</v>
      </c>
      <c r="U6" s="5" t="s">
        <v>18</v>
      </c>
      <c r="V6" s="5" t="s">
        <v>19</v>
      </c>
      <c r="W6" s="5" t="s">
        <v>14</v>
      </c>
      <c r="X6" s="5" t="s">
        <v>15</v>
      </c>
      <c r="Y6" s="5" t="s">
        <v>18</v>
      </c>
      <c r="Z6" s="84" t="s">
        <v>19</v>
      </c>
      <c r="AA6" s="513"/>
      <c r="AB6" s="513"/>
      <c r="AH6" s="82"/>
      <c r="AI6" s="82"/>
      <c r="AJ6" s="82"/>
      <c r="AK6" s="82"/>
    </row>
    <row r="7" spans="1:106" ht="66" customHeight="1">
      <c r="A7" s="6" t="s">
        <v>20</v>
      </c>
      <c r="B7" s="6" t="s">
        <v>210</v>
      </c>
      <c r="C7" s="5">
        <v>0</v>
      </c>
      <c r="D7" s="5">
        <v>0</v>
      </c>
      <c r="E7" s="5">
        <v>0</v>
      </c>
      <c r="F7" s="5">
        <v>0</v>
      </c>
      <c r="G7" s="5">
        <v>50</v>
      </c>
      <c r="H7" s="5">
        <v>50</v>
      </c>
      <c r="I7" s="5">
        <v>50</v>
      </c>
      <c r="J7" s="5">
        <v>100</v>
      </c>
      <c r="K7" s="5">
        <v>100</v>
      </c>
      <c r="L7" s="5">
        <v>100</v>
      </c>
      <c r="M7" s="5">
        <v>100</v>
      </c>
      <c r="N7" s="5">
        <v>200</v>
      </c>
      <c r="O7" s="5">
        <v>200</v>
      </c>
      <c r="P7" s="5">
        <v>200</v>
      </c>
      <c r="Q7" s="5">
        <v>200</v>
      </c>
      <c r="R7" s="5">
        <v>350</v>
      </c>
      <c r="S7" s="5">
        <v>400</v>
      </c>
      <c r="T7" s="5">
        <v>400</v>
      </c>
      <c r="U7" s="5">
        <v>400</v>
      </c>
      <c r="V7" s="5">
        <v>500</v>
      </c>
      <c r="W7" s="5">
        <v>500</v>
      </c>
      <c r="X7" s="5">
        <v>500</v>
      </c>
      <c r="Y7" s="5">
        <v>500</v>
      </c>
      <c r="Z7" s="84">
        <v>900</v>
      </c>
      <c r="AA7" s="305">
        <f>C7/W7</f>
        <v>0</v>
      </c>
      <c r="AB7" s="305">
        <f>W7/X7</f>
        <v>1</v>
      </c>
      <c r="AH7" s="82"/>
      <c r="AI7" s="82"/>
      <c r="AJ7" s="82"/>
      <c r="AK7" s="82"/>
    </row>
    <row r="8" spans="1:106" ht="47.25" customHeight="1">
      <c r="A8" s="6" t="s">
        <v>22</v>
      </c>
      <c r="B8" s="85" t="s">
        <v>211</v>
      </c>
      <c r="C8" s="5">
        <v>0</v>
      </c>
      <c r="D8" s="5">
        <v>0</v>
      </c>
      <c r="E8" s="5">
        <v>0</v>
      </c>
      <c r="F8" s="5">
        <v>0</v>
      </c>
      <c r="G8" s="5">
        <v>100</v>
      </c>
      <c r="H8" s="5">
        <v>400</v>
      </c>
      <c r="I8" s="5">
        <v>100</v>
      </c>
      <c r="J8" s="5">
        <v>400</v>
      </c>
      <c r="K8" s="5">
        <v>400</v>
      </c>
      <c r="L8" s="5">
        <v>400</v>
      </c>
      <c r="M8" s="5">
        <v>400</v>
      </c>
      <c r="N8" s="5">
        <v>400</v>
      </c>
      <c r="O8" s="5">
        <v>450</v>
      </c>
      <c r="P8" s="5">
        <v>450</v>
      </c>
      <c r="Q8" s="5">
        <v>450</v>
      </c>
      <c r="R8" s="5">
        <v>450</v>
      </c>
      <c r="S8" s="5">
        <v>500</v>
      </c>
      <c r="T8" s="5">
        <v>500</v>
      </c>
      <c r="U8" s="5">
        <v>500</v>
      </c>
      <c r="V8" s="5">
        <v>500</v>
      </c>
      <c r="W8" s="5">
        <v>550</v>
      </c>
      <c r="X8" s="5">
        <v>550</v>
      </c>
      <c r="Y8" s="5">
        <v>550</v>
      </c>
      <c r="Z8" s="84">
        <v>550</v>
      </c>
      <c r="AA8" s="305">
        <f t="shared" ref="AA8:AA15" si="0">C8/W8</f>
        <v>0</v>
      </c>
      <c r="AB8" s="305">
        <f t="shared" ref="AB8:AB15" si="1">W8/X8</f>
        <v>1</v>
      </c>
      <c r="AH8" s="82"/>
      <c r="AI8" s="82"/>
      <c r="AJ8" s="82"/>
      <c r="AK8" s="82"/>
    </row>
    <row r="9" spans="1:106" ht="46.5" customHeight="1">
      <c r="A9" s="6" t="s">
        <v>61</v>
      </c>
      <c r="B9" s="86" t="s">
        <v>212</v>
      </c>
      <c r="C9" s="5">
        <v>0</v>
      </c>
      <c r="D9" s="5">
        <v>0</v>
      </c>
      <c r="E9" s="5">
        <v>0</v>
      </c>
      <c r="F9" s="5">
        <v>0</v>
      </c>
      <c r="G9" s="5">
        <v>100</v>
      </c>
      <c r="H9" s="5">
        <v>1000</v>
      </c>
      <c r="I9" s="5">
        <v>100</v>
      </c>
      <c r="J9" s="5">
        <v>1000</v>
      </c>
      <c r="K9" s="5">
        <v>200</v>
      </c>
      <c r="L9" s="5">
        <v>1000</v>
      </c>
      <c r="M9" s="5">
        <v>200</v>
      </c>
      <c r="N9" s="5">
        <v>1000</v>
      </c>
      <c r="O9" s="5">
        <v>300</v>
      </c>
      <c r="P9" s="5">
        <v>1100</v>
      </c>
      <c r="Q9" s="5">
        <v>300</v>
      </c>
      <c r="R9" s="5">
        <v>1100</v>
      </c>
      <c r="S9" s="5">
        <v>300</v>
      </c>
      <c r="T9" s="5">
        <v>1100</v>
      </c>
      <c r="U9" s="5">
        <v>300</v>
      </c>
      <c r="V9" s="5">
        <v>1100</v>
      </c>
      <c r="W9" s="5">
        <v>350</v>
      </c>
      <c r="X9" s="5">
        <v>1150</v>
      </c>
      <c r="Y9" s="5">
        <v>350</v>
      </c>
      <c r="Z9" s="84">
        <v>1150</v>
      </c>
      <c r="AA9" s="305">
        <f t="shared" si="0"/>
        <v>0</v>
      </c>
      <c r="AB9" s="306">
        <f t="shared" si="1"/>
        <v>0.30434782608695654</v>
      </c>
      <c r="AH9" s="82"/>
      <c r="AI9" s="82"/>
      <c r="AJ9" s="82"/>
      <c r="AK9" s="82"/>
    </row>
    <row r="10" spans="1:106" ht="43.5" customHeight="1">
      <c r="A10" s="6" t="s">
        <v>63</v>
      </c>
      <c r="B10" s="86" t="s">
        <v>213</v>
      </c>
      <c r="C10" s="5">
        <v>0</v>
      </c>
      <c r="D10" s="5">
        <v>0</v>
      </c>
      <c r="E10" s="5">
        <v>0</v>
      </c>
      <c r="F10" s="5">
        <v>0</v>
      </c>
      <c r="G10" s="5">
        <v>50</v>
      </c>
      <c r="H10" s="5">
        <v>1700</v>
      </c>
      <c r="I10" s="5">
        <v>50</v>
      </c>
      <c r="J10" s="5">
        <v>1700</v>
      </c>
      <c r="K10" s="5">
        <v>500</v>
      </c>
      <c r="L10" s="5">
        <v>1700</v>
      </c>
      <c r="M10" s="5">
        <v>500</v>
      </c>
      <c r="N10" s="5">
        <v>1700</v>
      </c>
      <c r="O10" s="5">
        <v>1000</v>
      </c>
      <c r="P10" s="5">
        <v>1700</v>
      </c>
      <c r="Q10" s="5">
        <v>1000</v>
      </c>
      <c r="R10" s="5">
        <v>1700</v>
      </c>
      <c r="S10" s="5">
        <v>1500</v>
      </c>
      <c r="T10" s="5">
        <v>1700</v>
      </c>
      <c r="U10" s="5">
        <v>1500</v>
      </c>
      <c r="V10" s="5">
        <v>1700</v>
      </c>
      <c r="W10" s="5">
        <v>1500</v>
      </c>
      <c r="X10" s="5">
        <v>1700</v>
      </c>
      <c r="Y10" s="5">
        <v>1500</v>
      </c>
      <c r="Z10" s="84">
        <v>1700</v>
      </c>
      <c r="AA10" s="305">
        <f t="shared" si="0"/>
        <v>0</v>
      </c>
      <c r="AB10" s="305">
        <f t="shared" si="1"/>
        <v>0.88235294117647056</v>
      </c>
      <c r="AH10" s="82"/>
      <c r="AI10" s="82"/>
      <c r="AJ10" s="82"/>
      <c r="AK10" s="82"/>
    </row>
    <row r="11" spans="1:106" ht="54.75" customHeight="1">
      <c r="A11" s="6" t="s">
        <v>136</v>
      </c>
      <c r="B11" s="85" t="s">
        <v>214</v>
      </c>
      <c r="C11" s="5">
        <v>0</v>
      </c>
      <c r="D11" s="5">
        <v>0</v>
      </c>
      <c r="E11" s="5">
        <v>0</v>
      </c>
      <c r="F11" s="5">
        <v>0</v>
      </c>
      <c r="G11" s="5">
        <v>50</v>
      </c>
      <c r="H11" s="5">
        <v>100</v>
      </c>
      <c r="I11" s="5">
        <v>50</v>
      </c>
      <c r="J11" s="5">
        <v>100</v>
      </c>
      <c r="K11" s="5">
        <v>90</v>
      </c>
      <c r="L11" s="5">
        <v>100</v>
      </c>
      <c r="M11" s="5">
        <v>90</v>
      </c>
      <c r="N11" s="5">
        <v>100</v>
      </c>
      <c r="O11" s="5">
        <v>200</v>
      </c>
      <c r="P11" s="5">
        <v>200</v>
      </c>
      <c r="Q11" s="5">
        <v>200</v>
      </c>
      <c r="R11" s="5">
        <v>200</v>
      </c>
      <c r="S11" s="5">
        <v>300</v>
      </c>
      <c r="T11" s="5">
        <v>300</v>
      </c>
      <c r="U11" s="5">
        <v>350</v>
      </c>
      <c r="V11" s="5">
        <v>350</v>
      </c>
      <c r="W11" s="5">
        <v>350</v>
      </c>
      <c r="X11" s="5">
        <v>400</v>
      </c>
      <c r="Y11" s="5">
        <v>350</v>
      </c>
      <c r="Z11" s="84">
        <v>400</v>
      </c>
      <c r="AA11" s="305">
        <f t="shared" si="0"/>
        <v>0</v>
      </c>
      <c r="AB11" s="305">
        <f t="shared" si="1"/>
        <v>0.875</v>
      </c>
      <c r="AH11" s="82"/>
      <c r="AI11" s="82"/>
      <c r="AJ11" s="82"/>
      <c r="AK11" s="82"/>
    </row>
    <row r="12" spans="1:106" ht="54" customHeight="1">
      <c r="A12" s="6" t="s">
        <v>155</v>
      </c>
      <c r="B12" s="85" t="s">
        <v>215</v>
      </c>
      <c r="C12" s="5">
        <v>0</v>
      </c>
      <c r="D12" s="5">
        <v>0</v>
      </c>
      <c r="E12" s="5">
        <v>0</v>
      </c>
      <c r="F12" s="5">
        <v>0</v>
      </c>
      <c r="G12" s="5">
        <v>50</v>
      </c>
      <c r="H12" s="5">
        <v>50</v>
      </c>
      <c r="I12" s="5">
        <v>50</v>
      </c>
      <c r="J12" s="5">
        <v>50</v>
      </c>
      <c r="K12" s="5">
        <v>100</v>
      </c>
      <c r="L12" s="5">
        <v>100</v>
      </c>
      <c r="M12" s="5">
        <v>100</v>
      </c>
      <c r="N12" s="5">
        <v>100</v>
      </c>
      <c r="O12" s="5">
        <v>400</v>
      </c>
      <c r="P12" s="5">
        <v>400</v>
      </c>
      <c r="Q12" s="5">
        <v>400</v>
      </c>
      <c r="R12" s="5">
        <v>400</v>
      </c>
      <c r="S12" s="5">
        <v>400</v>
      </c>
      <c r="T12" s="5">
        <v>400</v>
      </c>
      <c r="U12" s="5">
        <v>400</v>
      </c>
      <c r="V12" s="5">
        <v>400</v>
      </c>
      <c r="W12" s="5">
        <v>410</v>
      </c>
      <c r="X12" s="5">
        <v>400</v>
      </c>
      <c r="Y12" s="5">
        <v>400</v>
      </c>
      <c r="Z12" s="84">
        <v>410</v>
      </c>
      <c r="AA12" s="305">
        <f t="shared" si="0"/>
        <v>0</v>
      </c>
      <c r="AB12" s="305">
        <f t="shared" si="1"/>
        <v>1.0249999999999999</v>
      </c>
      <c r="AH12" s="82"/>
      <c r="AI12" s="82"/>
      <c r="AJ12" s="82"/>
      <c r="AK12" s="82"/>
    </row>
    <row r="13" spans="1:106" ht="43.5" customHeight="1">
      <c r="A13" s="87" t="s">
        <v>159</v>
      </c>
      <c r="B13" s="85" t="s">
        <v>216</v>
      </c>
      <c r="C13" s="6">
        <v>0</v>
      </c>
      <c r="D13" s="6">
        <v>0</v>
      </c>
      <c r="E13" s="6">
        <v>0</v>
      </c>
      <c r="F13" s="6">
        <v>0</v>
      </c>
      <c r="G13" s="6">
        <v>50</v>
      </c>
      <c r="H13" s="6">
        <v>50</v>
      </c>
      <c r="I13" s="6">
        <v>50</v>
      </c>
      <c r="J13" s="6">
        <v>50</v>
      </c>
      <c r="K13" s="6">
        <v>350</v>
      </c>
      <c r="L13" s="6">
        <v>350</v>
      </c>
      <c r="M13" s="6">
        <v>350</v>
      </c>
      <c r="N13" s="6">
        <v>400</v>
      </c>
      <c r="O13" s="6">
        <v>350</v>
      </c>
      <c r="P13" s="6">
        <v>350</v>
      </c>
      <c r="Q13" s="6">
        <v>350</v>
      </c>
      <c r="R13" s="6">
        <v>400</v>
      </c>
      <c r="S13" s="6">
        <v>400</v>
      </c>
      <c r="T13" s="6">
        <v>400</v>
      </c>
      <c r="U13" s="6">
        <v>400</v>
      </c>
      <c r="V13" s="6">
        <v>450</v>
      </c>
      <c r="W13" s="6">
        <v>450</v>
      </c>
      <c r="X13" s="6">
        <v>450</v>
      </c>
      <c r="Y13" s="6">
        <v>440</v>
      </c>
      <c r="Z13" s="40">
        <v>500</v>
      </c>
      <c r="AA13" s="305">
        <f t="shared" si="0"/>
        <v>0</v>
      </c>
      <c r="AB13" s="305">
        <f t="shared" si="1"/>
        <v>1</v>
      </c>
      <c r="AH13" s="82"/>
      <c r="AI13" s="82"/>
      <c r="AJ13" s="82"/>
      <c r="AK13" s="82"/>
    </row>
    <row r="14" spans="1:106" ht="31.5" customHeight="1">
      <c r="A14" s="88" t="s">
        <v>217</v>
      </c>
      <c r="B14" s="85" t="s">
        <v>218</v>
      </c>
      <c r="C14" s="89">
        <v>400</v>
      </c>
      <c r="D14" s="89">
        <v>400</v>
      </c>
      <c r="E14" s="89">
        <v>400</v>
      </c>
      <c r="F14" s="89">
        <v>1700</v>
      </c>
      <c r="G14" s="89">
        <v>300</v>
      </c>
      <c r="H14" s="89">
        <v>300</v>
      </c>
      <c r="I14" s="89">
        <v>300</v>
      </c>
      <c r="J14" s="89">
        <v>400</v>
      </c>
      <c r="K14" s="89">
        <v>700</v>
      </c>
      <c r="L14" s="89">
        <v>700</v>
      </c>
      <c r="M14" s="89">
        <v>700</v>
      </c>
      <c r="N14" s="89">
        <v>750</v>
      </c>
      <c r="O14" s="89">
        <v>1700</v>
      </c>
      <c r="P14" s="89">
        <v>1800</v>
      </c>
      <c r="Q14" s="89">
        <v>1700</v>
      </c>
      <c r="R14" s="89">
        <v>1800</v>
      </c>
      <c r="S14" s="89">
        <v>1700</v>
      </c>
      <c r="T14" s="89">
        <v>1800</v>
      </c>
      <c r="U14" s="89">
        <v>1700</v>
      </c>
      <c r="V14" s="89">
        <v>1800</v>
      </c>
      <c r="W14" s="89">
        <v>1700</v>
      </c>
      <c r="X14" s="89">
        <v>1800</v>
      </c>
      <c r="Y14" s="89">
        <v>1700</v>
      </c>
      <c r="Z14" s="299">
        <v>1800</v>
      </c>
      <c r="AA14" s="305">
        <f t="shared" si="0"/>
        <v>0.23529411764705882</v>
      </c>
      <c r="AB14" s="305">
        <f t="shared" si="1"/>
        <v>0.94444444444444442</v>
      </c>
      <c r="AH14" s="82"/>
      <c r="AI14" s="82"/>
      <c r="AJ14" s="82"/>
      <c r="AK14" s="82"/>
    </row>
    <row r="15" spans="1:106" s="87" customFormat="1" ht="38.25">
      <c r="A15" s="88" t="s">
        <v>219</v>
      </c>
      <c r="B15" s="303" t="s">
        <v>220</v>
      </c>
      <c r="C15" s="89">
        <v>80</v>
      </c>
      <c r="D15" s="89">
        <v>100</v>
      </c>
      <c r="E15" s="89">
        <v>800</v>
      </c>
      <c r="F15" s="89">
        <v>2000</v>
      </c>
      <c r="G15" s="89">
        <v>80</v>
      </c>
      <c r="H15" s="89">
        <v>100</v>
      </c>
      <c r="I15" s="89">
        <v>800</v>
      </c>
      <c r="J15" s="89">
        <v>2000</v>
      </c>
      <c r="K15" s="89">
        <v>300</v>
      </c>
      <c r="L15" s="89">
        <v>300</v>
      </c>
      <c r="M15" s="89">
        <v>800</v>
      </c>
      <c r="N15" s="89">
        <v>2000</v>
      </c>
      <c r="O15" s="89">
        <v>1200</v>
      </c>
      <c r="P15" s="89">
        <v>1200</v>
      </c>
      <c r="Q15" s="89">
        <v>1200</v>
      </c>
      <c r="R15" s="89">
        <v>2000</v>
      </c>
      <c r="S15" s="89">
        <v>1500</v>
      </c>
      <c r="T15" s="89">
        <v>1500</v>
      </c>
      <c r="U15" s="89">
        <v>1500</v>
      </c>
      <c r="V15" s="89">
        <v>2000</v>
      </c>
      <c r="W15" s="89">
        <v>1500</v>
      </c>
      <c r="X15" s="89">
        <v>1500</v>
      </c>
      <c r="Y15" s="89">
        <v>1500</v>
      </c>
      <c r="Z15" s="299">
        <v>2000</v>
      </c>
      <c r="AA15" s="305">
        <f t="shared" si="0"/>
        <v>5.3333333333333337E-2</v>
      </c>
      <c r="AB15" s="305">
        <f t="shared" si="1"/>
        <v>1</v>
      </c>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row>
    <row r="16" spans="1:106" s="87" customFormat="1">
      <c r="A16" s="185"/>
      <c r="B16" s="304"/>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8"/>
      <c r="AA16" s="302">
        <f>AVERAGE(AA7:AA15)</f>
        <v>3.2069716775599132E-2</v>
      </c>
      <c r="AB16" s="90">
        <f>AVERAGE(AB7:AB15)</f>
        <v>0.89234946796754122</v>
      </c>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row>
    <row r="17" spans="1:37" s="82" customFormat="1" ht="15.75">
      <c r="B17" s="91"/>
      <c r="C17" s="7"/>
      <c r="D17" s="7"/>
      <c r="E17" s="7"/>
      <c r="F17" s="7"/>
      <c r="G17" s="7"/>
      <c r="H17" s="7"/>
      <c r="I17" s="7"/>
      <c r="J17" s="7"/>
      <c r="K17" s="7"/>
      <c r="L17" s="7"/>
      <c r="M17" s="7"/>
      <c r="N17" s="7"/>
      <c r="O17" s="7"/>
      <c r="P17" s="7"/>
      <c r="Q17" s="7"/>
      <c r="R17" s="7"/>
      <c r="S17" s="7"/>
      <c r="T17" s="7"/>
      <c r="U17" s="7"/>
      <c r="V17" s="7"/>
      <c r="W17" s="7"/>
      <c r="X17" s="7"/>
      <c r="Y17" s="7"/>
      <c r="Z17" s="7"/>
    </row>
    <row r="18" spans="1:37" ht="23.25">
      <c r="A18" s="514" t="s">
        <v>25</v>
      </c>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82"/>
      <c r="AH18" s="82"/>
      <c r="AI18" s="82"/>
      <c r="AJ18" s="82"/>
      <c r="AK18" s="82"/>
    </row>
    <row r="19" spans="1:37">
      <c r="A19" s="515" t="s">
        <v>3</v>
      </c>
      <c r="B19" s="518" t="s">
        <v>26</v>
      </c>
      <c r="C19" s="521" t="s">
        <v>139</v>
      </c>
      <c r="D19" s="522"/>
      <c r="E19" s="522"/>
      <c r="F19" s="523"/>
      <c r="G19" s="513" t="s">
        <v>28</v>
      </c>
      <c r="H19" s="513"/>
      <c r="I19" s="513"/>
      <c r="J19" s="513"/>
      <c r="K19" s="513"/>
      <c r="L19" s="513"/>
      <c r="M19" s="513"/>
      <c r="N19" s="513"/>
      <c r="O19" s="513"/>
      <c r="P19" s="513"/>
      <c r="Q19" s="513"/>
      <c r="R19" s="513"/>
      <c r="S19" s="513"/>
      <c r="T19" s="513"/>
      <c r="U19" s="513"/>
      <c r="V19" s="513"/>
      <c r="W19" s="513"/>
      <c r="X19" s="513"/>
      <c r="Y19" s="513"/>
      <c r="Z19" s="604"/>
      <c r="AA19" s="513" t="s">
        <v>124</v>
      </c>
      <c r="AB19" s="513" t="s">
        <v>125</v>
      </c>
      <c r="AH19" s="82"/>
      <c r="AI19" s="82"/>
      <c r="AJ19" s="82"/>
      <c r="AK19" s="82"/>
    </row>
    <row r="20" spans="1:37" ht="31.5" customHeight="1">
      <c r="A20" s="516"/>
      <c r="B20" s="519"/>
      <c r="C20" s="524"/>
      <c r="D20" s="525"/>
      <c r="E20" s="525"/>
      <c r="F20" s="526"/>
      <c r="G20" s="513" t="s">
        <v>9</v>
      </c>
      <c r="H20" s="513"/>
      <c r="I20" s="513"/>
      <c r="J20" s="513"/>
      <c r="K20" s="513" t="s">
        <v>10</v>
      </c>
      <c r="L20" s="513"/>
      <c r="M20" s="513"/>
      <c r="N20" s="513"/>
      <c r="O20" s="513" t="s">
        <v>11</v>
      </c>
      <c r="P20" s="513"/>
      <c r="Q20" s="513"/>
      <c r="R20" s="513"/>
      <c r="S20" s="513" t="s">
        <v>12</v>
      </c>
      <c r="T20" s="513"/>
      <c r="U20" s="513"/>
      <c r="V20" s="513"/>
      <c r="W20" s="513" t="s">
        <v>13</v>
      </c>
      <c r="X20" s="513"/>
      <c r="Y20" s="513"/>
      <c r="Z20" s="604"/>
      <c r="AA20" s="513" t="s">
        <v>124</v>
      </c>
      <c r="AB20" s="513" t="s">
        <v>125</v>
      </c>
      <c r="AH20" s="82"/>
      <c r="AI20" s="82"/>
      <c r="AJ20" s="82"/>
      <c r="AK20" s="82"/>
    </row>
    <row r="21" spans="1:37" ht="31.5" customHeight="1">
      <c r="A21" s="517"/>
      <c r="B21" s="520"/>
      <c r="C21" s="5" t="s">
        <v>140</v>
      </c>
      <c r="D21" s="5" t="s">
        <v>32</v>
      </c>
      <c r="E21" s="5" t="s">
        <v>33</v>
      </c>
      <c r="F21" s="5" t="s">
        <v>131</v>
      </c>
      <c r="G21" s="5" t="s">
        <v>34</v>
      </c>
      <c r="H21" s="5" t="s">
        <v>32</v>
      </c>
      <c r="I21" s="5" t="s">
        <v>33</v>
      </c>
      <c r="J21" s="5" t="s">
        <v>19</v>
      </c>
      <c r="K21" s="5" t="s">
        <v>34</v>
      </c>
      <c r="L21" s="5" t="s">
        <v>32</v>
      </c>
      <c r="M21" s="5" t="s">
        <v>33</v>
      </c>
      <c r="N21" s="5" t="s">
        <v>19</v>
      </c>
      <c r="O21" s="5" t="s">
        <v>34</v>
      </c>
      <c r="P21" s="5" t="s">
        <v>32</v>
      </c>
      <c r="Q21" s="5" t="s">
        <v>33</v>
      </c>
      <c r="R21" s="5" t="s">
        <v>19</v>
      </c>
      <c r="S21" s="5" t="s">
        <v>34</v>
      </c>
      <c r="T21" s="5" t="s">
        <v>32</v>
      </c>
      <c r="U21" s="5" t="s">
        <v>33</v>
      </c>
      <c r="V21" s="5" t="s">
        <v>19</v>
      </c>
      <c r="W21" s="5" t="s">
        <v>34</v>
      </c>
      <c r="X21" s="5" t="s">
        <v>32</v>
      </c>
      <c r="Y21" s="5" t="s">
        <v>33</v>
      </c>
      <c r="Z21" s="84" t="s">
        <v>19</v>
      </c>
      <c r="AA21" s="513" t="s">
        <v>124</v>
      </c>
      <c r="AB21" s="513" t="s">
        <v>125</v>
      </c>
      <c r="AH21" s="82"/>
      <c r="AI21" s="82"/>
      <c r="AJ21" s="82"/>
      <c r="AK21" s="82"/>
    </row>
    <row r="22" spans="1:37" ht="31.5" customHeight="1">
      <c r="A22" s="6" t="s">
        <v>20</v>
      </c>
      <c r="B22" s="92" t="s">
        <v>221</v>
      </c>
      <c r="C22" s="6"/>
      <c r="D22" s="6"/>
      <c r="E22" s="6"/>
      <c r="F22" s="6"/>
      <c r="G22" s="6"/>
      <c r="H22" s="6"/>
      <c r="I22" s="6"/>
      <c r="J22" s="6"/>
      <c r="K22" s="6"/>
      <c r="L22" s="6"/>
      <c r="M22" s="6"/>
      <c r="N22" s="6"/>
      <c r="O22" s="6"/>
      <c r="P22" s="6"/>
      <c r="Q22" s="6"/>
      <c r="R22" s="6"/>
      <c r="S22" s="6"/>
      <c r="T22" s="6"/>
      <c r="U22" s="6"/>
      <c r="V22" s="6"/>
      <c r="W22" s="6"/>
      <c r="X22" s="6"/>
      <c r="Y22" s="6"/>
      <c r="Z22" s="40"/>
      <c r="AA22" s="71"/>
      <c r="AB22" s="71"/>
      <c r="AH22" s="82"/>
      <c r="AI22" s="82"/>
      <c r="AJ22" s="82"/>
      <c r="AK22" s="82"/>
    </row>
    <row r="23" spans="1:37" ht="31.5" customHeight="1">
      <c r="A23" s="6" t="s">
        <v>36</v>
      </c>
      <c r="B23" s="93" t="s">
        <v>222</v>
      </c>
      <c r="C23" s="6">
        <v>1000</v>
      </c>
      <c r="D23" s="6">
        <v>1000</v>
      </c>
      <c r="E23" s="6">
        <v>35</v>
      </c>
      <c r="F23" s="6">
        <v>40</v>
      </c>
      <c r="G23" s="6">
        <v>1200</v>
      </c>
      <c r="H23" s="6">
        <v>1200</v>
      </c>
      <c r="I23" s="6">
        <v>30</v>
      </c>
      <c r="J23" s="6">
        <v>30</v>
      </c>
      <c r="K23" s="6">
        <v>1500</v>
      </c>
      <c r="L23" s="6">
        <v>1500</v>
      </c>
      <c r="M23" s="6">
        <v>35</v>
      </c>
      <c r="N23" s="6">
        <v>40</v>
      </c>
      <c r="O23" s="6">
        <v>1550</v>
      </c>
      <c r="P23" s="6">
        <v>1550</v>
      </c>
      <c r="Q23" s="6">
        <v>35</v>
      </c>
      <c r="R23" s="6">
        <v>40</v>
      </c>
      <c r="S23" s="6">
        <v>1700</v>
      </c>
      <c r="T23" s="6">
        <v>1700</v>
      </c>
      <c r="U23" s="6">
        <v>35</v>
      </c>
      <c r="V23" s="6">
        <v>40</v>
      </c>
      <c r="W23" s="6">
        <v>2000</v>
      </c>
      <c r="X23" s="6">
        <v>2000</v>
      </c>
      <c r="Y23" s="6">
        <v>35</v>
      </c>
      <c r="Z23" s="40">
        <v>40</v>
      </c>
      <c r="AA23" s="213">
        <f t="shared" ref="AA23:AA28" si="2">C23/W23</f>
        <v>0.5</v>
      </c>
      <c r="AB23" s="213">
        <f t="shared" ref="AB23:AB28" si="3">W23/X23</f>
        <v>1</v>
      </c>
      <c r="AH23" s="82"/>
      <c r="AI23" s="82"/>
      <c r="AJ23" s="82"/>
      <c r="AK23" s="82"/>
    </row>
    <row r="24" spans="1:37" ht="31.5" customHeight="1">
      <c r="A24" s="6" t="s">
        <v>38</v>
      </c>
      <c r="B24" s="37" t="s">
        <v>223</v>
      </c>
      <c r="C24" s="6">
        <v>800</v>
      </c>
      <c r="D24" s="6">
        <v>800</v>
      </c>
      <c r="E24" s="6">
        <v>10</v>
      </c>
      <c r="F24" s="6">
        <v>40</v>
      </c>
      <c r="G24" s="6">
        <v>800</v>
      </c>
      <c r="H24" s="6">
        <v>800</v>
      </c>
      <c r="I24" s="6">
        <v>10</v>
      </c>
      <c r="J24" s="6">
        <v>40</v>
      </c>
      <c r="K24" s="6">
        <v>850</v>
      </c>
      <c r="L24" s="6">
        <v>850</v>
      </c>
      <c r="M24" s="6">
        <v>10</v>
      </c>
      <c r="N24" s="6">
        <v>40</v>
      </c>
      <c r="O24" s="6">
        <v>850</v>
      </c>
      <c r="P24" s="6">
        <v>850</v>
      </c>
      <c r="Q24" s="6">
        <v>10</v>
      </c>
      <c r="R24" s="6">
        <v>40</v>
      </c>
      <c r="S24" s="6">
        <v>850</v>
      </c>
      <c r="T24" s="6">
        <v>850</v>
      </c>
      <c r="U24" s="6">
        <v>10</v>
      </c>
      <c r="V24" s="6">
        <v>40</v>
      </c>
      <c r="W24" s="6">
        <v>850</v>
      </c>
      <c r="X24" s="6">
        <v>850</v>
      </c>
      <c r="Y24" s="6">
        <v>10</v>
      </c>
      <c r="Z24" s="40">
        <v>40</v>
      </c>
      <c r="AA24" s="213">
        <f t="shared" si="2"/>
        <v>0.94117647058823528</v>
      </c>
      <c r="AB24" s="213">
        <f t="shared" si="3"/>
        <v>1</v>
      </c>
      <c r="AH24" s="82"/>
      <c r="AI24" s="82"/>
      <c r="AJ24" s="82"/>
      <c r="AK24" s="82"/>
    </row>
    <row r="25" spans="1:37" ht="31.5" customHeight="1">
      <c r="A25" s="6" t="s">
        <v>224</v>
      </c>
      <c r="B25" s="6" t="s">
        <v>225</v>
      </c>
      <c r="C25" s="6"/>
      <c r="D25" s="6"/>
      <c r="E25" s="6"/>
      <c r="F25" s="6"/>
      <c r="G25" s="6"/>
      <c r="H25" s="6"/>
      <c r="I25" s="6"/>
      <c r="J25" s="6"/>
      <c r="K25" s="6"/>
      <c r="L25" s="6"/>
      <c r="M25" s="6"/>
      <c r="N25" s="6"/>
      <c r="O25" s="6"/>
      <c r="P25" s="6"/>
      <c r="Q25" s="6"/>
      <c r="R25" s="6"/>
      <c r="S25" s="6"/>
      <c r="T25" s="6"/>
      <c r="U25" s="6"/>
      <c r="V25" s="6"/>
      <c r="W25" s="6"/>
      <c r="X25" s="6"/>
      <c r="Y25" s="6"/>
      <c r="Z25" s="40"/>
      <c r="AA25" s="213"/>
      <c r="AB25" s="213"/>
      <c r="AH25" s="82"/>
      <c r="AI25" s="82"/>
      <c r="AJ25" s="82"/>
      <c r="AK25" s="82"/>
    </row>
    <row r="26" spans="1:37" ht="73.5" customHeight="1">
      <c r="A26" s="6" t="s">
        <v>226</v>
      </c>
      <c r="B26" s="37" t="s">
        <v>227</v>
      </c>
      <c r="C26" s="6">
        <v>1500</v>
      </c>
      <c r="D26" s="6">
        <v>1500</v>
      </c>
      <c r="E26" s="6">
        <v>1500</v>
      </c>
      <c r="F26" s="6">
        <v>1500</v>
      </c>
      <c r="G26" s="6">
        <v>1600</v>
      </c>
      <c r="H26" s="6">
        <v>1600</v>
      </c>
      <c r="I26" s="6">
        <v>1600</v>
      </c>
      <c r="J26" s="6">
        <v>1600</v>
      </c>
      <c r="K26" s="6">
        <v>2000</v>
      </c>
      <c r="L26" s="6">
        <v>2000</v>
      </c>
      <c r="M26" s="6">
        <v>2000</v>
      </c>
      <c r="N26" s="6">
        <v>2000</v>
      </c>
      <c r="O26" s="6">
        <v>2300</v>
      </c>
      <c r="P26" s="6">
        <v>2300</v>
      </c>
      <c r="Q26" s="6">
        <v>2300</v>
      </c>
      <c r="R26" s="6">
        <v>2300</v>
      </c>
      <c r="S26" s="6">
        <v>2400</v>
      </c>
      <c r="T26" s="6">
        <v>2400</v>
      </c>
      <c r="U26" s="6">
        <v>2400</v>
      </c>
      <c r="V26" s="6">
        <v>2400</v>
      </c>
      <c r="W26" s="6">
        <v>2600</v>
      </c>
      <c r="X26" s="6">
        <v>2600</v>
      </c>
      <c r="Y26" s="6">
        <v>2600</v>
      </c>
      <c r="Z26" s="40">
        <v>2600</v>
      </c>
      <c r="AA26" s="213">
        <f t="shared" si="2"/>
        <v>0.57692307692307687</v>
      </c>
      <c r="AB26" s="213">
        <f t="shared" si="3"/>
        <v>1</v>
      </c>
      <c r="AH26" s="82"/>
      <c r="AI26" s="82"/>
      <c r="AJ26" s="82"/>
      <c r="AK26" s="82"/>
    </row>
    <row r="27" spans="1:37" ht="39" customHeight="1">
      <c r="A27" s="6" t="s">
        <v>61</v>
      </c>
      <c r="B27" s="6" t="s">
        <v>228</v>
      </c>
      <c r="C27" s="6"/>
      <c r="D27" s="6"/>
      <c r="E27" s="6"/>
      <c r="F27" s="6"/>
      <c r="G27" s="6"/>
      <c r="H27" s="6"/>
      <c r="I27" s="6"/>
      <c r="J27" s="6"/>
      <c r="K27" s="6"/>
      <c r="L27" s="6"/>
      <c r="M27" s="6"/>
      <c r="N27" s="6"/>
      <c r="O27" s="6"/>
      <c r="P27" s="6"/>
      <c r="Q27" s="6"/>
      <c r="R27" s="6"/>
      <c r="S27" s="6"/>
      <c r="T27" s="6"/>
      <c r="U27" s="6"/>
      <c r="V27" s="6"/>
      <c r="W27" s="6"/>
      <c r="X27" s="6"/>
      <c r="Y27" s="6"/>
      <c r="Z27" s="40"/>
      <c r="AA27" s="213"/>
      <c r="AB27" s="213"/>
      <c r="AH27" s="82"/>
      <c r="AI27" s="82"/>
      <c r="AJ27" s="82"/>
      <c r="AK27" s="82"/>
    </row>
    <row r="28" spans="1:37" ht="25.5">
      <c r="A28" s="6" t="s">
        <v>147</v>
      </c>
      <c r="B28" s="37" t="s">
        <v>229</v>
      </c>
      <c r="C28" s="5">
        <v>0</v>
      </c>
      <c r="D28" s="5">
        <v>0</v>
      </c>
      <c r="E28" s="5">
        <v>0</v>
      </c>
      <c r="F28" s="5">
        <v>0</v>
      </c>
      <c r="G28" s="5">
        <v>100</v>
      </c>
      <c r="H28" s="5">
        <v>400</v>
      </c>
      <c r="I28" s="5">
        <v>100</v>
      </c>
      <c r="J28" s="5">
        <v>400</v>
      </c>
      <c r="K28" s="5">
        <v>400</v>
      </c>
      <c r="L28" s="5">
        <v>400</v>
      </c>
      <c r="M28" s="5">
        <v>400</v>
      </c>
      <c r="N28" s="5">
        <v>400</v>
      </c>
      <c r="O28" s="5">
        <v>450</v>
      </c>
      <c r="P28" s="5">
        <v>450</v>
      </c>
      <c r="Q28" s="5">
        <v>450</v>
      </c>
      <c r="R28" s="5">
        <v>450</v>
      </c>
      <c r="S28" s="5">
        <v>500</v>
      </c>
      <c r="T28" s="5">
        <v>500</v>
      </c>
      <c r="U28" s="5">
        <v>500</v>
      </c>
      <c r="V28" s="5">
        <v>500</v>
      </c>
      <c r="W28" s="5">
        <v>550</v>
      </c>
      <c r="X28" s="5">
        <v>550</v>
      </c>
      <c r="Y28" s="5">
        <v>550</v>
      </c>
      <c r="Z28" s="84">
        <v>550</v>
      </c>
      <c r="AA28" s="213">
        <f t="shared" si="2"/>
        <v>0</v>
      </c>
      <c r="AB28" s="213">
        <f t="shared" si="3"/>
        <v>1</v>
      </c>
      <c r="AH28" s="82"/>
      <c r="AI28" s="82"/>
      <c r="AJ28" s="82"/>
      <c r="AK28" s="82"/>
    </row>
    <row r="29" spans="1:37" ht="63.75">
      <c r="A29" s="6" t="s">
        <v>63</v>
      </c>
      <c r="B29" s="6" t="s">
        <v>230</v>
      </c>
      <c r="C29" s="6"/>
      <c r="D29" s="6"/>
      <c r="E29" s="6"/>
      <c r="F29" s="6"/>
      <c r="G29" s="6"/>
      <c r="H29" s="6"/>
      <c r="I29" s="6"/>
      <c r="J29" s="6"/>
      <c r="K29" s="6"/>
      <c r="L29" s="6"/>
      <c r="M29" s="6"/>
      <c r="N29" s="6"/>
      <c r="O29" s="6"/>
      <c r="P29" s="6"/>
      <c r="Q29" s="6"/>
      <c r="R29" s="6"/>
      <c r="S29" s="6"/>
      <c r="T29" s="6"/>
      <c r="U29" s="6"/>
      <c r="V29" s="6"/>
      <c r="W29" s="6"/>
      <c r="X29" s="6"/>
      <c r="Y29" s="6"/>
      <c r="Z29" s="40"/>
      <c r="AA29" s="213"/>
      <c r="AB29" s="213"/>
      <c r="AH29" s="82"/>
      <c r="AI29" s="82"/>
      <c r="AJ29" s="82"/>
      <c r="AK29" s="82"/>
    </row>
    <row r="30" spans="1:37" ht="25.5">
      <c r="A30" s="6" t="s">
        <v>144</v>
      </c>
      <c r="B30" s="37" t="s">
        <v>231</v>
      </c>
      <c r="C30" s="6">
        <v>2</v>
      </c>
      <c r="D30" s="6">
        <v>2</v>
      </c>
      <c r="E30" s="6">
        <v>50</v>
      </c>
      <c r="F30" s="6">
        <v>60</v>
      </c>
      <c r="G30" s="6">
        <v>0</v>
      </c>
      <c r="H30" s="6">
        <v>0</v>
      </c>
      <c r="I30" s="6">
        <v>50</v>
      </c>
      <c r="J30" s="6">
        <v>60</v>
      </c>
      <c r="K30" s="6">
        <v>0</v>
      </c>
      <c r="L30" s="6">
        <v>0</v>
      </c>
      <c r="M30" s="6">
        <v>55</v>
      </c>
      <c r="N30" s="6">
        <v>65</v>
      </c>
      <c r="O30" s="6">
        <v>0</v>
      </c>
      <c r="P30" s="6">
        <v>0</v>
      </c>
      <c r="Q30" s="6">
        <v>55</v>
      </c>
      <c r="R30" s="6">
        <v>65</v>
      </c>
      <c r="S30" s="6">
        <v>0</v>
      </c>
      <c r="T30" s="6">
        <v>0</v>
      </c>
      <c r="U30" s="6">
        <v>60</v>
      </c>
      <c r="V30" s="6">
        <v>70</v>
      </c>
      <c r="W30" s="6">
        <v>0</v>
      </c>
      <c r="X30" s="6">
        <v>0</v>
      </c>
      <c r="Y30" s="6">
        <v>60</v>
      </c>
      <c r="Z30" s="40">
        <v>70</v>
      </c>
      <c r="AA30" s="79"/>
      <c r="AB30" s="79"/>
      <c r="AH30" s="82"/>
      <c r="AI30" s="82"/>
      <c r="AJ30" s="82"/>
      <c r="AK30" s="82"/>
    </row>
    <row r="31" spans="1:37" ht="36">
      <c r="Z31" s="5" t="s">
        <v>24</v>
      </c>
      <c r="AA31" s="301">
        <f>AVERAGE(AA22:AA30)</f>
        <v>0.50452488687782804</v>
      </c>
      <c r="AB31" s="301">
        <f>AVERAGE(AB22:AB30)</f>
        <v>1</v>
      </c>
      <c r="AH31" s="82"/>
      <c r="AI31" s="82"/>
      <c r="AJ31" s="82"/>
      <c r="AK31" s="82"/>
    </row>
    <row r="32" spans="1:37">
      <c r="A32" s="9"/>
      <c r="B32" s="9" t="s">
        <v>40</v>
      </c>
      <c r="AA32" s="82"/>
      <c r="AH32" s="82"/>
      <c r="AI32" s="82"/>
      <c r="AJ32" s="82"/>
      <c r="AK32" s="82"/>
    </row>
    <row r="33" spans="1:37">
      <c r="AA33" s="82"/>
      <c r="AH33" s="82"/>
      <c r="AI33" s="82"/>
      <c r="AJ33" s="82"/>
      <c r="AK33" s="82"/>
    </row>
    <row r="34" spans="1:37">
      <c r="A34" s="10" t="s">
        <v>41</v>
      </c>
      <c r="B34" s="509" t="s">
        <v>42</v>
      </c>
      <c r="C34" s="509"/>
      <c r="D34" s="509"/>
      <c r="E34" s="509"/>
      <c r="F34" s="509"/>
      <c r="G34" s="509"/>
      <c r="H34" s="509"/>
      <c r="I34" s="509"/>
      <c r="J34" s="509"/>
      <c r="K34" s="509"/>
      <c r="L34" s="509"/>
      <c r="M34" s="509"/>
      <c r="N34" s="509"/>
      <c r="O34" s="509"/>
      <c r="P34" s="509"/>
      <c r="Q34" s="509"/>
      <c r="R34" s="509"/>
      <c r="AA34" s="82"/>
      <c r="AH34" s="82"/>
      <c r="AI34" s="82"/>
      <c r="AJ34" s="82"/>
      <c r="AK34" s="82"/>
    </row>
    <row r="35" spans="1:37">
      <c r="A35" s="10" t="s">
        <v>43</v>
      </c>
      <c r="B35" s="509" t="s">
        <v>44</v>
      </c>
      <c r="C35" s="509"/>
      <c r="D35" s="509"/>
      <c r="E35" s="509"/>
      <c r="F35" s="509"/>
      <c r="G35" s="509"/>
      <c r="H35" s="509"/>
      <c r="I35" s="509"/>
      <c r="J35" s="509"/>
      <c r="K35" s="509"/>
      <c r="L35" s="509"/>
      <c r="M35" s="509"/>
      <c r="N35" s="509"/>
      <c r="O35" s="509"/>
      <c r="P35" s="509"/>
      <c r="Q35" s="509"/>
      <c r="R35" s="509"/>
      <c r="AA35" s="82"/>
      <c r="AH35" s="82"/>
      <c r="AI35" s="82"/>
      <c r="AJ35" s="82"/>
      <c r="AK35" s="82"/>
    </row>
    <row r="36" spans="1:37">
      <c r="B36" s="509" t="s">
        <v>164</v>
      </c>
      <c r="C36" s="509"/>
      <c r="D36" s="509"/>
      <c r="E36" s="509"/>
      <c r="F36" s="509"/>
      <c r="G36" s="509"/>
      <c r="H36" s="509"/>
      <c r="I36" s="509"/>
      <c r="J36" s="509"/>
      <c r="K36" s="509"/>
      <c r="L36" s="509"/>
      <c r="M36" s="509"/>
      <c r="N36" s="509"/>
      <c r="O36" s="509"/>
      <c r="P36" s="509"/>
      <c r="Q36" s="509"/>
      <c r="R36" s="509"/>
      <c r="AA36" s="82"/>
      <c r="AH36" s="82"/>
      <c r="AI36" s="82"/>
      <c r="AJ36" s="82"/>
      <c r="AK36" s="82"/>
    </row>
    <row r="37" spans="1:37">
      <c r="B37" s="509" t="s">
        <v>165</v>
      </c>
      <c r="C37" s="509"/>
      <c r="D37" s="509"/>
      <c r="E37" s="509"/>
      <c r="F37" s="509"/>
      <c r="G37" s="509"/>
      <c r="H37" s="509"/>
      <c r="I37" s="509"/>
      <c r="J37" s="509"/>
      <c r="K37" s="509"/>
      <c r="L37" s="509"/>
      <c r="M37" s="509"/>
      <c r="N37" s="509"/>
      <c r="O37" s="509"/>
      <c r="P37" s="509"/>
      <c r="Q37" s="509"/>
      <c r="R37" s="509"/>
      <c r="AA37" s="82"/>
      <c r="AH37" s="82"/>
      <c r="AI37" s="82"/>
      <c r="AJ37" s="82"/>
      <c r="AK37" s="82"/>
    </row>
    <row r="38" spans="1:37">
      <c r="B38" s="509" t="s">
        <v>166</v>
      </c>
      <c r="C38" s="509"/>
      <c r="D38" s="509"/>
      <c r="E38" s="509"/>
      <c r="F38" s="509"/>
      <c r="G38" s="509"/>
      <c r="H38" s="509"/>
      <c r="I38" s="509"/>
      <c r="J38" s="509"/>
      <c r="K38" s="509"/>
      <c r="L38" s="509"/>
      <c r="M38" s="509"/>
      <c r="N38" s="509"/>
      <c r="O38" s="509"/>
      <c r="P38" s="509"/>
      <c r="Q38" s="509"/>
      <c r="R38" s="509"/>
      <c r="AA38" s="82"/>
      <c r="AH38" s="82"/>
      <c r="AI38" s="82"/>
      <c r="AJ38" s="82"/>
      <c r="AK38" s="82"/>
    </row>
    <row r="39" spans="1:37">
      <c r="B39" s="509" t="s">
        <v>167</v>
      </c>
      <c r="C39" s="509"/>
      <c r="D39" s="509"/>
      <c r="E39" s="509"/>
      <c r="F39" s="509"/>
      <c r="G39" s="509"/>
      <c r="H39" s="509"/>
      <c r="I39" s="509"/>
      <c r="J39" s="509"/>
      <c r="K39" s="509"/>
      <c r="L39" s="509"/>
      <c r="M39" s="509"/>
      <c r="N39" s="509"/>
      <c r="O39" s="509"/>
      <c r="P39" s="509"/>
      <c r="Q39" s="509"/>
      <c r="R39" s="509"/>
      <c r="AA39" s="82"/>
      <c r="AH39" s="82"/>
      <c r="AI39" s="82"/>
      <c r="AJ39" s="82"/>
      <c r="AK39" s="82"/>
    </row>
    <row r="40" spans="1:37">
      <c r="B40" s="509" t="s">
        <v>168</v>
      </c>
      <c r="C40" s="509"/>
      <c r="D40" s="509"/>
      <c r="E40" s="509"/>
      <c r="F40" s="509"/>
      <c r="G40" s="509"/>
      <c r="H40" s="509"/>
      <c r="I40" s="509"/>
      <c r="J40" s="509"/>
      <c r="K40" s="509"/>
      <c r="L40" s="509"/>
      <c r="M40" s="509"/>
      <c r="N40" s="509"/>
      <c r="O40" s="509"/>
      <c r="P40" s="509"/>
      <c r="Q40" s="509"/>
      <c r="R40" s="509"/>
      <c r="AA40" s="82"/>
      <c r="AH40" s="82"/>
      <c r="AI40" s="82"/>
      <c r="AJ40" s="82"/>
      <c r="AK40" s="82"/>
    </row>
    <row r="41" spans="1:37">
      <c r="B41" s="509" t="s">
        <v>169</v>
      </c>
      <c r="C41" s="509"/>
      <c r="D41" s="509"/>
      <c r="E41" s="509"/>
      <c r="F41" s="509"/>
      <c r="G41" s="509"/>
      <c r="H41" s="509"/>
      <c r="I41" s="509"/>
      <c r="J41" s="509"/>
      <c r="K41" s="509"/>
      <c r="L41" s="509"/>
      <c r="M41" s="509"/>
      <c r="N41" s="509"/>
      <c r="O41" s="509"/>
      <c r="P41" s="509"/>
      <c r="Q41" s="509"/>
      <c r="R41" s="509"/>
      <c r="AA41" s="82"/>
      <c r="AH41" s="82"/>
      <c r="AI41" s="82"/>
      <c r="AJ41" s="82"/>
      <c r="AK41" s="82"/>
    </row>
    <row r="42" spans="1:37">
      <c r="B42" s="11"/>
      <c r="AA42" s="82"/>
      <c r="AH42" s="82"/>
      <c r="AI42" s="82"/>
      <c r="AJ42" s="82"/>
      <c r="AK42" s="82"/>
    </row>
    <row r="43" spans="1:37">
      <c r="B43" s="11"/>
      <c r="AA43" s="82"/>
      <c r="AH43" s="82"/>
      <c r="AI43" s="82"/>
      <c r="AJ43" s="82"/>
      <c r="AK43" s="82"/>
    </row>
    <row r="44" spans="1:37">
      <c r="AA44" s="82"/>
      <c r="AH44" s="82"/>
      <c r="AI44" s="82"/>
      <c r="AJ44" s="82"/>
      <c r="AK44" s="82"/>
    </row>
    <row r="45" spans="1:37">
      <c r="B45" s="11"/>
      <c r="AA45" s="82"/>
      <c r="AH45" s="82"/>
      <c r="AI45" s="82"/>
      <c r="AJ45" s="82"/>
      <c r="AK45" s="82"/>
    </row>
    <row r="46" spans="1:37">
      <c r="AA46" s="82"/>
      <c r="AH46" s="82"/>
      <c r="AI46" s="82"/>
      <c r="AJ46" s="82"/>
      <c r="AK46" s="82"/>
    </row>
    <row r="47" spans="1:37">
      <c r="AA47" s="82"/>
      <c r="AH47" s="82"/>
      <c r="AI47" s="82"/>
      <c r="AJ47" s="82"/>
      <c r="AK47" s="82"/>
    </row>
    <row r="48" spans="1:37">
      <c r="AA48" s="82"/>
      <c r="AH48" s="82"/>
      <c r="AI48" s="82"/>
      <c r="AJ48" s="82"/>
      <c r="AK48" s="82"/>
    </row>
    <row r="49" spans="27:37">
      <c r="AA49" s="82"/>
      <c r="AH49" s="82"/>
      <c r="AI49" s="82"/>
      <c r="AJ49" s="82"/>
      <c r="AK49" s="82"/>
    </row>
    <row r="50" spans="27:37">
      <c r="AA50" s="82"/>
      <c r="AH50" s="82"/>
      <c r="AI50" s="82"/>
      <c r="AJ50" s="82"/>
      <c r="AK50" s="82"/>
    </row>
    <row r="51" spans="27:37">
      <c r="AA51" s="82"/>
      <c r="AH51" s="82"/>
      <c r="AI51" s="82"/>
      <c r="AJ51" s="82"/>
      <c r="AK51" s="82"/>
    </row>
    <row r="52" spans="27:37">
      <c r="AA52" s="82"/>
      <c r="AH52" s="82"/>
      <c r="AI52" s="82"/>
      <c r="AJ52" s="82"/>
      <c r="AK52" s="82"/>
    </row>
    <row r="53" spans="27:37">
      <c r="AA53" s="82"/>
      <c r="AH53" s="82"/>
      <c r="AI53" s="82"/>
      <c r="AJ53" s="82"/>
      <c r="AK53" s="82"/>
    </row>
    <row r="54" spans="27:37">
      <c r="AA54" s="82"/>
      <c r="AH54" s="82"/>
      <c r="AI54" s="82"/>
      <c r="AJ54" s="82"/>
      <c r="AK54" s="82"/>
    </row>
    <row r="55" spans="27:37">
      <c r="AA55" s="82"/>
      <c r="AH55" s="82"/>
      <c r="AI55" s="82"/>
      <c r="AJ55" s="82"/>
      <c r="AK55" s="82"/>
    </row>
    <row r="56" spans="27:37">
      <c r="AA56" s="82"/>
      <c r="AH56" s="82"/>
      <c r="AI56" s="82"/>
      <c r="AJ56" s="82"/>
      <c r="AK56" s="82"/>
    </row>
    <row r="57" spans="27:37">
      <c r="AA57" s="82"/>
      <c r="AH57" s="82"/>
      <c r="AI57" s="82"/>
      <c r="AJ57" s="82"/>
      <c r="AK57" s="82"/>
    </row>
    <row r="58" spans="27:37">
      <c r="AA58" s="82"/>
      <c r="AH58" s="82"/>
      <c r="AI58" s="82"/>
      <c r="AJ58" s="82"/>
      <c r="AK58" s="82"/>
    </row>
    <row r="59" spans="27:37">
      <c r="AA59" s="82"/>
      <c r="AH59" s="82"/>
      <c r="AI59" s="82"/>
      <c r="AJ59" s="82"/>
      <c r="AK59" s="82"/>
    </row>
    <row r="60" spans="27:37">
      <c r="AA60" s="82"/>
      <c r="AH60" s="82"/>
      <c r="AI60" s="82"/>
      <c r="AJ60" s="82"/>
      <c r="AK60" s="82"/>
    </row>
    <row r="61" spans="27:37">
      <c r="AA61" s="82"/>
      <c r="AH61" s="82"/>
      <c r="AI61" s="82"/>
      <c r="AJ61" s="82"/>
      <c r="AK61" s="82"/>
    </row>
    <row r="62" spans="27:37">
      <c r="AA62" s="82"/>
      <c r="AH62" s="82"/>
      <c r="AI62" s="82"/>
      <c r="AJ62" s="82"/>
      <c r="AK62" s="82"/>
    </row>
    <row r="63" spans="27:37">
      <c r="AA63" s="82"/>
      <c r="AH63" s="82"/>
      <c r="AI63" s="82"/>
      <c r="AJ63" s="82"/>
      <c r="AK63" s="82"/>
    </row>
    <row r="64" spans="27:37">
      <c r="AA64" s="82"/>
      <c r="AH64" s="82"/>
      <c r="AI64" s="82"/>
      <c r="AJ64" s="82"/>
      <c r="AK64" s="82"/>
    </row>
    <row r="65" spans="27:37">
      <c r="AA65" s="82"/>
      <c r="AH65" s="82"/>
      <c r="AI65" s="82"/>
      <c r="AJ65" s="82"/>
      <c r="AK65" s="82"/>
    </row>
    <row r="66" spans="27:37">
      <c r="AA66" s="82"/>
      <c r="AH66" s="82"/>
      <c r="AI66" s="82"/>
      <c r="AJ66" s="82"/>
      <c r="AK66" s="82"/>
    </row>
    <row r="67" spans="27:37">
      <c r="AA67" s="82"/>
      <c r="AH67" s="82"/>
      <c r="AI67" s="82"/>
      <c r="AJ67" s="82"/>
      <c r="AK67" s="82"/>
    </row>
    <row r="68" spans="27:37">
      <c r="AA68" s="82"/>
      <c r="AH68" s="82"/>
      <c r="AI68" s="82"/>
      <c r="AJ68" s="82"/>
      <c r="AK68" s="82"/>
    </row>
    <row r="69" spans="27:37">
      <c r="AA69" s="82"/>
      <c r="AH69" s="82"/>
      <c r="AI69" s="82"/>
      <c r="AJ69" s="82"/>
      <c r="AK69" s="82"/>
    </row>
    <row r="70" spans="27:37">
      <c r="AA70" s="82"/>
      <c r="AH70" s="82"/>
      <c r="AI70" s="82"/>
      <c r="AJ70" s="82"/>
      <c r="AK70" s="82"/>
    </row>
    <row r="71" spans="27:37">
      <c r="AA71" s="82"/>
      <c r="AH71" s="82"/>
      <c r="AI71" s="82"/>
      <c r="AJ71" s="82"/>
      <c r="AK71" s="82"/>
    </row>
    <row r="72" spans="27:37">
      <c r="AA72" s="82"/>
      <c r="AH72" s="82"/>
      <c r="AI72" s="82"/>
      <c r="AJ72" s="82"/>
      <c r="AK72" s="82"/>
    </row>
    <row r="73" spans="27:37">
      <c r="AA73" s="82"/>
      <c r="AH73" s="82"/>
      <c r="AI73" s="82"/>
      <c r="AJ73" s="82"/>
      <c r="AK73" s="82"/>
    </row>
    <row r="74" spans="27:37">
      <c r="AA74" s="82"/>
      <c r="AH74" s="82"/>
      <c r="AI74" s="82"/>
      <c r="AJ74" s="82"/>
      <c r="AK74" s="82"/>
    </row>
    <row r="75" spans="27:37">
      <c r="AA75" s="82"/>
      <c r="AH75" s="82"/>
      <c r="AI75" s="82"/>
      <c r="AJ75" s="82"/>
      <c r="AK75" s="82"/>
    </row>
    <row r="76" spans="27:37">
      <c r="AA76" s="82"/>
      <c r="AH76" s="82"/>
      <c r="AI76" s="82"/>
      <c r="AJ76" s="82"/>
      <c r="AK76" s="82"/>
    </row>
    <row r="77" spans="27:37">
      <c r="AA77" s="82"/>
      <c r="AH77" s="82"/>
      <c r="AI77" s="82"/>
      <c r="AJ77" s="82"/>
      <c r="AK77" s="82"/>
    </row>
    <row r="78" spans="27:37">
      <c r="AA78" s="82"/>
      <c r="AH78" s="82"/>
      <c r="AI78" s="82"/>
      <c r="AJ78" s="82"/>
      <c r="AK78" s="82"/>
    </row>
    <row r="79" spans="27:37">
      <c r="AA79" s="82"/>
      <c r="AH79" s="82"/>
      <c r="AI79" s="82"/>
      <c r="AJ79" s="82"/>
      <c r="AK79" s="82"/>
    </row>
    <row r="80" spans="27:37">
      <c r="AA80" s="82"/>
      <c r="AH80" s="82"/>
      <c r="AI80" s="82"/>
      <c r="AJ80" s="82"/>
      <c r="AK80" s="82"/>
    </row>
    <row r="81" spans="27:37">
      <c r="AA81" s="82"/>
      <c r="AH81" s="82"/>
      <c r="AI81" s="82"/>
      <c r="AJ81" s="82"/>
      <c r="AK81" s="82"/>
    </row>
    <row r="82" spans="27:37">
      <c r="AA82" s="82"/>
      <c r="AH82" s="82"/>
      <c r="AI82" s="82"/>
      <c r="AJ82" s="82"/>
      <c r="AK82" s="82"/>
    </row>
    <row r="83" spans="27:37">
      <c r="AA83" s="82"/>
      <c r="AH83" s="82"/>
      <c r="AI83" s="82"/>
      <c r="AJ83" s="82"/>
      <c r="AK83" s="82"/>
    </row>
    <row r="84" spans="27:37">
      <c r="AA84" s="82"/>
      <c r="AH84" s="82"/>
      <c r="AI84" s="82"/>
      <c r="AJ84" s="82"/>
      <c r="AK84" s="82"/>
    </row>
    <row r="85" spans="27:37">
      <c r="AA85" s="82"/>
      <c r="AH85" s="82"/>
      <c r="AI85" s="82"/>
      <c r="AJ85" s="82"/>
      <c r="AK85" s="82"/>
    </row>
    <row r="86" spans="27:37">
      <c r="AA86" s="82"/>
      <c r="AH86" s="82"/>
      <c r="AI86" s="82"/>
      <c r="AJ86" s="82"/>
      <c r="AK86" s="82"/>
    </row>
    <row r="87" spans="27:37">
      <c r="AA87" s="82"/>
      <c r="AH87" s="82"/>
      <c r="AI87" s="82"/>
      <c r="AJ87" s="82"/>
      <c r="AK87" s="82"/>
    </row>
    <row r="88" spans="27:37">
      <c r="AA88" s="82"/>
      <c r="AH88" s="82"/>
      <c r="AI88" s="82"/>
      <c r="AJ88" s="82"/>
      <c r="AK88" s="82"/>
    </row>
    <row r="89" spans="27:37">
      <c r="AA89" s="82"/>
      <c r="AH89" s="82"/>
      <c r="AI89" s="82"/>
      <c r="AJ89" s="82"/>
      <c r="AK89" s="82"/>
    </row>
    <row r="90" spans="27:37">
      <c r="AA90" s="82"/>
      <c r="AH90" s="82"/>
      <c r="AI90" s="82"/>
      <c r="AJ90" s="82"/>
      <c r="AK90" s="82"/>
    </row>
    <row r="91" spans="27:37">
      <c r="AA91" s="82"/>
      <c r="AH91" s="82"/>
      <c r="AI91" s="82"/>
      <c r="AJ91" s="82"/>
      <c r="AK91" s="82"/>
    </row>
    <row r="92" spans="27:37">
      <c r="AA92" s="82"/>
      <c r="AH92" s="82"/>
      <c r="AI92" s="82"/>
      <c r="AJ92" s="82"/>
      <c r="AK92" s="82"/>
    </row>
    <row r="93" spans="27:37">
      <c r="AA93" s="82"/>
      <c r="AH93" s="82"/>
      <c r="AI93" s="82"/>
      <c r="AJ93" s="82"/>
      <c r="AK93" s="82"/>
    </row>
    <row r="94" spans="27:37">
      <c r="AA94" s="82"/>
      <c r="AH94" s="82"/>
      <c r="AI94" s="82"/>
      <c r="AJ94" s="82"/>
      <c r="AK94" s="82"/>
    </row>
    <row r="95" spans="27:37">
      <c r="AA95" s="82"/>
      <c r="AH95" s="82"/>
      <c r="AI95" s="82"/>
      <c r="AJ95" s="82"/>
      <c r="AK95" s="82"/>
    </row>
    <row r="96" spans="27:37">
      <c r="AA96" s="82"/>
      <c r="AH96" s="82"/>
      <c r="AI96" s="82"/>
      <c r="AJ96" s="82"/>
      <c r="AK96" s="82"/>
    </row>
    <row r="97" spans="27:37">
      <c r="AA97" s="82"/>
      <c r="AH97" s="82"/>
      <c r="AI97" s="82"/>
      <c r="AJ97" s="82"/>
      <c r="AK97" s="82"/>
    </row>
    <row r="98" spans="27:37">
      <c r="AA98" s="82"/>
      <c r="AH98" s="82"/>
      <c r="AI98" s="82"/>
      <c r="AJ98" s="82"/>
      <c r="AK98" s="82"/>
    </row>
    <row r="99" spans="27:37">
      <c r="AA99" s="82"/>
      <c r="AH99" s="82"/>
      <c r="AI99" s="82"/>
      <c r="AJ99" s="82"/>
      <c r="AK99" s="82"/>
    </row>
    <row r="100" spans="27:37">
      <c r="AA100" s="82"/>
      <c r="AH100" s="82"/>
      <c r="AI100" s="82"/>
      <c r="AJ100" s="82"/>
      <c r="AK100" s="82"/>
    </row>
    <row r="101" spans="27:37">
      <c r="AA101" s="82"/>
      <c r="AH101" s="82"/>
      <c r="AI101" s="82"/>
      <c r="AJ101" s="82"/>
      <c r="AK101" s="82"/>
    </row>
    <row r="102" spans="27:37">
      <c r="AA102" s="82"/>
      <c r="AH102" s="82"/>
      <c r="AI102" s="82"/>
      <c r="AJ102" s="82"/>
      <c r="AK102" s="82"/>
    </row>
    <row r="103" spans="27:37">
      <c r="AA103" s="82"/>
      <c r="AH103" s="82"/>
      <c r="AI103" s="82"/>
      <c r="AJ103" s="82"/>
      <c r="AK103" s="82"/>
    </row>
    <row r="104" spans="27:37">
      <c r="AA104" s="82"/>
      <c r="AH104" s="82"/>
      <c r="AI104" s="82"/>
      <c r="AJ104" s="82"/>
      <c r="AK104" s="82"/>
    </row>
    <row r="105" spans="27:37">
      <c r="AA105" s="82"/>
      <c r="AH105" s="82"/>
      <c r="AI105" s="82"/>
      <c r="AJ105" s="82"/>
      <c r="AK105" s="82"/>
    </row>
    <row r="106" spans="27:37">
      <c r="AA106" s="82"/>
      <c r="AH106" s="82"/>
      <c r="AI106" s="82"/>
      <c r="AJ106" s="82"/>
      <c r="AK106" s="82"/>
    </row>
    <row r="107" spans="27:37">
      <c r="AA107" s="82"/>
      <c r="AH107" s="82"/>
      <c r="AI107" s="82"/>
      <c r="AJ107" s="82"/>
      <c r="AK107" s="82"/>
    </row>
    <row r="108" spans="27:37">
      <c r="AA108" s="82"/>
      <c r="AH108" s="82"/>
      <c r="AI108" s="82"/>
      <c r="AJ108" s="82"/>
      <c r="AK108" s="82"/>
    </row>
    <row r="109" spans="27:37">
      <c r="AA109" s="82"/>
      <c r="AH109" s="82"/>
      <c r="AI109" s="82"/>
      <c r="AJ109" s="82"/>
      <c r="AK109" s="82"/>
    </row>
    <row r="110" spans="27:37">
      <c r="AA110" s="82"/>
      <c r="AH110" s="82"/>
      <c r="AI110" s="82"/>
      <c r="AJ110" s="82"/>
      <c r="AK110" s="82"/>
    </row>
    <row r="111" spans="27:37">
      <c r="AA111" s="82"/>
      <c r="AH111" s="82"/>
      <c r="AI111" s="82"/>
      <c r="AJ111" s="82"/>
      <c r="AK111" s="82"/>
    </row>
    <row r="112" spans="27:37">
      <c r="AA112" s="82"/>
      <c r="AH112" s="82"/>
      <c r="AI112" s="82"/>
      <c r="AJ112" s="82"/>
      <c r="AK112" s="82"/>
    </row>
    <row r="113" spans="27:37">
      <c r="AA113" s="82"/>
      <c r="AH113" s="82"/>
      <c r="AI113" s="82"/>
      <c r="AJ113" s="82"/>
      <c r="AK113" s="82"/>
    </row>
    <row r="114" spans="27:37">
      <c r="AA114" s="82"/>
      <c r="AH114" s="82"/>
      <c r="AI114" s="82"/>
      <c r="AJ114" s="82"/>
      <c r="AK114" s="82"/>
    </row>
    <row r="115" spans="27:37">
      <c r="AA115" s="82"/>
      <c r="AH115" s="82"/>
      <c r="AI115" s="82"/>
      <c r="AJ115" s="82"/>
      <c r="AK115" s="82"/>
    </row>
    <row r="116" spans="27:37">
      <c r="AA116" s="82"/>
      <c r="AH116" s="82"/>
      <c r="AI116" s="82"/>
      <c r="AJ116" s="82"/>
      <c r="AK116" s="82"/>
    </row>
    <row r="117" spans="27:37">
      <c r="AA117" s="82"/>
      <c r="AH117" s="82"/>
      <c r="AI117" s="82"/>
      <c r="AJ117" s="82"/>
      <c r="AK117" s="82"/>
    </row>
    <row r="118" spans="27:37">
      <c r="AA118" s="82"/>
      <c r="AH118" s="82"/>
      <c r="AI118" s="82"/>
      <c r="AJ118" s="82"/>
      <c r="AK118" s="82"/>
    </row>
    <row r="119" spans="27:37">
      <c r="AA119" s="82"/>
      <c r="AH119" s="82"/>
      <c r="AI119" s="82"/>
      <c r="AJ119" s="82"/>
      <c r="AK119" s="82"/>
    </row>
    <row r="120" spans="27:37">
      <c r="AA120" s="82"/>
      <c r="AH120" s="82"/>
      <c r="AI120" s="82"/>
      <c r="AJ120" s="82"/>
      <c r="AK120" s="82"/>
    </row>
    <row r="121" spans="27:37">
      <c r="AA121" s="82"/>
      <c r="AH121" s="82"/>
      <c r="AI121" s="82"/>
      <c r="AJ121" s="82"/>
      <c r="AK121" s="82"/>
    </row>
    <row r="122" spans="27:37">
      <c r="AA122" s="82"/>
      <c r="AH122" s="82"/>
      <c r="AI122" s="82"/>
      <c r="AJ122" s="82"/>
      <c r="AK122" s="82"/>
    </row>
    <row r="123" spans="27:37">
      <c r="AA123" s="82"/>
      <c r="AH123" s="82"/>
      <c r="AI123" s="82"/>
      <c r="AJ123" s="82"/>
      <c r="AK123" s="82"/>
    </row>
    <row r="124" spans="27:37">
      <c r="AA124" s="82"/>
      <c r="AH124" s="82"/>
      <c r="AI124" s="82"/>
      <c r="AJ124" s="82"/>
      <c r="AK124" s="82"/>
    </row>
    <row r="125" spans="27:37">
      <c r="AA125" s="82"/>
      <c r="AH125" s="82"/>
      <c r="AI125" s="82"/>
      <c r="AJ125" s="82"/>
      <c r="AK125" s="82"/>
    </row>
    <row r="126" spans="27:37">
      <c r="AA126" s="82"/>
      <c r="AH126" s="82"/>
      <c r="AI126" s="82"/>
      <c r="AJ126" s="82"/>
      <c r="AK126" s="82"/>
    </row>
    <row r="127" spans="27:37">
      <c r="AA127" s="82"/>
      <c r="AH127" s="82"/>
      <c r="AI127" s="82"/>
      <c r="AJ127" s="82"/>
      <c r="AK127" s="82"/>
    </row>
    <row r="128" spans="27:37">
      <c r="AA128" s="82"/>
      <c r="AH128" s="82"/>
      <c r="AI128" s="82"/>
      <c r="AJ128" s="82"/>
      <c r="AK128" s="82"/>
    </row>
    <row r="129" spans="27:37">
      <c r="AA129" s="82"/>
      <c r="AH129" s="82"/>
      <c r="AI129" s="82"/>
      <c r="AJ129" s="82"/>
      <c r="AK129" s="82"/>
    </row>
    <row r="130" spans="27:37">
      <c r="AA130" s="82"/>
      <c r="AH130" s="82"/>
      <c r="AI130" s="82"/>
      <c r="AJ130" s="82"/>
      <c r="AK130" s="82"/>
    </row>
    <row r="131" spans="27:37">
      <c r="AA131" s="82"/>
      <c r="AH131" s="82"/>
      <c r="AI131" s="82"/>
      <c r="AJ131" s="82"/>
      <c r="AK131" s="82"/>
    </row>
    <row r="132" spans="27:37">
      <c r="AA132" s="82"/>
      <c r="AH132" s="82"/>
      <c r="AI132" s="82"/>
      <c r="AJ132" s="82"/>
      <c r="AK132" s="82"/>
    </row>
    <row r="133" spans="27:37">
      <c r="AA133" s="82"/>
      <c r="AH133" s="82"/>
      <c r="AI133" s="82"/>
      <c r="AJ133" s="82"/>
      <c r="AK133" s="82"/>
    </row>
    <row r="134" spans="27:37">
      <c r="AA134" s="82"/>
      <c r="AH134" s="82"/>
      <c r="AI134" s="82"/>
      <c r="AJ134" s="82"/>
      <c r="AK134" s="82"/>
    </row>
    <row r="135" spans="27:37">
      <c r="AA135" s="82"/>
      <c r="AH135" s="82"/>
      <c r="AI135" s="82"/>
      <c r="AJ135" s="82"/>
      <c r="AK135" s="82"/>
    </row>
    <row r="136" spans="27:37">
      <c r="AA136" s="82"/>
      <c r="AH136" s="82"/>
      <c r="AI136" s="82"/>
      <c r="AJ136" s="82"/>
      <c r="AK136" s="82"/>
    </row>
    <row r="137" spans="27:37">
      <c r="AA137" s="82"/>
      <c r="AH137" s="82"/>
      <c r="AI137" s="82"/>
      <c r="AJ137" s="82"/>
      <c r="AK137" s="82"/>
    </row>
    <row r="138" spans="27:37">
      <c r="AA138" s="82"/>
      <c r="AH138" s="82"/>
      <c r="AI138" s="82"/>
      <c r="AJ138" s="82"/>
      <c r="AK138" s="82"/>
    </row>
    <row r="139" spans="27:37">
      <c r="AA139" s="82"/>
      <c r="AH139" s="82"/>
      <c r="AI139" s="82"/>
      <c r="AJ139" s="82"/>
      <c r="AK139" s="82"/>
    </row>
    <row r="140" spans="27:37">
      <c r="AA140" s="82"/>
      <c r="AH140" s="82"/>
      <c r="AI140" s="82"/>
      <c r="AJ140" s="82"/>
      <c r="AK140" s="82"/>
    </row>
    <row r="141" spans="27:37">
      <c r="AA141" s="82"/>
      <c r="AH141" s="82"/>
      <c r="AI141" s="82"/>
      <c r="AJ141" s="82"/>
      <c r="AK141" s="82"/>
    </row>
    <row r="142" spans="27:37">
      <c r="AA142" s="82"/>
      <c r="AH142" s="82"/>
      <c r="AI142" s="82"/>
      <c r="AJ142" s="82"/>
      <c r="AK142" s="82"/>
    </row>
    <row r="143" spans="27:37">
      <c r="AA143" s="82"/>
      <c r="AH143" s="82"/>
      <c r="AI143" s="82"/>
      <c r="AJ143" s="82"/>
      <c r="AK143" s="82"/>
    </row>
    <row r="144" spans="27:37">
      <c r="AA144" s="82"/>
      <c r="AH144" s="82"/>
      <c r="AI144" s="82"/>
      <c r="AJ144" s="82"/>
      <c r="AK144" s="82"/>
    </row>
    <row r="145" spans="27:37">
      <c r="AA145" s="82"/>
      <c r="AH145" s="82"/>
      <c r="AI145" s="82"/>
      <c r="AJ145" s="82"/>
      <c r="AK145" s="82"/>
    </row>
    <row r="146" spans="27:37">
      <c r="AA146" s="82"/>
      <c r="AH146" s="82"/>
      <c r="AI146" s="82"/>
      <c r="AJ146" s="82"/>
      <c r="AK146" s="82"/>
    </row>
    <row r="147" spans="27:37">
      <c r="AA147" s="82"/>
      <c r="AH147" s="82"/>
      <c r="AI147" s="82"/>
      <c r="AJ147" s="82"/>
      <c r="AK147" s="82"/>
    </row>
    <row r="148" spans="27:37">
      <c r="AA148" s="82"/>
      <c r="AH148" s="82"/>
      <c r="AI148" s="82"/>
      <c r="AJ148" s="82"/>
      <c r="AK148" s="82"/>
    </row>
    <row r="149" spans="27:37">
      <c r="AA149" s="82"/>
      <c r="AH149" s="82"/>
      <c r="AI149" s="82"/>
      <c r="AJ149" s="82"/>
      <c r="AK149" s="82"/>
    </row>
    <row r="150" spans="27:37">
      <c r="AA150" s="82"/>
      <c r="AH150" s="82"/>
      <c r="AI150" s="82"/>
      <c r="AJ150" s="82"/>
      <c r="AK150" s="82"/>
    </row>
    <row r="151" spans="27:37">
      <c r="AA151" s="82"/>
      <c r="AH151" s="82"/>
      <c r="AI151" s="82"/>
      <c r="AJ151" s="82"/>
      <c r="AK151" s="82"/>
    </row>
    <row r="152" spans="27:37">
      <c r="AA152" s="82"/>
      <c r="AH152" s="82"/>
      <c r="AI152" s="82"/>
      <c r="AJ152" s="82"/>
      <c r="AK152" s="82"/>
    </row>
    <row r="153" spans="27:37">
      <c r="AA153" s="82"/>
      <c r="AH153" s="82"/>
      <c r="AI153" s="82"/>
      <c r="AJ153" s="82"/>
      <c r="AK153" s="82"/>
    </row>
    <row r="154" spans="27:37">
      <c r="AA154" s="82"/>
      <c r="AH154" s="82"/>
      <c r="AI154" s="82"/>
      <c r="AJ154" s="82"/>
      <c r="AK154" s="82"/>
    </row>
    <row r="155" spans="27:37">
      <c r="AA155" s="82"/>
      <c r="AH155" s="82"/>
      <c r="AI155" s="82"/>
      <c r="AJ155" s="82"/>
      <c r="AK155" s="82"/>
    </row>
    <row r="156" spans="27:37">
      <c r="AA156" s="82"/>
      <c r="AH156" s="82"/>
      <c r="AI156" s="82"/>
      <c r="AJ156" s="82"/>
      <c r="AK156" s="82"/>
    </row>
    <row r="157" spans="27:37">
      <c r="AA157" s="82"/>
      <c r="AH157" s="82"/>
      <c r="AI157" s="82"/>
      <c r="AJ157" s="82"/>
      <c r="AK157" s="82"/>
    </row>
    <row r="158" spans="27:37">
      <c r="AA158" s="82"/>
      <c r="AH158" s="82"/>
      <c r="AI158" s="82"/>
      <c r="AJ158" s="82"/>
      <c r="AK158" s="82"/>
    </row>
    <row r="159" spans="27:37">
      <c r="AA159" s="82"/>
      <c r="AH159" s="82"/>
      <c r="AI159" s="82"/>
      <c r="AJ159" s="82"/>
      <c r="AK159" s="82"/>
    </row>
    <row r="160" spans="27:37">
      <c r="AA160" s="82"/>
      <c r="AH160" s="82"/>
      <c r="AI160" s="82"/>
      <c r="AJ160" s="82"/>
      <c r="AK160" s="82"/>
    </row>
    <row r="161" spans="27:37">
      <c r="AA161" s="82"/>
      <c r="AH161" s="82"/>
      <c r="AI161" s="82"/>
      <c r="AJ161" s="82"/>
      <c r="AK161" s="82"/>
    </row>
    <row r="162" spans="27:37">
      <c r="AA162" s="82"/>
      <c r="AH162" s="82"/>
      <c r="AI162" s="82"/>
      <c r="AJ162" s="82"/>
      <c r="AK162" s="82"/>
    </row>
    <row r="163" spans="27:37">
      <c r="AA163" s="82"/>
      <c r="AH163" s="82"/>
      <c r="AI163" s="82"/>
      <c r="AJ163" s="82"/>
      <c r="AK163" s="82"/>
    </row>
    <row r="164" spans="27:37">
      <c r="AA164" s="82"/>
      <c r="AH164" s="82"/>
      <c r="AI164" s="82"/>
      <c r="AJ164" s="82"/>
      <c r="AK164" s="82"/>
    </row>
    <row r="165" spans="27:37">
      <c r="AA165" s="82"/>
      <c r="AH165" s="82"/>
      <c r="AI165" s="82"/>
      <c r="AJ165" s="82"/>
      <c r="AK165" s="82"/>
    </row>
    <row r="166" spans="27:37">
      <c r="AA166" s="82"/>
      <c r="AH166" s="82"/>
      <c r="AI166" s="82"/>
      <c r="AJ166" s="82"/>
      <c r="AK166" s="82"/>
    </row>
    <row r="167" spans="27:37">
      <c r="AA167" s="82"/>
      <c r="AH167" s="82"/>
      <c r="AI167" s="82"/>
      <c r="AJ167" s="82"/>
      <c r="AK167" s="82"/>
    </row>
    <row r="168" spans="27:37">
      <c r="AA168" s="82"/>
      <c r="AH168" s="82"/>
      <c r="AI168" s="82"/>
      <c r="AJ168" s="82"/>
      <c r="AK168" s="82"/>
    </row>
    <row r="169" spans="27:37">
      <c r="AA169" s="82"/>
      <c r="AH169" s="82"/>
      <c r="AI169" s="82"/>
      <c r="AJ169" s="82"/>
      <c r="AK169" s="82"/>
    </row>
    <row r="170" spans="27:37">
      <c r="AA170" s="82"/>
      <c r="AH170" s="82"/>
      <c r="AI170" s="82"/>
      <c r="AJ170" s="82"/>
      <c r="AK170" s="82"/>
    </row>
    <row r="171" spans="27:37">
      <c r="AA171" s="82"/>
      <c r="AH171" s="82"/>
      <c r="AI171" s="82"/>
      <c r="AJ171" s="82"/>
      <c r="AK171" s="82"/>
    </row>
    <row r="172" spans="27:37">
      <c r="AA172" s="82"/>
      <c r="AH172" s="82"/>
      <c r="AI172" s="82"/>
      <c r="AJ172" s="82"/>
      <c r="AK172" s="82"/>
    </row>
    <row r="173" spans="27:37">
      <c r="AA173" s="82"/>
      <c r="AH173" s="82"/>
      <c r="AI173" s="82"/>
      <c r="AJ173" s="82"/>
      <c r="AK173" s="82"/>
    </row>
    <row r="174" spans="27:37">
      <c r="AA174" s="82"/>
      <c r="AH174" s="82"/>
      <c r="AI174" s="82"/>
      <c r="AJ174" s="82"/>
      <c r="AK174" s="82"/>
    </row>
    <row r="175" spans="27:37">
      <c r="AA175" s="82"/>
      <c r="AH175" s="82"/>
      <c r="AI175" s="82"/>
      <c r="AJ175" s="82"/>
      <c r="AK175" s="82"/>
    </row>
    <row r="176" spans="27:37">
      <c r="AA176" s="82"/>
      <c r="AH176" s="82"/>
      <c r="AI176" s="82"/>
      <c r="AJ176" s="82"/>
      <c r="AK176" s="82"/>
    </row>
    <row r="177" spans="27:37">
      <c r="AA177" s="82"/>
      <c r="AH177" s="82"/>
      <c r="AI177" s="82"/>
      <c r="AJ177" s="82"/>
      <c r="AK177" s="82"/>
    </row>
    <row r="178" spans="27:37">
      <c r="AA178" s="82"/>
      <c r="AH178" s="82"/>
      <c r="AI178" s="82"/>
      <c r="AJ178" s="82"/>
      <c r="AK178" s="82"/>
    </row>
    <row r="179" spans="27:37">
      <c r="AA179" s="82"/>
      <c r="AH179" s="82"/>
      <c r="AI179" s="82"/>
      <c r="AJ179" s="82"/>
      <c r="AK179" s="82"/>
    </row>
    <row r="180" spans="27:37">
      <c r="AA180" s="82"/>
      <c r="AH180" s="82"/>
      <c r="AI180" s="82"/>
      <c r="AJ180" s="82"/>
      <c r="AK180" s="82"/>
    </row>
    <row r="181" spans="27:37">
      <c r="AA181" s="82"/>
      <c r="AH181" s="82"/>
      <c r="AI181" s="82"/>
      <c r="AJ181" s="82"/>
      <c r="AK181" s="82"/>
    </row>
    <row r="182" spans="27:37">
      <c r="AA182" s="82"/>
      <c r="AH182" s="82"/>
      <c r="AI182" s="82"/>
      <c r="AJ182" s="82"/>
      <c r="AK182" s="82"/>
    </row>
    <row r="183" spans="27:37">
      <c r="AA183" s="82"/>
      <c r="AH183" s="82"/>
      <c r="AI183" s="82"/>
      <c r="AJ183" s="82"/>
      <c r="AK183" s="82"/>
    </row>
    <row r="184" spans="27:37">
      <c r="AA184" s="82"/>
      <c r="AH184" s="82"/>
      <c r="AI184" s="82"/>
      <c r="AJ184" s="82"/>
      <c r="AK184" s="82"/>
    </row>
    <row r="185" spans="27:37">
      <c r="AA185" s="82"/>
      <c r="AH185" s="82"/>
      <c r="AI185" s="82"/>
      <c r="AJ185" s="82"/>
      <c r="AK185" s="82"/>
    </row>
    <row r="186" spans="27:37">
      <c r="AA186" s="82"/>
      <c r="AH186" s="82"/>
      <c r="AI186" s="82"/>
      <c r="AJ186" s="82"/>
      <c r="AK186" s="82"/>
    </row>
    <row r="187" spans="27:37">
      <c r="AA187" s="82"/>
      <c r="AH187" s="82"/>
      <c r="AI187" s="82"/>
      <c r="AJ187" s="82"/>
      <c r="AK187" s="82"/>
    </row>
    <row r="188" spans="27:37">
      <c r="AA188" s="82"/>
      <c r="AH188" s="82"/>
      <c r="AI188" s="82"/>
      <c r="AJ188" s="82"/>
      <c r="AK188" s="82"/>
    </row>
    <row r="189" spans="27:37">
      <c r="AA189" s="82"/>
      <c r="AH189" s="82"/>
      <c r="AI189" s="82"/>
      <c r="AJ189" s="82"/>
      <c r="AK189" s="82"/>
    </row>
    <row r="190" spans="27:37">
      <c r="AA190" s="82"/>
      <c r="AH190" s="82"/>
      <c r="AI190" s="82"/>
      <c r="AJ190" s="82"/>
      <c r="AK190" s="82"/>
    </row>
    <row r="191" spans="27:37">
      <c r="AA191" s="82"/>
      <c r="AH191" s="82"/>
      <c r="AI191" s="82"/>
      <c r="AJ191" s="82"/>
      <c r="AK191" s="82"/>
    </row>
    <row r="192" spans="27:37">
      <c r="AA192" s="82"/>
      <c r="AH192" s="82"/>
      <c r="AI192" s="82"/>
      <c r="AJ192" s="82"/>
      <c r="AK192" s="82"/>
    </row>
    <row r="193" spans="27:37">
      <c r="AA193" s="82"/>
      <c r="AH193" s="82"/>
      <c r="AI193" s="82"/>
      <c r="AJ193" s="82"/>
      <c r="AK193" s="82"/>
    </row>
    <row r="194" spans="27:37">
      <c r="AA194" s="82"/>
      <c r="AH194" s="82"/>
      <c r="AI194" s="82"/>
      <c r="AJ194" s="82"/>
      <c r="AK194" s="82"/>
    </row>
    <row r="195" spans="27:37">
      <c r="AA195" s="82"/>
      <c r="AH195" s="82"/>
      <c r="AI195" s="82"/>
      <c r="AJ195" s="82"/>
      <c r="AK195" s="82"/>
    </row>
    <row r="196" spans="27:37">
      <c r="AA196" s="82"/>
      <c r="AH196" s="82"/>
      <c r="AI196" s="82"/>
      <c r="AJ196" s="82"/>
      <c r="AK196" s="82"/>
    </row>
    <row r="197" spans="27:37">
      <c r="AA197" s="82"/>
      <c r="AH197" s="82"/>
      <c r="AI197" s="82"/>
      <c r="AJ197" s="82"/>
      <c r="AK197" s="82"/>
    </row>
    <row r="198" spans="27:37">
      <c r="AA198" s="82"/>
      <c r="AH198" s="82"/>
      <c r="AI198" s="82"/>
      <c r="AJ198" s="82"/>
      <c r="AK198" s="82"/>
    </row>
    <row r="199" spans="27:37">
      <c r="AA199" s="82"/>
      <c r="AH199" s="82"/>
      <c r="AI199" s="82"/>
      <c r="AJ199" s="82"/>
      <c r="AK199" s="82"/>
    </row>
    <row r="200" spans="27:37">
      <c r="AA200" s="82"/>
      <c r="AH200" s="82"/>
      <c r="AI200" s="82"/>
      <c r="AJ200" s="82"/>
      <c r="AK200" s="82"/>
    </row>
    <row r="201" spans="27:37">
      <c r="AA201" s="82"/>
      <c r="AH201" s="82"/>
      <c r="AI201" s="82"/>
      <c r="AJ201" s="82"/>
      <c r="AK201" s="82"/>
    </row>
    <row r="202" spans="27:37">
      <c r="AA202" s="82"/>
      <c r="AH202" s="82"/>
      <c r="AI202" s="82"/>
      <c r="AJ202" s="82"/>
      <c r="AK202" s="82"/>
    </row>
    <row r="203" spans="27:37">
      <c r="AA203" s="82"/>
      <c r="AH203" s="82"/>
      <c r="AI203" s="82"/>
      <c r="AJ203" s="82"/>
      <c r="AK203" s="82"/>
    </row>
    <row r="204" spans="27:37">
      <c r="AA204" s="82"/>
      <c r="AH204" s="82"/>
      <c r="AI204" s="82"/>
      <c r="AJ204" s="82"/>
      <c r="AK204" s="82"/>
    </row>
    <row r="205" spans="27:37">
      <c r="AA205" s="82"/>
      <c r="AH205" s="82"/>
      <c r="AI205" s="82"/>
      <c r="AJ205" s="82"/>
      <c r="AK205" s="82"/>
    </row>
    <row r="206" spans="27:37">
      <c r="AA206" s="82"/>
      <c r="AH206" s="82"/>
      <c r="AI206" s="82"/>
      <c r="AJ206" s="82"/>
      <c r="AK206" s="82"/>
    </row>
    <row r="207" spans="27:37">
      <c r="AA207" s="82"/>
      <c r="AH207" s="82"/>
      <c r="AI207" s="82"/>
      <c r="AJ207" s="82"/>
      <c r="AK207" s="82"/>
    </row>
    <row r="208" spans="27:37">
      <c r="AA208" s="82"/>
      <c r="AH208" s="82"/>
      <c r="AI208" s="82"/>
      <c r="AJ208" s="82"/>
      <c r="AK208" s="82"/>
    </row>
    <row r="209" spans="27:37">
      <c r="AA209" s="82"/>
      <c r="AH209" s="82"/>
      <c r="AI209" s="82"/>
      <c r="AJ209" s="82"/>
      <c r="AK209" s="82"/>
    </row>
    <row r="210" spans="27:37">
      <c r="AA210" s="82"/>
      <c r="AH210" s="82"/>
      <c r="AI210" s="82"/>
      <c r="AJ210" s="82"/>
      <c r="AK210" s="82"/>
    </row>
    <row r="211" spans="27:37">
      <c r="AA211" s="82"/>
      <c r="AH211" s="82"/>
      <c r="AI211" s="82"/>
      <c r="AJ211" s="82"/>
      <c r="AK211" s="82"/>
    </row>
    <row r="212" spans="27:37">
      <c r="AA212" s="82"/>
      <c r="AH212" s="82"/>
      <c r="AI212" s="82"/>
      <c r="AJ212" s="82"/>
      <c r="AK212" s="82"/>
    </row>
    <row r="213" spans="27:37">
      <c r="AA213" s="82"/>
      <c r="AH213" s="82"/>
      <c r="AI213" s="82"/>
      <c r="AJ213" s="82"/>
      <c r="AK213" s="82"/>
    </row>
    <row r="214" spans="27:37">
      <c r="AA214" s="82"/>
      <c r="AH214" s="82"/>
      <c r="AI214" s="82"/>
      <c r="AJ214" s="82"/>
      <c r="AK214" s="82"/>
    </row>
    <row r="215" spans="27:37">
      <c r="AA215" s="82"/>
      <c r="AH215" s="82"/>
      <c r="AI215" s="82"/>
      <c r="AJ215" s="82"/>
      <c r="AK215" s="82"/>
    </row>
    <row r="216" spans="27:37">
      <c r="AA216" s="82"/>
      <c r="AH216" s="82"/>
      <c r="AI216" s="82"/>
      <c r="AJ216" s="82"/>
      <c r="AK216" s="82"/>
    </row>
    <row r="217" spans="27:37">
      <c r="AA217" s="82"/>
      <c r="AH217" s="82"/>
      <c r="AI217" s="82"/>
      <c r="AJ217" s="82"/>
      <c r="AK217" s="82"/>
    </row>
    <row r="218" spans="27:37">
      <c r="AA218" s="82"/>
      <c r="AH218" s="82"/>
      <c r="AI218" s="82"/>
      <c r="AJ218" s="82"/>
      <c r="AK218" s="82"/>
    </row>
    <row r="219" spans="27:37">
      <c r="AA219" s="82"/>
      <c r="AH219" s="82"/>
      <c r="AI219" s="82"/>
      <c r="AJ219" s="82"/>
      <c r="AK219" s="82"/>
    </row>
    <row r="220" spans="27:37">
      <c r="AA220" s="82"/>
      <c r="AH220" s="82"/>
      <c r="AI220" s="82"/>
      <c r="AJ220" s="82"/>
      <c r="AK220" s="82"/>
    </row>
    <row r="221" spans="27:37">
      <c r="AA221" s="82"/>
      <c r="AH221" s="82"/>
      <c r="AI221" s="82"/>
      <c r="AJ221" s="82"/>
      <c r="AK221" s="82"/>
    </row>
    <row r="222" spans="27:37">
      <c r="AA222" s="82"/>
      <c r="AH222" s="82"/>
      <c r="AI222" s="82"/>
      <c r="AJ222" s="82"/>
      <c r="AK222" s="82"/>
    </row>
    <row r="223" spans="27:37">
      <c r="AA223" s="82"/>
      <c r="AH223" s="82"/>
      <c r="AI223" s="82"/>
      <c r="AJ223" s="82"/>
      <c r="AK223" s="82"/>
    </row>
    <row r="224" spans="27:37">
      <c r="AA224" s="82"/>
      <c r="AH224" s="82"/>
      <c r="AI224" s="82"/>
      <c r="AJ224" s="82"/>
      <c r="AK224" s="82"/>
    </row>
    <row r="225" spans="27:37">
      <c r="AA225" s="82"/>
      <c r="AH225" s="82"/>
      <c r="AI225" s="82"/>
      <c r="AJ225" s="82"/>
      <c r="AK225" s="82"/>
    </row>
    <row r="226" spans="27:37">
      <c r="AA226" s="82"/>
      <c r="AH226" s="82"/>
      <c r="AI226" s="82"/>
      <c r="AJ226" s="82"/>
      <c r="AK226" s="82"/>
    </row>
    <row r="227" spans="27:37">
      <c r="AA227" s="82"/>
      <c r="AH227" s="82"/>
      <c r="AI227" s="82"/>
      <c r="AJ227" s="82"/>
      <c r="AK227" s="82"/>
    </row>
    <row r="228" spans="27:37">
      <c r="AA228" s="82"/>
      <c r="AH228" s="82"/>
      <c r="AI228" s="82"/>
      <c r="AJ228" s="82"/>
      <c r="AK228" s="82"/>
    </row>
    <row r="229" spans="27:37">
      <c r="AA229" s="82"/>
      <c r="AH229" s="82"/>
      <c r="AI229" s="82"/>
      <c r="AJ229" s="82"/>
      <c r="AK229" s="82"/>
    </row>
    <row r="230" spans="27:37">
      <c r="AA230" s="82"/>
      <c r="AH230" s="82"/>
      <c r="AI230" s="82"/>
      <c r="AJ230" s="82"/>
      <c r="AK230" s="82"/>
    </row>
    <row r="231" spans="27:37">
      <c r="AA231" s="82"/>
      <c r="AH231" s="82"/>
      <c r="AI231" s="82"/>
      <c r="AJ231" s="82"/>
      <c r="AK231" s="82"/>
    </row>
    <row r="232" spans="27:37">
      <c r="AA232" s="82"/>
      <c r="AH232" s="82"/>
      <c r="AI232" s="82"/>
      <c r="AJ232" s="82"/>
      <c r="AK232" s="82"/>
    </row>
    <row r="233" spans="27:37">
      <c r="AA233" s="82"/>
      <c r="AH233" s="82"/>
      <c r="AI233" s="82"/>
      <c r="AJ233" s="82"/>
      <c r="AK233" s="82"/>
    </row>
    <row r="234" spans="27:37">
      <c r="AA234" s="82"/>
      <c r="AH234" s="82"/>
      <c r="AI234" s="82"/>
      <c r="AJ234" s="82"/>
      <c r="AK234" s="82"/>
    </row>
    <row r="235" spans="27:37">
      <c r="AA235" s="82"/>
      <c r="AH235" s="82"/>
      <c r="AI235" s="82"/>
      <c r="AJ235" s="82"/>
      <c r="AK235" s="82"/>
    </row>
    <row r="236" spans="27:37">
      <c r="AA236" s="82"/>
      <c r="AH236" s="82"/>
      <c r="AI236" s="82"/>
      <c r="AJ236" s="82"/>
      <c r="AK236" s="82"/>
    </row>
    <row r="237" spans="27:37">
      <c r="AA237" s="82"/>
      <c r="AH237" s="82"/>
      <c r="AI237" s="82"/>
      <c r="AJ237" s="82"/>
      <c r="AK237" s="82"/>
    </row>
    <row r="238" spans="27:37">
      <c r="AA238" s="82"/>
      <c r="AH238" s="82"/>
      <c r="AI238" s="82"/>
      <c r="AJ238" s="82"/>
      <c r="AK238" s="82"/>
    </row>
    <row r="239" spans="27:37">
      <c r="AA239" s="82"/>
      <c r="AH239" s="82"/>
      <c r="AI239" s="82"/>
      <c r="AJ239" s="82"/>
      <c r="AK239" s="82"/>
    </row>
    <row r="240" spans="27:37">
      <c r="AA240" s="82"/>
      <c r="AH240" s="82"/>
      <c r="AI240" s="82"/>
      <c r="AJ240" s="82"/>
      <c r="AK240" s="82"/>
    </row>
    <row r="241" spans="27:37">
      <c r="AA241" s="82"/>
      <c r="AH241" s="82"/>
      <c r="AI241" s="82"/>
      <c r="AJ241" s="82"/>
      <c r="AK241" s="82"/>
    </row>
    <row r="242" spans="27:37">
      <c r="AA242" s="82"/>
      <c r="AH242" s="82"/>
      <c r="AI242" s="82"/>
      <c r="AJ242" s="82"/>
      <c r="AK242" s="82"/>
    </row>
    <row r="243" spans="27:37">
      <c r="AA243" s="82"/>
      <c r="AH243" s="82"/>
      <c r="AI243" s="82"/>
      <c r="AJ243" s="82"/>
      <c r="AK243" s="82"/>
    </row>
    <row r="244" spans="27:37">
      <c r="AA244" s="82"/>
      <c r="AH244" s="82"/>
      <c r="AI244" s="82"/>
      <c r="AJ244" s="82"/>
      <c r="AK244" s="82"/>
    </row>
    <row r="245" spans="27:37">
      <c r="AA245" s="82"/>
      <c r="AH245" s="82"/>
      <c r="AI245" s="82"/>
      <c r="AJ245" s="82"/>
      <c r="AK245" s="82"/>
    </row>
    <row r="246" spans="27:37">
      <c r="AA246" s="82"/>
      <c r="AH246" s="82"/>
      <c r="AI246" s="82"/>
      <c r="AJ246" s="82"/>
      <c r="AK246" s="82"/>
    </row>
    <row r="247" spans="27:37">
      <c r="AA247" s="82"/>
      <c r="AH247" s="82"/>
      <c r="AI247" s="82"/>
      <c r="AJ247" s="82"/>
      <c r="AK247" s="82"/>
    </row>
    <row r="248" spans="27:37">
      <c r="AA248" s="82"/>
      <c r="AH248" s="82"/>
      <c r="AI248" s="82"/>
      <c r="AJ248" s="82"/>
      <c r="AK248" s="82"/>
    </row>
    <row r="249" spans="27:37">
      <c r="AA249" s="82"/>
      <c r="AH249" s="82"/>
      <c r="AI249" s="82"/>
      <c r="AJ249" s="82"/>
      <c r="AK249" s="82"/>
    </row>
    <row r="250" spans="27:37">
      <c r="AA250" s="82"/>
      <c r="AH250" s="82"/>
      <c r="AI250" s="82"/>
      <c r="AJ250" s="82"/>
      <c r="AK250" s="82"/>
    </row>
    <row r="251" spans="27:37">
      <c r="AA251" s="82"/>
      <c r="AH251" s="82"/>
      <c r="AI251" s="82"/>
      <c r="AJ251" s="82"/>
      <c r="AK251" s="82"/>
    </row>
    <row r="252" spans="27:37">
      <c r="AA252" s="82"/>
      <c r="AH252" s="82"/>
      <c r="AI252" s="82"/>
      <c r="AJ252" s="82"/>
      <c r="AK252" s="82"/>
    </row>
    <row r="253" spans="27:37">
      <c r="AA253" s="82"/>
      <c r="AH253" s="82"/>
      <c r="AI253" s="82"/>
      <c r="AJ253" s="82"/>
      <c r="AK253" s="82"/>
    </row>
    <row r="254" spans="27:37">
      <c r="AA254" s="82"/>
      <c r="AH254" s="82"/>
      <c r="AI254" s="82"/>
      <c r="AJ254" s="82"/>
      <c r="AK254" s="82"/>
    </row>
    <row r="255" spans="27:37">
      <c r="AA255" s="82"/>
      <c r="AH255" s="82"/>
      <c r="AI255" s="82"/>
      <c r="AJ255" s="82"/>
      <c r="AK255" s="82"/>
    </row>
    <row r="256" spans="27:37">
      <c r="AA256" s="82"/>
      <c r="AH256" s="82"/>
      <c r="AI256" s="82"/>
      <c r="AJ256" s="82"/>
      <c r="AK256" s="82"/>
    </row>
    <row r="257" spans="27:37">
      <c r="AA257" s="82"/>
      <c r="AH257" s="82"/>
      <c r="AI257" s="82"/>
      <c r="AJ257" s="82"/>
      <c r="AK257" s="82"/>
    </row>
    <row r="258" spans="27:37">
      <c r="AA258" s="82"/>
      <c r="AH258" s="82"/>
      <c r="AI258" s="82"/>
      <c r="AJ258" s="82"/>
      <c r="AK258" s="82"/>
    </row>
    <row r="259" spans="27:37">
      <c r="AA259" s="82"/>
      <c r="AH259" s="82"/>
      <c r="AI259" s="82"/>
      <c r="AJ259" s="82"/>
      <c r="AK259" s="82"/>
    </row>
    <row r="260" spans="27:37">
      <c r="AA260" s="82"/>
      <c r="AH260" s="82"/>
      <c r="AI260" s="82"/>
      <c r="AJ260" s="82"/>
      <c r="AK260" s="82"/>
    </row>
    <row r="261" spans="27:37">
      <c r="AA261" s="82"/>
      <c r="AH261" s="82"/>
      <c r="AI261" s="82"/>
      <c r="AJ261" s="82"/>
      <c r="AK261" s="82"/>
    </row>
    <row r="262" spans="27:37">
      <c r="AA262" s="82"/>
      <c r="AH262" s="82"/>
      <c r="AI262" s="82"/>
      <c r="AJ262" s="82"/>
      <c r="AK262" s="82"/>
    </row>
    <row r="263" spans="27:37">
      <c r="AA263" s="82"/>
      <c r="AH263" s="82"/>
      <c r="AI263" s="82"/>
      <c r="AJ263" s="82"/>
      <c r="AK263" s="82"/>
    </row>
    <row r="264" spans="27:37">
      <c r="AA264" s="82"/>
      <c r="AH264" s="82"/>
      <c r="AI264" s="82"/>
      <c r="AJ264" s="82"/>
      <c r="AK264" s="82"/>
    </row>
    <row r="265" spans="27:37">
      <c r="AA265" s="82"/>
      <c r="AH265" s="82"/>
      <c r="AI265" s="82"/>
      <c r="AJ265" s="82"/>
      <c r="AK265" s="82"/>
    </row>
    <row r="266" spans="27:37">
      <c r="AA266" s="82"/>
      <c r="AH266" s="82"/>
      <c r="AI266" s="82"/>
      <c r="AJ266" s="82"/>
      <c r="AK266" s="82"/>
    </row>
    <row r="267" spans="27:37">
      <c r="AA267" s="82"/>
      <c r="AH267" s="82"/>
      <c r="AI267" s="82"/>
      <c r="AJ267" s="82"/>
      <c r="AK267" s="82"/>
    </row>
    <row r="268" spans="27:37">
      <c r="AA268" s="82"/>
      <c r="AH268" s="82"/>
      <c r="AI268" s="82"/>
      <c r="AJ268" s="82"/>
      <c r="AK268" s="82"/>
    </row>
    <row r="269" spans="27:37">
      <c r="AA269" s="82"/>
      <c r="AH269" s="82"/>
      <c r="AI269" s="82"/>
      <c r="AJ269" s="82"/>
      <c r="AK269" s="82"/>
    </row>
    <row r="270" spans="27:37">
      <c r="AA270" s="82"/>
      <c r="AH270" s="82"/>
      <c r="AI270" s="82"/>
      <c r="AJ270" s="82"/>
      <c r="AK270" s="82"/>
    </row>
    <row r="271" spans="27:37">
      <c r="AA271" s="82"/>
      <c r="AH271" s="82"/>
      <c r="AI271" s="82"/>
      <c r="AJ271" s="82"/>
      <c r="AK271" s="82"/>
    </row>
    <row r="272" spans="27:37">
      <c r="AA272" s="82"/>
      <c r="AH272" s="82"/>
      <c r="AI272" s="82"/>
      <c r="AJ272" s="82"/>
      <c r="AK272" s="82"/>
    </row>
    <row r="273" spans="27:37">
      <c r="AA273" s="82"/>
      <c r="AH273" s="82"/>
      <c r="AI273" s="82"/>
      <c r="AJ273" s="82"/>
      <c r="AK273" s="82"/>
    </row>
    <row r="274" spans="27:37">
      <c r="AA274" s="82"/>
      <c r="AH274" s="82"/>
      <c r="AI274" s="82"/>
      <c r="AJ274" s="82"/>
      <c r="AK274" s="82"/>
    </row>
    <row r="275" spans="27:37">
      <c r="AA275" s="82"/>
      <c r="AH275" s="82"/>
      <c r="AI275" s="82"/>
      <c r="AJ275" s="82"/>
      <c r="AK275" s="82"/>
    </row>
    <row r="276" spans="27:37">
      <c r="AA276" s="82"/>
      <c r="AH276" s="82"/>
      <c r="AI276" s="82"/>
      <c r="AJ276" s="82"/>
      <c r="AK276" s="82"/>
    </row>
    <row r="277" spans="27:37">
      <c r="AA277" s="82"/>
      <c r="AH277" s="82"/>
      <c r="AI277" s="82"/>
      <c r="AJ277" s="82"/>
      <c r="AK277" s="82"/>
    </row>
    <row r="278" spans="27:37">
      <c r="AA278" s="82"/>
      <c r="AH278" s="82"/>
      <c r="AI278" s="82"/>
      <c r="AJ278" s="82"/>
      <c r="AK278" s="82"/>
    </row>
    <row r="279" spans="27:37">
      <c r="AA279" s="82"/>
      <c r="AH279" s="82"/>
      <c r="AI279" s="82"/>
      <c r="AJ279" s="82"/>
      <c r="AK279" s="82"/>
    </row>
    <row r="280" spans="27:37">
      <c r="AA280" s="82"/>
      <c r="AH280" s="82"/>
      <c r="AI280" s="82"/>
      <c r="AJ280" s="82"/>
      <c r="AK280" s="82"/>
    </row>
    <row r="281" spans="27:37">
      <c r="AA281" s="82"/>
      <c r="AH281" s="82"/>
      <c r="AI281" s="82"/>
      <c r="AJ281" s="82"/>
      <c r="AK281" s="82"/>
    </row>
    <row r="282" spans="27:37">
      <c r="AA282" s="82"/>
      <c r="AH282" s="82"/>
      <c r="AI282" s="82"/>
      <c r="AJ282" s="82"/>
      <c r="AK282" s="82"/>
    </row>
    <row r="283" spans="27:37">
      <c r="AA283" s="82"/>
      <c r="AH283" s="82"/>
      <c r="AI283" s="82"/>
      <c r="AJ283" s="82"/>
      <c r="AK283" s="82"/>
    </row>
    <row r="284" spans="27:37">
      <c r="AA284" s="82"/>
      <c r="AH284" s="82"/>
      <c r="AI284" s="82"/>
      <c r="AJ284" s="82"/>
      <c r="AK284" s="82"/>
    </row>
    <row r="285" spans="27:37">
      <c r="AA285" s="82"/>
      <c r="AH285" s="82"/>
      <c r="AI285" s="82"/>
      <c r="AJ285" s="82"/>
      <c r="AK285" s="82"/>
    </row>
    <row r="286" spans="27:37">
      <c r="AA286" s="82"/>
      <c r="AH286" s="82"/>
      <c r="AI286" s="82"/>
      <c r="AJ286" s="82"/>
      <c r="AK286" s="82"/>
    </row>
    <row r="287" spans="27:37">
      <c r="AA287" s="82"/>
      <c r="AH287" s="82"/>
      <c r="AI287" s="82"/>
      <c r="AJ287" s="82"/>
      <c r="AK287" s="82"/>
    </row>
    <row r="288" spans="27:37">
      <c r="AA288" s="82"/>
      <c r="AH288" s="82"/>
      <c r="AI288" s="82"/>
      <c r="AJ288" s="82"/>
      <c r="AK288" s="82"/>
    </row>
    <row r="289" spans="27:37">
      <c r="AA289" s="82"/>
      <c r="AH289" s="82"/>
      <c r="AI289" s="82"/>
      <c r="AJ289" s="82"/>
      <c r="AK289" s="82"/>
    </row>
    <row r="290" spans="27:37">
      <c r="AA290" s="82"/>
      <c r="AH290" s="82"/>
      <c r="AI290" s="82"/>
      <c r="AJ290" s="82"/>
      <c r="AK290" s="82"/>
    </row>
    <row r="291" spans="27:37">
      <c r="AA291" s="82"/>
      <c r="AH291" s="82"/>
      <c r="AI291" s="82"/>
      <c r="AJ291" s="82"/>
      <c r="AK291" s="82"/>
    </row>
    <row r="292" spans="27:37">
      <c r="AA292" s="82"/>
      <c r="AH292" s="82"/>
      <c r="AI292" s="82"/>
      <c r="AJ292" s="82"/>
      <c r="AK292" s="82"/>
    </row>
    <row r="293" spans="27:37">
      <c r="AA293" s="82"/>
      <c r="AH293" s="82"/>
      <c r="AI293" s="82"/>
      <c r="AJ293" s="82"/>
      <c r="AK293" s="82"/>
    </row>
    <row r="294" spans="27:37">
      <c r="AA294" s="82"/>
      <c r="AH294" s="82"/>
      <c r="AI294" s="82"/>
      <c r="AJ294" s="82"/>
      <c r="AK294" s="82"/>
    </row>
    <row r="295" spans="27:37">
      <c r="AA295" s="82"/>
      <c r="AH295" s="82"/>
      <c r="AI295" s="82"/>
      <c r="AJ295" s="82"/>
      <c r="AK295" s="82"/>
    </row>
    <row r="296" spans="27:37">
      <c r="AA296" s="82"/>
      <c r="AH296" s="82"/>
      <c r="AI296" s="82"/>
      <c r="AJ296" s="82"/>
      <c r="AK296" s="82"/>
    </row>
    <row r="297" spans="27:37">
      <c r="AA297" s="82"/>
      <c r="AH297" s="82"/>
      <c r="AI297" s="82"/>
      <c r="AJ297" s="82"/>
      <c r="AK297" s="82"/>
    </row>
    <row r="298" spans="27:37">
      <c r="AA298" s="82"/>
      <c r="AH298" s="82"/>
      <c r="AI298" s="82"/>
      <c r="AJ298" s="82"/>
      <c r="AK298" s="82"/>
    </row>
    <row r="299" spans="27:37">
      <c r="AA299" s="82"/>
      <c r="AH299" s="82"/>
      <c r="AI299" s="82"/>
      <c r="AJ299" s="82"/>
      <c r="AK299" s="82"/>
    </row>
    <row r="300" spans="27:37">
      <c r="AA300" s="82"/>
      <c r="AH300" s="82"/>
      <c r="AI300" s="82"/>
      <c r="AJ300" s="82"/>
      <c r="AK300" s="82"/>
    </row>
    <row r="301" spans="27:37">
      <c r="AA301" s="82"/>
      <c r="AH301" s="82"/>
      <c r="AI301" s="82"/>
      <c r="AJ301" s="82"/>
      <c r="AK301" s="82"/>
    </row>
    <row r="302" spans="27:37">
      <c r="AA302" s="82"/>
      <c r="AH302" s="82"/>
      <c r="AI302" s="82"/>
      <c r="AJ302" s="82"/>
      <c r="AK302" s="82"/>
    </row>
    <row r="303" spans="27:37">
      <c r="AA303" s="82"/>
      <c r="AH303" s="82"/>
      <c r="AI303" s="82"/>
      <c r="AJ303" s="82"/>
      <c r="AK303" s="82"/>
    </row>
    <row r="304" spans="27:37">
      <c r="AA304" s="82"/>
      <c r="AH304" s="82"/>
      <c r="AI304" s="82"/>
      <c r="AJ304" s="82"/>
      <c r="AK304" s="82"/>
    </row>
    <row r="305" spans="27:37">
      <c r="AA305" s="82"/>
      <c r="AH305" s="82"/>
      <c r="AI305" s="82"/>
      <c r="AJ305" s="82"/>
      <c r="AK305" s="82"/>
    </row>
    <row r="306" spans="27:37">
      <c r="AA306" s="82"/>
      <c r="AH306" s="82"/>
      <c r="AI306" s="82"/>
      <c r="AJ306" s="82"/>
      <c r="AK306" s="82"/>
    </row>
    <row r="307" spans="27:37">
      <c r="AA307" s="82"/>
      <c r="AH307" s="82"/>
      <c r="AI307" s="82"/>
      <c r="AJ307" s="82"/>
      <c r="AK307" s="82"/>
    </row>
    <row r="308" spans="27:37">
      <c r="AA308" s="82"/>
      <c r="AH308" s="82"/>
      <c r="AI308" s="82"/>
      <c r="AJ308" s="82"/>
      <c r="AK308" s="82"/>
    </row>
    <row r="309" spans="27:37">
      <c r="AA309" s="82"/>
      <c r="AH309" s="82"/>
      <c r="AI309" s="82"/>
      <c r="AJ309" s="82"/>
      <c r="AK309" s="82"/>
    </row>
    <row r="310" spans="27:37">
      <c r="AA310" s="82"/>
      <c r="AH310" s="82"/>
      <c r="AI310" s="82"/>
      <c r="AJ310" s="82"/>
      <c r="AK310" s="82"/>
    </row>
    <row r="311" spans="27:37">
      <c r="AA311" s="82"/>
      <c r="AH311" s="82"/>
      <c r="AI311" s="82"/>
      <c r="AJ311" s="82"/>
      <c r="AK311" s="82"/>
    </row>
    <row r="312" spans="27:37">
      <c r="AA312" s="82"/>
      <c r="AH312" s="82"/>
      <c r="AI312" s="82"/>
      <c r="AJ312" s="82"/>
      <c r="AK312" s="82"/>
    </row>
    <row r="313" spans="27:37">
      <c r="AA313" s="82"/>
      <c r="AH313" s="82"/>
      <c r="AI313" s="82"/>
      <c r="AJ313" s="82"/>
      <c r="AK313" s="82"/>
    </row>
    <row r="314" spans="27:37">
      <c r="AA314" s="82"/>
      <c r="AH314" s="82"/>
      <c r="AI314" s="82"/>
      <c r="AJ314" s="82"/>
      <c r="AK314" s="82"/>
    </row>
    <row r="315" spans="27:37">
      <c r="AA315" s="82"/>
      <c r="AH315" s="82"/>
      <c r="AI315" s="82"/>
      <c r="AJ315" s="82"/>
      <c r="AK315" s="82"/>
    </row>
    <row r="316" spans="27:37">
      <c r="AA316" s="82"/>
      <c r="AH316" s="82"/>
      <c r="AI316" s="82"/>
      <c r="AJ316" s="82"/>
      <c r="AK316" s="82"/>
    </row>
    <row r="317" spans="27:37">
      <c r="AA317" s="82"/>
      <c r="AH317" s="82"/>
      <c r="AI317" s="82"/>
      <c r="AJ317" s="82"/>
      <c r="AK317" s="82"/>
    </row>
    <row r="318" spans="27:37">
      <c r="AA318" s="82"/>
      <c r="AH318" s="82"/>
      <c r="AI318" s="82"/>
      <c r="AJ318" s="82"/>
      <c r="AK318" s="82"/>
    </row>
    <row r="319" spans="27:37">
      <c r="AA319" s="82"/>
      <c r="AH319" s="82"/>
      <c r="AI319" s="82"/>
      <c r="AJ319" s="82"/>
      <c r="AK319" s="82"/>
    </row>
    <row r="320" spans="27:37">
      <c r="AA320" s="82"/>
      <c r="AH320" s="82"/>
      <c r="AI320" s="82"/>
      <c r="AJ320" s="82"/>
      <c r="AK320" s="82"/>
    </row>
    <row r="321" spans="27:37">
      <c r="AA321" s="82"/>
      <c r="AH321" s="82"/>
      <c r="AI321" s="82"/>
      <c r="AJ321" s="82"/>
      <c r="AK321" s="82"/>
    </row>
    <row r="322" spans="27:37">
      <c r="AA322" s="82"/>
      <c r="AH322" s="82"/>
      <c r="AI322" s="82"/>
      <c r="AJ322" s="82"/>
      <c r="AK322" s="82"/>
    </row>
    <row r="323" spans="27:37">
      <c r="AA323" s="82"/>
      <c r="AH323" s="82"/>
      <c r="AI323" s="82"/>
      <c r="AJ323" s="82"/>
      <c r="AK323" s="82"/>
    </row>
    <row r="324" spans="27:37">
      <c r="AA324" s="82"/>
      <c r="AH324" s="82"/>
      <c r="AI324" s="82"/>
      <c r="AJ324" s="82"/>
      <c r="AK324" s="82"/>
    </row>
    <row r="325" spans="27:37">
      <c r="AA325" s="82"/>
      <c r="AH325" s="82"/>
      <c r="AI325" s="82"/>
      <c r="AJ325" s="82"/>
      <c r="AK325" s="82"/>
    </row>
    <row r="326" spans="27:37">
      <c r="AA326" s="82"/>
      <c r="AH326" s="82"/>
      <c r="AI326" s="82"/>
      <c r="AJ326" s="82"/>
      <c r="AK326" s="82"/>
    </row>
    <row r="327" spans="27:37">
      <c r="AA327" s="82"/>
      <c r="AH327" s="82"/>
      <c r="AI327" s="82"/>
      <c r="AJ327" s="82"/>
      <c r="AK327" s="82"/>
    </row>
    <row r="328" spans="27:37">
      <c r="AA328" s="82"/>
      <c r="AH328" s="82"/>
      <c r="AI328" s="82"/>
      <c r="AJ328" s="82"/>
      <c r="AK328" s="82"/>
    </row>
    <row r="329" spans="27:37">
      <c r="AA329" s="82"/>
      <c r="AH329" s="82"/>
      <c r="AI329" s="82"/>
      <c r="AJ329" s="82"/>
      <c r="AK329" s="82"/>
    </row>
    <row r="330" spans="27:37">
      <c r="AA330" s="82"/>
      <c r="AH330" s="82"/>
      <c r="AI330" s="82"/>
      <c r="AJ330" s="82"/>
      <c r="AK330" s="82"/>
    </row>
    <row r="331" spans="27:37">
      <c r="AA331" s="82"/>
      <c r="AH331" s="82"/>
      <c r="AI331" s="82"/>
      <c r="AJ331" s="82"/>
      <c r="AK331" s="82"/>
    </row>
    <row r="332" spans="27:37">
      <c r="AA332" s="82"/>
      <c r="AH332" s="82"/>
      <c r="AI332" s="82"/>
      <c r="AJ332" s="82"/>
      <c r="AK332" s="82"/>
    </row>
    <row r="333" spans="27:37">
      <c r="AA333" s="82"/>
      <c r="AH333" s="82"/>
      <c r="AI333" s="82"/>
      <c r="AJ333" s="82"/>
      <c r="AK333" s="82"/>
    </row>
    <row r="334" spans="27:37">
      <c r="AA334" s="82"/>
      <c r="AH334" s="82"/>
      <c r="AI334" s="82"/>
      <c r="AJ334" s="82"/>
      <c r="AK334" s="82"/>
    </row>
    <row r="335" spans="27:37">
      <c r="AA335" s="82"/>
      <c r="AH335" s="82"/>
      <c r="AI335" s="82"/>
      <c r="AJ335" s="82"/>
      <c r="AK335" s="82"/>
    </row>
    <row r="336" spans="27:37">
      <c r="AA336" s="82"/>
      <c r="AH336" s="82"/>
      <c r="AI336" s="82"/>
      <c r="AJ336" s="82"/>
      <c r="AK336" s="82"/>
    </row>
    <row r="337" spans="27:37">
      <c r="AA337" s="82"/>
      <c r="AH337" s="82"/>
      <c r="AI337" s="82"/>
      <c r="AJ337" s="82"/>
      <c r="AK337" s="82"/>
    </row>
    <row r="338" spans="27:37">
      <c r="AA338" s="82"/>
      <c r="AH338" s="82"/>
      <c r="AI338" s="82"/>
      <c r="AJ338" s="82"/>
      <c r="AK338" s="82"/>
    </row>
    <row r="339" spans="27:37">
      <c r="AA339" s="82"/>
      <c r="AH339" s="82"/>
      <c r="AI339" s="82"/>
      <c r="AJ339" s="82"/>
      <c r="AK339" s="82"/>
    </row>
    <row r="340" spans="27:37">
      <c r="AA340" s="82"/>
      <c r="AH340" s="82"/>
      <c r="AI340" s="82"/>
      <c r="AJ340" s="82"/>
      <c r="AK340" s="82"/>
    </row>
    <row r="341" spans="27:37">
      <c r="AA341" s="82"/>
      <c r="AH341" s="82"/>
      <c r="AI341" s="82"/>
      <c r="AJ341" s="82"/>
      <c r="AK341" s="82"/>
    </row>
    <row r="342" spans="27:37">
      <c r="AA342" s="82"/>
      <c r="AH342" s="82"/>
      <c r="AI342" s="82"/>
      <c r="AJ342" s="82"/>
      <c r="AK342" s="82"/>
    </row>
    <row r="343" spans="27:37">
      <c r="AA343" s="82"/>
      <c r="AH343" s="82"/>
      <c r="AI343" s="82"/>
      <c r="AJ343" s="82"/>
      <c r="AK343" s="82"/>
    </row>
    <row r="344" spans="27:37">
      <c r="AA344" s="82"/>
      <c r="AH344" s="82"/>
      <c r="AI344" s="82"/>
      <c r="AJ344" s="82"/>
      <c r="AK344" s="82"/>
    </row>
    <row r="345" spans="27:37">
      <c r="AA345" s="82"/>
      <c r="AH345" s="82"/>
      <c r="AI345" s="82"/>
      <c r="AJ345" s="82"/>
      <c r="AK345" s="82"/>
    </row>
    <row r="346" spans="27:37">
      <c r="AA346" s="82"/>
      <c r="AH346" s="82"/>
      <c r="AI346" s="82"/>
      <c r="AJ346" s="82"/>
      <c r="AK346" s="82"/>
    </row>
    <row r="347" spans="27:37">
      <c r="AA347" s="82"/>
      <c r="AH347" s="82"/>
      <c r="AI347" s="82"/>
      <c r="AJ347" s="82"/>
      <c r="AK347" s="82"/>
    </row>
    <row r="348" spans="27:37">
      <c r="AA348" s="82"/>
      <c r="AH348" s="82"/>
      <c r="AI348" s="82"/>
      <c r="AJ348" s="82"/>
      <c r="AK348" s="82"/>
    </row>
    <row r="349" spans="27:37">
      <c r="AA349" s="82"/>
      <c r="AH349" s="82"/>
      <c r="AI349" s="82"/>
      <c r="AJ349" s="82"/>
      <c r="AK349" s="82"/>
    </row>
    <row r="350" spans="27:37">
      <c r="AA350" s="82"/>
      <c r="AH350" s="82"/>
      <c r="AI350" s="82"/>
      <c r="AJ350" s="82"/>
      <c r="AK350" s="82"/>
    </row>
    <row r="351" spans="27:37">
      <c r="AA351" s="82"/>
      <c r="AH351" s="82"/>
      <c r="AI351" s="82"/>
      <c r="AJ351" s="82"/>
      <c r="AK351" s="82"/>
    </row>
    <row r="352" spans="27:37">
      <c r="AA352" s="82"/>
      <c r="AH352" s="82"/>
      <c r="AI352" s="82"/>
      <c r="AJ352" s="82"/>
      <c r="AK352" s="82"/>
    </row>
    <row r="353" spans="27:37">
      <c r="AA353" s="82"/>
      <c r="AH353" s="82"/>
      <c r="AI353" s="82"/>
      <c r="AJ353" s="82"/>
      <c r="AK353" s="82"/>
    </row>
    <row r="354" spans="27:37">
      <c r="AA354" s="82"/>
      <c r="AH354" s="82"/>
      <c r="AI354" s="82"/>
      <c r="AJ354" s="82"/>
      <c r="AK354" s="82"/>
    </row>
    <row r="355" spans="27:37">
      <c r="AA355" s="82"/>
      <c r="AH355" s="82"/>
      <c r="AI355" s="82"/>
      <c r="AJ355" s="82"/>
      <c r="AK355" s="82"/>
    </row>
    <row r="356" spans="27:37">
      <c r="AA356" s="82"/>
      <c r="AH356" s="82"/>
      <c r="AI356" s="82"/>
      <c r="AJ356" s="82"/>
      <c r="AK356" s="82"/>
    </row>
    <row r="357" spans="27:37">
      <c r="AA357" s="82"/>
      <c r="AH357" s="82"/>
      <c r="AI357" s="82"/>
      <c r="AJ357" s="82"/>
      <c r="AK357" s="82"/>
    </row>
    <row r="358" spans="27:37">
      <c r="AA358" s="82"/>
      <c r="AH358" s="82"/>
      <c r="AI358" s="82"/>
      <c r="AJ358" s="82"/>
      <c r="AK358" s="82"/>
    </row>
    <row r="359" spans="27:37">
      <c r="AA359" s="82"/>
      <c r="AH359" s="82"/>
      <c r="AI359" s="82"/>
      <c r="AJ359" s="82"/>
      <c r="AK359" s="82"/>
    </row>
    <row r="360" spans="27:37">
      <c r="AA360" s="82"/>
      <c r="AH360" s="82"/>
      <c r="AI360" s="82"/>
      <c r="AJ360" s="82"/>
      <c r="AK360" s="82"/>
    </row>
    <row r="361" spans="27:37">
      <c r="AA361" s="82"/>
      <c r="AH361" s="82"/>
      <c r="AI361" s="82"/>
      <c r="AJ361" s="82"/>
      <c r="AK361" s="82"/>
    </row>
    <row r="362" spans="27:37">
      <c r="AA362" s="82"/>
      <c r="AH362" s="82"/>
      <c r="AI362" s="82"/>
      <c r="AJ362" s="82"/>
      <c r="AK362" s="82"/>
    </row>
    <row r="363" spans="27:37">
      <c r="AA363" s="82"/>
      <c r="AH363" s="82"/>
      <c r="AI363" s="82"/>
      <c r="AJ363" s="82"/>
      <c r="AK363" s="82"/>
    </row>
    <row r="364" spans="27:37">
      <c r="AA364" s="82"/>
      <c r="AH364" s="82"/>
      <c r="AI364" s="82"/>
      <c r="AJ364" s="82"/>
      <c r="AK364" s="82"/>
    </row>
    <row r="365" spans="27:37">
      <c r="AA365" s="82"/>
      <c r="AH365" s="82"/>
      <c r="AI365" s="82"/>
      <c r="AJ365" s="82"/>
      <c r="AK365" s="82"/>
    </row>
    <row r="366" spans="27:37">
      <c r="AA366" s="82"/>
      <c r="AH366" s="82"/>
      <c r="AI366" s="82"/>
      <c r="AJ366" s="82"/>
      <c r="AK366" s="82"/>
    </row>
    <row r="367" spans="27:37">
      <c r="AA367" s="82"/>
      <c r="AH367" s="82"/>
      <c r="AI367" s="82"/>
      <c r="AJ367" s="82"/>
      <c r="AK367" s="82"/>
    </row>
    <row r="368" spans="27:37">
      <c r="AA368" s="82"/>
      <c r="AH368" s="82"/>
      <c r="AI368" s="82"/>
      <c r="AJ368" s="82"/>
      <c r="AK368" s="82"/>
    </row>
    <row r="369" spans="27:37">
      <c r="AA369" s="82"/>
      <c r="AH369" s="82"/>
      <c r="AI369" s="82"/>
      <c r="AJ369" s="82"/>
      <c r="AK369" s="82"/>
    </row>
    <row r="370" spans="27:37">
      <c r="AA370" s="82"/>
      <c r="AH370" s="82"/>
      <c r="AI370" s="82"/>
      <c r="AJ370" s="82"/>
      <c r="AK370" s="82"/>
    </row>
    <row r="371" spans="27:37">
      <c r="AA371" s="82"/>
      <c r="AH371" s="82"/>
      <c r="AI371" s="82"/>
      <c r="AJ371" s="82"/>
      <c r="AK371" s="82"/>
    </row>
    <row r="372" spans="27:37">
      <c r="AA372" s="82"/>
      <c r="AH372" s="82"/>
      <c r="AI372" s="82"/>
      <c r="AJ372" s="82"/>
      <c r="AK372" s="82"/>
    </row>
    <row r="373" spans="27:37">
      <c r="AA373" s="82"/>
      <c r="AH373" s="82"/>
      <c r="AI373" s="82"/>
      <c r="AJ373" s="82"/>
      <c r="AK373" s="82"/>
    </row>
    <row r="374" spans="27:37">
      <c r="AA374" s="82"/>
      <c r="AH374" s="82"/>
      <c r="AI374" s="82"/>
      <c r="AJ374" s="82"/>
      <c r="AK374" s="82"/>
    </row>
    <row r="375" spans="27:37">
      <c r="AA375" s="82"/>
      <c r="AH375" s="82"/>
      <c r="AI375" s="82"/>
      <c r="AJ375" s="82"/>
      <c r="AK375" s="82"/>
    </row>
    <row r="376" spans="27:37">
      <c r="AA376" s="82"/>
      <c r="AH376" s="82"/>
      <c r="AI376" s="82"/>
      <c r="AJ376" s="82"/>
      <c r="AK376" s="82"/>
    </row>
    <row r="377" spans="27:37">
      <c r="AA377" s="82"/>
      <c r="AH377" s="82"/>
      <c r="AI377" s="82"/>
      <c r="AJ377" s="82"/>
      <c r="AK377" s="82"/>
    </row>
    <row r="378" spans="27:37">
      <c r="AA378" s="82"/>
      <c r="AH378" s="82"/>
      <c r="AI378" s="82"/>
      <c r="AJ378" s="82"/>
      <c r="AK378" s="82"/>
    </row>
    <row r="379" spans="27:37">
      <c r="AA379" s="82"/>
      <c r="AH379" s="82"/>
      <c r="AI379" s="82"/>
      <c r="AJ379" s="82"/>
      <c r="AK379" s="82"/>
    </row>
    <row r="380" spans="27:37">
      <c r="AA380" s="82"/>
      <c r="AH380" s="82"/>
      <c r="AI380" s="82"/>
      <c r="AJ380" s="82"/>
      <c r="AK380" s="82"/>
    </row>
    <row r="381" spans="27:37">
      <c r="AA381" s="82"/>
      <c r="AH381" s="82"/>
      <c r="AI381" s="82"/>
      <c r="AJ381" s="82"/>
      <c r="AK381" s="82"/>
    </row>
    <row r="382" spans="27:37">
      <c r="AA382" s="82"/>
      <c r="AH382" s="82"/>
      <c r="AI382" s="82"/>
      <c r="AJ382" s="82"/>
      <c r="AK382" s="82"/>
    </row>
    <row r="383" spans="27:37">
      <c r="AA383" s="82"/>
      <c r="AH383" s="82"/>
      <c r="AI383" s="82"/>
      <c r="AJ383" s="82"/>
      <c r="AK383" s="82"/>
    </row>
    <row r="384" spans="27:37">
      <c r="AA384" s="82"/>
      <c r="AH384" s="82"/>
      <c r="AI384" s="82"/>
      <c r="AJ384" s="82"/>
      <c r="AK384" s="82"/>
    </row>
    <row r="385" spans="27:37">
      <c r="AA385" s="82"/>
      <c r="AH385" s="82"/>
      <c r="AI385" s="82"/>
      <c r="AJ385" s="82"/>
      <c r="AK385" s="82"/>
    </row>
    <row r="386" spans="27:37">
      <c r="AA386" s="82"/>
      <c r="AH386" s="82"/>
      <c r="AI386" s="82"/>
      <c r="AJ386" s="82"/>
      <c r="AK386" s="82"/>
    </row>
    <row r="387" spans="27:37">
      <c r="AA387" s="82"/>
      <c r="AH387" s="82"/>
      <c r="AI387" s="82"/>
      <c r="AJ387" s="82"/>
      <c r="AK387" s="82"/>
    </row>
    <row r="388" spans="27:37">
      <c r="AA388" s="82"/>
      <c r="AH388" s="82"/>
      <c r="AI388" s="82"/>
      <c r="AJ388" s="82"/>
      <c r="AK388" s="82"/>
    </row>
    <row r="389" spans="27:37">
      <c r="AA389" s="82"/>
      <c r="AH389" s="82"/>
      <c r="AI389" s="82"/>
      <c r="AJ389" s="82"/>
      <c r="AK389" s="82"/>
    </row>
    <row r="390" spans="27:37">
      <c r="AA390" s="82"/>
      <c r="AH390" s="82"/>
      <c r="AI390" s="82"/>
      <c r="AJ390" s="82"/>
      <c r="AK390" s="82"/>
    </row>
    <row r="391" spans="27:37">
      <c r="AA391" s="82"/>
      <c r="AH391" s="82"/>
      <c r="AI391" s="82"/>
      <c r="AJ391" s="82"/>
      <c r="AK391" s="82"/>
    </row>
    <row r="392" spans="27:37">
      <c r="AA392" s="82"/>
      <c r="AH392" s="82"/>
      <c r="AI392" s="82"/>
      <c r="AJ392" s="82"/>
      <c r="AK392" s="82"/>
    </row>
    <row r="393" spans="27:37">
      <c r="AA393" s="82"/>
      <c r="AH393" s="82"/>
      <c r="AI393" s="82"/>
      <c r="AJ393" s="82"/>
      <c r="AK393" s="82"/>
    </row>
    <row r="394" spans="27:37">
      <c r="AA394" s="82"/>
      <c r="AH394" s="82"/>
      <c r="AI394" s="82"/>
      <c r="AJ394" s="82"/>
      <c r="AK394" s="82"/>
    </row>
    <row r="395" spans="27:37">
      <c r="AA395" s="82"/>
      <c r="AH395" s="82"/>
      <c r="AI395" s="82"/>
      <c r="AJ395" s="82"/>
      <c r="AK395" s="82"/>
    </row>
    <row r="396" spans="27:37">
      <c r="AA396" s="82"/>
      <c r="AH396" s="82"/>
      <c r="AI396" s="82"/>
      <c r="AJ396" s="82"/>
      <c r="AK396" s="82"/>
    </row>
    <row r="397" spans="27:37">
      <c r="AA397" s="82"/>
      <c r="AH397" s="82"/>
      <c r="AI397" s="82"/>
      <c r="AJ397" s="82"/>
      <c r="AK397" s="82"/>
    </row>
    <row r="398" spans="27:37">
      <c r="AA398" s="82"/>
      <c r="AH398" s="82"/>
      <c r="AI398" s="82"/>
      <c r="AJ398" s="82"/>
      <c r="AK398" s="82"/>
    </row>
    <row r="399" spans="27:37">
      <c r="AA399" s="82"/>
      <c r="AH399" s="82"/>
      <c r="AI399" s="82"/>
      <c r="AJ399" s="82"/>
      <c r="AK399" s="82"/>
    </row>
    <row r="400" spans="27:37">
      <c r="AA400" s="82"/>
      <c r="AH400" s="82"/>
      <c r="AI400" s="82"/>
      <c r="AJ400" s="82"/>
      <c r="AK400" s="82"/>
    </row>
    <row r="401" spans="27:37">
      <c r="AA401" s="82"/>
      <c r="AH401" s="82"/>
      <c r="AI401" s="82"/>
      <c r="AJ401" s="82"/>
      <c r="AK401" s="82"/>
    </row>
    <row r="402" spans="27:37">
      <c r="AA402" s="82"/>
      <c r="AH402" s="82"/>
      <c r="AI402" s="82"/>
      <c r="AJ402" s="82"/>
      <c r="AK402" s="82"/>
    </row>
    <row r="403" spans="27:37">
      <c r="AA403" s="82"/>
      <c r="AH403" s="82"/>
      <c r="AI403" s="82"/>
      <c r="AJ403" s="82"/>
      <c r="AK403" s="82"/>
    </row>
    <row r="404" spans="27:37">
      <c r="AA404" s="82"/>
      <c r="AH404" s="82"/>
      <c r="AI404" s="82"/>
      <c r="AJ404" s="82"/>
      <c r="AK404" s="82"/>
    </row>
    <row r="405" spans="27:37">
      <c r="AA405" s="82"/>
      <c r="AH405" s="82"/>
      <c r="AI405" s="82"/>
      <c r="AJ405" s="82"/>
      <c r="AK405" s="82"/>
    </row>
    <row r="406" spans="27:37">
      <c r="AA406" s="82"/>
      <c r="AH406" s="82"/>
      <c r="AI406" s="82"/>
      <c r="AJ406" s="82"/>
      <c r="AK406" s="82"/>
    </row>
    <row r="407" spans="27:37">
      <c r="AA407" s="82"/>
      <c r="AH407" s="82"/>
      <c r="AI407" s="82"/>
      <c r="AJ407" s="82"/>
      <c r="AK407" s="82"/>
    </row>
    <row r="408" spans="27:37">
      <c r="AA408" s="82"/>
      <c r="AH408" s="82"/>
      <c r="AI408" s="82"/>
      <c r="AJ408" s="82"/>
      <c r="AK408" s="82"/>
    </row>
    <row r="409" spans="27:37">
      <c r="AA409" s="82"/>
      <c r="AH409" s="82"/>
      <c r="AI409" s="82"/>
      <c r="AJ409" s="82"/>
      <c r="AK409" s="82"/>
    </row>
    <row r="410" spans="27:37">
      <c r="AA410" s="82"/>
      <c r="AH410" s="82"/>
      <c r="AI410" s="82"/>
      <c r="AJ410" s="82"/>
      <c r="AK410" s="82"/>
    </row>
    <row r="411" spans="27:37">
      <c r="AA411" s="82"/>
      <c r="AH411" s="82"/>
      <c r="AI411" s="82"/>
      <c r="AJ411" s="82"/>
      <c r="AK411" s="82"/>
    </row>
    <row r="412" spans="27:37">
      <c r="AA412" s="82"/>
      <c r="AH412" s="82"/>
      <c r="AI412" s="82"/>
      <c r="AJ412" s="82"/>
      <c r="AK412" s="82"/>
    </row>
    <row r="413" spans="27:37">
      <c r="AA413" s="82"/>
      <c r="AH413" s="82"/>
      <c r="AI413" s="82"/>
      <c r="AJ413" s="82"/>
      <c r="AK413" s="82"/>
    </row>
    <row r="414" spans="27:37">
      <c r="AA414" s="82"/>
      <c r="AH414" s="82"/>
      <c r="AI414" s="82"/>
      <c r="AJ414" s="82"/>
      <c r="AK414" s="82"/>
    </row>
    <row r="415" spans="27:37">
      <c r="AA415" s="82"/>
      <c r="AH415" s="82"/>
      <c r="AI415" s="82"/>
      <c r="AJ415" s="82"/>
      <c r="AK415" s="82"/>
    </row>
    <row r="416" spans="27:37">
      <c r="AA416" s="82"/>
      <c r="AH416" s="82"/>
      <c r="AI416" s="82"/>
      <c r="AJ416" s="82"/>
      <c r="AK416" s="82"/>
    </row>
    <row r="417" spans="27:37">
      <c r="AA417" s="82"/>
      <c r="AH417" s="82"/>
      <c r="AI417" s="82"/>
      <c r="AJ417" s="82"/>
      <c r="AK417" s="82"/>
    </row>
    <row r="418" spans="27:37">
      <c r="AA418" s="82"/>
      <c r="AH418" s="82"/>
      <c r="AI418" s="82"/>
      <c r="AJ418" s="82"/>
      <c r="AK418" s="82"/>
    </row>
    <row r="419" spans="27:37">
      <c r="AA419" s="82"/>
      <c r="AH419" s="82"/>
      <c r="AI419" s="82"/>
      <c r="AJ419" s="82"/>
      <c r="AK419" s="82"/>
    </row>
    <row r="420" spans="27:37">
      <c r="AA420" s="82"/>
      <c r="AH420" s="82"/>
      <c r="AI420" s="82"/>
      <c r="AJ420" s="82"/>
      <c r="AK420" s="82"/>
    </row>
    <row r="421" spans="27:37">
      <c r="AA421" s="82"/>
      <c r="AH421" s="82"/>
      <c r="AI421" s="82"/>
      <c r="AJ421" s="82"/>
      <c r="AK421" s="82"/>
    </row>
    <row r="422" spans="27:37">
      <c r="AA422" s="82"/>
      <c r="AH422" s="82"/>
      <c r="AI422" s="82"/>
      <c r="AJ422" s="82"/>
      <c r="AK422" s="82"/>
    </row>
    <row r="423" spans="27:37">
      <c r="AA423" s="82"/>
      <c r="AH423" s="82"/>
      <c r="AI423" s="82"/>
      <c r="AJ423" s="82"/>
      <c r="AK423" s="82"/>
    </row>
    <row r="424" spans="27:37">
      <c r="AA424" s="82"/>
      <c r="AH424" s="82"/>
      <c r="AI424" s="82"/>
      <c r="AJ424" s="82"/>
      <c r="AK424" s="82"/>
    </row>
    <row r="425" spans="27:37">
      <c r="AA425" s="82"/>
      <c r="AH425" s="82"/>
      <c r="AI425" s="82"/>
      <c r="AJ425" s="82"/>
      <c r="AK425" s="82"/>
    </row>
    <row r="426" spans="27:37">
      <c r="AA426" s="82"/>
      <c r="AH426" s="82"/>
      <c r="AI426" s="82"/>
      <c r="AJ426" s="82"/>
      <c r="AK426" s="82"/>
    </row>
    <row r="427" spans="27:37">
      <c r="AA427" s="82"/>
      <c r="AH427" s="82"/>
      <c r="AI427" s="82"/>
      <c r="AJ427" s="82"/>
      <c r="AK427" s="82"/>
    </row>
    <row r="428" spans="27:37">
      <c r="AA428" s="82"/>
      <c r="AH428" s="82"/>
      <c r="AI428" s="82"/>
      <c r="AJ428" s="82"/>
      <c r="AK428" s="82"/>
    </row>
    <row r="429" spans="27:37">
      <c r="AA429" s="82"/>
      <c r="AH429" s="82"/>
      <c r="AI429" s="82"/>
      <c r="AJ429" s="82"/>
      <c r="AK429" s="82"/>
    </row>
    <row r="430" spans="27:37">
      <c r="AA430" s="82"/>
      <c r="AH430" s="82"/>
      <c r="AI430" s="82"/>
      <c r="AJ430" s="82"/>
      <c r="AK430" s="82"/>
    </row>
    <row r="431" spans="27:37">
      <c r="AA431" s="82"/>
      <c r="AH431" s="82"/>
      <c r="AI431" s="82"/>
      <c r="AJ431" s="82"/>
      <c r="AK431" s="82"/>
    </row>
    <row r="432" spans="27:37">
      <c r="AA432" s="82"/>
      <c r="AH432" s="82"/>
      <c r="AI432" s="82"/>
      <c r="AJ432" s="82"/>
      <c r="AK432" s="82"/>
    </row>
    <row r="433" spans="27:37">
      <c r="AA433" s="82"/>
      <c r="AH433" s="82"/>
      <c r="AI433" s="82"/>
      <c r="AJ433" s="82"/>
      <c r="AK433" s="82"/>
    </row>
    <row r="434" spans="27:37">
      <c r="AA434" s="82"/>
      <c r="AH434" s="82"/>
      <c r="AI434" s="82"/>
      <c r="AJ434" s="82"/>
      <c r="AK434" s="82"/>
    </row>
    <row r="435" spans="27:37">
      <c r="AA435" s="82"/>
      <c r="AH435" s="82"/>
      <c r="AI435" s="82"/>
      <c r="AJ435" s="82"/>
      <c r="AK435" s="82"/>
    </row>
    <row r="436" spans="27:37">
      <c r="AA436" s="82"/>
      <c r="AH436" s="82"/>
      <c r="AI436" s="82"/>
      <c r="AJ436" s="82"/>
      <c r="AK436" s="82"/>
    </row>
    <row r="437" spans="27:37">
      <c r="AA437" s="82"/>
      <c r="AH437" s="82"/>
      <c r="AI437" s="82"/>
      <c r="AJ437" s="82"/>
      <c r="AK437" s="82"/>
    </row>
    <row r="438" spans="27:37">
      <c r="AA438" s="82"/>
      <c r="AH438" s="82"/>
      <c r="AI438" s="82"/>
      <c r="AJ438" s="82"/>
      <c r="AK438" s="82"/>
    </row>
    <row r="439" spans="27:37">
      <c r="AA439" s="82"/>
      <c r="AH439" s="82"/>
      <c r="AI439" s="82"/>
      <c r="AJ439" s="82"/>
      <c r="AK439" s="82"/>
    </row>
    <row r="440" spans="27:37">
      <c r="AA440" s="82"/>
      <c r="AH440" s="82"/>
      <c r="AI440" s="82"/>
      <c r="AJ440" s="82"/>
      <c r="AK440" s="82"/>
    </row>
    <row r="441" spans="27:37">
      <c r="AA441" s="82"/>
      <c r="AH441" s="82"/>
      <c r="AI441" s="82"/>
      <c r="AJ441" s="82"/>
      <c r="AK441" s="82"/>
    </row>
    <row r="442" spans="27:37">
      <c r="AA442" s="82"/>
      <c r="AH442" s="82"/>
      <c r="AI442" s="82"/>
      <c r="AJ442" s="82"/>
      <c r="AK442" s="82"/>
    </row>
    <row r="443" spans="27:37">
      <c r="AA443" s="82"/>
      <c r="AH443" s="82"/>
      <c r="AI443" s="82"/>
      <c r="AJ443" s="82"/>
      <c r="AK443" s="82"/>
    </row>
    <row r="444" spans="27:37">
      <c r="AA444" s="82"/>
      <c r="AH444" s="82"/>
      <c r="AI444" s="82"/>
      <c r="AJ444" s="82"/>
      <c r="AK444" s="82"/>
    </row>
    <row r="445" spans="27:37">
      <c r="AA445" s="82"/>
      <c r="AH445" s="82"/>
      <c r="AI445" s="82"/>
      <c r="AJ445" s="82"/>
      <c r="AK445" s="82"/>
    </row>
    <row r="446" spans="27:37">
      <c r="AA446" s="82"/>
      <c r="AH446" s="82"/>
      <c r="AI446" s="82"/>
      <c r="AJ446" s="82"/>
      <c r="AK446" s="82"/>
    </row>
    <row r="447" spans="27:37">
      <c r="AA447" s="82"/>
      <c r="AH447" s="82"/>
      <c r="AI447" s="82"/>
      <c r="AJ447" s="82"/>
      <c r="AK447" s="82"/>
    </row>
    <row r="448" spans="27:37">
      <c r="AA448" s="82"/>
      <c r="AH448" s="82"/>
      <c r="AI448" s="82"/>
      <c r="AJ448" s="82"/>
      <c r="AK448" s="82"/>
    </row>
    <row r="449" spans="27:37">
      <c r="AA449" s="82"/>
      <c r="AH449" s="82"/>
      <c r="AI449" s="82"/>
      <c r="AJ449" s="82"/>
      <c r="AK449" s="82"/>
    </row>
    <row r="450" spans="27:37">
      <c r="AA450" s="82"/>
      <c r="AH450" s="82"/>
      <c r="AI450" s="82"/>
      <c r="AJ450" s="82"/>
      <c r="AK450" s="82"/>
    </row>
    <row r="451" spans="27:37">
      <c r="AA451" s="82"/>
      <c r="AH451" s="82"/>
      <c r="AI451" s="82"/>
      <c r="AJ451" s="82"/>
      <c r="AK451" s="82"/>
    </row>
    <row r="452" spans="27:37">
      <c r="AA452" s="82"/>
      <c r="AH452" s="82"/>
      <c r="AI452" s="82"/>
      <c r="AJ452" s="82"/>
      <c r="AK452" s="82"/>
    </row>
    <row r="453" spans="27:37">
      <c r="AA453" s="82"/>
      <c r="AH453" s="82"/>
      <c r="AI453" s="82"/>
      <c r="AJ453" s="82"/>
      <c r="AK453" s="82"/>
    </row>
    <row r="454" spans="27:37">
      <c r="AA454" s="82"/>
      <c r="AH454" s="82"/>
      <c r="AI454" s="82"/>
      <c r="AJ454" s="82"/>
      <c r="AK454" s="82"/>
    </row>
    <row r="455" spans="27:37">
      <c r="AA455" s="82"/>
      <c r="AH455" s="82"/>
      <c r="AI455" s="82"/>
      <c r="AJ455" s="82"/>
      <c r="AK455" s="82"/>
    </row>
    <row r="456" spans="27:37">
      <c r="AA456" s="82"/>
      <c r="AH456" s="82"/>
      <c r="AI456" s="82"/>
      <c r="AJ456" s="82"/>
      <c r="AK456" s="82"/>
    </row>
    <row r="457" spans="27:37">
      <c r="AA457" s="82"/>
      <c r="AH457" s="82"/>
      <c r="AI457" s="82"/>
      <c r="AJ457" s="82"/>
      <c r="AK457" s="82"/>
    </row>
    <row r="458" spans="27:37">
      <c r="AA458" s="82"/>
      <c r="AH458" s="82"/>
      <c r="AI458" s="82"/>
      <c r="AJ458" s="82"/>
      <c r="AK458" s="82"/>
    </row>
    <row r="459" spans="27:37">
      <c r="AA459" s="82"/>
      <c r="AH459" s="82"/>
      <c r="AI459" s="82"/>
      <c r="AJ459" s="82"/>
      <c r="AK459" s="82"/>
    </row>
    <row r="460" spans="27:37">
      <c r="AA460" s="82"/>
      <c r="AH460" s="82"/>
      <c r="AI460" s="82"/>
      <c r="AJ460" s="82"/>
      <c r="AK460" s="82"/>
    </row>
    <row r="461" spans="27:37">
      <c r="AA461" s="82"/>
      <c r="AH461" s="82"/>
      <c r="AI461" s="82"/>
      <c r="AJ461" s="82"/>
      <c r="AK461" s="82"/>
    </row>
    <row r="462" spans="27:37">
      <c r="AA462" s="82"/>
      <c r="AH462" s="82"/>
      <c r="AI462" s="82"/>
      <c r="AJ462" s="82"/>
      <c r="AK462" s="82"/>
    </row>
    <row r="463" spans="27:37">
      <c r="AA463" s="82"/>
      <c r="AH463" s="82"/>
      <c r="AI463" s="82"/>
      <c r="AJ463" s="82"/>
      <c r="AK463" s="82"/>
    </row>
    <row r="464" spans="27:37">
      <c r="AA464" s="82"/>
      <c r="AH464" s="82"/>
      <c r="AI464" s="82"/>
      <c r="AJ464" s="82"/>
      <c r="AK464" s="82"/>
    </row>
    <row r="465" spans="27:37">
      <c r="AA465" s="82"/>
      <c r="AH465" s="82"/>
      <c r="AI465" s="82"/>
      <c r="AJ465" s="82"/>
      <c r="AK465" s="82"/>
    </row>
    <row r="466" spans="27:37">
      <c r="AA466" s="82"/>
      <c r="AH466" s="82"/>
      <c r="AI466" s="82"/>
      <c r="AJ466" s="82"/>
      <c r="AK466" s="82"/>
    </row>
    <row r="467" spans="27:37">
      <c r="AA467" s="82"/>
      <c r="AH467" s="82"/>
      <c r="AI467" s="82"/>
      <c r="AJ467" s="82"/>
      <c r="AK467" s="82"/>
    </row>
    <row r="468" spans="27:37">
      <c r="AA468" s="82"/>
      <c r="AH468" s="82"/>
      <c r="AI468" s="82"/>
      <c r="AJ468" s="82"/>
      <c r="AK468" s="82"/>
    </row>
    <row r="469" spans="27:37">
      <c r="AA469" s="82"/>
      <c r="AH469" s="82"/>
      <c r="AI469" s="82"/>
      <c r="AJ469" s="82"/>
      <c r="AK469" s="82"/>
    </row>
    <row r="470" spans="27:37">
      <c r="AA470" s="82"/>
      <c r="AH470" s="82"/>
      <c r="AI470" s="82"/>
      <c r="AJ470" s="82"/>
      <c r="AK470" s="82"/>
    </row>
    <row r="471" spans="27:37">
      <c r="AA471" s="82"/>
      <c r="AH471" s="82"/>
      <c r="AI471" s="82"/>
      <c r="AJ471" s="82"/>
      <c r="AK471" s="82"/>
    </row>
    <row r="472" spans="27:37">
      <c r="AA472" s="82"/>
      <c r="AH472" s="82"/>
      <c r="AI472" s="82"/>
      <c r="AJ472" s="82"/>
      <c r="AK472" s="82"/>
    </row>
    <row r="473" spans="27:37">
      <c r="AA473" s="82"/>
      <c r="AH473" s="82"/>
      <c r="AI473" s="82"/>
      <c r="AJ473" s="82"/>
      <c r="AK473" s="82"/>
    </row>
    <row r="474" spans="27:37">
      <c r="AA474" s="82"/>
      <c r="AH474" s="82"/>
      <c r="AI474" s="82"/>
      <c r="AJ474" s="82"/>
      <c r="AK474" s="82"/>
    </row>
    <row r="475" spans="27:37">
      <c r="AA475" s="82"/>
      <c r="AH475" s="82"/>
      <c r="AI475" s="82"/>
      <c r="AJ475" s="82"/>
      <c r="AK475" s="82"/>
    </row>
    <row r="476" spans="27:37">
      <c r="AA476" s="82"/>
      <c r="AH476" s="82"/>
      <c r="AI476" s="82"/>
      <c r="AJ476" s="82"/>
      <c r="AK476" s="82"/>
    </row>
    <row r="477" spans="27:37">
      <c r="AA477" s="82"/>
      <c r="AH477" s="82"/>
      <c r="AI477" s="82"/>
      <c r="AJ477" s="82"/>
      <c r="AK477" s="82"/>
    </row>
    <row r="478" spans="27:37">
      <c r="AA478" s="82"/>
      <c r="AH478" s="82"/>
      <c r="AI478" s="82"/>
      <c r="AJ478" s="82"/>
      <c r="AK478" s="82"/>
    </row>
    <row r="479" spans="27:37">
      <c r="AA479" s="82"/>
      <c r="AH479" s="82"/>
      <c r="AI479" s="82"/>
      <c r="AJ479" s="82"/>
      <c r="AK479" s="82"/>
    </row>
    <row r="480" spans="27:37">
      <c r="AA480" s="82"/>
      <c r="AH480" s="82"/>
      <c r="AI480" s="82"/>
      <c r="AJ480" s="82"/>
      <c r="AK480" s="82"/>
    </row>
    <row r="481" spans="27:37">
      <c r="AA481" s="82"/>
      <c r="AH481" s="82"/>
      <c r="AI481" s="82"/>
      <c r="AJ481" s="82"/>
      <c r="AK481" s="82"/>
    </row>
    <row r="482" spans="27:37">
      <c r="AA482" s="82"/>
      <c r="AH482" s="82"/>
      <c r="AI482" s="82"/>
      <c r="AJ482" s="82"/>
      <c r="AK482" s="82"/>
    </row>
    <row r="483" spans="27:37">
      <c r="AA483" s="82"/>
      <c r="AH483" s="82"/>
      <c r="AI483" s="82"/>
      <c r="AJ483" s="82"/>
      <c r="AK483" s="82"/>
    </row>
    <row r="484" spans="27:37">
      <c r="AA484" s="82"/>
      <c r="AH484" s="82"/>
      <c r="AI484" s="82"/>
      <c r="AJ484" s="82"/>
      <c r="AK484" s="82"/>
    </row>
    <row r="485" spans="27:37">
      <c r="AA485" s="82"/>
      <c r="AH485" s="82"/>
      <c r="AI485" s="82"/>
      <c r="AJ485" s="82"/>
      <c r="AK485" s="82"/>
    </row>
    <row r="486" spans="27:37">
      <c r="AA486" s="82"/>
      <c r="AH486" s="82"/>
      <c r="AI486" s="82"/>
      <c r="AJ486" s="82"/>
      <c r="AK486" s="82"/>
    </row>
    <row r="487" spans="27:37">
      <c r="AA487" s="82"/>
      <c r="AH487" s="82"/>
      <c r="AI487" s="82"/>
      <c r="AJ487" s="82"/>
      <c r="AK487" s="82"/>
    </row>
    <row r="488" spans="27:37">
      <c r="AA488" s="82"/>
      <c r="AH488" s="82"/>
      <c r="AI488" s="82"/>
      <c r="AJ488" s="82"/>
      <c r="AK488" s="82"/>
    </row>
    <row r="489" spans="27:37">
      <c r="AA489" s="82"/>
      <c r="AH489" s="82"/>
      <c r="AI489" s="82"/>
      <c r="AJ489" s="82"/>
      <c r="AK489" s="82"/>
    </row>
    <row r="490" spans="27:37">
      <c r="AA490" s="82"/>
      <c r="AH490" s="82"/>
      <c r="AI490" s="82"/>
      <c r="AJ490" s="82"/>
      <c r="AK490" s="82"/>
    </row>
    <row r="491" spans="27:37">
      <c r="AA491" s="82"/>
      <c r="AH491" s="82"/>
      <c r="AI491" s="82"/>
      <c r="AJ491" s="82"/>
      <c r="AK491" s="82"/>
    </row>
    <row r="492" spans="27:37">
      <c r="AA492" s="82"/>
      <c r="AH492" s="82"/>
      <c r="AI492" s="82"/>
      <c r="AJ492" s="82"/>
      <c r="AK492" s="82"/>
    </row>
    <row r="493" spans="27:37">
      <c r="AA493" s="82"/>
      <c r="AH493" s="82"/>
      <c r="AI493" s="82"/>
      <c r="AJ493" s="82"/>
      <c r="AK493" s="82"/>
    </row>
    <row r="494" spans="27:37">
      <c r="AA494" s="82"/>
      <c r="AH494" s="82"/>
      <c r="AI494" s="82"/>
      <c r="AJ494" s="82"/>
      <c r="AK494" s="82"/>
    </row>
    <row r="495" spans="27:37">
      <c r="AA495" s="82"/>
      <c r="AH495" s="82"/>
      <c r="AI495" s="82"/>
      <c r="AJ495" s="82"/>
      <c r="AK495" s="82"/>
    </row>
    <row r="496" spans="27:37">
      <c r="AA496" s="82"/>
      <c r="AH496" s="82"/>
      <c r="AI496" s="82"/>
      <c r="AJ496" s="82"/>
      <c r="AK496" s="82"/>
    </row>
    <row r="497" spans="27:37">
      <c r="AA497" s="82"/>
      <c r="AH497" s="82"/>
      <c r="AI497" s="82"/>
      <c r="AJ497" s="82"/>
      <c r="AK497" s="82"/>
    </row>
    <row r="498" spans="27:37">
      <c r="AA498" s="82"/>
      <c r="AH498" s="82"/>
      <c r="AI498" s="82"/>
      <c r="AJ498" s="82"/>
      <c r="AK498" s="82"/>
    </row>
    <row r="499" spans="27:37">
      <c r="AA499" s="82"/>
      <c r="AH499" s="82"/>
      <c r="AI499" s="82"/>
      <c r="AJ499" s="82"/>
      <c r="AK499" s="82"/>
    </row>
    <row r="500" spans="27:37">
      <c r="AA500" s="82"/>
      <c r="AH500" s="82"/>
      <c r="AI500" s="82"/>
      <c r="AJ500" s="82"/>
      <c r="AK500" s="82"/>
    </row>
    <row r="501" spans="27:37">
      <c r="AA501" s="82"/>
      <c r="AH501" s="82"/>
      <c r="AI501" s="82"/>
      <c r="AJ501" s="82"/>
      <c r="AK501" s="82"/>
    </row>
    <row r="502" spans="27:37">
      <c r="AA502" s="82"/>
      <c r="AH502" s="82"/>
      <c r="AI502" s="82"/>
      <c r="AJ502" s="82"/>
      <c r="AK502" s="82"/>
    </row>
    <row r="503" spans="27:37">
      <c r="AA503" s="82"/>
      <c r="AH503" s="82"/>
      <c r="AI503" s="82"/>
      <c r="AJ503" s="82"/>
      <c r="AK503" s="82"/>
    </row>
    <row r="504" spans="27:37">
      <c r="AA504" s="82"/>
      <c r="AH504" s="82"/>
      <c r="AI504" s="82"/>
      <c r="AJ504" s="82"/>
      <c r="AK504" s="82"/>
    </row>
    <row r="505" spans="27:37">
      <c r="AA505" s="82"/>
      <c r="AH505" s="82"/>
      <c r="AI505" s="82"/>
      <c r="AJ505" s="82"/>
      <c r="AK505" s="82"/>
    </row>
    <row r="506" spans="27:37">
      <c r="AA506" s="82"/>
      <c r="AH506" s="82"/>
      <c r="AI506" s="82"/>
      <c r="AJ506" s="82"/>
      <c r="AK506" s="82"/>
    </row>
    <row r="507" spans="27:37">
      <c r="AA507" s="82"/>
      <c r="AH507" s="82"/>
      <c r="AI507" s="82"/>
      <c r="AJ507" s="82"/>
      <c r="AK507" s="82"/>
    </row>
    <row r="508" spans="27:37">
      <c r="AA508" s="82"/>
      <c r="AH508" s="82"/>
      <c r="AI508" s="82"/>
      <c r="AJ508" s="82"/>
      <c r="AK508" s="82"/>
    </row>
    <row r="509" spans="27:37">
      <c r="AA509" s="82"/>
      <c r="AH509" s="82"/>
      <c r="AI509" s="82"/>
      <c r="AJ509" s="82"/>
      <c r="AK509" s="82"/>
    </row>
    <row r="510" spans="27:37">
      <c r="AA510" s="82"/>
      <c r="AH510" s="82"/>
      <c r="AI510" s="82"/>
      <c r="AJ510" s="82"/>
      <c r="AK510" s="82"/>
    </row>
    <row r="511" spans="27:37">
      <c r="AA511" s="82"/>
      <c r="AH511" s="82"/>
      <c r="AI511" s="82"/>
      <c r="AJ511" s="82"/>
      <c r="AK511" s="82"/>
    </row>
    <row r="512" spans="27:37">
      <c r="AA512" s="82"/>
      <c r="AH512" s="82"/>
      <c r="AI512" s="82"/>
      <c r="AJ512" s="82"/>
      <c r="AK512" s="82"/>
    </row>
    <row r="513" spans="27:37">
      <c r="AA513" s="82"/>
      <c r="AH513" s="82"/>
      <c r="AI513" s="82"/>
      <c r="AJ513" s="82"/>
      <c r="AK513" s="82"/>
    </row>
    <row r="514" spans="27:37">
      <c r="AA514" s="82"/>
      <c r="AH514" s="82"/>
      <c r="AI514" s="82"/>
      <c r="AJ514" s="82"/>
      <c r="AK514" s="82"/>
    </row>
    <row r="515" spans="27:37">
      <c r="AA515" s="82"/>
      <c r="AH515" s="82"/>
      <c r="AI515" s="82"/>
      <c r="AJ515" s="82"/>
      <c r="AK515" s="82"/>
    </row>
    <row r="516" spans="27:37">
      <c r="AA516" s="82"/>
      <c r="AH516" s="82"/>
      <c r="AI516" s="82"/>
      <c r="AJ516" s="82"/>
      <c r="AK516" s="82"/>
    </row>
    <row r="517" spans="27:37">
      <c r="AA517" s="82"/>
      <c r="AH517" s="82"/>
      <c r="AI517" s="82"/>
      <c r="AJ517" s="82"/>
      <c r="AK517" s="82"/>
    </row>
    <row r="518" spans="27:37">
      <c r="AA518" s="82"/>
      <c r="AH518" s="82"/>
      <c r="AI518" s="82"/>
      <c r="AJ518" s="82"/>
      <c r="AK518" s="82"/>
    </row>
    <row r="519" spans="27:37">
      <c r="AA519" s="82"/>
      <c r="AH519" s="82"/>
      <c r="AI519" s="82"/>
      <c r="AJ519" s="82"/>
      <c r="AK519" s="82"/>
    </row>
    <row r="520" spans="27:37">
      <c r="AA520" s="82"/>
      <c r="AH520" s="82"/>
      <c r="AI520" s="82"/>
      <c r="AJ520" s="82"/>
      <c r="AK520" s="82"/>
    </row>
    <row r="521" spans="27:37">
      <c r="AA521" s="82"/>
      <c r="AH521" s="82"/>
      <c r="AI521" s="82"/>
      <c r="AJ521" s="82"/>
      <c r="AK521" s="82"/>
    </row>
    <row r="522" spans="27:37">
      <c r="AA522" s="82"/>
      <c r="AH522" s="82"/>
      <c r="AI522" s="82"/>
      <c r="AJ522" s="82"/>
      <c r="AK522" s="82"/>
    </row>
    <row r="523" spans="27:37">
      <c r="AA523" s="82"/>
      <c r="AH523" s="82"/>
      <c r="AI523" s="82"/>
      <c r="AJ523" s="82"/>
      <c r="AK523" s="82"/>
    </row>
    <row r="524" spans="27:37">
      <c r="AA524" s="82"/>
      <c r="AH524" s="82"/>
      <c r="AI524" s="82"/>
      <c r="AJ524" s="82"/>
      <c r="AK524" s="82"/>
    </row>
    <row r="525" spans="27:37">
      <c r="AA525" s="82"/>
      <c r="AH525" s="82"/>
      <c r="AI525" s="82"/>
      <c r="AJ525" s="82"/>
      <c r="AK525" s="82"/>
    </row>
    <row r="526" spans="27:37">
      <c r="AA526" s="82"/>
      <c r="AH526" s="82"/>
      <c r="AI526" s="82"/>
      <c r="AJ526" s="82"/>
      <c r="AK526" s="82"/>
    </row>
    <row r="527" spans="27:37">
      <c r="AA527" s="82"/>
      <c r="AH527" s="82"/>
      <c r="AI527" s="82"/>
      <c r="AJ527" s="82"/>
      <c r="AK527" s="82"/>
    </row>
    <row r="528" spans="27:37">
      <c r="AA528" s="82"/>
      <c r="AH528" s="82"/>
      <c r="AI528" s="82"/>
      <c r="AJ528" s="82"/>
      <c r="AK528" s="82"/>
    </row>
    <row r="529" spans="27:37">
      <c r="AA529" s="82"/>
      <c r="AH529" s="82"/>
      <c r="AI529" s="82"/>
      <c r="AJ529" s="82"/>
      <c r="AK529" s="82"/>
    </row>
    <row r="530" spans="27:37">
      <c r="AA530" s="82"/>
      <c r="AH530" s="82"/>
      <c r="AI530" s="82"/>
      <c r="AJ530" s="82"/>
      <c r="AK530" s="82"/>
    </row>
    <row r="531" spans="27:37">
      <c r="AA531" s="82"/>
      <c r="AH531" s="82"/>
      <c r="AI531" s="82"/>
      <c r="AJ531" s="82"/>
      <c r="AK531" s="82"/>
    </row>
    <row r="532" spans="27:37">
      <c r="AA532" s="82"/>
      <c r="AH532" s="82"/>
      <c r="AI532" s="82"/>
      <c r="AJ532" s="82"/>
      <c r="AK532" s="82"/>
    </row>
    <row r="533" spans="27:37">
      <c r="AA533" s="82"/>
      <c r="AH533" s="82"/>
      <c r="AI533" s="82"/>
      <c r="AJ533" s="82"/>
      <c r="AK533" s="82"/>
    </row>
    <row r="534" spans="27:37">
      <c r="AA534" s="82"/>
      <c r="AH534" s="82"/>
      <c r="AI534" s="82"/>
      <c r="AJ534" s="82"/>
      <c r="AK534" s="82"/>
    </row>
    <row r="535" spans="27:37">
      <c r="AA535" s="82"/>
      <c r="AH535" s="82"/>
      <c r="AI535" s="82"/>
      <c r="AJ535" s="82"/>
      <c r="AK535" s="82"/>
    </row>
    <row r="536" spans="27:37">
      <c r="AA536" s="82"/>
      <c r="AH536" s="82"/>
      <c r="AI536" s="82"/>
      <c r="AJ536" s="82"/>
      <c r="AK536" s="82"/>
    </row>
    <row r="537" spans="27:37">
      <c r="AA537" s="82"/>
      <c r="AH537" s="82"/>
      <c r="AI537" s="82"/>
      <c r="AJ537" s="82"/>
      <c r="AK537" s="82"/>
    </row>
    <row r="538" spans="27:37">
      <c r="AA538" s="82"/>
      <c r="AH538" s="82"/>
      <c r="AI538" s="82"/>
      <c r="AJ538" s="82"/>
      <c r="AK538" s="82"/>
    </row>
    <row r="539" spans="27:37">
      <c r="AA539" s="82"/>
      <c r="AH539" s="82"/>
      <c r="AI539" s="82"/>
      <c r="AJ539" s="82"/>
      <c r="AK539" s="82"/>
    </row>
    <row r="540" spans="27:37">
      <c r="AA540" s="82"/>
      <c r="AH540" s="82"/>
      <c r="AI540" s="82"/>
      <c r="AJ540" s="82"/>
      <c r="AK540" s="82"/>
    </row>
    <row r="541" spans="27:37">
      <c r="AA541" s="82"/>
      <c r="AH541" s="82"/>
      <c r="AI541" s="82"/>
      <c r="AJ541" s="82"/>
      <c r="AK541" s="82"/>
    </row>
    <row r="542" spans="27:37">
      <c r="AA542" s="82"/>
      <c r="AH542" s="82"/>
      <c r="AI542" s="82"/>
      <c r="AJ542" s="82"/>
      <c r="AK542" s="82"/>
    </row>
    <row r="543" spans="27:37">
      <c r="AA543" s="82"/>
      <c r="AH543" s="82"/>
      <c r="AI543" s="82"/>
      <c r="AJ543" s="82"/>
      <c r="AK543" s="82"/>
    </row>
    <row r="544" spans="27:37">
      <c r="AA544" s="82"/>
      <c r="AH544" s="82"/>
      <c r="AI544" s="82"/>
      <c r="AJ544" s="82"/>
      <c r="AK544" s="82"/>
    </row>
    <row r="545" spans="27:37">
      <c r="AA545" s="82"/>
      <c r="AH545" s="82"/>
      <c r="AI545" s="82"/>
      <c r="AJ545" s="82"/>
      <c r="AK545" s="82"/>
    </row>
    <row r="546" spans="27:37">
      <c r="AA546" s="82"/>
      <c r="AH546" s="82"/>
      <c r="AI546" s="82"/>
      <c r="AJ546" s="82"/>
      <c r="AK546" s="82"/>
    </row>
    <row r="547" spans="27:37">
      <c r="AA547" s="82"/>
      <c r="AH547" s="82"/>
      <c r="AI547" s="82"/>
      <c r="AJ547" s="82"/>
      <c r="AK547" s="82"/>
    </row>
    <row r="548" spans="27:37">
      <c r="AA548" s="82"/>
      <c r="AH548" s="82"/>
      <c r="AI548" s="82"/>
      <c r="AJ548" s="82"/>
      <c r="AK548" s="82"/>
    </row>
    <row r="549" spans="27:37">
      <c r="AA549" s="82"/>
      <c r="AH549" s="82"/>
      <c r="AI549" s="82"/>
      <c r="AJ549" s="82"/>
      <c r="AK549" s="82"/>
    </row>
    <row r="550" spans="27:37">
      <c r="AA550" s="82"/>
      <c r="AH550" s="82"/>
      <c r="AI550" s="82"/>
      <c r="AJ550" s="82"/>
      <c r="AK550" s="82"/>
    </row>
    <row r="551" spans="27:37">
      <c r="AA551" s="82"/>
      <c r="AH551" s="82"/>
      <c r="AI551" s="82"/>
      <c r="AJ551" s="82"/>
      <c r="AK551" s="82"/>
    </row>
    <row r="552" spans="27:37">
      <c r="AA552" s="82"/>
      <c r="AH552" s="82"/>
      <c r="AI552" s="82"/>
      <c r="AJ552" s="82"/>
      <c r="AK552" s="82"/>
    </row>
    <row r="553" spans="27:37">
      <c r="AA553" s="82"/>
      <c r="AH553" s="82"/>
      <c r="AI553" s="82"/>
      <c r="AJ553" s="82"/>
      <c r="AK553" s="82"/>
    </row>
    <row r="554" spans="27:37">
      <c r="AA554" s="82"/>
      <c r="AH554" s="82"/>
      <c r="AI554" s="82"/>
      <c r="AJ554" s="82"/>
      <c r="AK554" s="82"/>
    </row>
    <row r="555" spans="27:37">
      <c r="AA555" s="82"/>
      <c r="AH555" s="82"/>
      <c r="AI555" s="82"/>
      <c r="AJ555" s="82"/>
      <c r="AK555" s="82"/>
    </row>
    <row r="556" spans="27:37">
      <c r="AA556" s="82"/>
      <c r="AH556" s="82"/>
      <c r="AI556" s="82"/>
      <c r="AJ556" s="82"/>
      <c r="AK556" s="82"/>
    </row>
    <row r="557" spans="27:37">
      <c r="AA557" s="82"/>
      <c r="AH557" s="82"/>
      <c r="AI557" s="82"/>
      <c r="AJ557" s="82"/>
      <c r="AK557" s="82"/>
    </row>
    <row r="558" spans="27:37">
      <c r="AA558" s="82"/>
      <c r="AH558" s="82"/>
      <c r="AI558" s="82"/>
      <c r="AJ558" s="82"/>
      <c r="AK558" s="82"/>
    </row>
    <row r="559" spans="27:37">
      <c r="AA559" s="82"/>
      <c r="AH559" s="82"/>
      <c r="AI559" s="82"/>
      <c r="AJ559" s="82"/>
      <c r="AK559" s="82"/>
    </row>
    <row r="560" spans="27:37">
      <c r="AA560" s="82"/>
      <c r="AH560" s="82"/>
      <c r="AI560" s="82"/>
      <c r="AJ560" s="82"/>
      <c r="AK560" s="82"/>
    </row>
    <row r="561" spans="27:37">
      <c r="AA561" s="82"/>
      <c r="AH561" s="82"/>
      <c r="AI561" s="82"/>
      <c r="AJ561" s="82"/>
      <c r="AK561" s="82"/>
    </row>
    <row r="562" spans="27:37">
      <c r="AA562" s="82"/>
      <c r="AH562" s="82"/>
      <c r="AI562" s="82"/>
      <c r="AJ562" s="82"/>
      <c r="AK562" s="82"/>
    </row>
    <row r="563" spans="27:37">
      <c r="AA563" s="82"/>
      <c r="AH563" s="82"/>
      <c r="AI563" s="82"/>
      <c r="AJ563" s="82"/>
      <c r="AK563" s="82"/>
    </row>
    <row r="564" spans="27:37">
      <c r="AA564" s="82"/>
      <c r="AH564" s="82"/>
      <c r="AI564" s="82"/>
      <c r="AJ564" s="82"/>
      <c r="AK564" s="82"/>
    </row>
    <row r="565" spans="27:37">
      <c r="AA565" s="82"/>
      <c r="AH565" s="82"/>
      <c r="AI565" s="82"/>
      <c r="AJ565" s="82"/>
      <c r="AK565" s="82"/>
    </row>
    <row r="566" spans="27:37">
      <c r="AA566" s="82"/>
      <c r="AH566" s="82"/>
      <c r="AI566" s="82"/>
      <c r="AJ566" s="82"/>
      <c r="AK566" s="82"/>
    </row>
    <row r="567" spans="27:37">
      <c r="AA567" s="82"/>
      <c r="AH567" s="82"/>
      <c r="AI567" s="82"/>
      <c r="AJ567" s="82"/>
      <c r="AK567" s="82"/>
    </row>
    <row r="568" spans="27:37">
      <c r="AA568" s="82"/>
      <c r="AH568" s="82"/>
      <c r="AI568" s="82"/>
      <c r="AJ568" s="82"/>
      <c r="AK568" s="82"/>
    </row>
    <row r="569" spans="27:37">
      <c r="AA569" s="82"/>
      <c r="AH569" s="82"/>
      <c r="AI569" s="82"/>
      <c r="AJ569" s="82"/>
      <c r="AK569" s="82"/>
    </row>
    <row r="570" spans="27:37">
      <c r="AA570" s="82"/>
      <c r="AH570" s="82"/>
      <c r="AI570" s="82"/>
      <c r="AJ570" s="82"/>
      <c r="AK570" s="82"/>
    </row>
    <row r="571" spans="27:37">
      <c r="AA571" s="82"/>
      <c r="AH571" s="82"/>
      <c r="AI571" s="82"/>
      <c r="AJ571" s="82"/>
      <c r="AK571" s="82"/>
    </row>
    <row r="572" spans="27:37">
      <c r="AA572" s="82"/>
      <c r="AH572" s="82"/>
      <c r="AI572" s="82"/>
      <c r="AJ572" s="82"/>
      <c r="AK572" s="82"/>
    </row>
    <row r="573" spans="27:37">
      <c r="AA573" s="82"/>
      <c r="AH573" s="82"/>
      <c r="AI573" s="82"/>
      <c r="AJ573" s="82"/>
      <c r="AK573" s="82"/>
    </row>
    <row r="574" spans="27:37">
      <c r="AA574" s="82"/>
      <c r="AH574" s="82"/>
      <c r="AI574" s="82"/>
      <c r="AJ574" s="82"/>
      <c r="AK574" s="82"/>
    </row>
    <row r="575" spans="27:37">
      <c r="AA575" s="82"/>
      <c r="AH575" s="82"/>
      <c r="AI575" s="82"/>
      <c r="AJ575" s="82"/>
      <c r="AK575" s="82"/>
    </row>
    <row r="576" spans="27:37">
      <c r="AA576" s="82"/>
      <c r="AH576" s="82"/>
      <c r="AI576" s="82"/>
      <c r="AJ576" s="82"/>
      <c r="AK576" s="82"/>
    </row>
    <row r="577" spans="27:37">
      <c r="AA577" s="82"/>
      <c r="AH577" s="82"/>
      <c r="AI577" s="82"/>
      <c r="AJ577" s="82"/>
      <c r="AK577" s="82"/>
    </row>
    <row r="578" spans="27:37">
      <c r="AA578" s="82"/>
      <c r="AH578" s="82"/>
      <c r="AI578" s="82"/>
      <c r="AJ578" s="82"/>
      <c r="AK578" s="82"/>
    </row>
    <row r="579" spans="27:37">
      <c r="AA579" s="82"/>
      <c r="AH579" s="82"/>
      <c r="AI579" s="82"/>
      <c r="AJ579" s="82"/>
      <c r="AK579" s="82"/>
    </row>
    <row r="580" spans="27:37">
      <c r="AA580" s="82"/>
      <c r="AH580" s="82"/>
      <c r="AI580" s="82"/>
      <c r="AJ580" s="82"/>
      <c r="AK580" s="82"/>
    </row>
    <row r="581" spans="27:37">
      <c r="AA581" s="82"/>
      <c r="AH581" s="82"/>
      <c r="AI581" s="82"/>
      <c r="AJ581" s="82"/>
      <c r="AK581" s="82"/>
    </row>
    <row r="582" spans="27:37">
      <c r="AA582" s="82"/>
      <c r="AH582" s="82"/>
      <c r="AI582" s="82"/>
      <c r="AJ582" s="82"/>
      <c r="AK582" s="82"/>
    </row>
    <row r="583" spans="27:37">
      <c r="AA583" s="82"/>
      <c r="AH583" s="82"/>
      <c r="AI583" s="82"/>
      <c r="AJ583" s="82"/>
      <c r="AK583" s="82"/>
    </row>
    <row r="584" spans="27:37">
      <c r="AA584" s="82"/>
      <c r="AH584" s="82"/>
      <c r="AI584" s="82"/>
      <c r="AJ584" s="82"/>
      <c r="AK584" s="82"/>
    </row>
    <row r="585" spans="27:37">
      <c r="AA585" s="82"/>
      <c r="AH585" s="82"/>
      <c r="AI585" s="82"/>
      <c r="AJ585" s="82"/>
      <c r="AK585" s="82"/>
    </row>
    <row r="586" spans="27:37">
      <c r="AA586" s="82"/>
      <c r="AH586" s="82"/>
      <c r="AI586" s="82"/>
      <c r="AJ586" s="82"/>
      <c r="AK586" s="82"/>
    </row>
    <row r="587" spans="27:37">
      <c r="AA587" s="82"/>
      <c r="AH587" s="82"/>
      <c r="AI587" s="82"/>
      <c r="AJ587" s="82"/>
      <c r="AK587" s="82"/>
    </row>
    <row r="588" spans="27:37">
      <c r="AA588" s="82"/>
      <c r="AH588" s="82"/>
      <c r="AI588" s="82"/>
      <c r="AJ588" s="82"/>
      <c r="AK588" s="82"/>
    </row>
    <row r="589" spans="27:37">
      <c r="AA589" s="82"/>
      <c r="AH589" s="82"/>
      <c r="AI589" s="82"/>
      <c r="AJ589" s="82"/>
      <c r="AK589" s="82"/>
    </row>
    <row r="590" spans="27:37">
      <c r="AA590" s="82"/>
      <c r="AH590" s="82"/>
      <c r="AI590" s="82"/>
      <c r="AJ590" s="82"/>
      <c r="AK590" s="82"/>
    </row>
    <row r="591" spans="27:37">
      <c r="AA591" s="82"/>
      <c r="AH591" s="82"/>
      <c r="AI591" s="82"/>
      <c r="AJ591" s="82"/>
      <c r="AK591" s="82"/>
    </row>
    <row r="592" spans="27:37">
      <c r="AA592" s="82"/>
      <c r="AH592" s="82"/>
      <c r="AI592" s="82"/>
      <c r="AJ592" s="82"/>
      <c r="AK592" s="82"/>
    </row>
    <row r="593" spans="27:37">
      <c r="AA593" s="82"/>
      <c r="AH593" s="82"/>
      <c r="AI593" s="82"/>
      <c r="AJ593" s="82"/>
      <c r="AK593" s="82"/>
    </row>
    <row r="594" spans="27:37">
      <c r="AA594" s="82"/>
      <c r="AH594" s="82"/>
      <c r="AI594" s="82"/>
      <c r="AJ594" s="82"/>
      <c r="AK594" s="82"/>
    </row>
    <row r="595" spans="27:37">
      <c r="AA595" s="82"/>
      <c r="AH595" s="82"/>
      <c r="AI595" s="82"/>
      <c r="AJ595" s="82"/>
      <c r="AK595" s="82"/>
    </row>
    <row r="596" spans="27:37">
      <c r="AA596" s="82"/>
      <c r="AH596" s="82"/>
      <c r="AI596" s="82"/>
      <c r="AJ596" s="82"/>
      <c r="AK596" s="82"/>
    </row>
    <row r="597" spans="27:37">
      <c r="AA597" s="82"/>
      <c r="AH597" s="82"/>
      <c r="AI597" s="82"/>
      <c r="AJ597" s="82"/>
      <c r="AK597" s="82"/>
    </row>
    <row r="598" spans="27:37">
      <c r="AA598" s="82"/>
      <c r="AH598" s="82"/>
      <c r="AI598" s="82"/>
      <c r="AJ598" s="82"/>
      <c r="AK598" s="82"/>
    </row>
    <row r="599" spans="27:37">
      <c r="AA599" s="82"/>
      <c r="AH599" s="82"/>
      <c r="AI599" s="82"/>
      <c r="AJ599" s="82"/>
      <c r="AK599" s="82"/>
    </row>
    <row r="600" spans="27:37">
      <c r="AA600" s="82"/>
      <c r="AH600" s="82"/>
      <c r="AI600" s="82"/>
      <c r="AJ600" s="82"/>
      <c r="AK600" s="82"/>
    </row>
    <row r="601" spans="27:37">
      <c r="AA601" s="82"/>
      <c r="AH601" s="82"/>
      <c r="AI601" s="82"/>
      <c r="AJ601" s="82"/>
      <c r="AK601" s="82"/>
    </row>
    <row r="602" spans="27:37">
      <c r="AA602" s="82"/>
      <c r="AH602" s="82"/>
      <c r="AI602" s="82"/>
      <c r="AJ602" s="82"/>
      <c r="AK602" s="82"/>
    </row>
    <row r="603" spans="27:37">
      <c r="AA603" s="82"/>
      <c r="AH603" s="82"/>
      <c r="AI603" s="82"/>
      <c r="AJ603" s="82"/>
      <c r="AK603" s="82"/>
    </row>
    <row r="604" spans="27:37">
      <c r="AA604" s="82"/>
      <c r="AH604" s="82"/>
      <c r="AI604" s="82"/>
      <c r="AJ604" s="82"/>
      <c r="AK604" s="82"/>
    </row>
    <row r="605" spans="27:37">
      <c r="AA605" s="82"/>
      <c r="AH605" s="82"/>
      <c r="AI605" s="82"/>
      <c r="AJ605" s="82"/>
      <c r="AK605" s="82"/>
    </row>
    <row r="606" spans="27:37">
      <c r="AA606" s="82"/>
      <c r="AH606" s="82"/>
      <c r="AI606" s="82"/>
      <c r="AJ606" s="82"/>
      <c r="AK606" s="82"/>
    </row>
    <row r="607" spans="27:37">
      <c r="AA607" s="82"/>
      <c r="AH607" s="82"/>
      <c r="AI607" s="82"/>
      <c r="AJ607" s="82"/>
      <c r="AK607" s="82"/>
    </row>
    <row r="608" spans="27:37">
      <c r="AA608" s="82"/>
      <c r="AH608" s="82"/>
      <c r="AI608" s="82"/>
      <c r="AJ608" s="82"/>
      <c r="AK608" s="82"/>
    </row>
    <row r="609" spans="27:37">
      <c r="AA609" s="82"/>
      <c r="AH609" s="82"/>
      <c r="AI609" s="82"/>
      <c r="AJ609" s="82"/>
      <c r="AK609" s="82"/>
    </row>
    <row r="610" spans="27:37">
      <c r="AA610" s="82"/>
      <c r="AH610" s="82"/>
      <c r="AI610" s="82"/>
      <c r="AJ610" s="82"/>
      <c r="AK610" s="82"/>
    </row>
    <row r="611" spans="27:37">
      <c r="AA611" s="82"/>
      <c r="AH611" s="82"/>
      <c r="AI611" s="82"/>
      <c r="AJ611" s="82"/>
      <c r="AK611" s="82"/>
    </row>
    <row r="612" spans="27:37">
      <c r="AA612" s="82"/>
      <c r="AH612" s="82"/>
      <c r="AI612" s="82"/>
      <c r="AJ612" s="82"/>
      <c r="AK612" s="82"/>
    </row>
    <row r="613" spans="27:37">
      <c r="AA613" s="82"/>
      <c r="AH613" s="82"/>
      <c r="AI613" s="82"/>
      <c r="AJ613" s="82"/>
      <c r="AK613" s="82"/>
    </row>
    <row r="614" spans="27:37">
      <c r="AA614" s="82"/>
      <c r="AH614" s="82"/>
      <c r="AI614" s="82"/>
      <c r="AJ614" s="82"/>
      <c r="AK614" s="82"/>
    </row>
    <row r="615" spans="27:37">
      <c r="AA615" s="82"/>
      <c r="AH615" s="82"/>
      <c r="AI615" s="82"/>
      <c r="AJ615" s="82"/>
      <c r="AK615" s="82"/>
    </row>
    <row r="616" spans="27:37">
      <c r="AA616" s="82"/>
      <c r="AH616" s="82"/>
      <c r="AI616" s="82"/>
      <c r="AJ616" s="82"/>
      <c r="AK616" s="82"/>
    </row>
    <row r="617" spans="27:37">
      <c r="AA617" s="82"/>
      <c r="AH617" s="82"/>
      <c r="AI617" s="82"/>
      <c r="AJ617" s="82"/>
      <c r="AK617" s="82"/>
    </row>
    <row r="618" spans="27:37">
      <c r="AA618" s="82"/>
      <c r="AH618" s="82"/>
      <c r="AI618" s="82"/>
      <c r="AJ618" s="82"/>
      <c r="AK618" s="82"/>
    </row>
    <row r="619" spans="27:37">
      <c r="AA619" s="82"/>
      <c r="AH619" s="82"/>
      <c r="AI619" s="82"/>
      <c r="AJ619" s="82"/>
      <c r="AK619" s="82"/>
    </row>
    <row r="620" spans="27:37">
      <c r="AA620" s="82"/>
      <c r="AH620" s="82"/>
      <c r="AI620" s="82"/>
      <c r="AJ620" s="82"/>
      <c r="AK620" s="82"/>
    </row>
    <row r="621" spans="27:37">
      <c r="AA621" s="82"/>
      <c r="AH621" s="82"/>
      <c r="AI621" s="82"/>
      <c r="AJ621" s="82"/>
      <c r="AK621" s="82"/>
    </row>
    <row r="622" spans="27:37">
      <c r="AA622" s="82"/>
      <c r="AH622" s="82"/>
      <c r="AI622" s="82"/>
      <c r="AJ622" s="82"/>
      <c r="AK622" s="82"/>
    </row>
    <row r="623" spans="27:37">
      <c r="AA623" s="82"/>
      <c r="AH623" s="82"/>
      <c r="AI623" s="82"/>
      <c r="AJ623" s="82"/>
      <c r="AK623" s="82"/>
    </row>
    <row r="624" spans="27:37">
      <c r="AA624" s="82"/>
      <c r="AH624" s="82"/>
      <c r="AI624" s="82"/>
      <c r="AJ624" s="82"/>
      <c r="AK624" s="82"/>
    </row>
    <row r="625" spans="27:37">
      <c r="AA625" s="82"/>
      <c r="AH625" s="82"/>
      <c r="AI625" s="82"/>
      <c r="AJ625" s="82"/>
      <c r="AK625" s="82"/>
    </row>
    <row r="626" spans="27:37">
      <c r="AA626" s="82"/>
      <c r="AH626" s="82"/>
      <c r="AI626" s="82"/>
      <c r="AJ626" s="82"/>
      <c r="AK626" s="82"/>
    </row>
    <row r="627" spans="27:37">
      <c r="AA627" s="82"/>
      <c r="AH627" s="82"/>
      <c r="AI627" s="82"/>
      <c r="AJ627" s="82"/>
      <c r="AK627" s="82"/>
    </row>
    <row r="628" spans="27:37">
      <c r="AA628" s="82"/>
      <c r="AH628" s="82"/>
      <c r="AI628" s="82"/>
      <c r="AJ628" s="82"/>
      <c r="AK628" s="82"/>
    </row>
    <row r="629" spans="27:37">
      <c r="AA629" s="82"/>
      <c r="AH629" s="82"/>
      <c r="AI629" s="82"/>
      <c r="AJ629" s="82"/>
      <c r="AK629" s="82"/>
    </row>
    <row r="630" spans="27:37">
      <c r="AA630" s="82"/>
      <c r="AH630" s="82"/>
      <c r="AI630" s="82"/>
      <c r="AJ630" s="82"/>
      <c r="AK630" s="82"/>
    </row>
    <row r="631" spans="27:37">
      <c r="AA631" s="82"/>
      <c r="AH631" s="82"/>
      <c r="AI631" s="82"/>
      <c r="AJ631" s="82"/>
      <c r="AK631" s="82"/>
    </row>
    <row r="632" spans="27:37">
      <c r="AA632" s="82"/>
      <c r="AH632" s="82"/>
      <c r="AI632" s="82"/>
      <c r="AJ632" s="82"/>
      <c r="AK632" s="82"/>
    </row>
    <row r="633" spans="27:37">
      <c r="AA633" s="82"/>
      <c r="AH633" s="82"/>
      <c r="AI633" s="82"/>
      <c r="AJ633" s="82"/>
      <c r="AK633" s="82"/>
    </row>
    <row r="634" spans="27:37">
      <c r="AA634" s="82"/>
      <c r="AH634" s="82"/>
      <c r="AI634" s="82"/>
      <c r="AJ634" s="82"/>
      <c r="AK634" s="82"/>
    </row>
    <row r="635" spans="27:37">
      <c r="AA635" s="82"/>
      <c r="AH635" s="82"/>
      <c r="AI635" s="82"/>
      <c r="AJ635" s="82"/>
      <c r="AK635" s="82"/>
    </row>
    <row r="636" spans="27:37">
      <c r="AA636" s="82"/>
      <c r="AH636" s="82"/>
      <c r="AI636" s="82"/>
      <c r="AJ636" s="82"/>
      <c r="AK636" s="82"/>
    </row>
    <row r="637" spans="27:37">
      <c r="AA637" s="82"/>
      <c r="AH637" s="82"/>
      <c r="AI637" s="82"/>
      <c r="AJ637" s="82"/>
      <c r="AK637" s="82"/>
    </row>
    <row r="638" spans="27:37">
      <c r="AA638" s="82"/>
      <c r="AH638" s="82"/>
      <c r="AI638" s="82"/>
      <c r="AJ638" s="82"/>
      <c r="AK638" s="82"/>
    </row>
    <row r="639" spans="27:37">
      <c r="AA639" s="82"/>
      <c r="AH639" s="82"/>
      <c r="AI639" s="82"/>
      <c r="AJ639" s="82"/>
      <c r="AK639" s="82"/>
    </row>
    <row r="640" spans="27:37">
      <c r="AA640" s="82"/>
      <c r="AH640" s="82"/>
      <c r="AI640" s="82"/>
      <c r="AJ640" s="82"/>
      <c r="AK640" s="82"/>
    </row>
    <row r="641" spans="27:37">
      <c r="AA641" s="82"/>
      <c r="AH641" s="82"/>
      <c r="AI641" s="82"/>
      <c r="AJ641" s="82"/>
      <c r="AK641" s="82"/>
    </row>
    <row r="642" spans="27:37">
      <c r="AA642" s="82"/>
      <c r="AH642" s="82"/>
      <c r="AI642" s="82"/>
      <c r="AJ642" s="82"/>
      <c r="AK642" s="82"/>
    </row>
    <row r="643" spans="27:37">
      <c r="AA643" s="82"/>
      <c r="AH643" s="82"/>
      <c r="AI643" s="82"/>
      <c r="AJ643" s="82"/>
      <c r="AK643" s="82"/>
    </row>
    <row r="644" spans="27:37">
      <c r="AA644" s="82"/>
      <c r="AH644" s="82"/>
      <c r="AI644" s="82"/>
      <c r="AJ644" s="82"/>
      <c r="AK644" s="82"/>
    </row>
    <row r="645" spans="27:37">
      <c r="AA645" s="82"/>
      <c r="AH645" s="82"/>
      <c r="AI645" s="82"/>
      <c r="AJ645" s="82"/>
      <c r="AK645" s="82"/>
    </row>
    <row r="646" spans="27:37">
      <c r="AA646" s="82"/>
      <c r="AH646" s="82"/>
      <c r="AI646" s="82"/>
      <c r="AJ646" s="82"/>
      <c r="AK646" s="82"/>
    </row>
    <row r="647" spans="27:37">
      <c r="AA647" s="82"/>
      <c r="AH647" s="82"/>
      <c r="AI647" s="82"/>
      <c r="AJ647" s="82"/>
      <c r="AK647" s="82"/>
    </row>
    <row r="648" spans="27:37">
      <c r="AA648" s="82"/>
      <c r="AH648" s="82"/>
      <c r="AI648" s="82"/>
      <c r="AJ648" s="82"/>
      <c r="AK648" s="82"/>
    </row>
    <row r="649" spans="27:37">
      <c r="AA649" s="82"/>
      <c r="AH649" s="82"/>
      <c r="AI649" s="82"/>
      <c r="AJ649" s="82"/>
      <c r="AK649" s="82"/>
    </row>
    <row r="650" spans="27:37">
      <c r="AA650" s="82"/>
      <c r="AH650" s="82"/>
      <c r="AI650" s="82"/>
      <c r="AJ650" s="82"/>
      <c r="AK650" s="82"/>
    </row>
    <row r="651" spans="27:37">
      <c r="AA651" s="82"/>
      <c r="AH651" s="82"/>
      <c r="AI651" s="82"/>
      <c r="AJ651" s="82"/>
      <c r="AK651" s="82"/>
    </row>
    <row r="652" spans="27:37">
      <c r="AA652" s="82"/>
      <c r="AH652" s="82"/>
      <c r="AI652" s="82"/>
      <c r="AJ652" s="82"/>
      <c r="AK652" s="82"/>
    </row>
    <row r="653" spans="27:37">
      <c r="AA653" s="82"/>
      <c r="AH653" s="82"/>
      <c r="AI653" s="82"/>
      <c r="AJ653" s="82"/>
      <c r="AK653" s="82"/>
    </row>
    <row r="654" spans="27:37">
      <c r="AA654" s="82"/>
      <c r="AH654" s="82"/>
      <c r="AI654" s="82"/>
      <c r="AJ654" s="82"/>
      <c r="AK654" s="82"/>
    </row>
    <row r="655" spans="27:37">
      <c r="AA655" s="82"/>
      <c r="AH655" s="82"/>
      <c r="AI655" s="82"/>
      <c r="AJ655" s="82"/>
      <c r="AK655" s="82"/>
    </row>
    <row r="656" spans="27:37">
      <c r="AA656" s="82"/>
      <c r="AH656" s="82"/>
      <c r="AI656" s="82"/>
      <c r="AJ656" s="82"/>
      <c r="AK656" s="82"/>
    </row>
    <row r="657" spans="27:37">
      <c r="AA657" s="82"/>
      <c r="AH657" s="82"/>
      <c r="AI657" s="82"/>
      <c r="AJ657" s="82"/>
      <c r="AK657" s="82"/>
    </row>
    <row r="658" spans="27:37">
      <c r="AA658" s="82"/>
      <c r="AH658" s="82"/>
      <c r="AI658" s="82"/>
      <c r="AJ658" s="82"/>
      <c r="AK658" s="82"/>
    </row>
    <row r="659" spans="27:37">
      <c r="AA659" s="82"/>
      <c r="AH659" s="82"/>
      <c r="AI659" s="82"/>
      <c r="AJ659" s="82"/>
      <c r="AK659" s="82"/>
    </row>
    <row r="660" spans="27:37">
      <c r="AA660" s="82"/>
      <c r="AH660" s="82"/>
      <c r="AI660" s="82"/>
      <c r="AJ660" s="82"/>
      <c r="AK660" s="82"/>
    </row>
    <row r="661" spans="27:37">
      <c r="AA661" s="82"/>
      <c r="AH661" s="82"/>
      <c r="AI661" s="82"/>
      <c r="AJ661" s="82"/>
      <c r="AK661" s="82"/>
    </row>
    <row r="662" spans="27:37">
      <c r="AA662" s="82"/>
      <c r="AH662" s="82"/>
      <c r="AI662" s="82"/>
      <c r="AJ662" s="82"/>
      <c r="AK662" s="82"/>
    </row>
    <row r="663" spans="27:37">
      <c r="AA663" s="82"/>
      <c r="AH663" s="82"/>
      <c r="AI663" s="82"/>
      <c r="AJ663" s="82"/>
      <c r="AK663" s="82"/>
    </row>
    <row r="664" spans="27:37">
      <c r="AA664" s="82"/>
      <c r="AH664" s="82"/>
      <c r="AI664" s="82"/>
      <c r="AJ664" s="82"/>
      <c r="AK664" s="82"/>
    </row>
    <row r="665" spans="27:37">
      <c r="AA665" s="82"/>
      <c r="AH665" s="82"/>
      <c r="AI665" s="82"/>
      <c r="AJ665" s="82"/>
      <c r="AK665" s="82"/>
    </row>
    <row r="666" spans="27:37">
      <c r="AA666" s="82"/>
      <c r="AH666" s="82"/>
      <c r="AI666" s="82"/>
      <c r="AJ666" s="82"/>
      <c r="AK666" s="82"/>
    </row>
    <row r="667" spans="27:37">
      <c r="AA667" s="82"/>
      <c r="AH667" s="82"/>
      <c r="AI667" s="82"/>
      <c r="AJ667" s="82"/>
      <c r="AK667" s="82"/>
    </row>
    <row r="668" spans="27:37">
      <c r="AA668" s="82"/>
      <c r="AH668" s="82"/>
      <c r="AI668" s="82"/>
      <c r="AJ668" s="82"/>
      <c r="AK668" s="82"/>
    </row>
    <row r="669" spans="27:37">
      <c r="AA669" s="82"/>
      <c r="AH669" s="82"/>
      <c r="AI669" s="82"/>
      <c r="AJ669" s="82"/>
      <c r="AK669" s="82"/>
    </row>
    <row r="670" spans="27:37">
      <c r="AA670" s="82"/>
      <c r="AH670" s="82"/>
      <c r="AI670" s="82"/>
      <c r="AJ670" s="82"/>
      <c r="AK670" s="82"/>
    </row>
    <row r="671" spans="27:37">
      <c r="AA671" s="82"/>
      <c r="AH671" s="82"/>
      <c r="AI671" s="82"/>
      <c r="AJ671" s="82"/>
      <c r="AK671" s="82"/>
    </row>
    <row r="672" spans="27:37">
      <c r="AA672" s="82"/>
      <c r="AH672" s="82"/>
      <c r="AI672" s="82"/>
      <c r="AJ672" s="82"/>
      <c r="AK672" s="82"/>
    </row>
    <row r="673" spans="27:37">
      <c r="AA673" s="82"/>
      <c r="AH673" s="82"/>
      <c r="AI673" s="82"/>
      <c r="AJ673" s="82"/>
      <c r="AK673" s="82"/>
    </row>
    <row r="674" spans="27:37">
      <c r="AA674" s="82"/>
      <c r="AH674" s="82"/>
      <c r="AI674" s="82"/>
      <c r="AJ674" s="82"/>
      <c r="AK674" s="82"/>
    </row>
    <row r="675" spans="27:37">
      <c r="AA675" s="82"/>
      <c r="AH675" s="82"/>
      <c r="AI675" s="82"/>
      <c r="AJ675" s="82"/>
      <c r="AK675" s="82"/>
    </row>
    <row r="676" spans="27:37">
      <c r="AA676" s="82"/>
      <c r="AH676" s="82"/>
      <c r="AI676" s="82"/>
      <c r="AJ676" s="82"/>
      <c r="AK676" s="82"/>
    </row>
    <row r="677" spans="27:37">
      <c r="AA677" s="82"/>
      <c r="AH677" s="82"/>
      <c r="AI677" s="82"/>
      <c r="AJ677" s="82"/>
      <c r="AK677" s="82"/>
    </row>
    <row r="678" spans="27:37">
      <c r="AA678" s="82"/>
      <c r="AH678" s="82"/>
      <c r="AI678" s="82"/>
      <c r="AJ678" s="82"/>
      <c r="AK678" s="82"/>
    </row>
    <row r="679" spans="27:37">
      <c r="AA679" s="82"/>
      <c r="AH679" s="82"/>
      <c r="AI679" s="82"/>
      <c r="AJ679" s="82"/>
      <c r="AK679" s="82"/>
    </row>
    <row r="680" spans="27:37">
      <c r="AA680" s="82"/>
      <c r="AH680" s="82"/>
      <c r="AI680" s="82"/>
      <c r="AJ680" s="82"/>
      <c r="AK680" s="82"/>
    </row>
    <row r="681" spans="27:37">
      <c r="AA681" s="82"/>
      <c r="AH681" s="82"/>
      <c r="AI681" s="82"/>
      <c r="AJ681" s="82"/>
      <c r="AK681" s="82"/>
    </row>
    <row r="682" spans="27:37">
      <c r="AA682" s="82"/>
      <c r="AH682" s="82"/>
      <c r="AI682" s="82"/>
      <c r="AJ682" s="82"/>
      <c r="AK682" s="82"/>
    </row>
    <row r="683" spans="27:37">
      <c r="AA683" s="82"/>
      <c r="AH683" s="82"/>
      <c r="AI683" s="82"/>
      <c r="AJ683" s="82"/>
      <c r="AK683" s="82"/>
    </row>
    <row r="684" spans="27:37">
      <c r="AA684" s="82"/>
      <c r="AH684" s="82"/>
      <c r="AI684" s="82"/>
      <c r="AJ684" s="82"/>
      <c r="AK684" s="82"/>
    </row>
    <row r="685" spans="27:37">
      <c r="AA685" s="82"/>
      <c r="AH685" s="82"/>
      <c r="AI685" s="82"/>
      <c r="AJ685" s="82"/>
      <c r="AK685" s="82"/>
    </row>
    <row r="686" spans="27:37">
      <c r="AA686" s="82"/>
      <c r="AH686" s="82"/>
      <c r="AI686" s="82"/>
      <c r="AJ686" s="82"/>
      <c r="AK686" s="82"/>
    </row>
    <row r="687" spans="27:37">
      <c r="AA687" s="82"/>
      <c r="AH687" s="82"/>
      <c r="AI687" s="82"/>
      <c r="AJ687" s="82"/>
      <c r="AK687" s="82"/>
    </row>
    <row r="688" spans="27:37">
      <c r="AA688" s="82"/>
      <c r="AH688" s="82"/>
      <c r="AI688" s="82"/>
      <c r="AJ688" s="82"/>
      <c r="AK688" s="82"/>
    </row>
    <row r="689" spans="27:37">
      <c r="AA689" s="82"/>
      <c r="AH689" s="82"/>
      <c r="AI689" s="82"/>
      <c r="AJ689" s="82"/>
      <c r="AK689" s="82"/>
    </row>
    <row r="690" spans="27:37">
      <c r="AA690" s="82"/>
      <c r="AH690" s="82"/>
      <c r="AI690" s="82"/>
      <c r="AJ690" s="82"/>
      <c r="AK690" s="82"/>
    </row>
    <row r="691" spans="27:37">
      <c r="AA691" s="82"/>
      <c r="AH691" s="82"/>
      <c r="AI691" s="82"/>
      <c r="AJ691" s="82"/>
      <c r="AK691" s="82"/>
    </row>
    <row r="692" spans="27:37">
      <c r="AA692" s="82"/>
      <c r="AH692" s="82"/>
      <c r="AI692" s="82"/>
      <c r="AJ692" s="82"/>
      <c r="AK692" s="82"/>
    </row>
    <row r="693" spans="27:37">
      <c r="AA693" s="82"/>
      <c r="AH693" s="82"/>
      <c r="AI693" s="82"/>
      <c r="AJ693" s="82"/>
      <c r="AK693" s="82"/>
    </row>
    <row r="694" spans="27:37">
      <c r="AA694" s="82"/>
      <c r="AH694" s="82"/>
      <c r="AI694" s="82"/>
      <c r="AJ694" s="82"/>
      <c r="AK694" s="82"/>
    </row>
    <row r="695" spans="27:37">
      <c r="AA695" s="82"/>
      <c r="AH695" s="82"/>
      <c r="AI695" s="82"/>
      <c r="AJ695" s="82"/>
      <c r="AK695" s="82"/>
    </row>
    <row r="696" spans="27:37">
      <c r="AA696" s="82"/>
      <c r="AH696" s="82"/>
      <c r="AI696" s="82"/>
      <c r="AJ696" s="82"/>
      <c r="AK696" s="82"/>
    </row>
    <row r="697" spans="27:37">
      <c r="AA697" s="82"/>
      <c r="AH697" s="82"/>
      <c r="AI697" s="82"/>
      <c r="AJ697" s="82"/>
      <c r="AK697" s="82"/>
    </row>
    <row r="698" spans="27:37">
      <c r="AA698" s="82"/>
      <c r="AH698" s="82"/>
      <c r="AI698" s="82"/>
      <c r="AJ698" s="82"/>
      <c r="AK698" s="82"/>
    </row>
    <row r="699" spans="27:37">
      <c r="AA699" s="82"/>
      <c r="AH699" s="82"/>
      <c r="AI699" s="82"/>
      <c r="AJ699" s="82"/>
      <c r="AK699" s="82"/>
    </row>
    <row r="700" spans="27:37">
      <c r="AA700" s="82"/>
      <c r="AH700" s="82"/>
      <c r="AI700" s="82"/>
      <c r="AJ700" s="82"/>
      <c r="AK700" s="82"/>
    </row>
    <row r="701" spans="27:37">
      <c r="AA701" s="82"/>
      <c r="AH701" s="82"/>
      <c r="AI701" s="82"/>
      <c r="AJ701" s="82"/>
      <c r="AK701" s="82"/>
    </row>
    <row r="702" spans="27:37">
      <c r="AA702" s="82"/>
      <c r="AH702" s="82"/>
      <c r="AI702" s="82"/>
      <c r="AJ702" s="82"/>
      <c r="AK702" s="82"/>
    </row>
    <row r="703" spans="27:37">
      <c r="AA703" s="82"/>
      <c r="AH703" s="82"/>
      <c r="AI703" s="82"/>
      <c r="AJ703" s="82"/>
      <c r="AK703" s="82"/>
    </row>
    <row r="704" spans="27:37">
      <c r="AA704" s="82"/>
      <c r="AH704" s="82"/>
      <c r="AI704" s="82"/>
      <c r="AJ704" s="82"/>
      <c r="AK704" s="82"/>
    </row>
    <row r="705" spans="27:37">
      <c r="AA705" s="82"/>
      <c r="AH705" s="82"/>
      <c r="AI705" s="82"/>
      <c r="AJ705" s="82"/>
      <c r="AK705" s="82"/>
    </row>
    <row r="706" spans="27:37">
      <c r="AA706" s="82"/>
      <c r="AH706" s="82"/>
      <c r="AI706" s="82"/>
      <c r="AJ706" s="82"/>
      <c r="AK706" s="82"/>
    </row>
    <row r="707" spans="27:37">
      <c r="AA707" s="82"/>
      <c r="AH707" s="82"/>
      <c r="AI707" s="82"/>
      <c r="AJ707" s="82"/>
      <c r="AK707" s="82"/>
    </row>
    <row r="708" spans="27:37">
      <c r="AA708" s="82"/>
      <c r="AH708" s="82"/>
      <c r="AI708" s="82"/>
      <c r="AJ708" s="82"/>
      <c r="AK708" s="82"/>
    </row>
    <row r="709" spans="27:37">
      <c r="AA709" s="82"/>
      <c r="AH709" s="82"/>
      <c r="AI709" s="82"/>
      <c r="AJ709" s="82"/>
      <c r="AK709" s="82"/>
    </row>
    <row r="710" spans="27:37">
      <c r="AA710" s="82"/>
      <c r="AH710" s="82"/>
      <c r="AI710" s="82"/>
      <c r="AJ710" s="82"/>
      <c r="AK710" s="82"/>
    </row>
    <row r="711" spans="27:37">
      <c r="AA711" s="82"/>
      <c r="AH711" s="82"/>
      <c r="AI711" s="82"/>
      <c r="AJ711" s="82"/>
      <c r="AK711" s="82"/>
    </row>
    <row r="712" spans="27:37">
      <c r="AA712" s="82"/>
      <c r="AH712" s="82"/>
      <c r="AI712" s="82"/>
      <c r="AJ712" s="82"/>
      <c r="AK712" s="82"/>
    </row>
    <row r="713" spans="27:37">
      <c r="AA713" s="82"/>
      <c r="AH713" s="82"/>
      <c r="AI713" s="82"/>
      <c r="AJ713" s="82"/>
      <c r="AK713" s="82"/>
    </row>
    <row r="714" spans="27:37">
      <c r="AA714" s="82"/>
      <c r="AH714" s="82"/>
      <c r="AI714" s="82"/>
      <c r="AJ714" s="82"/>
      <c r="AK714" s="82"/>
    </row>
    <row r="715" spans="27:37">
      <c r="AA715" s="82"/>
      <c r="AH715" s="82"/>
      <c r="AI715" s="82"/>
      <c r="AJ715" s="82"/>
      <c r="AK715" s="82"/>
    </row>
    <row r="716" spans="27:37">
      <c r="AA716" s="82"/>
      <c r="AH716" s="82"/>
      <c r="AI716" s="82"/>
      <c r="AJ716" s="82"/>
      <c r="AK716" s="82"/>
    </row>
    <row r="717" spans="27:37">
      <c r="AA717" s="82"/>
      <c r="AH717" s="82"/>
      <c r="AI717" s="82"/>
      <c r="AJ717" s="82"/>
      <c r="AK717" s="82"/>
    </row>
    <row r="718" spans="27:37">
      <c r="AA718" s="82"/>
      <c r="AH718" s="82"/>
      <c r="AI718" s="82"/>
      <c r="AJ718" s="82"/>
      <c r="AK718" s="82"/>
    </row>
    <row r="719" spans="27:37">
      <c r="AA719" s="82"/>
      <c r="AH719" s="82"/>
      <c r="AI719" s="82"/>
      <c r="AJ719" s="82"/>
      <c r="AK719" s="82"/>
    </row>
    <row r="720" spans="27:37">
      <c r="AA720" s="82"/>
      <c r="AH720" s="82"/>
      <c r="AI720" s="82"/>
      <c r="AJ720" s="82"/>
      <c r="AK720" s="82"/>
    </row>
    <row r="721" spans="27:37">
      <c r="AA721" s="82"/>
      <c r="AH721" s="82"/>
      <c r="AI721" s="82"/>
      <c r="AJ721" s="82"/>
      <c r="AK721" s="82"/>
    </row>
    <row r="722" spans="27:37">
      <c r="AA722" s="82"/>
      <c r="AH722" s="82"/>
      <c r="AI722" s="82"/>
      <c r="AJ722" s="82"/>
      <c r="AK722" s="82"/>
    </row>
    <row r="723" spans="27:37">
      <c r="AA723" s="82"/>
      <c r="AH723" s="82"/>
      <c r="AI723" s="82"/>
      <c r="AJ723" s="82"/>
      <c r="AK723" s="82"/>
    </row>
    <row r="724" spans="27:37">
      <c r="AA724" s="82"/>
      <c r="AH724" s="82"/>
      <c r="AI724" s="82"/>
      <c r="AJ724" s="82"/>
      <c r="AK724" s="82"/>
    </row>
    <row r="725" spans="27:37">
      <c r="AA725" s="82"/>
      <c r="AH725" s="82"/>
      <c r="AI725" s="82"/>
      <c r="AJ725" s="82"/>
      <c r="AK725" s="82"/>
    </row>
    <row r="726" spans="27:37">
      <c r="AA726" s="82"/>
      <c r="AH726" s="82"/>
      <c r="AI726" s="82"/>
      <c r="AJ726" s="82"/>
      <c r="AK726" s="82"/>
    </row>
    <row r="727" spans="27:37">
      <c r="AA727" s="82"/>
      <c r="AH727" s="82"/>
      <c r="AI727" s="82"/>
      <c r="AJ727" s="82"/>
      <c r="AK727" s="82"/>
    </row>
    <row r="728" spans="27:37">
      <c r="AA728" s="82"/>
      <c r="AH728" s="82"/>
      <c r="AI728" s="82"/>
      <c r="AJ728" s="82"/>
      <c r="AK728" s="82"/>
    </row>
    <row r="729" spans="27:37">
      <c r="AA729" s="82"/>
      <c r="AH729" s="82"/>
      <c r="AI729" s="82"/>
      <c r="AJ729" s="82"/>
      <c r="AK729" s="82"/>
    </row>
    <row r="730" spans="27:37">
      <c r="AA730" s="82"/>
      <c r="AH730" s="82"/>
      <c r="AI730" s="82"/>
      <c r="AJ730" s="82"/>
      <c r="AK730" s="82"/>
    </row>
    <row r="731" spans="27:37">
      <c r="AA731" s="82"/>
      <c r="AH731" s="82"/>
      <c r="AI731" s="82"/>
      <c r="AJ731" s="82"/>
      <c r="AK731" s="82"/>
    </row>
    <row r="732" spans="27:37">
      <c r="AA732" s="82"/>
      <c r="AH732" s="82"/>
      <c r="AI732" s="82"/>
      <c r="AJ732" s="82"/>
      <c r="AK732" s="82"/>
    </row>
    <row r="733" spans="27:37">
      <c r="AA733" s="82"/>
      <c r="AH733" s="82"/>
      <c r="AI733" s="82"/>
      <c r="AJ733" s="82"/>
      <c r="AK733" s="82"/>
    </row>
    <row r="734" spans="27:37">
      <c r="AA734" s="82"/>
      <c r="AH734" s="82"/>
      <c r="AI734" s="82"/>
      <c r="AJ734" s="82"/>
      <c r="AK734" s="82"/>
    </row>
    <row r="735" spans="27:37">
      <c r="AA735" s="82"/>
      <c r="AH735" s="82"/>
      <c r="AI735" s="82"/>
      <c r="AJ735" s="82"/>
      <c r="AK735" s="82"/>
    </row>
    <row r="736" spans="27:37">
      <c r="AA736" s="82"/>
      <c r="AH736" s="82"/>
      <c r="AI736" s="82"/>
      <c r="AJ736" s="82"/>
      <c r="AK736" s="82"/>
    </row>
    <row r="737" spans="27:37">
      <c r="AA737" s="82"/>
      <c r="AH737" s="82"/>
      <c r="AI737" s="82"/>
      <c r="AJ737" s="82"/>
      <c r="AK737" s="82"/>
    </row>
    <row r="738" spans="27:37">
      <c r="AA738" s="82"/>
      <c r="AH738" s="82"/>
      <c r="AI738" s="82"/>
      <c r="AJ738" s="82"/>
      <c r="AK738" s="82"/>
    </row>
    <row r="739" spans="27:37">
      <c r="AA739" s="82"/>
      <c r="AH739" s="82"/>
      <c r="AI739" s="82"/>
      <c r="AJ739" s="82"/>
      <c r="AK739" s="82"/>
    </row>
    <row r="740" spans="27:37">
      <c r="AA740" s="82"/>
      <c r="AH740" s="82"/>
      <c r="AI740" s="82"/>
      <c r="AJ740" s="82"/>
      <c r="AK740" s="82"/>
    </row>
    <row r="741" spans="27:37">
      <c r="AA741" s="82"/>
      <c r="AH741" s="82"/>
      <c r="AI741" s="82"/>
      <c r="AJ741" s="82"/>
      <c r="AK741" s="82"/>
    </row>
    <row r="742" spans="27:37">
      <c r="AA742" s="82"/>
      <c r="AH742" s="82"/>
      <c r="AI742" s="82"/>
      <c r="AJ742" s="82"/>
      <c r="AK742" s="82"/>
    </row>
    <row r="743" spans="27:37">
      <c r="AA743" s="82"/>
      <c r="AH743" s="82"/>
      <c r="AI743" s="82"/>
      <c r="AJ743" s="82"/>
      <c r="AK743" s="82"/>
    </row>
    <row r="744" spans="27:37">
      <c r="AA744" s="82"/>
      <c r="AH744" s="82"/>
      <c r="AI744" s="82"/>
      <c r="AJ744" s="82"/>
      <c r="AK744" s="82"/>
    </row>
    <row r="745" spans="27:37">
      <c r="AA745" s="82"/>
      <c r="AH745" s="82"/>
      <c r="AI745" s="82"/>
      <c r="AJ745" s="82"/>
      <c r="AK745" s="82"/>
    </row>
    <row r="746" spans="27:37">
      <c r="AA746" s="82"/>
      <c r="AH746" s="82"/>
      <c r="AI746" s="82"/>
      <c r="AJ746" s="82"/>
      <c r="AK746" s="82"/>
    </row>
    <row r="747" spans="27:37">
      <c r="AA747" s="82"/>
      <c r="AH747" s="82"/>
      <c r="AI747" s="82"/>
      <c r="AJ747" s="82"/>
      <c r="AK747" s="82"/>
    </row>
    <row r="748" spans="27:37">
      <c r="AA748" s="82"/>
      <c r="AH748" s="82"/>
      <c r="AI748" s="82"/>
      <c r="AJ748" s="82"/>
      <c r="AK748" s="82"/>
    </row>
  </sheetData>
  <mergeCells count="34">
    <mergeCell ref="B39:R39"/>
    <mergeCell ref="B40:R40"/>
    <mergeCell ref="B41:R41"/>
    <mergeCell ref="B34:R34"/>
    <mergeCell ref="B35:R35"/>
    <mergeCell ref="B36:R36"/>
    <mergeCell ref="B37:R37"/>
    <mergeCell ref="B38:R38"/>
    <mergeCell ref="AA19:AA21"/>
    <mergeCell ref="AB19:AB21"/>
    <mergeCell ref="G20:J20"/>
    <mergeCell ref="K20:N20"/>
    <mergeCell ref="O20:R20"/>
    <mergeCell ref="S20:V20"/>
    <mergeCell ref="W20:Z20"/>
    <mergeCell ref="A18:Z18"/>
    <mergeCell ref="A19:A21"/>
    <mergeCell ref="B19:B21"/>
    <mergeCell ref="C19:F20"/>
    <mergeCell ref="G19:Z19"/>
    <mergeCell ref="A1:Z1"/>
    <mergeCell ref="A2:E2"/>
    <mergeCell ref="F2:R2"/>
    <mergeCell ref="A3:Z3"/>
    <mergeCell ref="A4:A6"/>
    <mergeCell ref="C4:F5"/>
    <mergeCell ref="G4:Z4"/>
    <mergeCell ref="G5:J5"/>
    <mergeCell ref="K5:N5"/>
    <mergeCell ref="AA4:AA6"/>
    <mergeCell ref="AB4:AB6"/>
    <mergeCell ref="O5:R5"/>
    <mergeCell ref="S5:V5"/>
    <mergeCell ref="W5:Z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B18"/>
  <sheetViews>
    <sheetView topLeftCell="J2" workbookViewId="0">
      <selection activeCell="B25" sqref="B24:R25"/>
    </sheetView>
  </sheetViews>
  <sheetFormatPr defaultRowHeight="15"/>
  <cols>
    <col min="3" max="3" width="11.85546875" customWidth="1"/>
  </cols>
  <sheetData>
    <row r="1" spans="1:28" ht="18.75">
      <c r="A1" s="614" t="s">
        <v>25</v>
      </c>
      <c r="B1" s="614"/>
      <c r="C1" s="614"/>
      <c r="D1" s="614"/>
      <c r="E1" s="614"/>
      <c r="F1" s="614"/>
      <c r="G1" s="614"/>
      <c r="H1" s="614"/>
      <c r="I1" s="614"/>
      <c r="J1" s="614"/>
      <c r="K1" s="614"/>
      <c r="L1" s="614"/>
      <c r="M1" s="614"/>
      <c r="N1" s="614"/>
      <c r="O1" s="614"/>
      <c r="P1" s="614"/>
      <c r="Q1" s="614"/>
      <c r="R1" s="614"/>
      <c r="S1" s="614"/>
      <c r="T1" s="614"/>
      <c r="U1" s="614"/>
      <c r="V1" s="614"/>
      <c r="W1" s="614"/>
      <c r="X1" s="614"/>
      <c r="Y1" s="614"/>
      <c r="Z1" s="614"/>
    </row>
    <row r="2" spans="1:28" ht="38.25" customHeight="1">
      <c r="A2" s="615" t="s">
        <v>3</v>
      </c>
      <c r="B2" s="616" t="s">
        <v>26</v>
      </c>
      <c r="C2" s="615" t="s">
        <v>139</v>
      </c>
      <c r="D2" s="615"/>
      <c r="E2" s="615"/>
      <c r="F2" s="615"/>
      <c r="G2" s="615" t="s">
        <v>28</v>
      </c>
      <c r="H2" s="615"/>
      <c r="I2" s="615"/>
      <c r="J2" s="615"/>
      <c r="K2" s="615"/>
      <c r="L2" s="615"/>
      <c r="M2" s="615"/>
      <c r="N2" s="615"/>
      <c r="O2" s="615"/>
      <c r="P2" s="615"/>
      <c r="Q2" s="615"/>
      <c r="R2" s="615"/>
      <c r="S2" s="615"/>
      <c r="T2" s="615"/>
      <c r="U2" s="615"/>
      <c r="V2" s="615"/>
      <c r="W2" s="615"/>
      <c r="X2" s="615"/>
      <c r="Y2" s="615"/>
      <c r="Z2" s="615"/>
      <c r="AA2" s="513" t="s">
        <v>124</v>
      </c>
      <c r="AB2" s="513" t="s">
        <v>125</v>
      </c>
    </row>
    <row r="3" spans="1:28">
      <c r="A3" s="615"/>
      <c r="B3" s="616"/>
      <c r="C3" s="615"/>
      <c r="D3" s="615"/>
      <c r="E3" s="615"/>
      <c r="F3" s="615"/>
      <c r="G3" s="615" t="s">
        <v>9</v>
      </c>
      <c r="H3" s="615"/>
      <c r="I3" s="615"/>
      <c r="J3" s="615"/>
      <c r="K3" s="615" t="s">
        <v>10</v>
      </c>
      <c r="L3" s="615"/>
      <c r="M3" s="615"/>
      <c r="N3" s="615"/>
      <c r="O3" s="615" t="s">
        <v>11</v>
      </c>
      <c r="P3" s="615"/>
      <c r="Q3" s="615"/>
      <c r="R3" s="615"/>
      <c r="S3" s="615" t="s">
        <v>12</v>
      </c>
      <c r="T3" s="615"/>
      <c r="U3" s="615"/>
      <c r="V3" s="615"/>
      <c r="W3" s="615" t="s">
        <v>13</v>
      </c>
      <c r="X3" s="615"/>
      <c r="Y3" s="615"/>
      <c r="Z3" s="615"/>
      <c r="AA3" s="513" t="s">
        <v>124</v>
      </c>
      <c r="AB3" s="513" t="s">
        <v>125</v>
      </c>
    </row>
    <row r="4" spans="1:28" ht="72">
      <c r="A4" s="615"/>
      <c r="B4" s="616"/>
      <c r="C4" s="5" t="s">
        <v>733</v>
      </c>
      <c r="D4" s="5" t="s">
        <v>32</v>
      </c>
      <c r="E4" s="5" t="s">
        <v>33</v>
      </c>
      <c r="F4" s="5" t="s">
        <v>734</v>
      </c>
      <c r="G4" s="5" t="s">
        <v>34</v>
      </c>
      <c r="H4" s="5" t="s">
        <v>32</v>
      </c>
      <c r="I4" s="5" t="s">
        <v>33</v>
      </c>
      <c r="J4" s="5" t="s">
        <v>19</v>
      </c>
      <c r="K4" s="5" t="s">
        <v>34</v>
      </c>
      <c r="L4" s="5" t="s">
        <v>32</v>
      </c>
      <c r="M4" s="5" t="s">
        <v>33</v>
      </c>
      <c r="N4" s="5" t="s">
        <v>19</v>
      </c>
      <c r="O4" s="5" t="s">
        <v>34</v>
      </c>
      <c r="P4" s="5" t="s">
        <v>32</v>
      </c>
      <c r="Q4" s="5" t="s">
        <v>33</v>
      </c>
      <c r="R4" s="5" t="s">
        <v>19</v>
      </c>
      <c r="S4" s="5" t="s">
        <v>34</v>
      </c>
      <c r="T4" s="5" t="s">
        <v>32</v>
      </c>
      <c r="U4" s="5" t="s">
        <v>33</v>
      </c>
      <c r="V4" s="5" t="s">
        <v>19</v>
      </c>
      <c r="W4" s="5" t="s">
        <v>34</v>
      </c>
      <c r="X4" s="5" t="s">
        <v>32</v>
      </c>
      <c r="Y4" s="5" t="s">
        <v>33</v>
      </c>
      <c r="Z4" s="5" t="s">
        <v>19</v>
      </c>
      <c r="AA4" s="513" t="s">
        <v>124</v>
      </c>
      <c r="AB4" s="513" t="s">
        <v>125</v>
      </c>
    </row>
    <row r="5" spans="1:28">
      <c r="A5" s="311" t="s">
        <v>20</v>
      </c>
      <c r="B5" s="311" t="s">
        <v>735</v>
      </c>
      <c r="C5" s="311"/>
      <c r="D5" s="311"/>
      <c r="E5" s="311"/>
      <c r="F5" s="311"/>
      <c r="G5" s="311"/>
      <c r="H5" s="311"/>
      <c r="I5" s="311"/>
      <c r="J5" s="311"/>
      <c r="K5" s="311"/>
      <c r="L5" s="311"/>
      <c r="M5" s="311"/>
      <c r="N5" s="311"/>
      <c r="O5" s="311"/>
      <c r="P5" s="311"/>
      <c r="Q5" s="311"/>
      <c r="R5" s="311"/>
      <c r="S5" s="311"/>
      <c r="T5" s="311"/>
      <c r="U5" s="311"/>
      <c r="V5" s="311"/>
      <c r="W5" s="312"/>
      <c r="X5" s="312"/>
      <c r="Y5" s="312"/>
      <c r="Z5" s="312"/>
      <c r="AA5" s="87"/>
      <c r="AB5" s="87"/>
    </row>
    <row r="6" spans="1:28" ht="41.25">
      <c r="A6" s="313" t="s">
        <v>36</v>
      </c>
      <c r="B6" s="313" t="s">
        <v>736</v>
      </c>
      <c r="C6" s="315">
        <v>197000</v>
      </c>
      <c r="D6" s="5" t="s">
        <v>738</v>
      </c>
      <c r="E6" s="5">
        <v>2100</v>
      </c>
      <c r="F6" s="5">
        <v>2100</v>
      </c>
      <c r="G6" s="5" t="s">
        <v>737</v>
      </c>
      <c r="H6" s="5" t="s">
        <v>737</v>
      </c>
      <c r="I6" s="5" t="s">
        <v>739</v>
      </c>
      <c r="J6" s="5" t="s">
        <v>739</v>
      </c>
      <c r="K6" s="5" t="s">
        <v>737</v>
      </c>
      <c r="L6" s="5" t="s">
        <v>737</v>
      </c>
      <c r="M6" s="5" t="s">
        <v>740</v>
      </c>
      <c r="N6" s="5" t="s">
        <v>740</v>
      </c>
      <c r="O6" s="5" t="s">
        <v>737</v>
      </c>
      <c r="P6" s="5" t="s">
        <v>737</v>
      </c>
      <c r="Q6" s="5" t="s">
        <v>740</v>
      </c>
      <c r="R6" s="5" t="s">
        <v>740</v>
      </c>
      <c r="S6" s="5" t="s">
        <v>737</v>
      </c>
      <c r="T6" s="5" t="s">
        <v>737</v>
      </c>
      <c r="U6" s="5" t="s">
        <v>741</v>
      </c>
      <c r="V6" s="5" t="s">
        <v>742</v>
      </c>
      <c r="W6" s="315">
        <v>197000</v>
      </c>
      <c r="X6" s="5">
        <v>197000</v>
      </c>
      <c r="Y6" s="5" t="s">
        <v>743</v>
      </c>
      <c r="Z6" s="5" t="s">
        <v>743</v>
      </c>
      <c r="AA6" s="354">
        <f>C6/W6</f>
        <v>1</v>
      </c>
      <c r="AB6" s="354">
        <f>W6/X6</f>
        <v>1</v>
      </c>
    </row>
    <row r="7" spans="1:28" s="219" customFormat="1">
      <c r="A7" s="314"/>
      <c r="B7" s="314"/>
      <c r="C7" s="239"/>
      <c r="D7" s="239"/>
      <c r="E7" s="239"/>
      <c r="F7" s="239"/>
      <c r="G7" s="239"/>
      <c r="H7" s="239"/>
      <c r="I7" s="239"/>
      <c r="J7" s="239"/>
      <c r="K7" s="239"/>
      <c r="L7" s="239"/>
      <c r="M7" s="239"/>
      <c r="N7" s="239"/>
      <c r="O7" s="239"/>
      <c r="P7" s="239"/>
      <c r="Q7" s="239"/>
      <c r="R7" s="239"/>
      <c r="S7" s="239"/>
      <c r="T7" s="239"/>
      <c r="U7" s="239"/>
      <c r="V7" s="239"/>
      <c r="W7" s="239"/>
      <c r="X7" s="239"/>
      <c r="Y7" s="239"/>
      <c r="Z7" s="239"/>
    </row>
    <row r="8" spans="1:28" s="219" customFormat="1">
      <c r="A8" s="314"/>
      <c r="B8" s="314"/>
      <c r="C8" s="239"/>
      <c r="D8" s="239"/>
      <c r="E8" s="239"/>
      <c r="F8" s="239"/>
      <c r="G8" s="239"/>
      <c r="H8" s="239"/>
      <c r="I8" s="239"/>
      <c r="J8" s="239"/>
      <c r="K8" s="239"/>
      <c r="L8" s="239"/>
      <c r="M8" s="239"/>
      <c r="N8" s="239"/>
      <c r="O8" s="239"/>
      <c r="P8" s="239"/>
      <c r="Q8" s="239"/>
      <c r="R8" s="239"/>
      <c r="S8" s="239"/>
      <c r="T8" s="239"/>
      <c r="U8" s="239"/>
      <c r="V8" s="239"/>
      <c r="W8" s="239"/>
      <c r="X8" s="239"/>
      <c r="Y8" s="239"/>
      <c r="Z8" s="239"/>
    </row>
    <row r="9" spans="1:28" ht="21">
      <c r="A9" s="307"/>
      <c r="B9" s="307" t="s">
        <v>40</v>
      </c>
      <c r="C9" s="308"/>
      <c r="D9" s="308"/>
      <c r="E9" s="308"/>
      <c r="F9" s="308"/>
      <c r="G9" s="308"/>
      <c r="H9" s="308"/>
      <c r="I9" s="308"/>
      <c r="J9" s="308"/>
      <c r="K9" s="308"/>
      <c r="L9" s="308"/>
      <c r="M9" s="308"/>
      <c r="N9" s="308"/>
      <c r="O9" s="308"/>
      <c r="P9" s="308"/>
      <c r="Q9" s="308"/>
      <c r="R9" s="308"/>
      <c r="S9" s="308"/>
      <c r="T9" s="308"/>
      <c r="U9" s="308"/>
      <c r="V9" s="308"/>
      <c r="W9" s="308"/>
      <c r="X9" s="308"/>
      <c r="Y9" s="308"/>
      <c r="Z9" s="308"/>
    </row>
    <row r="10" spans="1:28">
      <c r="A10" s="309" t="s">
        <v>41</v>
      </c>
      <c r="B10" s="613" t="s">
        <v>42</v>
      </c>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row>
    <row r="11" spans="1:28">
      <c r="A11" s="309" t="s">
        <v>43</v>
      </c>
      <c r="B11" s="613" t="s">
        <v>44</v>
      </c>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row>
    <row r="12" spans="1:28">
      <c r="A12" s="308"/>
      <c r="B12" s="610" t="s">
        <v>744</v>
      </c>
      <c r="C12" s="610"/>
      <c r="D12" s="610"/>
      <c r="E12" s="610"/>
      <c r="F12" s="610"/>
      <c r="G12" s="610"/>
      <c r="H12" s="610"/>
      <c r="I12" s="610"/>
      <c r="J12" s="610"/>
      <c r="K12" s="610"/>
      <c r="L12" s="610"/>
      <c r="M12" s="610"/>
      <c r="N12" s="610"/>
      <c r="O12" s="610"/>
      <c r="P12" s="610"/>
      <c r="Q12" s="610"/>
      <c r="R12" s="610"/>
      <c r="S12" s="308"/>
      <c r="T12" s="308"/>
      <c r="U12" s="308"/>
      <c r="V12" s="308"/>
      <c r="W12" s="308"/>
      <c r="X12" s="308"/>
      <c r="Y12" s="308"/>
      <c r="Z12" s="308"/>
    </row>
    <row r="13" spans="1:28">
      <c r="A13" s="308"/>
      <c r="B13" s="610" t="s">
        <v>745</v>
      </c>
      <c r="C13" s="610"/>
      <c r="D13" s="610"/>
      <c r="E13" s="610"/>
      <c r="F13" s="610"/>
      <c r="G13" s="610"/>
      <c r="H13" s="610"/>
      <c r="I13" s="610"/>
      <c r="J13" s="610"/>
      <c r="K13" s="610"/>
      <c r="L13" s="610"/>
      <c r="M13" s="610"/>
      <c r="N13" s="610"/>
      <c r="O13" s="610"/>
      <c r="P13" s="610"/>
      <c r="Q13" s="610"/>
      <c r="R13" s="610"/>
      <c r="S13" s="308"/>
      <c r="T13" s="308"/>
      <c r="U13" s="308"/>
      <c r="V13" s="308"/>
      <c r="W13" s="308"/>
      <c r="X13" s="308"/>
      <c r="Y13" s="308"/>
      <c r="Z13" s="308"/>
    </row>
    <row r="14" spans="1:28">
      <c r="A14" s="308"/>
      <c r="B14" s="610" t="s">
        <v>746</v>
      </c>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row>
    <row r="15" spans="1:28">
      <c r="A15" s="308"/>
      <c r="B15" s="610" t="s">
        <v>747</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row>
    <row r="16" spans="1:28" ht="22.5" customHeight="1">
      <c r="A16" s="609"/>
      <c r="B16" s="610" t="s">
        <v>748</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row>
    <row r="17" spans="1:26">
      <c r="A17" s="609"/>
      <c r="B17" s="611" t="s">
        <v>749</v>
      </c>
      <c r="C17" s="611"/>
      <c r="D17" s="611"/>
      <c r="E17" s="611"/>
      <c r="F17" s="611"/>
      <c r="G17" s="611"/>
      <c r="H17" s="611"/>
      <c r="I17" s="611"/>
      <c r="J17" s="611"/>
      <c r="K17" s="611"/>
      <c r="L17" s="611"/>
      <c r="M17" s="611"/>
      <c r="N17" s="611"/>
      <c r="O17" s="611"/>
      <c r="P17" s="611"/>
      <c r="Q17" s="611"/>
      <c r="R17" s="611"/>
      <c r="S17" s="611"/>
      <c r="T17" s="611"/>
      <c r="U17" s="611"/>
      <c r="V17" s="611"/>
      <c r="W17" s="611"/>
      <c r="X17" s="611"/>
      <c r="Y17" s="611"/>
      <c r="Z17" s="611"/>
    </row>
    <row r="18" spans="1:26" ht="15.75" customHeight="1">
      <c r="A18" s="310"/>
      <c r="B18" s="612" t="s">
        <v>750</v>
      </c>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row>
  </sheetData>
  <mergeCells count="22">
    <mergeCell ref="A1:Z1"/>
    <mergeCell ref="A2:A4"/>
    <mergeCell ref="B2:B4"/>
    <mergeCell ref="C2:F3"/>
    <mergeCell ref="G2:Z2"/>
    <mergeCell ref="G3:J3"/>
    <mergeCell ref="K3:N3"/>
    <mergeCell ref="O3:R3"/>
    <mergeCell ref="S3:V3"/>
    <mergeCell ref="W3:Z3"/>
    <mergeCell ref="AB2:AB4"/>
    <mergeCell ref="B10:Z10"/>
    <mergeCell ref="B11:Z11"/>
    <mergeCell ref="B12:R12"/>
    <mergeCell ref="B13:R13"/>
    <mergeCell ref="A16:A17"/>
    <mergeCell ref="B16:Z16"/>
    <mergeCell ref="B17:Z17"/>
    <mergeCell ref="B18:Z18"/>
    <mergeCell ref="AA2:AA4"/>
    <mergeCell ref="B14:Z14"/>
    <mergeCell ref="B15:Z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AB61"/>
  <sheetViews>
    <sheetView topLeftCell="E32" workbookViewId="0">
      <selection activeCell="B25" sqref="B24:R25"/>
    </sheetView>
  </sheetViews>
  <sheetFormatPr defaultColWidth="8.85546875" defaultRowHeight="15"/>
  <cols>
    <col min="1" max="1" width="5" customWidth="1"/>
    <col min="2" max="2" width="46.85546875" customWidth="1"/>
    <col min="3" max="3" width="9.42578125" customWidth="1"/>
    <col min="4" max="4" width="10.28515625" customWidth="1"/>
    <col min="5" max="5" width="9" customWidth="1"/>
    <col min="6" max="6" width="7.7109375" customWidth="1"/>
    <col min="7" max="7" width="9.5703125" customWidth="1"/>
    <col min="8" max="8" width="10.42578125" customWidth="1"/>
    <col min="9" max="9" width="7.7109375" customWidth="1"/>
    <col min="10" max="10" width="7" customWidth="1"/>
    <col min="11" max="11" width="9.7109375" customWidth="1"/>
    <col min="12" max="12" width="10.140625" customWidth="1"/>
    <col min="13" max="14" width="7" customWidth="1"/>
    <col min="15" max="15" width="10.5703125" customWidth="1"/>
    <col min="16" max="16" width="9.42578125" customWidth="1"/>
    <col min="17" max="17" width="7" customWidth="1"/>
    <col min="18" max="18" width="8.28515625" customWidth="1"/>
    <col min="19" max="19" width="10.28515625" customWidth="1"/>
    <col min="20" max="20" width="10" customWidth="1"/>
    <col min="21" max="21" width="8.42578125" customWidth="1"/>
    <col min="22" max="22" width="8" customWidth="1"/>
    <col min="23" max="23" width="10.42578125" customWidth="1"/>
    <col min="24" max="24" width="9.85546875" customWidth="1"/>
    <col min="25" max="25" width="7.7109375" customWidth="1"/>
    <col min="26" max="26" width="8.42578125" customWidth="1"/>
    <col min="257" max="257" width="5" customWidth="1"/>
    <col min="258" max="258" width="46.85546875" customWidth="1"/>
    <col min="259" max="259" width="9.42578125" customWidth="1"/>
    <col min="260" max="260" width="10.28515625" customWidth="1"/>
    <col min="261" max="261" width="9" customWidth="1"/>
    <col min="262" max="262" width="7.7109375" customWidth="1"/>
    <col min="263" max="263" width="9.5703125" customWidth="1"/>
    <col min="264" max="264" width="10.42578125" customWidth="1"/>
    <col min="265" max="265" width="7.7109375" customWidth="1"/>
    <col min="266" max="266" width="7" customWidth="1"/>
    <col min="267" max="267" width="9.7109375" customWidth="1"/>
    <col min="268" max="268" width="10.140625" customWidth="1"/>
    <col min="269" max="270" width="7" customWidth="1"/>
    <col min="271" max="271" width="10.5703125" customWidth="1"/>
    <col min="272" max="272" width="9.42578125" customWidth="1"/>
    <col min="273" max="273" width="7" customWidth="1"/>
    <col min="274" max="274" width="8.28515625" customWidth="1"/>
    <col min="275" max="275" width="10.28515625" customWidth="1"/>
    <col min="276" max="276" width="10" customWidth="1"/>
    <col min="277" max="277" width="8.42578125" customWidth="1"/>
    <col min="278" max="278" width="8" customWidth="1"/>
    <col min="279" max="279" width="10.42578125" customWidth="1"/>
    <col min="280" max="280" width="9.85546875" customWidth="1"/>
    <col min="281" max="281" width="7.7109375" customWidth="1"/>
    <col min="282" max="282" width="8.42578125" customWidth="1"/>
    <col min="513" max="513" width="5" customWidth="1"/>
    <col min="514" max="514" width="46.85546875" customWidth="1"/>
    <col min="515" max="515" width="9.42578125" customWidth="1"/>
    <col min="516" max="516" width="10.28515625" customWidth="1"/>
    <col min="517" max="517" width="9" customWidth="1"/>
    <col min="518" max="518" width="7.7109375" customWidth="1"/>
    <col min="519" max="519" width="9.5703125" customWidth="1"/>
    <col min="520" max="520" width="10.42578125" customWidth="1"/>
    <col min="521" max="521" width="7.7109375" customWidth="1"/>
    <col min="522" max="522" width="7" customWidth="1"/>
    <col min="523" max="523" width="9.7109375" customWidth="1"/>
    <col min="524" max="524" width="10.140625" customWidth="1"/>
    <col min="525" max="526" width="7" customWidth="1"/>
    <col min="527" max="527" width="10.5703125" customWidth="1"/>
    <col min="528" max="528" width="9.42578125" customWidth="1"/>
    <col min="529" max="529" width="7" customWidth="1"/>
    <col min="530" max="530" width="8.28515625" customWidth="1"/>
    <col min="531" max="531" width="10.28515625" customWidth="1"/>
    <col min="532" max="532" width="10" customWidth="1"/>
    <col min="533" max="533" width="8.42578125" customWidth="1"/>
    <col min="534" max="534" width="8" customWidth="1"/>
    <col min="535" max="535" width="10.42578125" customWidth="1"/>
    <col min="536" max="536" width="9.85546875" customWidth="1"/>
    <col min="537" max="537" width="7.7109375" customWidth="1"/>
    <col min="538" max="538" width="8.42578125" customWidth="1"/>
    <col min="769" max="769" width="5" customWidth="1"/>
    <col min="770" max="770" width="46.85546875" customWidth="1"/>
    <col min="771" max="771" width="9.42578125" customWidth="1"/>
    <col min="772" max="772" width="10.28515625" customWidth="1"/>
    <col min="773" max="773" width="9" customWidth="1"/>
    <col min="774" max="774" width="7.7109375" customWidth="1"/>
    <col min="775" max="775" width="9.5703125" customWidth="1"/>
    <col min="776" max="776" width="10.42578125" customWidth="1"/>
    <col min="777" max="777" width="7.7109375" customWidth="1"/>
    <col min="778" max="778" width="7" customWidth="1"/>
    <col min="779" max="779" width="9.7109375" customWidth="1"/>
    <col min="780" max="780" width="10.140625" customWidth="1"/>
    <col min="781" max="782" width="7" customWidth="1"/>
    <col min="783" max="783" width="10.5703125" customWidth="1"/>
    <col min="784" max="784" width="9.42578125" customWidth="1"/>
    <col min="785" max="785" width="7" customWidth="1"/>
    <col min="786" max="786" width="8.28515625" customWidth="1"/>
    <col min="787" max="787" width="10.28515625" customWidth="1"/>
    <col min="788" max="788" width="10" customWidth="1"/>
    <col min="789" max="789" width="8.42578125" customWidth="1"/>
    <col min="790" max="790" width="8" customWidth="1"/>
    <col min="791" max="791" width="10.42578125" customWidth="1"/>
    <col min="792" max="792" width="9.85546875" customWidth="1"/>
    <col min="793" max="793" width="7.7109375" customWidth="1"/>
    <col min="794" max="794" width="8.42578125" customWidth="1"/>
    <col min="1025" max="1025" width="5" customWidth="1"/>
    <col min="1026" max="1026" width="46.85546875" customWidth="1"/>
    <col min="1027" max="1027" width="9.42578125" customWidth="1"/>
    <col min="1028" max="1028" width="10.28515625" customWidth="1"/>
    <col min="1029" max="1029" width="9" customWidth="1"/>
    <col min="1030" max="1030" width="7.7109375" customWidth="1"/>
    <col min="1031" max="1031" width="9.5703125" customWidth="1"/>
    <col min="1032" max="1032" width="10.42578125" customWidth="1"/>
    <col min="1033" max="1033" width="7.7109375" customWidth="1"/>
    <col min="1034" max="1034" width="7" customWidth="1"/>
    <col min="1035" max="1035" width="9.7109375" customWidth="1"/>
    <col min="1036" max="1036" width="10.140625" customWidth="1"/>
    <col min="1037" max="1038" width="7" customWidth="1"/>
    <col min="1039" max="1039" width="10.5703125" customWidth="1"/>
    <col min="1040" max="1040" width="9.42578125" customWidth="1"/>
    <col min="1041" max="1041" width="7" customWidth="1"/>
    <col min="1042" max="1042" width="8.28515625" customWidth="1"/>
    <col min="1043" max="1043" width="10.28515625" customWidth="1"/>
    <col min="1044" max="1044" width="10" customWidth="1"/>
    <col min="1045" max="1045" width="8.42578125" customWidth="1"/>
    <col min="1046" max="1046" width="8" customWidth="1"/>
    <col min="1047" max="1047" width="10.42578125" customWidth="1"/>
    <col min="1048" max="1048" width="9.85546875" customWidth="1"/>
    <col min="1049" max="1049" width="7.7109375" customWidth="1"/>
    <col min="1050" max="1050" width="8.42578125" customWidth="1"/>
    <col min="1281" max="1281" width="5" customWidth="1"/>
    <col min="1282" max="1282" width="46.85546875" customWidth="1"/>
    <col min="1283" max="1283" width="9.42578125" customWidth="1"/>
    <col min="1284" max="1284" width="10.28515625" customWidth="1"/>
    <col min="1285" max="1285" width="9" customWidth="1"/>
    <col min="1286" max="1286" width="7.7109375" customWidth="1"/>
    <col min="1287" max="1287" width="9.5703125" customWidth="1"/>
    <col min="1288" max="1288" width="10.42578125" customWidth="1"/>
    <col min="1289" max="1289" width="7.7109375" customWidth="1"/>
    <col min="1290" max="1290" width="7" customWidth="1"/>
    <col min="1291" max="1291" width="9.7109375" customWidth="1"/>
    <col min="1292" max="1292" width="10.140625" customWidth="1"/>
    <col min="1293" max="1294" width="7" customWidth="1"/>
    <col min="1295" max="1295" width="10.5703125" customWidth="1"/>
    <col min="1296" max="1296" width="9.42578125" customWidth="1"/>
    <col min="1297" max="1297" width="7" customWidth="1"/>
    <col min="1298" max="1298" width="8.28515625" customWidth="1"/>
    <col min="1299" max="1299" width="10.28515625" customWidth="1"/>
    <col min="1300" max="1300" width="10" customWidth="1"/>
    <col min="1301" max="1301" width="8.42578125" customWidth="1"/>
    <col min="1302" max="1302" width="8" customWidth="1"/>
    <col min="1303" max="1303" width="10.42578125" customWidth="1"/>
    <col min="1304" max="1304" width="9.85546875" customWidth="1"/>
    <col min="1305" max="1305" width="7.7109375" customWidth="1"/>
    <col min="1306" max="1306" width="8.42578125" customWidth="1"/>
    <col min="1537" max="1537" width="5" customWidth="1"/>
    <col min="1538" max="1538" width="46.85546875" customWidth="1"/>
    <col min="1539" max="1539" width="9.42578125" customWidth="1"/>
    <col min="1540" max="1540" width="10.28515625" customWidth="1"/>
    <col min="1541" max="1541" width="9" customWidth="1"/>
    <col min="1542" max="1542" width="7.7109375" customWidth="1"/>
    <col min="1543" max="1543" width="9.5703125" customWidth="1"/>
    <col min="1544" max="1544" width="10.42578125" customWidth="1"/>
    <col min="1545" max="1545" width="7.7109375" customWidth="1"/>
    <col min="1546" max="1546" width="7" customWidth="1"/>
    <col min="1547" max="1547" width="9.7109375" customWidth="1"/>
    <col min="1548" max="1548" width="10.140625" customWidth="1"/>
    <col min="1549" max="1550" width="7" customWidth="1"/>
    <col min="1551" max="1551" width="10.5703125" customWidth="1"/>
    <col min="1552" max="1552" width="9.42578125" customWidth="1"/>
    <col min="1553" max="1553" width="7" customWidth="1"/>
    <col min="1554" max="1554" width="8.28515625" customWidth="1"/>
    <col min="1555" max="1555" width="10.28515625" customWidth="1"/>
    <col min="1556" max="1556" width="10" customWidth="1"/>
    <col min="1557" max="1557" width="8.42578125" customWidth="1"/>
    <col min="1558" max="1558" width="8" customWidth="1"/>
    <col min="1559" max="1559" width="10.42578125" customWidth="1"/>
    <col min="1560" max="1560" width="9.85546875" customWidth="1"/>
    <col min="1561" max="1561" width="7.7109375" customWidth="1"/>
    <col min="1562" max="1562" width="8.42578125" customWidth="1"/>
    <col min="1793" max="1793" width="5" customWidth="1"/>
    <col min="1794" max="1794" width="46.85546875" customWidth="1"/>
    <col min="1795" max="1795" width="9.42578125" customWidth="1"/>
    <col min="1796" max="1796" width="10.28515625" customWidth="1"/>
    <col min="1797" max="1797" width="9" customWidth="1"/>
    <col min="1798" max="1798" width="7.7109375" customWidth="1"/>
    <col min="1799" max="1799" width="9.5703125" customWidth="1"/>
    <col min="1800" max="1800" width="10.42578125" customWidth="1"/>
    <col min="1801" max="1801" width="7.7109375" customWidth="1"/>
    <col min="1802" max="1802" width="7" customWidth="1"/>
    <col min="1803" max="1803" width="9.7109375" customWidth="1"/>
    <col min="1804" max="1804" width="10.140625" customWidth="1"/>
    <col min="1805" max="1806" width="7" customWidth="1"/>
    <col min="1807" max="1807" width="10.5703125" customWidth="1"/>
    <col min="1808" max="1808" width="9.42578125" customWidth="1"/>
    <col min="1809" max="1809" width="7" customWidth="1"/>
    <col min="1810" max="1810" width="8.28515625" customWidth="1"/>
    <col min="1811" max="1811" width="10.28515625" customWidth="1"/>
    <col min="1812" max="1812" width="10" customWidth="1"/>
    <col min="1813" max="1813" width="8.42578125" customWidth="1"/>
    <col min="1814" max="1814" width="8" customWidth="1"/>
    <col min="1815" max="1815" width="10.42578125" customWidth="1"/>
    <col min="1816" max="1816" width="9.85546875" customWidth="1"/>
    <col min="1817" max="1817" width="7.7109375" customWidth="1"/>
    <col min="1818" max="1818" width="8.42578125" customWidth="1"/>
    <col min="2049" max="2049" width="5" customWidth="1"/>
    <col min="2050" max="2050" width="46.85546875" customWidth="1"/>
    <col min="2051" max="2051" width="9.42578125" customWidth="1"/>
    <col min="2052" max="2052" width="10.28515625" customWidth="1"/>
    <col min="2053" max="2053" width="9" customWidth="1"/>
    <col min="2054" max="2054" width="7.7109375" customWidth="1"/>
    <col min="2055" max="2055" width="9.5703125" customWidth="1"/>
    <col min="2056" max="2056" width="10.42578125" customWidth="1"/>
    <col min="2057" max="2057" width="7.7109375" customWidth="1"/>
    <col min="2058" max="2058" width="7" customWidth="1"/>
    <col min="2059" max="2059" width="9.7109375" customWidth="1"/>
    <col min="2060" max="2060" width="10.140625" customWidth="1"/>
    <col min="2061" max="2062" width="7" customWidth="1"/>
    <col min="2063" max="2063" width="10.5703125" customWidth="1"/>
    <col min="2064" max="2064" width="9.42578125" customWidth="1"/>
    <col min="2065" max="2065" width="7" customWidth="1"/>
    <col min="2066" max="2066" width="8.28515625" customWidth="1"/>
    <col min="2067" max="2067" width="10.28515625" customWidth="1"/>
    <col min="2068" max="2068" width="10" customWidth="1"/>
    <col min="2069" max="2069" width="8.42578125" customWidth="1"/>
    <col min="2070" max="2070" width="8" customWidth="1"/>
    <col min="2071" max="2071" width="10.42578125" customWidth="1"/>
    <col min="2072" max="2072" width="9.85546875" customWidth="1"/>
    <col min="2073" max="2073" width="7.7109375" customWidth="1"/>
    <col min="2074" max="2074" width="8.42578125" customWidth="1"/>
    <col min="2305" max="2305" width="5" customWidth="1"/>
    <col min="2306" max="2306" width="46.85546875" customWidth="1"/>
    <col min="2307" max="2307" width="9.42578125" customWidth="1"/>
    <col min="2308" max="2308" width="10.28515625" customWidth="1"/>
    <col min="2309" max="2309" width="9" customWidth="1"/>
    <col min="2310" max="2310" width="7.7109375" customWidth="1"/>
    <col min="2311" max="2311" width="9.5703125" customWidth="1"/>
    <col min="2312" max="2312" width="10.42578125" customWidth="1"/>
    <col min="2313" max="2313" width="7.7109375" customWidth="1"/>
    <col min="2314" max="2314" width="7" customWidth="1"/>
    <col min="2315" max="2315" width="9.7109375" customWidth="1"/>
    <col min="2316" max="2316" width="10.140625" customWidth="1"/>
    <col min="2317" max="2318" width="7" customWidth="1"/>
    <col min="2319" max="2319" width="10.5703125" customWidth="1"/>
    <col min="2320" max="2320" width="9.42578125" customWidth="1"/>
    <col min="2321" max="2321" width="7" customWidth="1"/>
    <col min="2322" max="2322" width="8.28515625" customWidth="1"/>
    <col min="2323" max="2323" width="10.28515625" customWidth="1"/>
    <col min="2324" max="2324" width="10" customWidth="1"/>
    <col min="2325" max="2325" width="8.42578125" customWidth="1"/>
    <col min="2326" max="2326" width="8" customWidth="1"/>
    <col min="2327" max="2327" width="10.42578125" customWidth="1"/>
    <col min="2328" max="2328" width="9.85546875" customWidth="1"/>
    <col min="2329" max="2329" width="7.7109375" customWidth="1"/>
    <col min="2330" max="2330" width="8.42578125" customWidth="1"/>
    <col min="2561" max="2561" width="5" customWidth="1"/>
    <col min="2562" max="2562" width="46.85546875" customWidth="1"/>
    <col min="2563" max="2563" width="9.42578125" customWidth="1"/>
    <col min="2564" max="2564" width="10.28515625" customWidth="1"/>
    <col min="2565" max="2565" width="9" customWidth="1"/>
    <col min="2566" max="2566" width="7.7109375" customWidth="1"/>
    <col min="2567" max="2567" width="9.5703125" customWidth="1"/>
    <col min="2568" max="2568" width="10.42578125" customWidth="1"/>
    <col min="2569" max="2569" width="7.7109375" customWidth="1"/>
    <col min="2570" max="2570" width="7" customWidth="1"/>
    <col min="2571" max="2571" width="9.7109375" customWidth="1"/>
    <col min="2572" max="2572" width="10.140625" customWidth="1"/>
    <col min="2573" max="2574" width="7" customWidth="1"/>
    <col min="2575" max="2575" width="10.5703125" customWidth="1"/>
    <col min="2576" max="2576" width="9.42578125" customWidth="1"/>
    <col min="2577" max="2577" width="7" customWidth="1"/>
    <col min="2578" max="2578" width="8.28515625" customWidth="1"/>
    <col min="2579" max="2579" width="10.28515625" customWidth="1"/>
    <col min="2580" max="2580" width="10" customWidth="1"/>
    <col min="2581" max="2581" width="8.42578125" customWidth="1"/>
    <col min="2582" max="2582" width="8" customWidth="1"/>
    <col min="2583" max="2583" width="10.42578125" customWidth="1"/>
    <col min="2584" max="2584" width="9.85546875" customWidth="1"/>
    <col min="2585" max="2585" width="7.7109375" customWidth="1"/>
    <col min="2586" max="2586" width="8.42578125" customWidth="1"/>
    <col min="2817" max="2817" width="5" customWidth="1"/>
    <col min="2818" max="2818" width="46.85546875" customWidth="1"/>
    <col min="2819" max="2819" width="9.42578125" customWidth="1"/>
    <col min="2820" max="2820" width="10.28515625" customWidth="1"/>
    <col min="2821" max="2821" width="9" customWidth="1"/>
    <col min="2822" max="2822" width="7.7109375" customWidth="1"/>
    <col min="2823" max="2823" width="9.5703125" customWidth="1"/>
    <col min="2824" max="2824" width="10.42578125" customWidth="1"/>
    <col min="2825" max="2825" width="7.7109375" customWidth="1"/>
    <col min="2826" max="2826" width="7" customWidth="1"/>
    <col min="2827" max="2827" width="9.7109375" customWidth="1"/>
    <col min="2828" max="2828" width="10.140625" customWidth="1"/>
    <col min="2829" max="2830" width="7" customWidth="1"/>
    <col min="2831" max="2831" width="10.5703125" customWidth="1"/>
    <col min="2832" max="2832" width="9.42578125" customWidth="1"/>
    <col min="2833" max="2833" width="7" customWidth="1"/>
    <col min="2834" max="2834" width="8.28515625" customWidth="1"/>
    <col min="2835" max="2835" width="10.28515625" customWidth="1"/>
    <col min="2836" max="2836" width="10" customWidth="1"/>
    <col min="2837" max="2837" width="8.42578125" customWidth="1"/>
    <col min="2838" max="2838" width="8" customWidth="1"/>
    <col min="2839" max="2839" width="10.42578125" customWidth="1"/>
    <col min="2840" max="2840" width="9.85546875" customWidth="1"/>
    <col min="2841" max="2841" width="7.7109375" customWidth="1"/>
    <col min="2842" max="2842" width="8.42578125" customWidth="1"/>
    <col min="3073" max="3073" width="5" customWidth="1"/>
    <col min="3074" max="3074" width="46.85546875" customWidth="1"/>
    <col min="3075" max="3075" width="9.42578125" customWidth="1"/>
    <col min="3076" max="3076" width="10.28515625" customWidth="1"/>
    <col min="3077" max="3077" width="9" customWidth="1"/>
    <col min="3078" max="3078" width="7.7109375" customWidth="1"/>
    <col min="3079" max="3079" width="9.5703125" customWidth="1"/>
    <col min="3080" max="3080" width="10.42578125" customWidth="1"/>
    <col min="3081" max="3081" width="7.7109375" customWidth="1"/>
    <col min="3082" max="3082" width="7" customWidth="1"/>
    <col min="3083" max="3083" width="9.7109375" customWidth="1"/>
    <col min="3084" max="3084" width="10.140625" customWidth="1"/>
    <col min="3085" max="3086" width="7" customWidth="1"/>
    <col min="3087" max="3087" width="10.5703125" customWidth="1"/>
    <col min="3088" max="3088" width="9.42578125" customWidth="1"/>
    <col min="3089" max="3089" width="7" customWidth="1"/>
    <col min="3090" max="3090" width="8.28515625" customWidth="1"/>
    <col min="3091" max="3091" width="10.28515625" customWidth="1"/>
    <col min="3092" max="3092" width="10" customWidth="1"/>
    <col min="3093" max="3093" width="8.42578125" customWidth="1"/>
    <col min="3094" max="3094" width="8" customWidth="1"/>
    <col min="3095" max="3095" width="10.42578125" customWidth="1"/>
    <col min="3096" max="3096" width="9.85546875" customWidth="1"/>
    <col min="3097" max="3097" width="7.7109375" customWidth="1"/>
    <col min="3098" max="3098" width="8.42578125" customWidth="1"/>
    <col min="3329" max="3329" width="5" customWidth="1"/>
    <col min="3330" max="3330" width="46.85546875" customWidth="1"/>
    <col min="3331" max="3331" width="9.42578125" customWidth="1"/>
    <col min="3332" max="3332" width="10.28515625" customWidth="1"/>
    <col min="3333" max="3333" width="9" customWidth="1"/>
    <col min="3334" max="3334" width="7.7109375" customWidth="1"/>
    <col min="3335" max="3335" width="9.5703125" customWidth="1"/>
    <col min="3336" max="3336" width="10.42578125" customWidth="1"/>
    <col min="3337" max="3337" width="7.7109375" customWidth="1"/>
    <col min="3338" max="3338" width="7" customWidth="1"/>
    <col min="3339" max="3339" width="9.7109375" customWidth="1"/>
    <col min="3340" max="3340" width="10.140625" customWidth="1"/>
    <col min="3341" max="3342" width="7" customWidth="1"/>
    <col min="3343" max="3343" width="10.5703125" customWidth="1"/>
    <col min="3344" max="3344" width="9.42578125" customWidth="1"/>
    <col min="3345" max="3345" width="7" customWidth="1"/>
    <col min="3346" max="3346" width="8.28515625" customWidth="1"/>
    <col min="3347" max="3347" width="10.28515625" customWidth="1"/>
    <col min="3348" max="3348" width="10" customWidth="1"/>
    <col min="3349" max="3349" width="8.42578125" customWidth="1"/>
    <col min="3350" max="3350" width="8" customWidth="1"/>
    <col min="3351" max="3351" width="10.42578125" customWidth="1"/>
    <col min="3352" max="3352" width="9.85546875" customWidth="1"/>
    <col min="3353" max="3353" width="7.7109375" customWidth="1"/>
    <col min="3354" max="3354" width="8.42578125" customWidth="1"/>
    <col min="3585" max="3585" width="5" customWidth="1"/>
    <col min="3586" max="3586" width="46.85546875" customWidth="1"/>
    <col min="3587" max="3587" width="9.42578125" customWidth="1"/>
    <col min="3588" max="3588" width="10.28515625" customWidth="1"/>
    <col min="3589" max="3589" width="9" customWidth="1"/>
    <col min="3590" max="3590" width="7.7109375" customWidth="1"/>
    <col min="3591" max="3591" width="9.5703125" customWidth="1"/>
    <col min="3592" max="3592" width="10.42578125" customWidth="1"/>
    <col min="3593" max="3593" width="7.7109375" customWidth="1"/>
    <col min="3594" max="3594" width="7" customWidth="1"/>
    <col min="3595" max="3595" width="9.7109375" customWidth="1"/>
    <col min="3596" max="3596" width="10.140625" customWidth="1"/>
    <col min="3597" max="3598" width="7" customWidth="1"/>
    <col min="3599" max="3599" width="10.5703125" customWidth="1"/>
    <col min="3600" max="3600" width="9.42578125" customWidth="1"/>
    <col min="3601" max="3601" width="7" customWidth="1"/>
    <col min="3602" max="3602" width="8.28515625" customWidth="1"/>
    <col min="3603" max="3603" width="10.28515625" customWidth="1"/>
    <col min="3604" max="3604" width="10" customWidth="1"/>
    <col min="3605" max="3605" width="8.42578125" customWidth="1"/>
    <col min="3606" max="3606" width="8" customWidth="1"/>
    <col min="3607" max="3607" width="10.42578125" customWidth="1"/>
    <col min="3608" max="3608" width="9.85546875" customWidth="1"/>
    <col min="3609" max="3609" width="7.7109375" customWidth="1"/>
    <col min="3610" max="3610" width="8.42578125" customWidth="1"/>
    <col min="3841" max="3841" width="5" customWidth="1"/>
    <col min="3842" max="3842" width="46.85546875" customWidth="1"/>
    <col min="3843" max="3843" width="9.42578125" customWidth="1"/>
    <col min="3844" max="3844" width="10.28515625" customWidth="1"/>
    <col min="3845" max="3845" width="9" customWidth="1"/>
    <col min="3846" max="3846" width="7.7109375" customWidth="1"/>
    <col min="3847" max="3847" width="9.5703125" customWidth="1"/>
    <col min="3848" max="3848" width="10.42578125" customWidth="1"/>
    <col min="3849" max="3849" width="7.7109375" customWidth="1"/>
    <col min="3850" max="3850" width="7" customWidth="1"/>
    <col min="3851" max="3851" width="9.7109375" customWidth="1"/>
    <col min="3852" max="3852" width="10.140625" customWidth="1"/>
    <col min="3853" max="3854" width="7" customWidth="1"/>
    <col min="3855" max="3855" width="10.5703125" customWidth="1"/>
    <col min="3856" max="3856" width="9.42578125" customWidth="1"/>
    <col min="3857" max="3857" width="7" customWidth="1"/>
    <col min="3858" max="3858" width="8.28515625" customWidth="1"/>
    <col min="3859" max="3859" width="10.28515625" customWidth="1"/>
    <col min="3860" max="3860" width="10" customWidth="1"/>
    <col min="3861" max="3861" width="8.42578125" customWidth="1"/>
    <col min="3862" max="3862" width="8" customWidth="1"/>
    <col min="3863" max="3863" width="10.42578125" customWidth="1"/>
    <col min="3864" max="3864" width="9.85546875" customWidth="1"/>
    <col min="3865" max="3865" width="7.7109375" customWidth="1"/>
    <col min="3866" max="3866" width="8.42578125" customWidth="1"/>
    <col min="4097" max="4097" width="5" customWidth="1"/>
    <col min="4098" max="4098" width="46.85546875" customWidth="1"/>
    <col min="4099" max="4099" width="9.42578125" customWidth="1"/>
    <col min="4100" max="4100" width="10.28515625" customWidth="1"/>
    <col min="4101" max="4101" width="9" customWidth="1"/>
    <col min="4102" max="4102" width="7.7109375" customWidth="1"/>
    <col min="4103" max="4103" width="9.5703125" customWidth="1"/>
    <col min="4104" max="4104" width="10.42578125" customWidth="1"/>
    <col min="4105" max="4105" width="7.7109375" customWidth="1"/>
    <col min="4106" max="4106" width="7" customWidth="1"/>
    <col min="4107" max="4107" width="9.7109375" customWidth="1"/>
    <col min="4108" max="4108" width="10.140625" customWidth="1"/>
    <col min="4109" max="4110" width="7" customWidth="1"/>
    <col min="4111" max="4111" width="10.5703125" customWidth="1"/>
    <col min="4112" max="4112" width="9.42578125" customWidth="1"/>
    <col min="4113" max="4113" width="7" customWidth="1"/>
    <col min="4114" max="4114" width="8.28515625" customWidth="1"/>
    <col min="4115" max="4115" width="10.28515625" customWidth="1"/>
    <col min="4116" max="4116" width="10" customWidth="1"/>
    <col min="4117" max="4117" width="8.42578125" customWidth="1"/>
    <col min="4118" max="4118" width="8" customWidth="1"/>
    <col min="4119" max="4119" width="10.42578125" customWidth="1"/>
    <col min="4120" max="4120" width="9.85546875" customWidth="1"/>
    <col min="4121" max="4121" width="7.7109375" customWidth="1"/>
    <col min="4122" max="4122" width="8.42578125" customWidth="1"/>
    <col min="4353" max="4353" width="5" customWidth="1"/>
    <col min="4354" max="4354" width="46.85546875" customWidth="1"/>
    <col min="4355" max="4355" width="9.42578125" customWidth="1"/>
    <col min="4356" max="4356" width="10.28515625" customWidth="1"/>
    <col min="4357" max="4357" width="9" customWidth="1"/>
    <col min="4358" max="4358" width="7.7109375" customWidth="1"/>
    <col min="4359" max="4359" width="9.5703125" customWidth="1"/>
    <col min="4360" max="4360" width="10.42578125" customWidth="1"/>
    <col min="4361" max="4361" width="7.7109375" customWidth="1"/>
    <col min="4362" max="4362" width="7" customWidth="1"/>
    <col min="4363" max="4363" width="9.7109375" customWidth="1"/>
    <col min="4364" max="4364" width="10.140625" customWidth="1"/>
    <col min="4365" max="4366" width="7" customWidth="1"/>
    <col min="4367" max="4367" width="10.5703125" customWidth="1"/>
    <col min="4368" max="4368" width="9.42578125" customWidth="1"/>
    <col min="4369" max="4369" width="7" customWidth="1"/>
    <col min="4370" max="4370" width="8.28515625" customWidth="1"/>
    <col min="4371" max="4371" width="10.28515625" customWidth="1"/>
    <col min="4372" max="4372" width="10" customWidth="1"/>
    <col min="4373" max="4373" width="8.42578125" customWidth="1"/>
    <col min="4374" max="4374" width="8" customWidth="1"/>
    <col min="4375" max="4375" width="10.42578125" customWidth="1"/>
    <col min="4376" max="4376" width="9.85546875" customWidth="1"/>
    <col min="4377" max="4377" width="7.7109375" customWidth="1"/>
    <col min="4378" max="4378" width="8.42578125" customWidth="1"/>
    <col min="4609" max="4609" width="5" customWidth="1"/>
    <col min="4610" max="4610" width="46.85546875" customWidth="1"/>
    <col min="4611" max="4611" width="9.42578125" customWidth="1"/>
    <col min="4612" max="4612" width="10.28515625" customWidth="1"/>
    <col min="4613" max="4613" width="9" customWidth="1"/>
    <col min="4614" max="4614" width="7.7109375" customWidth="1"/>
    <col min="4615" max="4615" width="9.5703125" customWidth="1"/>
    <col min="4616" max="4616" width="10.42578125" customWidth="1"/>
    <col min="4617" max="4617" width="7.7109375" customWidth="1"/>
    <col min="4618" max="4618" width="7" customWidth="1"/>
    <col min="4619" max="4619" width="9.7109375" customWidth="1"/>
    <col min="4620" max="4620" width="10.140625" customWidth="1"/>
    <col min="4621" max="4622" width="7" customWidth="1"/>
    <col min="4623" max="4623" width="10.5703125" customWidth="1"/>
    <col min="4624" max="4624" width="9.42578125" customWidth="1"/>
    <col min="4625" max="4625" width="7" customWidth="1"/>
    <col min="4626" max="4626" width="8.28515625" customWidth="1"/>
    <col min="4627" max="4627" width="10.28515625" customWidth="1"/>
    <col min="4628" max="4628" width="10" customWidth="1"/>
    <col min="4629" max="4629" width="8.42578125" customWidth="1"/>
    <col min="4630" max="4630" width="8" customWidth="1"/>
    <col min="4631" max="4631" width="10.42578125" customWidth="1"/>
    <col min="4632" max="4632" width="9.85546875" customWidth="1"/>
    <col min="4633" max="4633" width="7.7109375" customWidth="1"/>
    <col min="4634" max="4634" width="8.42578125" customWidth="1"/>
    <col min="4865" max="4865" width="5" customWidth="1"/>
    <col min="4866" max="4866" width="46.85546875" customWidth="1"/>
    <col min="4867" max="4867" width="9.42578125" customWidth="1"/>
    <col min="4868" max="4868" width="10.28515625" customWidth="1"/>
    <col min="4869" max="4869" width="9" customWidth="1"/>
    <col min="4870" max="4870" width="7.7109375" customWidth="1"/>
    <col min="4871" max="4871" width="9.5703125" customWidth="1"/>
    <col min="4872" max="4872" width="10.42578125" customWidth="1"/>
    <col min="4873" max="4873" width="7.7109375" customWidth="1"/>
    <col min="4874" max="4874" width="7" customWidth="1"/>
    <col min="4875" max="4875" width="9.7109375" customWidth="1"/>
    <col min="4876" max="4876" width="10.140625" customWidth="1"/>
    <col min="4877" max="4878" width="7" customWidth="1"/>
    <col min="4879" max="4879" width="10.5703125" customWidth="1"/>
    <col min="4880" max="4880" width="9.42578125" customWidth="1"/>
    <col min="4881" max="4881" width="7" customWidth="1"/>
    <col min="4882" max="4882" width="8.28515625" customWidth="1"/>
    <col min="4883" max="4883" width="10.28515625" customWidth="1"/>
    <col min="4884" max="4884" width="10" customWidth="1"/>
    <col min="4885" max="4885" width="8.42578125" customWidth="1"/>
    <col min="4886" max="4886" width="8" customWidth="1"/>
    <col min="4887" max="4887" width="10.42578125" customWidth="1"/>
    <col min="4888" max="4888" width="9.85546875" customWidth="1"/>
    <col min="4889" max="4889" width="7.7109375" customWidth="1"/>
    <col min="4890" max="4890" width="8.42578125" customWidth="1"/>
    <col min="5121" max="5121" width="5" customWidth="1"/>
    <col min="5122" max="5122" width="46.85546875" customWidth="1"/>
    <col min="5123" max="5123" width="9.42578125" customWidth="1"/>
    <col min="5124" max="5124" width="10.28515625" customWidth="1"/>
    <col min="5125" max="5125" width="9" customWidth="1"/>
    <col min="5126" max="5126" width="7.7109375" customWidth="1"/>
    <col min="5127" max="5127" width="9.5703125" customWidth="1"/>
    <col min="5128" max="5128" width="10.42578125" customWidth="1"/>
    <col min="5129" max="5129" width="7.7109375" customWidth="1"/>
    <col min="5130" max="5130" width="7" customWidth="1"/>
    <col min="5131" max="5131" width="9.7109375" customWidth="1"/>
    <col min="5132" max="5132" width="10.140625" customWidth="1"/>
    <col min="5133" max="5134" width="7" customWidth="1"/>
    <col min="5135" max="5135" width="10.5703125" customWidth="1"/>
    <col min="5136" max="5136" width="9.42578125" customWidth="1"/>
    <col min="5137" max="5137" width="7" customWidth="1"/>
    <col min="5138" max="5138" width="8.28515625" customWidth="1"/>
    <col min="5139" max="5139" width="10.28515625" customWidth="1"/>
    <col min="5140" max="5140" width="10" customWidth="1"/>
    <col min="5141" max="5141" width="8.42578125" customWidth="1"/>
    <col min="5142" max="5142" width="8" customWidth="1"/>
    <col min="5143" max="5143" width="10.42578125" customWidth="1"/>
    <col min="5144" max="5144" width="9.85546875" customWidth="1"/>
    <col min="5145" max="5145" width="7.7109375" customWidth="1"/>
    <col min="5146" max="5146" width="8.42578125" customWidth="1"/>
    <col min="5377" max="5377" width="5" customWidth="1"/>
    <col min="5378" max="5378" width="46.85546875" customWidth="1"/>
    <col min="5379" max="5379" width="9.42578125" customWidth="1"/>
    <col min="5380" max="5380" width="10.28515625" customWidth="1"/>
    <col min="5381" max="5381" width="9" customWidth="1"/>
    <col min="5382" max="5382" width="7.7109375" customWidth="1"/>
    <col min="5383" max="5383" width="9.5703125" customWidth="1"/>
    <col min="5384" max="5384" width="10.42578125" customWidth="1"/>
    <col min="5385" max="5385" width="7.7109375" customWidth="1"/>
    <col min="5386" max="5386" width="7" customWidth="1"/>
    <col min="5387" max="5387" width="9.7109375" customWidth="1"/>
    <col min="5388" max="5388" width="10.140625" customWidth="1"/>
    <col min="5389" max="5390" width="7" customWidth="1"/>
    <col min="5391" max="5391" width="10.5703125" customWidth="1"/>
    <col min="5392" max="5392" width="9.42578125" customWidth="1"/>
    <col min="5393" max="5393" width="7" customWidth="1"/>
    <col min="5394" max="5394" width="8.28515625" customWidth="1"/>
    <col min="5395" max="5395" width="10.28515625" customWidth="1"/>
    <col min="5396" max="5396" width="10" customWidth="1"/>
    <col min="5397" max="5397" width="8.42578125" customWidth="1"/>
    <col min="5398" max="5398" width="8" customWidth="1"/>
    <col min="5399" max="5399" width="10.42578125" customWidth="1"/>
    <col min="5400" max="5400" width="9.85546875" customWidth="1"/>
    <col min="5401" max="5401" width="7.7109375" customWidth="1"/>
    <col min="5402" max="5402" width="8.42578125" customWidth="1"/>
    <col min="5633" max="5633" width="5" customWidth="1"/>
    <col min="5634" max="5634" width="46.85546875" customWidth="1"/>
    <col min="5635" max="5635" width="9.42578125" customWidth="1"/>
    <col min="5636" max="5636" width="10.28515625" customWidth="1"/>
    <col min="5637" max="5637" width="9" customWidth="1"/>
    <col min="5638" max="5638" width="7.7109375" customWidth="1"/>
    <col min="5639" max="5639" width="9.5703125" customWidth="1"/>
    <col min="5640" max="5640" width="10.42578125" customWidth="1"/>
    <col min="5641" max="5641" width="7.7109375" customWidth="1"/>
    <col min="5642" max="5642" width="7" customWidth="1"/>
    <col min="5643" max="5643" width="9.7109375" customWidth="1"/>
    <col min="5644" max="5644" width="10.140625" customWidth="1"/>
    <col min="5645" max="5646" width="7" customWidth="1"/>
    <col min="5647" max="5647" width="10.5703125" customWidth="1"/>
    <col min="5648" max="5648" width="9.42578125" customWidth="1"/>
    <col min="5649" max="5649" width="7" customWidth="1"/>
    <col min="5650" max="5650" width="8.28515625" customWidth="1"/>
    <col min="5651" max="5651" width="10.28515625" customWidth="1"/>
    <col min="5652" max="5652" width="10" customWidth="1"/>
    <col min="5653" max="5653" width="8.42578125" customWidth="1"/>
    <col min="5654" max="5654" width="8" customWidth="1"/>
    <col min="5655" max="5655" width="10.42578125" customWidth="1"/>
    <col min="5656" max="5656" width="9.85546875" customWidth="1"/>
    <col min="5657" max="5657" width="7.7109375" customWidth="1"/>
    <col min="5658" max="5658" width="8.42578125" customWidth="1"/>
    <col min="5889" max="5889" width="5" customWidth="1"/>
    <col min="5890" max="5890" width="46.85546875" customWidth="1"/>
    <col min="5891" max="5891" width="9.42578125" customWidth="1"/>
    <col min="5892" max="5892" width="10.28515625" customWidth="1"/>
    <col min="5893" max="5893" width="9" customWidth="1"/>
    <col min="5894" max="5894" width="7.7109375" customWidth="1"/>
    <col min="5895" max="5895" width="9.5703125" customWidth="1"/>
    <col min="5896" max="5896" width="10.42578125" customWidth="1"/>
    <col min="5897" max="5897" width="7.7109375" customWidth="1"/>
    <col min="5898" max="5898" width="7" customWidth="1"/>
    <col min="5899" max="5899" width="9.7109375" customWidth="1"/>
    <col min="5900" max="5900" width="10.140625" customWidth="1"/>
    <col min="5901" max="5902" width="7" customWidth="1"/>
    <col min="5903" max="5903" width="10.5703125" customWidth="1"/>
    <col min="5904" max="5904" width="9.42578125" customWidth="1"/>
    <col min="5905" max="5905" width="7" customWidth="1"/>
    <col min="5906" max="5906" width="8.28515625" customWidth="1"/>
    <col min="5907" max="5907" width="10.28515625" customWidth="1"/>
    <col min="5908" max="5908" width="10" customWidth="1"/>
    <col min="5909" max="5909" width="8.42578125" customWidth="1"/>
    <col min="5910" max="5910" width="8" customWidth="1"/>
    <col min="5911" max="5911" width="10.42578125" customWidth="1"/>
    <col min="5912" max="5912" width="9.85546875" customWidth="1"/>
    <col min="5913" max="5913" width="7.7109375" customWidth="1"/>
    <col min="5914" max="5914" width="8.42578125" customWidth="1"/>
    <col min="6145" max="6145" width="5" customWidth="1"/>
    <col min="6146" max="6146" width="46.85546875" customWidth="1"/>
    <col min="6147" max="6147" width="9.42578125" customWidth="1"/>
    <col min="6148" max="6148" width="10.28515625" customWidth="1"/>
    <col min="6149" max="6149" width="9" customWidth="1"/>
    <col min="6150" max="6150" width="7.7109375" customWidth="1"/>
    <col min="6151" max="6151" width="9.5703125" customWidth="1"/>
    <col min="6152" max="6152" width="10.42578125" customWidth="1"/>
    <col min="6153" max="6153" width="7.7109375" customWidth="1"/>
    <col min="6154" max="6154" width="7" customWidth="1"/>
    <col min="6155" max="6155" width="9.7109375" customWidth="1"/>
    <col min="6156" max="6156" width="10.140625" customWidth="1"/>
    <col min="6157" max="6158" width="7" customWidth="1"/>
    <col min="6159" max="6159" width="10.5703125" customWidth="1"/>
    <col min="6160" max="6160" width="9.42578125" customWidth="1"/>
    <col min="6161" max="6161" width="7" customWidth="1"/>
    <col min="6162" max="6162" width="8.28515625" customWidth="1"/>
    <col min="6163" max="6163" width="10.28515625" customWidth="1"/>
    <col min="6164" max="6164" width="10" customWidth="1"/>
    <col min="6165" max="6165" width="8.42578125" customWidth="1"/>
    <col min="6166" max="6166" width="8" customWidth="1"/>
    <col min="6167" max="6167" width="10.42578125" customWidth="1"/>
    <col min="6168" max="6168" width="9.85546875" customWidth="1"/>
    <col min="6169" max="6169" width="7.7109375" customWidth="1"/>
    <col min="6170" max="6170" width="8.42578125" customWidth="1"/>
    <col min="6401" max="6401" width="5" customWidth="1"/>
    <col min="6402" max="6402" width="46.85546875" customWidth="1"/>
    <col min="6403" max="6403" width="9.42578125" customWidth="1"/>
    <col min="6404" max="6404" width="10.28515625" customWidth="1"/>
    <col min="6405" max="6405" width="9" customWidth="1"/>
    <col min="6406" max="6406" width="7.7109375" customWidth="1"/>
    <col min="6407" max="6407" width="9.5703125" customWidth="1"/>
    <col min="6408" max="6408" width="10.42578125" customWidth="1"/>
    <col min="6409" max="6409" width="7.7109375" customWidth="1"/>
    <col min="6410" max="6410" width="7" customWidth="1"/>
    <col min="6411" max="6411" width="9.7109375" customWidth="1"/>
    <col min="6412" max="6412" width="10.140625" customWidth="1"/>
    <col min="6413" max="6414" width="7" customWidth="1"/>
    <col min="6415" max="6415" width="10.5703125" customWidth="1"/>
    <col min="6416" max="6416" width="9.42578125" customWidth="1"/>
    <col min="6417" max="6417" width="7" customWidth="1"/>
    <col min="6418" max="6418" width="8.28515625" customWidth="1"/>
    <col min="6419" max="6419" width="10.28515625" customWidth="1"/>
    <col min="6420" max="6420" width="10" customWidth="1"/>
    <col min="6421" max="6421" width="8.42578125" customWidth="1"/>
    <col min="6422" max="6422" width="8" customWidth="1"/>
    <col min="6423" max="6423" width="10.42578125" customWidth="1"/>
    <col min="6424" max="6424" width="9.85546875" customWidth="1"/>
    <col min="6425" max="6425" width="7.7109375" customWidth="1"/>
    <col min="6426" max="6426" width="8.42578125" customWidth="1"/>
    <col min="6657" max="6657" width="5" customWidth="1"/>
    <col min="6658" max="6658" width="46.85546875" customWidth="1"/>
    <col min="6659" max="6659" width="9.42578125" customWidth="1"/>
    <col min="6660" max="6660" width="10.28515625" customWidth="1"/>
    <col min="6661" max="6661" width="9" customWidth="1"/>
    <col min="6662" max="6662" width="7.7109375" customWidth="1"/>
    <col min="6663" max="6663" width="9.5703125" customWidth="1"/>
    <col min="6664" max="6664" width="10.42578125" customWidth="1"/>
    <col min="6665" max="6665" width="7.7109375" customWidth="1"/>
    <col min="6666" max="6666" width="7" customWidth="1"/>
    <col min="6667" max="6667" width="9.7109375" customWidth="1"/>
    <col min="6668" max="6668" width="10.140625" customWidth="1"/>
    <col min="6669" max="6670" width="7" customWidth="1"/>
    <col min="6671" max="6671" width="10.5703125" customWidth="1"/>
    <col min="6672" max="6672" width="9.42578125" customWidth="1"/>
    <col min="6673" max="6673" width="7" customWidth="1"/>
    <col min="6674" max="6674" width="8.28515625" customWidth="1"/>
    <col min="6675" max="6675" width="10.28515625" customWidth="1"/>
    <col min="6676" max="6676" width="10" customWidth="1"/>
    <col min="6677" max="6677" width="8.42578125" customWidth="1"/>
    <col min="6678" max="6678" width="8" customWidth="1"/>
    <col min="6679" max="6679" width="10.42578125" customWidth="1"/>
    <col min="6680" max="6680" width="9.85546875" customWidth="1"/>
    <col min="6681" max="6681" width="7.7109375" customWidth="1"/>
    <col min="6682" max="6682" width="8.42578125" customWidth="1"/>
    <col min="6913" max="6913" width="5" customWidth="1"/>
    <col min="6914" max="6914" width="46.85546875" customWidth="1"/>
    <col min="6915" max="6915" width="9.42578125" customWidth="1"/>
    <col min="6916" max="6916" width="10.28515625" customWidth="1"/>
    <col min="6917" max="6917" width="9" customWidth="1"/>
    <col min="6918" max="6918" width="7.7109375" customWidth="1"/>
    <col min="6919" max="6919" width="9.5703125" customWidth="1"/>
    <col min="6920" max="6920" width="10.42578125" customWidth="1"/>
    <col min="6921" max="6921" width="7.7109375" customWidth="1"/>
    <col min="6922" max="6922" width="7" customWidth="1"/>
    <col min="6923" max="6923" width="9.7109375" customWidth="1"/>
    <col min="6924" max="6924" width="10.140625" customWidth="1"/>
    <col min="6925" max="6926" width="7" customWidth="1"/>
    <col min="6927" max="6927" width="10.5703125" customWidth="1"/>
    <col min="6928" max="6928" width="9.42578125" customWidth="1"/>
    <col min="6929" max="6929" width="7" customWidth="1"/>
    <col min="6930" max="6930" width="8.28515625" customWidth="1"/>
    <col min="6931" max="6931" width="10.28515625" customWidth="1"/>
    <col min="6932" max="6932" width="10" customWidth="1"/>
    <col min="6933" max="6933" width="8.42578125" customWidth="1"/>
    <col min="6934" max="6934" width="8" customWidth="1"/>
    <col min="6935" max="6935" width="10.42578125" customWidth="1"/>
    <col min="6936" max="6936" width="9.85546875" customWidth="1"/>
    <col min="6937" max="6937" width="7.7109375" customWidth="1"/>
    <col min="6938" max="6938" width="8.42578125" customWidth="1"/>
    <col min="7169" max="7169" width="5" customWidth="1"/>
    <col min="7170" max="7170" width="46.85546875" customWidth="1"/>
    <col min="7171" max="7171" width="9.42578125" customWidth="1"/>
    <col min="7172" max="7172" width="10.28515625" customWidth="1"/>
    <col min="7173" max="7173" width="9" customWidth="1"/>
    <col min="7174" max="7174" width="7.7109375" customWidth="1"/>
    <col min="7175" max="7175" width="9.5703125" customWidth="1"/>
    <col min="7176" max="7176" width="10.42578125" customWidth="1"/>
    <col min="7177" max="7177" width="7.7109375" customWidth="1"/>
    <col min="7178" max="7178" width="7" customWidth="1"/>
    <col min="7179" max="7179" width="9.7109375" customWidth="1"/>
    <col min="7180" max="7180" width="10.140625" customWidth="1"/>
    <col min="7181" max="7182" width="7" customWidth="1"/>
    <col min="7183" max="7183" width="10.5703125" customWidth="1"/>
    <col min="7184" max="7184" width="9.42578125" customWidth="1"/>
    <col min="7185" max="7185" width="7" customWidth="1"/>
    <col min="7186" max="7186" width="8.28515625" customWidth="1"/>
    <col min="7187" max="7187" width="10.28515625" customWidth="1"/>
    <col min="7188" max="7188" width="10" customWidth="1"/>
    <col min="7189" max="7189" width="8.42578125" customWidth="1"/>
    <col min="7190" max="7190" width="8" customWidth="1"/>
    <col min="7191" max="7191" width="10.42578125" customWidth="1"/>
    <col min="7192" max="7192" width="9.85546875" customWidth="1"/>
    <col min="7193" max="7193" width="7.7109375" customWidth="1"/>
    <col min="7194" max="7194" width="8.42578125" customWidth="1"/>
    <col min="7425" max="7425" width="5" customWidth="1"/>
    <col min="7426" max="7426" width="46.85546875" customWidth="1"/>
    <col min="7427" max="7427" width="9.42578125" customWidth="1"/>
    <col min="7428" max="7428" width="10.28515625" customWidth="1"/>
    <col min="7429" max="7429" width="9" customWidth="1"/>
    <col min="7430" max="7430" width="7.7109375" customWidth="1"/>
    <col min="7431" max="7431" width="9.5703125" customWidth="1"/>
    <col min="7432" max="7432" width="10.42578125" customWidth="1"/>
    <col min="7433" max="7433" width="7.7109375" customWidth="1"/>
    <col min="7434" max="7434" width="7" customWidth="1"/>
    <col min="7435" max="7435" width="9.7109375" customWidth="1"/>
    <col min="7436" max="7436" width="10.140625" customWidth="1"/>
    <col min="7437" max="7438" width="7" customWidth="1"/>
    <col min="7439" max="7439" width="10.5703125" customWidth="1"/>
    <col min="7440" max="7440" width="9.42578125" customWidth="1"/>
    <col min="7441" max="7441" width="7" customWidth="1"/>
    <col min="7442" max="7442" width="8.28515625" customWidth="1"/>
    <col min="7443" max="7443" width="10.28515625" customWidth="1"/>
    <col min="7444" max="7444" width="10" customWidth="1"/>
    <col min="7445" max="7445" width="8.42578125" customWidth="1"/>
    <col min="7446" max="7446" width="8" customWidth="1"/>
    <col min="7447" max="7447" width="10.42578125" customWidth="1"/>
    <col min="7448" max="7448" width="9.85546875" customWidth="1"/>
    <col min="7449" max="7449" width="7.7109375" customWidth="1"/>
    <col min="7450" max="7450" width="8.42578125" customWidth="1"/>
    <col min="7681" max="7681" width="5" customWidth="1"/>
    <col min="7682" max="7682" width="46.85546875" customWidth="1"/>
    <col min="7683" max="7683" width="9.42578125" customWidth="1"/>
    <col min="7684" max="7684" width="10.28515625" customWidth="1"/>
    <col min="7685" max="7685" width="9" customWidth="1"/>
    <col min="7686" max="7686" width="7.7109375" customWidth="1"/>
    <col min="7687" max="7687" width="9.5703125" customWidth="1"/>
    <col min="7688" max="7688" width="10.42578125" customWidth="1"/>
    <col min="7689" max="7689" width="7.7109375" customWidth="1"/>
    <col min="7690" max="7690" width="7" customWidth="1"/>
    <col min="7691" max="7691" width="9.7109375" customWidth="1"/>
    <col min="7692" max="7692" width="10.140625" customWidth="1"/>
    <col min="7693" max="7694" width="7" customWidth="1"/>
    <col min="7695" max="7695" width="10.5703125" customWidth="1"/>
    <col min="7696" max="7696" width="9.42578125" customWidth="1"/>
    <col min="7697" max="7697" width="7" customWidth="1"/>
    <col min="7698" max="7698" width="8.28515625" customWidth="1"/>
    <col min="7699" max="7699" width="10.28515625" customWidth="1"/>
    <col min="7700" max="7700" width="10" customWidth="1"/>
    <col min="7701" max="7701" width="8.42578125" customWidth="1"/>
    <col min="7702" max="7702" width="8" customWidth="1"/>
    <col min="7703" max="7703" width="10.42578125" customWidth="1"/>
    <col min="7704" max="7704" width="9.85546875" customWidth="1"/>
    <col min="7705" max="7705" width="7.7109375" customWidth="1"/>
    <col min="7706" max="7706" width="8.42578125" customWidth="1"/>
    <col min="7937" max="7937" width="5" customWidth="1"/>
    <col min="7938" max="7938" width="46.85546875" customWidth="1"/>
    <col min="7939" max="7939" width="9.42578125" customWidth="1"/>
    <col min="7940" max="7940" width="10.28515625" customWidth="1"/>
    <col min="7941" max="7941" width="9" customWidth="1"/>
    <col min="7942" max="7942" width="7.7109375" customWidth="1"/>
    <col min="7943" max="7943" width="9.5703125" customWidth="1"/>
    <col min="7944" max="7944" width="10.42578125" customWidth="1"/>
    <col min="7945" max="7945" width="7.7109375" customWidth="1"/>
    <col min="7946" max="7946" width="7" customWidth="1"/>
    <col min="7947" max="7947" width="9.7109375" customWidth="1"/>
    <col min="7948" max="7948" width="10.140625" customWidth="1"/>
    <col min="7949" max="7950" width="7" customWidth="1"/>
    <col min="7951" max="7951" width="10.5703125" customWidth="1"/>
    <col min="7952" max="7952" width="9.42578125" customWidth="1"/>
    <col min="7953" max="7953" width="7" customWidth="1"/>
    <col min="7954" max="7954" width="8.28515625" customWidth="1"/>
    <col min="7955" max="7955" width="10.28515625" customWidth="1"/>
    <col min="7956" max="7956" width="10" customWidth="1"/>
    <col min="7957" max="7957" width="8.42578125" customWidth="1"/>
    <col min="7958" max="7958" width="8" customWidth="1"/>
    <col min="7959" max="7959" width="10.42578125" customWidth="1"/>
    <col min="7960" max="7960" width="9.85546875" customWidth="1"/>
    <col min="7961" max="7961" width="7.7109375" customWidth="1"/>
    <col min="7962" max="7962" width="8.42578125" customWidth="1"/>
    <col min="8193" max="8193" width="5" customWidth="1"/>
    <col min="8194" max="8194" width="46.85546875" customWidth="1"/>
    <col min="8195" max="8195" width="9.42578125" customWidth="1"/>
    <col min="8196" max="8196" width="10.28515625" customWidth="1"/>
    <col min="8197" max="8197" width="9" customWidth="1"/>
    <col min="8198" max="8198" width="7.7109375" customWidth="1"/>
    <col min="8199" max="8199" width="9.5703125" customWidth="1"/>
    <col min="8200" max="8200" width="10.42578125" customWidth="1"/>
    <col min="8201" max="8201" width="7.7109375" customWidth="1"/>
    <col min="8202" max="8202" width="7" customWidth="1"/>
    <col min="8203" max="8203" width="9.7109375" customWidth="1"/>
    <col min="8204" max="8204" width="10.140625" customWidth="1"/>
    <col min="8205" max="8206" width="7" customWidth="1"/>
    <col min="8207" max="8207" width="10.5703125" customWidth="1"/>
    <col min="8208" max="8208" width="9.42578125" customWidth="1"/>
    <col min="8209" max="8209" width="7" customWidth="1"/>
    <col min="8210" max="8210" width="8.28515625" customWidth="1"/>
    <col min="8211" max="8211" width="10.28515625" customWidth="1"/>
    <col min="8212" max="8212" width="10" customWidth="1"/>
    <col min="8213" max="8213" width="8.42578125" customWidth="1"/>
    <col min="8214" max="8214" width="8" customWidth="1"/>
    <col min="8215" max="8215" width="10.42578125" customWidth="1"/>
    <col min="8216" max="8216" width="9.85546875" customWidth="1"/>
    <col min="8217" max="8217" width="7.7109375" customWidth="1"/>
    <col min="8218" max="8218" width="8.42578125" customWidth="1"/>
    <col min="8449" max="8449" width="5" customWidth="1"/>
    <col min="8450" max="8450" width="46.85546875" customWidth="1"/>
    <col min="8451" max="8451" width="9.42578125" customWidth="1"/>
    <col min="8452" max="8452" width="10.28515625" customWidth="1"/>
    <col min="8453" max="8453" width="9" customWidth="1"/>
    <col min="8454" max="8454" width="7.7109375" customWidth="1"/>
    <col min="8455" max="8455" width="9.5703125" customWidth="1"/>
    <col min="8456" max="8456" width="10.42578125" customWidth="1"/>
    <col min="8457" max="8457" width="7.7109375" customWidth="1"/>
    <col min="8458" max="8458" width="7" customWidth="1"/>
    <col min="8459" max="8459" width="9.7109375" customWidth="1"/>
    <col min="8460" max="8460" width="10.140625" customWidth="1"/>
    <col min="8461" max="8462" width="7" customWidth="1"/>
    <col min="8463" max="8463" width="10.5703125" customWidth="1"/>
    <col min="8464" max="8464" width="9.42578125" customWidth="1"/>
    <col min="8465" max="8465" width="7" customWidth="1"/>
    <col min="8466" max="8466" width="8.28515625" customWidth="1"/>
    <col min="8467" max="8467" width="10.28515625" customWidth="1"/>
    <col min="8468" max="8468" width="10" customWidth="1"/>
    <col min="8469" max="8469" width="8.42578125" customWidth="1"/>
    <col min="8470" max="8470" width="8" customWidth="1"/>
    <col min="8471" max="8471" width="10.42578125" customWidth="1"/>
    <col min="8472" max="8472" width="9.85546875" customWidth="1"/>
    <col min="8473" max="8473" width="7.7109375" customWidth="1"/>
    <col min="8474" max="8474" width="8.42578125" customWidth="1"/>
    <col min="8705" max="8705" width="5" customWidth="1"/>
    <col min="8706" max="8706" width="46.85546875" customWidth="1"/>
    <col min="8707" max="8707" width="9.42578125" customWidth="1"/>
    <col min="8708" max="8708" width="10.28515625" customWidth="1"/>
    <col min="8709" max="8709" width="9" customWidth="1"/>
    <col min="8710" max="8710" width="7.7109375" customWidth="1"/>
    <col min="8711" max="8711" width="9.5703125" customWidth="1"/>
    <col min="8712" max="8712" width="10.42578125" customWidth="1"/>
    <col min="8713" max="8713" width="7.7109375" customWidth="1"/>
    <col min="8714" max="8714" width="7" customWidth="1"/>
    <col min="8715" max="8715" width="9.7109375" customWidth="1"/>
    <col min="8716" max="8716" width="10.140625" customWidth="1"/>
    <col min="8717" max="8718" width="7" customWidth="1"/>
    <col min="8719" max="8719" width="10.5703125" customWidth="1"/>
    <col min="8720" max="8720" width="9.42578125" customWidth="1"/>
    <col min="8721" max="8721" width="7" customWidth="1"/>
    <col min="8722" max="8722" width="8.28515625" customWidth="1"/>
    <col min="8723" max="8723" width="10.28515625" customWidth="1"/>
    <col min="8724" max="8724" width="10" customWidth="1"/>
    <col min="8725" max="8725" width="8.42578125" customWidth="1"/>
    <col min="8726" max="8726" width="8" customWidth="1"/>
    <col min="8727" max="8727" width="10.42578125" customWidth="1"/>
    <col min="8728" max="8728" width="9.85546875" customWidth="1"/>
    <col min="8729" max="8729" width="7.7109375" customWidth="1"/>
    <col min="8730" max="8730" width="8.42578125" customWidth="1"/>
    <col min="8961" max="8961" width="5" customWidth="1"/>
    <col min="8962" max="8962" width="46.85546875" customWidth="1"/>
    <col min="8963" max="8963" width="9.42578125" customWidth="1"/>
    <col min="8964" max="8964" width="10.28515625" customWidth="1"/>
    <col min="8965" max="8965" width="9" customWidth="1"/>
    <col min="8966" max="8966" width="7.7109375" customWidth="1"/>
    <col min="8967" max="8967" width="9.5703125" customWidth="1"/>
    <col min="8968" max="8968" width="10.42578125" customWidth="1"/>
    <col min="8969" max="8969" width="7.7109375" customWidth="1"/>
    <col min="8970" max="8970" width="7" customWidth="1"/>
    <col min="8971" max="8971" width="9.7109375" customWidth="1"/>
    <col min="8972" max="8972" width="10.140625" customWidth="1"/>
    <col min="8973" max="8974" width="7" customWidth="1"/>
    <col min="8975" max="8975" width="10.5703125" customWidth="1"/>
    <col min="8976" max="8976" width="9.42578125" customWidth="1"/>
    <col min="8977" max="8977" width="7" customWidth="1"/>
    <col min="8978" max="8978" width="8.28515625" customWidth="1"/>
    <col min="8979" max="8979" width="10.28515625" customWidth="1"/>
    <col min="8980" max="8980" width="10" customWidth="1"/>
    <col min="8981" max="8981" width="8.42578125" customWidth="1"/>
    <col min="8982" max="8982" width="8" customWidth="1"/>
    <col min="8983" max="8983" width="10.42578125" customWidth="1"/>
    <col min="8984" max="8984" width="9.85546875" customWidth="1"/>
    <col min="8985" max="8985" width="7.7109375" customWidth="1"/>
    <col min="8986" max="8986" width="8.42578125" customWidth="1"/>
    <col min="9217" max="9217" width="5" customWidth="1"/>
    <col min="9218" max="9218" width="46.85546875" customWidth="1"/>
    <col min="9219" max="9219" width="9.42578125" customWidth="1"/>
    <col min="9220" max="9220" width="10.28515625" customWidth="1"/>
    <col min="9221" max="9221" width="9" customWidth="1"/>
    <col min="9222" max="9222" width="7.7109375" customWidth="1"/>
    <col min="9223" max="9223" width="9.5703125" customWidth="1"/>
    <col min="9224" max="9224" width="10.42578125" customWidth="1"/>
    <col min="9225" max="9225" width="7.7109375" customWidth="1"/>
    <col min="9226" max="9226" width="7" customWidth="1"/>
    <col min="9227" max="9227" width="9.7109375" customWidth="1"/>
    <col min="9228" max="9228" width="10.140625" customWidth="1"/>
    <col min="9229" max="9230" width="7" customWidth="1"/>
    <col min="9231" max="9231" width="10.5703125" customWidth="1"/>
    <col min="9232" max="9232" width="9.42578125" customWidth="1"/>
    <col min="9233" max="9233" width="7" customWidth="1"/>
    <col min="9234" max="9234" width="8.28515625" customWidth="1"/>
    <col min="9235" max="9235" width="10.28515625" customWidth="1"/>
    <col min="9236" max="9236" width="10" customWidth="1"/>
    <col min="9237" max="9237" width="8.42578125" customWidth="1"/>
    <col min="9238" max="9238" width="8" customWidth="1"/>
    <col min="9239" max="9239" width="10.42578125" customWidth="1"/>
    <col min="9240" max="9240" width="9.85546875" customWidth="1"/>
    <col min="9241" max="9241" width="7.7109375" customWidth="1"/>
    <col min="9242" max="9242" width="8.42578125" customWidth="1"/>
    <col min="9473" max="9473" width="5" customWidth="1"/>
    <col min="9474" max="9474" width="46.85546875" customWidth="1"/>
    <col min="9475" max="9475" width="9.42578125" customWidth="1"/>
    <col min="9476" max="9476" width="10.28515625" customWidth="1"/>
    <col min="9477" max="9477" width="9" customWidth="1"/>
    <col min="9478" max="9478" width="7.7109375" customWidth="1"/>
    <col min="9479" max="9479" width="9.5703125" customWidth="1"/>
    <col min="9480" max="9480" width="10.42578125" customWidth="1"/>
    <col min="9481" max="9481" width="7.7109375" customWidth="1"/>
    <col min="9482" max="9482" width="7" customWidth="1"/>
    <col min="9483" max="9483" width="9.7109375" customWidth="1"/>
    <col min="9484" max="9484" width="10.140625" customWidth="1"/>
    <col min="9485" max="9486" width="7" customWidth="1"/>
    <col min="9487" max="9487" width="10.5703125" customWidth="1"/>
    <col min="9488" max="9488" width="9.42578125" customWidth="1"/>
    <col min="9489" max="9489" width="7" customWidth="1"/>
    <col min="9490" max="9490" width="8.28515625" customWidth="1"/>
    <col min="9491" max="9491" width="10.28515625" customWidth="1"/>
    <col min="9492" max="9492" width="10" customWidth="1"/>
    <col min="9493" max="9493" width="8.42578125" customWidth="1"/>
    <col min="9494" max="9494" width="8" customWidth="1"/>
    <col min="9495" max="9495" width="10.42578125" customWidth="1"/>
    <col min="9496" max="9496" width="9.85546875" customWidth="1"/>
    <col min="9497" max="9497" width="7.7109375" customWidth="1"/>
    <col min="9498" max="9498" width="8.42578125" customWidth="1"/>
    <col min="9729" max="9729" width="5" customWidth="1"/>
    <col min="9730" max="9730" width="46.85546875" customWidth="1"/>
    <col min="9731" max="9731" width="9.42578125" customWidth="1"/>
    <col min="9732" max="9732" width="10.28515625" customWidth="1"/>
    <col min="9733" max="9733" width="9" customWidth="1"/>
    <col min="9734" max="9734" width="7.7109375" customWidth="1"/>
    <col min="9735" max="9735" width="9.5703125" customWidth="1"/>
    <col min="9736" max="9736" width="10.42578125" customWidth="1"/>
    <col min="9737" max="9737" width="7.7109375" customWidth="1"/>
    <col min="9738" max="9738" width="7" customWidth="1"/>
    <col min="9739" max="9739" width="9.7109375" customWidth="1"/>
    <col min="9740" max="9740" width="10.140625" customWidth="1"/>
    <col min="9741" max="9742" width="7" customWidth="1"/>
    <col min="9743" max="9743" width="10.5703125" customWidth="1"/>
    <col min="9744" max="9744" width="9.42578125" customWidth="1"/>
    <col min="9745" max="9745" width="7" customWidth="1"/>
    <col min="9746" max="9746" width="8.28515625" customWidth="1"/>
    <col min="9747" max="9747" width="10.28515625" customWidth="1"/>
    <col min="9748" max="9748" width="10" customWidth="1"/>
    <col min="9749" max="9749" width="8.42578125" customWidth="1"/>
    <col min="9750" max="9750" width="8" customWidth="1"/>
    <col min="9751" max="9751" width="10.42578125" customWidth="1"/>
    <col min="9752" max="9752" width="9.85546875" customWidth="1"/>
    <col min="9753" max="9753" width="7.7109375" customWidth="1"/>
    <col min="9754" max="9754" width="8.42578125" customWidth="1"/>
    <col min="9985" max="9985" width="5" customWidth="1"/>
    <col min="9986" max="9986" width="46.85546875" customWidth="1"/>
    <col min="9987" max="9987" width="9.42578125" customWidth="1"/>
    <col min="9988" max="9988" width="10.28515625" customWidth="1"/>
    <col min="9989" max="9989" width="9" customWidth="1"/>
    <col min="9990" max="9990" width="7.7109375" customWidth="1"/>
    <col min="9991" max="9991" width="9.5703125" customWidth="1"/>
    <col min="9992" max="9992" width="10.42578125" customWidth="1"/>
    <col min="9993" max="9993" width="7.7109375" customWidth="1"/>
    <col min="9994" max="9994" width="7" customWidth="1"/>
    <col min="9995" max="9995" width="9.7109375" customWidth="1"/>
    <col min="9996" max="9996" width="10.140625" customWidth="1"/>
    <col min="9997" max="9998" width="7" customWidth="1"/>
    <col min="9999" max="9999" width="10.5703125" customWidth="1"/>
    <col min="10000" max="10000" width="9.42578125" customWidth="1"/>
    <col min="10001" max="10001" width="7" customWidth="1"/>
    <col min="10002" max="10002" width="8.28515625" customWidth="1"/>
    <col min="10003" max="10003" width="10.28515625" customWidth="1"/>
    <col min="10004" max="10004" width="10" customWidth="1"/>
    <col min="10005" max="10005" width="8.42578125" customWidth="1"/>
    <col min="10006" max="10006" width="8" customWidth="1"/>
    <col min="10007" max="10007" width="10.42578125" customWidth="1"/>
    <col min="10008" max="10008" width="9.85546875" customWidth="1"/>
    <col min="10009" max="10009" width="7.7109375" customWidth="1"/>
    <col min="10010" max="10010" width="8.42578125" customWidth="1"/>
    <col min="10241" max="10241" width="5" customWidth="1"/>
    <col min="10242" max="10242" width="46.85546875" customWidth="1"/>
    <col min="10243" max="10243" width="9.42578125" customWidth="1"/>
    <col min="10244" max="10244" width="10.28515625" customWidth="1"/>
    <col min="10245" max="10245" width="9" customWidth="1"/>
    <col min="10246" max="10246" width="7.7109375" customWidth="1"/>
    <col min="10247" max="10247" width="9.5703125" customWidth="1"/>
    <col min="10248" max="10248" width="10.42578125" customWidth="1"/>
    <col min="10249" max="10249" width="7.7109375" customWidth="1"/>
    <col min="10250" max="10250" width="7" customWidth="1"/>
    <col min="10251" max="10251" width="9.7109375" customWidth="1"/>
    <col min="10252" max="10252" width="10.140625" customWidth="1"/>
    <col min="10253" max="10254" width="7" customWidth="1"/>
    <col min="10255" max="10255" width="10.5703125" customWidth="1"/>
    <col min="10256" max="10256" width="9.42578125" customWidth="1"/>
    <col min="10257" max="10257" width="7" customWidth="1"/>
    <col min="10258" max="10258" width="8.28515625" customWidth="1"/>
    <col min="10259" max="10259" width="10.28515625" customWidth="1"/>
    <col min="10260" max="10260" width="10" customWidth="1"/>
    <col min="10261" max="10261" width="8.42578125" customWidth="1"/>
    <col min="10262" max="10262" width="8" customWidth="1"/>
    <col min="10263" max="10263" width="10.42578125" customWidth="1"/>
    <col min="10264" max="10264" width="9.85546875" customWidth="1"/>
    <col min="10265" max="10265" width="7.7109375" customWidth="1"/>
    <col min="10266" max="10266" width="8.42578125" customWidth="1"/>
    <col min="10497" max="10497" width="5" customWidth="1"/>
    <col min="10498" max="10498" width="46.85546875" customWidth="1"/>
    <col min="10499" max="10499" width="9.42578125" customWidth="1"/>
    <col min="10500" max="10500" width="10.28515625" customWidth="1"/>
    <col min="10501" max="10501" width="9" customWidth="1"/>
    <col min="10502" max="10502" width="7.7109375" customWidth="1"/>
    <col min="10503" max="10503" width="9.5703125" customWidth="1"/>
    <col min="10504" max="10504" width="10.42578125" customWidth="1"/>
    <col min="10505" max="10505" width="7.7109375" customWidth="1"/>
    <col min="10506" max="10506" width="7" customWidth="1"/>
    <col min="10507" max="10507" width="9.7109375" customWidth="1"/>
    <col min="10508" max="10508" width="10.140625" customWidth="1"/>
    <col min="10509" max="10510" width="7" customWidth="1"/>
    <col min="10511" max="10511" width="10.5703125" customWidth="1"/>
    <col min="10512" max="10512" width="9.42578125" customWidth="1"/>
    <col min="10513" max="10513" width="7" customWidth="1"/>
    <col min="10514" max="10514" width="8.28515625" customWidth="1"/>
    <col min="10515" max="10515" width="10.28515625" customWidth="1"/>
    <col min="10516" max="10516" width="10" customWidth="1"/>
    <col min="10517" max="10517" width="8.42578125" customWidth="1"/>
    <col min="10518" max="10518" width="8" customWidth="1"/>
    <col min="10519" max="10519" width="10.42578125" customWidth="1"/>
    <col min="10520" max="10520" width="9.85546875" customWidth="1"/>
    <col min="10521" max="10521" width="7.7109375" customWidth="1"/>
    <col min="10522" max="10522" width="8.42578125" customWidth="1"/>
    <col min="10753" max="10753" width="5" customWidth="1"/>
    <col min="10754" max="10754" width="46.85546875" customWidth="1"/>
    <col min="10755" max="10755" width="9.42578125" customWidth="1"/>
    <col min="10756" max="10756" width="10.28515625" customWidth="1"/>
    <col min="10757" max="10757" width="9" customWidth="1"/>
    <col min="10758" max="10758" width="7.7109375" customWidth="1"/>
    <col min="10759" max="10759" width="9.5703125" customWidth="1"/>
    <col min="10760" max="10760" width="10.42578125" customWidth="1"/>
    <col min="10761" max="10761" width="7.7109375" customWidth="1"/>
    <col min="10762" max="10762" width="7" customWidth="1"/>
    <col min="10763" max="10763" width="9.7109375" customWidth="1"/>
    <col min="10764" max="10764" width="10.140625" customWidth="1"/>
    <col min="10765" max="10766" width="7" customWidth="1"/>
    <col min="10767" max="10767" width="10.5703125" customWidth="1"/>
    <col min="10768" max="10768" width="9.42578125" customWidth="1"/>
    <col min="10769" max="10769" width="7" customWidth="1"/>
    <col min="10770" max="10770" width="8.28515625" customWidth="1"/>
    <col min="10771" max="10771" width="10.28515625" customWidth="1"/>
    <col min="10772" max="10772" width="10" customWidth="1"/>
    <col min="10773" max="10773" width="8.42578125" customWidth="1"/>
    <col min="10774" max="10774" width="8" customWidth="1"/>
    <col min="10775" max="10775" width="10.42578125" customWidth="1"/>
    <col min="10776" max="10776" width="9.85546875" customWidth="1"/>
    <col min="10777" max="10777" width="7.7109375" customWidth="1"/>
    <col min="10778" max="10778" width="8.42578125" customWidth="1"/>
    <col min="11009" max="11009" width="5" customWidth="1"/>
    <col min="11010" max="11010" width="46.85546875" customWidth="1"/>
    <col min="11011" max="11011" width="9.42578125" customWidth="1"/>
    <col min="11012" max="11012" width="10.28515625" customWidth="1"/>
    <col min="11013" max="11013" width="9" customWidth="1"/>
    <col min="11014" max="11014" width="7.7109375" customWidth="1"/>
    <col min="11015" max="11015" width="9.5703125" customWidth="1"/>
    <col min="11016" max="11016" width="10.42578125" customWidth="1"/>
    <col min="11017" max="11017" width="7.7109375" customWidth="1"/>
    <col min="11018" max="11018" width="7" customWidth="1"/>
    <col min="11019" max="11019" width="9.7109375" customWidth="1"/>
    <col min="11020" max="11020" width="10.140625" customWidth="1"/>
    <col min="11021" max="11022" width="7" customWidth="1"/>
    <col min="11023" max="11023" width="10.5703125" customWidth="1"/>
    <col min="11024" max="11024" width="9.42578125" customWidth="1"/>
    <col min="11025" max="11025" width="7" customWidth="1"/>
    <col min="11026" max="11026" width="8.28515625" customWidth="1"/>
    <col min="11027" max="11027" width="10.28515625" customWidth="1"/>
    <col min="11028" max="11028" width="10" customWidth="1"/>
    <col min="11029" max="11029" width="8.42578125" customWidth="1"/>
    <col min="11030" max="11030" width="8" customWidth="1"/>
    <col min="11031" max="11031" width="10.42578125" customWidth="1"/>
    <col min="11032" max="11032" width="9.85546875" customWidth="1"/>
    <col min="11033" max="11033" width="7.7109375" customWidth="1"/>
    <col min="11034" max="11034" width="8.42578125" customWidth="1"/>
    <col min="11265" max="11265" width="5" customWidth="1"/>
    <col min="11266" max="11266" width="46.85546875" customWidth="1"/>
    <col min="11267" max="11267" width="9.42578125" customWidth="1"/>
    <col min="11268" max="11268" width="10.28515625" customWidth="1"/>
    <col min="11269" max="11269" width="9" customWidth="1"/>
    <col min="11270" max="11270" width="7.7109375" customWidth="1"/>
    <col min="11271" max="11271" width="9.5703125" customWidth="1"/>
    <col min="11272" max="11272" width="10.42578125" customWidth="1"/>
    <col min="11273" max="11273" width="7.7109375" customWidth="1"/>
    <col min="11274" max="11274" width="7" customWidth="1"/>
    <col min="11275" max="11275" width="9.7109375" customWidth="1"/>
    <col min="11276" max="11276" width="10.140625" customWidth="1"/>
    <col min="11277" max="11278" width="7" customWidth="1"/>
    <col min="11279" max="11279" width="10.5703125" customWidth="1"/>
    <col min="11280" max="11280" width="9.42578125" customWidth="1"/>
    <col min="11281" max="11281" width="7" customWidth="1"/>
    <col min="11282" max="11282" width="8.28515625" customWidth="1"/>
    <col min="11283" max="11283" width="10.28515625" customWidth="1"/>
    <col min="11284" max="11284" width="10" customWidth="1"/>
    <col min="11285" max="11285" width="8.42578125" customWidth="1"/>
    <col min="11286" max="11286" width="8" customWidth="1"/>
    <col min="11287" max="11287" width="10.42578125" customWidth="1"/>
    <col min="11288" max="11288" width="9.85546875" customWidth="1"/>
    <col min="11289" max="11289" width="7.7109375" customWidth="1"/>
    <col min="11290" max="11290" width="8.42578125" customWidth="1"/>
    <col min="11521" max="11521" width="5" customWidth="1"/>
    <col min="11522" max="11522" width="46.85546875" customWidth="1"/>
    <col min="11523" max="11523" width="9.42578125" customWidth="1"/>
    <col min="11524" max="11524" width="10.28515625" customWidth="1"/>
    <col min="11525" max="11525" width="9" customWidth="1"/>
    <col min="11526" max="11526" width="7.7109375" customWidth="1"/>
    <col min="11527" max="11527" width="9.5703125" customWidth="1"/>
    <col min="11528" max="11528" width="10.42578125" customWidth="1"/>
    <col min="11529" max="11529" width="7.7109375" customWidth="1"/>
    <col min="11530" max="11530" width="7" customWidth="1"/>
    <col min="11531" max="11531" width="9.7109375" customWidth="1"/>
    <col min="11532" max="11532" width="10.140625" customWidth="1"/>
    <col min="11533" max="11534" width="7" customWidth="1"/>
    <col min="11535" max="11535" width="10.5703125" customWidth="1"/>
    <col min="11536" max="11536" width="9.42578125" customWidth="1"/>
    <col min="11537" max="11537" width="7" customWidth="1"/>
    <col min="11538" max="11538" width="8.28515625" customWidth="1"/>
    <col min="11539" max="11539" width="10.28515625" customWidth="1"/>
    <col min="11540" max="11540" width="10" customWidth="1"/>
    <col min="11541" max="11541" width="8.42578125" customWidth="1"/>
    <col min="11542" max="11542" width="8" customWidth="1"/>
    <col min="11543" max="11543" width="10.42578125" customWidth="1"/>
    <col min="11544" max="11544" width="9.85546875" customWidth="1"/>
    <col min="11545" max="11545" width="7.7109375" customWidth="1"/>
    <col min="11546" max="11546" width="8.42578125" customWidth="1"/>
    <col min="11777" max="11777" width="5" customWidth="1"/>
    <col min="11778" max="11778" width="46.85546875" customWidth="1"/>
    <col min="11779" max="11779" width="9.42578125" customWidth="1"/>
    <col min="11780" max="11780" width="10.28515625" customWidth="1"/>
    <col min="11781" max="11781" width="9" customWidth="1"/>
    <col min="11782" max="11782" width="7.7109375" customWidth="1"/>
    <col min="11783" max="11783" width="9.5703125" customWidth="1"/>
    <col min="11784" max="11784" width="10.42578125" customWidth="1"/>
    <col min="11785" max="11785" width="7.7109375" customWidth="1"/>
    <col min="11786" max="11786" width="7" customWidth="1"/>
    <col min="11787" max="11787" width="9.7109375" customWidth="1"/>
    <col min="11788" max="11788" width="10.140625" customWidth="1"/>
    <col min="11789" max="11790" width="7" customWidth="1"/>
    <col min="11791" max="11791" width="10.5703125" customWidth="1"/>
    <col min="11792" max="11792" width="9.42578125" customWidth="1"/>
    <col min="11793" max="11793" width="7" customWidth="1"/>
    <col min="11794" max="11794" width="8.28515625" customWidth="1"/>
    <col min="11795" max="11795" width="10.28515625" customWidth="1"/>
    <col min="11796" max="11796" width="10" customWidth="1"/>
    <col min="11797" max="11797" width="8.42578125" customWidth="1"/>
    <col min="11798" max="11798" width="8" customWidth="1"/>
    <col min="11799" max="11799" width="10.42578125" customWidth="1"/>
    <col min="11800" max="11800" width="9.85546875" customWidth="1"/>
    <col min="11801" max="11801" width="7.7109375" customWidth="1"/>
    <col min="11802" max="11802" width="8.42578125" customWidth="1"/>
    <col min="12033" max="12033" width="5" customWidth="1"/>
    <col min="12034" max="12034" width="46.85546875" customWidth="1"/>
    <col min="12035" max="12035" width="9.42578125" customWidth="1"/>
    <col min="12036" max="12036" width="10.28515625" customWidth="1"/>
    <col min="12037" max="12037" width="9" customWidth="1"/>
    <col min="12038" max="12038" width="7.7109375" customWidth="1"/>
    <col min="12039" max="12039" width="9.5703125" customWidth="1"/>
    <col min="12040" max="12040" width="10.42578125" customWidth="1"/>
    <col min="12041" max="12041" width="7.7109375" customWidth="1"/>
    <col min="12042" max="12042" width="7" customWidth="1"/>
    <col min="12043" max="12043" width="9.7109375" customWidth="1"/>
    <col min="12044" max="12044" width="10.140625" customWidth="1"/>
    <col min="12045" max="12046" width="7" customWidth="1"/>
    <col min="12047" max="12047" width="10.5703125" customWidth="1"/>
    <col min="12048" max="12048" width="9.42578125" customWidth="1"/>
    <col min="12049" max="12049" width="7" customWidth="1"/>
    <col min="12050" max="12050" width="8.28515625" customWidth="1"/>
    <col min="12051" max="12051" width="10.28515625" customWidth="1"/>
    <col min="12052" max="12052" width="10" customWidth="1"/>
    <col min="12053" max="12053" width="8.42578125" customWidth="1"/>
    <col min="12054" max="12054" width="8" customWidth="1"/>
    <col min="12055" max="12055" width="10.42578125" customWidth="1"/>
    <col min="12056" max="12056" width="9.85546875" customWidth="1"/>
    <col min="12057" max="12057" width="7.7109375" customWidth="1"/>
    <col min="12058" max="12058" width="8.42578125" customWidth="1"/>
    <col min="12289" max="12289" width="5" customWidth="1"/>
    <col min="12290" max="12290" width="46.85546875" customWidth="1"/>
    <col min="12291" max="12291" width="9.42578125" customWidth="1"/>
    <col min="12292" max="12292" width="10.28515625" customWidth="1"/>
    <col min="12293" max="12293" width="9" customWidth="1"/>
    <col min="12294" max="12294" width="7.7109375" customWidth="1"/>
    <col min="12295" max="12295" width="9.5703125" customWidth="1"/>
    <col min="12296" max="12296" width="10.42578125" customWidth="1"/>
    <col min="12297" max="12297" width="7.7109375" customWidth="1"/>
    <col min="12298" max="12298" width="7" customWidth="1"/>
    <col min="12299" max="12299" width="9.7109375" customWidth="1"/>
    <col min="12300" max="12300" width="10.140625" customWidth="1"/>
    <col min="12301" max="12302" width="7" customWidth="1"/>
    <col min="12303" max="12303" width="10.5703125" customWidth="1"/>
    <col min="12304" max="12304" width="9.42578125" customWidth="1"/>
    <col min="12305" max="12305" width="7" customWidth="1"/>
    <col min="12306" max="12306" width="8.28515625" customWidth="1"/>
    <col min="12307" max="12307" width="10.28515625" customWidth="1"/>
    <col min="12308" max="12308" width="10" customWidth="1"/>
    <col min="12309" max="12309" width="8.42578125" customWidth="1"/>
    <col min="12310" max="12310" width="8" customWidth="1"/>
    <col min="12311" max="12311" width="10.42578125" customWidth="1"/>
    <col min="12312" max="12312" width="9.85546875" customWidth="1"/>
    <col min="12313" max="12313" width="7.7109375" customWidth="1"/>
    <col min="12314" max="12314" width="8.42578125" customWidth="1"/>
    <col min="12545" max="12545" width="5" customWidth="1"/>
    <col min="12546" max="12546" width="46.85546875" customWidth="1"/>
    <col min="12547" max="12547" width="9.42578125" customWidth="1"/>
    <col min="12548" max="12548" width="10.28515625" customWidth="1"/>
    <col min="12549" max="12549" width="9" customWidth="1"/>
    <col min="12550" max="12550" width="7.7109375" customWidth="1"/>
    <col min="12551" max="12551" width="9.5703125" customWidth="1"/>
    <col min="12552" max="12552" width="10.42578125" customWidth="1"/>
    <col min="12553" max="12553" width="7.7109375" customWidth="1"/>
    <col min="12554" max="12554" width="7" customWidth="1"/>
    <col min="12555" max="12555" width="9.7109375" customWidth="1"/>
    <col min="12556" max="12556" width="10.140625" customWidth="1"/>
    <col min="12557" max="12558" width="7" customWidth="1"/>
    <col min="12559" max="12559" width="10.5703125" customWidth="1"/>
    <col min="12560" max="12560" width="9.42578125" customWidth="1"/>
    <col min="12561" max="12561" width="7" customWidth="1"/>
    <col min="12562" max="12562" width="8.28515625" customWidth="1"/>
    <col min="12563" max="12563" width="10.28515625" customWidth="1"/>
    <col min="12564" max="12564" width="10" customWidth="1"/>
    <col min="12565" max="12565" width="8.42578125" customWidth="1"/>
    <col min="12566" max="12566" width="8" customWidth="1"/>
    <col min="12567" max="12567" width="10.42578125" customWidth="1"/>
    <col min="12568" max="12568" width="9.85546875" customWidth="1"/>
    <col min="12569" max="12569" width="7.7109375" customWidth="1"/>
    <col min="12570" max="12570" width="8.42578125" customWidth="1"/>
    <col min="12801" max="12801" width="5" customWidth="1"/>
    <col min="12802" max="12802" width="46.85546875" customWidth="1"/>
    <col min="12803" max="12803" width="9.42578125" customWidth="1"/>
    <col min="12804" max="12804" width="10.28515625" customWidth="1"/>
    <col min="12805" max="12805" width="9" customWidth="1"/>
    <col min="12806" max="12806" width="7.7109375" customWidth="1"/>
    <col min="12807" max="12807" width="9.5703125" customWidth="1"/>
    <col min="12808" max="12808" width="10.42578125" customWidth="1"/>
    <col min="12809" max="12809" width="7.7109375" customWidth="1"/>
    <col min="12810" max="12810" width="7" customWidth="1"/>
    <col min="12811" max="12811" width="9.7109375" customWidth="1"/>
    <col min="12812" max="12812" width="10.140625" customWidth="1"/>
    <col min="12813" max="12814" width="7" customWidth="1"/>
    <col min="12815" max="12815" width="10.5703125" customWidth="1"/>
    <col min="12816" max="12816" width="9.42578125" customWidth="1"/>
    <col min="12817" max="12817" width="7" customWidth="1"/>
    <col min="12818" max="12818" width="8.28515625" customWidth="1"/>
    <col min="12819" max="12819" width="10.28515625" customWidth="1"/>
    <col min="12820" max="12820" width="10" customWidth="1"/>
    <col min="12821" max="12821" width="8.42578125" customWidth="1"/>
    <col min="12822" max="12822" width="8" customWidth="1"/>
    <col min="12823" max="12823" width="10.42578125" customWidth="1"/>
    <col min="12824" max="12824" width="9.85546875" customWidth="1"/>
    <col min="12825" max="12825" width="7.7109375" customWidth="1"/>
    <col min="12826" max="12826" width="8.42578125" customWidth="1"/>
    <col min="13057" max="13057" width="5" customWidth="1"/>
    <col min="13058" max="13058" width="46.85546875" customWidth="1"/>
    <col min="13059" max="13059" width="9.42578125" customWidth="1"/>
    <col min="13060" max="13060" width="10.28515625" customWidth="1"/>
    <col min="13061" max="13061" width="9" customWidth="1"/>
    <col min="13062" max="13062" width="7.7109375" customWidth="1"/>
    <col min="13063" max="13063" width="9.5703125" customWidth="1"/>
    <col min="13064" max="13064" width="10.42578125" customWidth="1"/>
    <col min="13065" max="13065" width="7.7109375" customWidth="1"/>
    <col min="13066" max="13066" width="7" customWidth="1"/>
    <col min="13067" max="13067" width="9.7109375" customWidth="1"/>
    <col min="13068" max="13068" width="10.140625" customWidth="1"/>
    <col min="13069" max="13070" width="7" customWidth="1"/>
    <col min="13071" max="13071" width="10.5703125" customWidth="1"/>
    <col min="13072" max="13072" width="9.42578125" customWidth="1"/>
    <col min="13073" max="13073" width="7" customWidth="1"/>
    <col min="13074" max="13074" width="8.28515625" customWidth="1"/>
    <col min="13075" max="13075" width="10.28515625" customWidth="1"/>
    <col min="13076" max="13076" width="10" customWidth="1"/>
    <col min="13077" max="13077" width="8.42578125" customWidth="1"/>
    <col min="13078" max="13078" width="8" customWidth="1"/>
    <col min="13079" max="13079" width="10.42578125" customWidth="1"/>
    <col min="13080" max="13080" width="9.85546875" customWidth="1"/>
    <col min="13081" max="13081" width="7.7109375" customWidth="1"/>
    <col min="13082" max="13082" width="8.42578125" customWidth="1"/>
    <col min="13313" max="13313" width="5" customWidth="1"/>
    <col min="13314" max="13314" width="46.85546875" customWidth="1"/>
    <col min="13315" max="13315" width="9.42578125" customWidth="1"/>
    <col min="13316" max="13316" width="10.28515625" customWidth="1"/>
    <col min="13317" max="13317" width="9" customWidth="1"/>
    <col min="13318" max="13318" width="7.7109375" customWidth="1"/>
    <col min="13319" max="13319" width="9.5703125" customWidth="1"/>
    <col min="13320" max="13320" width="10.42578125" customWidth="1"/>
    <col min="13321" max="13321" width="7.7109375" customWidth="1"/>
    <col min="13322" max="13322" width="7" customWidth="1"/>
    <col min="13323" max="13323" width="9.7109375" customWidth="1"/>
    <col min="13324" max="13324" width="10.140625" customWidth="1"/>
    <col min="13325" max="13326" width="7" customWidth="1"/>
    <col min="13327" max="13327" width="10.5703125" customWidth="1"/>
    <col min="13328" max="13328" width="9.42578125" customWidth="1"/>
    <col min="13329" max="13329" width="7" customWidth="1"/>
    <col min="13330" max="13330" width="8.28515625" customWidth="1"/>
    <col min="13331" max="13331" width="10.28515625" customWidth="1"/>
    <col min="13332" max="13332" width="10" customWidth="1"/>
    <col min="13333" max="13333" width="8.42578125" customWidth="1"/>
    <col min="13334" max="13334" width="8" customWidth="1"/>
    <col min="13335" max="13335" width="10.42578125" customWidth="1"/>
    <col min="13336" max="13336" width="9.85546875" customWidth="1"/>
    <col min="13337" max="13337" width="7.7109375" customWidth="1"/>
    <col min="13338" max="13338" width="8.42578125" customWidth="1"/>
    <col min="13569" max="13569" width="5" customWidth="1"/>
    <col min="13570" max="13570" width="46.85546875" customWidth="1"/>
    <col min="13571" max="13571" width="9.42578125" customWidth="1"/>
    <col min="13572" max="13572" width="10.28515625" customWidth="1"/>
    <col min="13573" max="13573" width="9" customWidth="1"/>
    <col min="13574" max="13574" width="7.7109375" customWidth="1"/>
    <col min="13575" max="13575" width="9.5703125" customWidth="1"/>
    <col min="13576" max="13576" width="10.42578125" customWidth="1"/>
    <col min="13577" max="13577" width="7.7109375" customWidth="1"/>
    <col min="13578" max="13578" width="7" customWidth="1"/>
    <col min="13579" max="13579" width="9.7109375" customWidth="1"/>
    <col min="13580" max="13580" width="10.140625" customWidth="1"/>
    <col min="13581" max="13582" width="7" customWidth="1"/>
    <col min="13583" max="13583" width="10.5703125" customWidth="1"/>
    <col min="13584" max="13584" width="9.42578125" customWidth="1"/>
    <col min="13585" max="13585" width="7" customWidth="1"/>
    <col min="13586" max="13586" width="8.28515625" customWidth="1"/>
    <col min="13587" max="13587" width="10.28515625" customWidth="1"/>
    <col min="13588" max="13588" width="10" customWidth="1"/>
    <col min="13589" max="13589" width="8.42578125" customWidth="1"/>
    <col min="13590" max="13590" width="8" customWidth="1"/>
    <col min="13591" max="13591" width="10.42578125" customWidth="1"/>
    <col min="13592" max="13592" width="9.85546875" customWidth="1"/>
    <col min="13593" max="13593" width="7.7109375" customWidth="1"/>
    <col min="13594" max="13594" width="8.42578125" customWidth="1"/>
    <col min="13825" max="13825" width="5" customWidth="1"/>
    <col min="13826" max="13826" width="46.85546875" customWidth="1"/>
    <col min="13827" max="13827" width="9.42578125" customWidth="1"/>
    <col min="13828" max="13828" width="10.28515625" customWidth="1"/>
    <col min="13829" max="13829" width="9" customWidth="1"/>
    <col min="13830" max="13830" width="7.7109375" customWidth="1"/>
    <col min="13831" max="13831" width="9.5703125" customWidth="1"/>
    <col min="13832" max="13832" width="10.42578125" customWidth="1"/>
    <col min="13833" max="13833" width="7.7109375" customWidth="1"/>
    <col min="13834" max="13834" width="7" customWidth="1"/>
    <col min="13835" max="13835" width="9.7109375" customWidth="1"/>
    <col min="13836" max="13836" width="10.140625" customWidth="1"/>
    <col min="13837" max="13838" width="7" customWidth="1"/>
    <col min="13839" max="13839" width="10.5703125" customWidth="1"/>
    <col min="13840" max="13840" width="9.42578125" customWidth="1"/>
    <col min="13841" max="13841" width="7" customWidth="1"/>
    <col min="13842" max="13842" width="8.28515625" customWidth="1"/>
    <col min="13843" max="13843" width="10.28515625" customWidth="1"/>
    <col min="13844" max="13844" width="10" customWidth="1"/>
    <col min="13845" max="13845" width="8.42578125" customWidth="1"/>
    <col min="13846" max="13846" width="8" customWidth="1"/>
    <col min="13847" max="13847" width="10.42578125" customWidth="1"/>
    <col min="13848" max="13848" width="9.85546875" customWidth="1"/>
    <col min="13849" max="13849" width="7.7109375" customWidth="1"/>
    <col min="13850" max="13850" width="8.42578125" customWidth="1"/>
    <col min="14081" max="14081" width="5" customWidth="1"/>
    <col min="14082" max="14082" width="46.85546875" customWidth="1"/>
    <col min="14083" max="14083" width="9.42578125" customWidth="1"/>
    <col min="14084" max="14084" width="10.28515625" customWidth="1"/>
    <col min="14085" max="14085" width="9" customWidth="1"/>
    <col min="14086" max="14086" width="7.7109375" customWidth="1"/>
    <col min="14087" max="14087" width="9.5703125" customWidth="1"/>
    <col min="14088" max="14088" width="10.42578125" customWidth="1"/>
    <col min="14089" max="14089" width="7.7109375" customWidth="1"/>
    <col min="14090" max="14090" width="7" customWidth="1"/>
    <col min="14091" max="14091" width="9.7109375" customWidth="1"/>
    <col min="14092" max="14092" width="10.140625" customWidth="1"/>
    <col min="14093" max="14094" width="7" customWidth="1"/>
    <col min="14095" max="14095" width="10.5703125" customWidth="1"/>
    <col min="14096" max="14096" width="9.42578125" customWidth="1"/>
    <col min="14097" max="14097" width="7" customWidth="1"/>
    <col min="14098" max="14098" width="8.28515625" customWidth="1"/>
    <col min="14099" max="14099" width="10.28515625" customWidth="1"/>
    <col min="14100" max="14100" width="10" customWidth="1"/>
    <col min="14101" max="14101" width="8.42578125" customWidth="1"/>
    <col min="14102" max="14102" width="8" customWidth="1"/>
    <col min="14103" max="14103" width="10.42578125" customWidth="1"/>
    <col min="14104" max="14104" width="9.85546875" customWidth="1"/>
    <col min="14105" max="14105" width="7.7109375" customWidth="1"/>
    <col min="14106" max="14106" width="8.42578125" customWidth="1"/>
    <col min="14337" max="14337" width="5" customWidth="1"/>
    <col min="14338" max="14338" width="46.85546875" customWidth="1"/>
    <col min="14339" max="14339" width="9.42578125" customWidth="1"/>
    <col min="14340" max="14340" width="10.28515625" customWidth="1"/>
    <col min="14341" max="14341" width="9" customWidth="1"/>
    <col min="14342" max="14342" width="7.7109375" customWidth="1"/>
    <col min="14343" max="14343" width="9.5703125" customWidth="1"/>
    <col min="14344" max="14344" width="10.42578125" customWidth="1"/>
    <col min="14345" max="14345" width="7.7109375" customWidth="1"/>
    <col min="14346" max="14346" width="7" customWidth="1"/>
    <col min="14347" max="14347" width="9.7109375" customWidth="1"/>
    <col min="14348" max="14348" width="10.140625" customWidth="1"/>
    <col min="14349" max="14350" width="7" customWidth="1"/>
    <col min="14351" max="14351" width="10.5703125" customWidth="1"/>
    <col min="14352" max="14352" width="9.42578125" customWidth="1"/>
    <col min="14353" max="14353" width="7" customWidth="1"/>
    <col min="14354" max="14354" width="8.28515625" customWidth="1"/>
    <col min="14355" max="14355" width="10.28515625" customWidth="1"/>
    <col min="14356" max="14356" width="10" customWidth="1"/>
    <col min="14357" max="14357" width="8.42578125" customWidth="1"/>
    <col min="14358" max="14358" width="8" customWidth="1"/>
    <col min="14359" max="14359" width="10.42578125" customWidth="1"/>
    <col min="14360" max="14360" width="9.85546875" customWidth="1"/>
    <col min="14361" max="14361" width="7.7109375" customWidth="1"/>
    <col min="14362" max="14362" width="8.42578125" customWidth="1"/>
    <col min="14593" max="14593" width="5" customWidth="1"/>
    <col min="14594" max="14594" width="46.85546875" customWidth="1"/>
    <col min="14595" max="14595" width="9.42578125" customWidth="1"/>
    <col min="14596" max="14596" width="10.28515625" customWidth="1"/>
    <col min="14597" max="14597" width="9" customWidth="1"/>
    <col min="14598" max="14598" width="7.7109375" customWidth="1"/>
    <col min="14599" max="14599" width="9.5703125" customWidth="1"/>
    <col min="14600" max="14600" width="10.42578125" customWidth="1"/>
    <col min="14601" max="14601" width="7.7109375" customWidth="1"/>
    <col min="14602" max="14602" width="7" customWidth="1"/>
    <col min="14603" max="14603" width="9.7109375" customWidth="1"/>
    <col min="14604" max="14604" width="10.140625" customWidth="1"/>
    <col min="14605" max="14606" width="7" customWidth="1"/>
    <col min="14607" max="14607" width="10.5703125" customWidth="1"/>
    <col min="14608" max="14608" width="9.42578125" customWidth="1"/>
    <col min="14609" max="14609" width="7" customWidth="1"/>
    <col min="14610" max="14610" width="8.28515625" customWidth="1"/>
    <col min="14611" max="14611" width="10.28515625" customWidth="1"/>
    <col min="14612" max="14612" width="10" customWidth="1"/>
    <col min="14613" max="14613" width="8.42578125" customWidth="1"/>
    <col min="14614" max="14614" width="8" customWidth="1"/>
    <col min="14615" max="14615" width="10.42578125" customWidth="1"/>
    <col min="14616" max="14616" width="9.85546875" customWidth="1"/>
    <col min="14617" max="14617" width="7.7109375" customWidth="1"/>
    <col min="14618" max="14618" width="8.42578125" customWidth="1"/>
    <col min="14849" max="14849" width="5" customWidth="1"/>
    <col min="14850" max="14850" width="46.85546875" customWidth="1"/>
    <col min="14851" max="14851" width="9.42578125" customWidth="1"/>
    <col min="14852" max="14852" width="10.28515625" customWidth="1"/>
    <col min="14853" max="14853" width="9" customWidth="1"/>
    <col min="14854" max="14854" width="7.7109375" customWidth="1"/>
    <col min="14855" max="14855" width="9.5703125" customWidth="1"/>
    <col min="14856" max="14856" width="10.42578125" customWidth="1"/>
    <col min="14857" max="14857" width="7.7109375" customWidth="1"/>
    <col min="14858" max="14858" width="7" customWidth="1"/>
    <col min="14859" max="14859" width="9.7109375" customWidth="1"/>
    <col min="14860" max="14860" width="10.140625" customWidth="1"/>
    <col min="14861" max="14862" width="7" customWidth="1"/>
    <col min="14863" max="14863" width="10.5703125" customWidth="1"/>
    <col min="14864" max="14864" width="9.42578125" customWidth="1"/>
    <col min="14865" max="14865" width="7" customWidth="1"/>
    <col min="14866" max="14866" width="8.28515625" customWidth="1"/>
    <col min="14867" max="14867" width="10.28515625" customWidth="1"/>
    <col min="14868" max="14868" width="10" customWidth="1"/>
    <col min="14869" max="14869" width="8.42578125" customWidth="1"/>
    <col min="14870" max="14870" width="8" customWidth="1"/>
    <col min="14871" max="14871" width="10.42578125" customWidth="1"/>
    <col min="14872" max="14872" width="9.85546875" customWidth="1"/>
    <col min="14873" max="14873" width="7.7109375" customWidth="1"/>
    <col min="14874" max="14874" width="8.42578125" customWidth="1"/>
    <col min="15105" max="15105" width="5" customWidth="1"/>
    <col min="15106" max="15106" width="46.85546875" customWidth="1"/>
    <col min="15107" max="15107" width="9.42578125" customWidth="1"/>
    <col min="15108" max="15108" width="10.28515625" customWidth="1"/>
    <col min="15109" max="15109" width="9" customWidth="1"/>
    <col min="15110" max="15110" width="7.7109375" customWidth="1"/>
    <col min="15111" max="15111" width="9.5703125" customWidth="1"/>
    <col min="15112" max="15112" width="10.42578125" customWidth="1"/>
    <col min="15113" max="15113" width="7.7109375" customWidth="1"/>
    <col min="15114" max="15114" width="7" customWidth="1"/>
    <col min="15115" max="15115" width="9.7109375" customWidth="1"/>
    <col min="15116" max="15116" width="10.140625" customWidth="1"/>
    <col min="15117" max="15118" width="7" customWidth="1"/>
    <col min="15119" max="15119" width="10.5703125" customWidth="1"/>
    <col min="15120" max="15120" width="9.42578125" customWidth="1"/>
    <col min="15121" max="15121" width="7" customWidth="1"/>
    <col min="15122" max="15122" width="8.28515625" customWidth="1"/>
    <col min="15123" max="15123" width="10.28515625" customWidth="1"/>
    <col min="15124" max="15124" width="10" customWidth="1"/>
    <col min="15125" max="15125" width="8.42578125" customWidth="1"/>
    <col min="15126" max="15126" width="8" customWidth="1"/>
    <col min="15127" max="15127" width="10.42578125" customWidth="1"/>
    <col min="15128" max="15128" width="9.85546875" customWidth="1"/>
    <col min="15129" max="15129" width="7.7109375" customWidth="1"/>
    <col min="15130" max="15130" width="8.42578125" customWidth="1"/>
    <col min="15361" max="15361" width="5" customWidth="1"/>
    <col min="15362" max="15362" width="46.85546875" customWidth="1"/>
    <col min="15363" max="15363" width="9.42578125" customWidth="1"/>
    <col min="15364" max="15364" width="10.28515625" customWidth="1"/>
    <col min="15365" max="15365" width="9" customWidth="1"/>
    <col min="15366" max="15366" width="7.7109375" customWidth="1"/>
    <col min="15367" max="15367" width="9.5703125" customWidth="1"/>
    <col min="15368" max="15368" width="10.42578125" customWidth="1"/>
    <col min="15369" max="15369" width="7.7109375" customWidth="1"/>
    <col min="15370" max="15370" width="7" customWidth="1"/>
    <col min="15371" max="15371" width="9.7109375" customWidth="1"/>
    <col min="15372" max="15372" width="10.140625" customWidth="1"/>
    <col min="15373" max="15374" width="7" customWidth="1"/>
    <col min="15375" max="15375" width="10.5703125" customWidth="1"/>
    <col min="15376" max="15376" width="9.42578125" customWidth="1"/>
    <col min="15377" max="15377" width="7" customWidth="1"/>
    <col min="15378" max="15378" width="8.28515625" customWidth="1"/>
    <col min="15379" max="15379" width="10.28515625" customWidth="1"/>
    <col min="15380" max="15380" width="10" customWidth="1"/>
    <col min="15381" max="15381" width="8.42578125" customWidth="1"/>
    <col min="15382" max="15382" width="8" customWidth="1"/>
    <col min="15383" max="15383" width="10.42578125" customWidth="1"/>
    <col min="15384" max="15384" width="9.85546875" customWidth="1"/>
    <col min="15385" max="15385" width="7.7109375" customWidth="1"/>
    <col min="15386" max="15386" width="8.42578125" customWidth="1"/>
    <col min="15617" max="15617" width="5" customWidth="1"/>
    <col min="15618" max="15618" width="46.85546875" customWidth="1"/>
    <col min="15619" max="15619" width="9.42578125" customWidth="1"/>
    <col min="15620" max="15620" width="10.28515625" customWidth="1"/>
    <col min="15621" max="15621" width="9" customWidth="1"/>
    <col min="15622" max="15622" width="7.7109375" customWidth="1"/>
    <col min="15623" max="15623" width="9.5703125" customWidth="1"/>
    <col min="15624" max="15624" width="10.42578125" customWidth="1"/>
    <col min="15625" max="15625" width="7.7109375" customWidth="1"/>
    <col min="15626" max="15626" width="7" customWidth="1"/>
    <col min="15627" max="15627" width="9.7109375" customWidth="1"/>
    <col min="15628" max="15628" width="10.140625" customWidth="1"/>
    <col min="15629" max="15630" width="7" customWidth="1"/>
    <col min="15631" max="15631" width="10.5703125" customWidth="1"/>
    <col min="15632" max="15632" width="9.42578125" customWidth="1"/>
    <col min="15633" max="15633" width="7" customWidth="1"/>
    <col min="15634" max="15634" width="8.28515625" customWidth="1"/>
    <col min="15635" max="15635" width="10.28515625" customWidth="1"/>
    <col min="15636" max="15636" width="10" customWidth="1"/>
    <col min="15637" max="15637" width="8.42578125" customWidth="1"/>
    <col min="15638" max="15638" width="8" customWidth="1"/>
    <col min="15639" max="15639" width="10.42578125" customWidth="1"/>
    <col min="15640" max="15640" width="9.85546875" customWidth="1"/>
    <col min="15641" max="15641" width="7.7109375" customWidth="1"/>
    <col min="15642" max="15642" width="8.42578125" customWidth="1"/>
    <col min="15873" max="15873" width="5" customWidth="1"/>
    <col min="15874" max="15874" width="46.85546875" customWidth="1"/>
    <col min="15875" max="15875" width="9.42578125" customWidth="1"/>
    <col min="15876" max="15876" width="10.28515625" customWidth="1"/>
    <col min="15877" max="15877" width="9" customWidth="1"/>
    <col min="15878" max="15878" width="7.7109375" customWidth="1"/>
    <col min="15879" max="15879" width="9.5703125" customWidth="1"/>
    <col min="15880" max="15880" width="10.42578125" customWidth="1"/>
    <col min="15881" max="15881" width="7.7109375" customWidth="1"/>
    <col min="15882" max="15882" width="7" customWidth="1"/>
    <col min="15883" max="15883" width="9.7109375" customWidth="1"/>
    <col min="15884" max="15884" width="10.140625" customWidth="1"/>
    <col min="15885" max="15886" width="7" customWidth="1"/>
    <col min="15887" max="15887" width="10.5703125" customWidth="1"/>
    <col min="15888" max="15888" width="9.42578125" customWidth="1"/>
    <col min="15889" max="15889" width="7" customWidth="1"/>
    <col min="15890" max="15890" width="8.28515625" customWidth="1"/>
    <col min="15891" max="15891" width="10.28515625" customWidth="1"/>
    <col min="15892" max="15892" width="10" customWidth="1"/>
    <col min="15893" max="15893" width="8.42578125" customWidth="1"/>
    <col min="15894" max="15894" width="8" customWidth="1"/>
    <col min="15895" max="15895" width="10.42578125" customWidth="1"/>
    <col min="15896" max="15896" width="9.85546875" customWidth="1"/>
    <col min="15897" max="15897" width="7.7109375" customWidth="1"/>
    <col min="15898" max="15898" width="8.42578125" customWidth="1"/>
    <col min="16129" max="16129" width="5" customWidth="1"/>
    <col min="16130" max="16130" width="46.85546875" customWidth="1"/>
    <col min="16131" max="16131" width="9.42578125" customWidth="1"/>
    <col min="16132" max="16132" width="10.28515625" customWidth="1"/>
    <col min="16133" max="16133" width="9" customWidth="1"/>
    <col min="16134" max="16134" width="7.7109375" customWidth="1"/>
    <col min="16135" max="16135" width="9.5703125" customWidth="1"/>
    <col min="16136" max="16136" width="10.42578125" customWidth="1"/>
    <col min="16137" max="16137" width="7.7109375" customWidth="1"/>
    <col min="16138" max="16138" width="7" customWidth="1"/>
    <col min="16139" max="16139" width="9.7109375" customWidth="1"/>
    <col min="16140" max="16140" width="10.140625" customWidth="1"/>
    <col min="16141" max="16142" width="7" customWidth="1"/>
    <col min="16143" max="16143" width="10.5703125" customWidth="1"/>
    <col min="16144" max="16144" width="9.42578125" customWidth="1"/>
    <col min="16145" max="16145" width="7" customWidth="1"/>
    <col min="16146" max="16146" width="8.28515625" customWidth="1"/>
    <col min="16147" max="16147" width="10.28515625" customWidth="1"/>
    <col min="16148" max="16148" width="10" customWidth="1"/>
    <col min="16149" max="16149" width="8.42578125" customWidth="1"/>
    <col min="16150" max="16150" width="8" customWidth="1"/>
    <col min="16151" max="16151" width="10.42578125" customWidth="1"/>
    <col min="16152" max="16152" width="9.85546875" customWidth="1"/>
    <col min="16153" max="16153" width="7.7109375" customWidth="1"/>
    <col min="16154" max="16154" width="8.42578125" customWidth="1"/>
  </cols>
  <sheetData>
    <row r="1" spans="1:28" s="94" customFormat="1" ht="30" customHeight="1">
      <c r="A1" s="617" t="s">
        <v>0</v>
      </c>
      <c r="B1" s="617"/>
      <c r="C1" s="617"/>
      <c r="D1" s="617"/>
      <c r="E1" s="617"/>
      <c r="F1" s="618" t="s">
        <v>232</v>
      </c>
      <c r="G1" s="618"/>
      <c r="H1" s="618"/>
      <c r="I1" s="618"/>
      <c r="J1" s="618"/>
      <c r="K1" s="618"/>
      <c r="L1" s="618"/>
      <c r="M1" s="618"/>
      <c r="N1" s="618"/>
      <c r="O1" s="618"/>
      <c r="P1" s="618"/>
      <c r="Q1" s="618"/>
      <c r="R1" s="618"/>
    </row>
    <row r="2" spans="1:28" ht="31.5" customHeight="1">
      <c r="A2" s="619" t="s">
        <v>2</v>
      </c>
      <c r="B2" s="619"/>
      <c r="C2" s="619"/>
      <c r="D2" s="619"/>
      <c r="E2" s="619"/>
      <c r="F2" s="619"/>
      <c r="G2" s="619"/>
      <c r="H2" s="619"/>
      <c r="I2" s="619"/>
      <c r="J2" s="619"/>
      <c r="K2" s="619"/>
      <c r="L2" s="619"/>
      <c r="M2" s="619"/>
      <c r="N2" s="619"/>
      <c r="O2" s="619"/>
      <c r="P2" s="619"/>
      <c r="Q2" s="619"/>
      <c r="R2" s="619"/>
      <c r="S2" s="619"/>
      <c r="T2" s="619"/>
      <c r="U2" s="619"/>
      <c r="V2" s="619"/>
      <c r="W2" s="619"/>
      <c r="X2" s="619"/>
      <c r="Y2" s="619"/>
      <c r="Z2" s="619"/>
    </row>
    <row r="3" spans="1:28" ht="44.25" customHeight="1">
      <c r="A3" s="620" t="s">
        <v>3</v>
      </c>
      <c r="B3" s="623" t="s">
        <v>233</v>
      </c>
      <c r="C3" s="626" t="s">
        <v>234</v>
      </c>
      <c r="D3" s="627"/>
      <c r="E3" s="627"/>
      <c r="F3" s="628"/>
      <c r="G3" s="632" t="s">
        <v>6</v>
      </c>
      <c r="H3" s="632"/>
      <c r="I3" s="632"/>
      <c r="J3" s="632"/>
      <c r="K3" s="632"/>
      <c r="L3" s="632"/>
      <c r="M3" s="632"/>
      <c r="N3" s="632"/>
      <c r="O3" s="632"/>
      <c r="P3" s="632"/>
      <c r="Q3" s="632"/>
      <c r="R3" s="632"/>
      <c r="S3" s="632"/>
      <c r="T3" s="632"/>
      <c r="U3" s="632"/>
      <c r="V3" s="632"/>
      <c r="W3" s="632"/>
      <c r="X3" s="632"/>
      <c r="Y3" s="632"/>
      <c r="Z3" s="632"/>
      <c r="AA3" s="581" t="s">
        <v>119</v>
      </c>
      <c r="AB3" s="584" t="s">
        <v>120</v>
      </c>
    </row>
    <row r="4" spans="1:28" ht="44.25" customHeight="1">
      <c r="A4" s="621"/>
      <c r="B4" s="624"/>
      <c r="C4" s="629"/>
      <c r="D4" s="630"/>
      <c r="E4" s="630"/>
      <c r="F4" s="631"/>
      <c r="G4" s="632" t="s">
        <v>9</v>
      </c>
      <c r="H4" s="632"/>
      <c r="I4" s="632"/>
      <c r="J4" s="632"/>
      <c r="K4" s="632" t="s">
        <v>10</v>
      </c>
      <c r="L4" s="632"/>
      <c r="M4" s="632"/>
      <c r="N4" s="632"/>
      <c r="O4" s="632" t="s">
        <v>11</v>
      </c>
      <c r="P4" s="632"/>
      <c r="Q4" s="632"/>
      <c r="R4" s="632"/>
      <c r="S4" s="632" t="s">
        <v>12</v>
      </c>
      <c r="T4" s="632"/>
      <c r="U4" s="632"/>
      <c r="V4" s="632"/>
      <c r="W4" s="632" t="s">
        <v>13</v>
      </c>
      <c r="X4" s="632"/>
      <c r="Y4" s="632"/>
      <c r="Z4" s="632"/>
      <c r="AA4" s="582"/>
      <c r="AB4" s="584"/>
    </row>
    <row r="5" spans="1:28" ht="75.75" customHeight="1">
      <c r="A5" s="622"/>
      <c r="B5" s="625"/>
      <c r="C5" s="95" t="s">
        <v>14</v>
      </c>
      <c r="D5" s="95" t="s">
        <v>15</v>
      </c>
      <c r="E5" s="95" t="s">
        <v>235</v>
      </c>
      <c r="F5" s="95" t="s">
        <v>236</v>
      </c>
      <c r="G5" s="95" t="s">
        <v>14</v>
      </c>
      <c r="H5" s="95" t="s">
        <v>15</v>
      </c>
      <c r="I5" s="95" t="s">
        <v>18</v>
      </c>
      <c r="J5" s="95" t="s">
        <v>19</v>
      </c>
      <c r="K5" s="95" t="s">
        <v>14</v>
      </c>
      <c r="L5" s="95" t="s">
        <v>15</v>
      </c>
      <c r="M5" s="95" t="s">
        <v>18</v>
      </c>
      <c r="N5" s="95" t="s">
        <v>19</v>
      </c>
      <c r="O5" s="95" t="s">
        <v>14</v>
      </c>
      <c r="P5" s="95" t="s">
        <v>15</v>
      </c>
      <c r="Q5" s="95" t="s">
        <v>18</v>
      </c>
      <c r="R5" s="95" t="s">
        <v>19</v>
      </c>
      <c r="S5" s="95" t="s">
        <v>14</v>
      </c>
      <c r="T5" s="95" t="s">
        <v>15</v>
      </c>
      <c r="U5" s="95" t="s">
        <v>18</v>
      </c>
      <c r="V5" s="95" t="s">
        <v>19</v>
      </c>
      <c r="W5" s="95" t="s">
        <v>14</v>
      </c>
      <c r="X5" s="95" t="s">
        <v>15</v>
      </c>
      <c r="Y5" s="95" t="s">
        <v>18</v>
      </c>
      <c r="Z5" s="95" t="s">
        <v>19</v>
      </c>
      <c r="AA5" s="583"/>
      <c r="AB5" s="584"/>
    </row>
    <row r="6" spans="1:28">
      <c r="A6" s="96" t="s">
        <v>20</v>
      </c>
      <c r="B6" s="96" t="s">
        <v>237</v>
      </c>
      <c r="C6" s="97">
        <v>0</v>
      </c>
      <c r="D6" s="97">
        <v>10258</v>
      </c>
      <c r="E6" s="97">
        <v>0</v>
      </c>
      <c r="F6" s="97">
        <f>D6</f>
        <v>10258</v>
      </c>
      <c r="G6" s="98">
        <f>H6*0.05</f>
        <v>515</v>
      </c>
      <c r="H6" s="97">
        <v>10300</v>
      </c>
      <c r="I6" s="98">
        <f>G6</f>
        <v>515</v>
      </c>
      <c r="J6" s="97">
        <f>H6</f>
        <v>10300</v>
      </c>
      <c r="K6" s="97">
        <f>L6*0.1</f>
        <v>1030</v>
      </c>
      <c r="L6" s="97">
        <v>10300</v>
      </c>
      <c r="M6" s="97">
        <f>K6</f>
        <v>1030</v>
      </c>
      <c r="N6" s="97">
        <f>L6</f>
        <v>10300</v>
      </c>
      <c r="O6" s="98">
        <f>P6*0.15</f>
        <v>1545</v>
      </c>
      <c r="P6" s="97">
        <v>10300</v>
      </c>
      <c r="Q6" s="98">
        <f>O6</f>
        <v>1545</v>
      </c>
      <c r="R6" s="97">
        <f>P6</f>
        <v>10300</v>
      </c>
      <c r="S6" s="97">
        <f>T6*0.2</f>
        <v>2060</v>
      </c>
      <c r="T6" s="97">
        <v>10300</v>
      </c>
      <c r="U6" s="97">
        <f>S6</f>
        <v>2060</v>
      </c>
      <c r="V6" s="97">
        <f>T6</f>
        <v>10300</v>
      </c>
      <c r="W6" s="97">
        <f>X6*0.25</f>
        <v>2575</v>
      </c>
      <c r="X6" s="97">
        <v>10300</v>
      </c>
      <c r="Y6" s="97">
        <f>W6</f>
        <v>2575</v>
      </c>
      <c r="Z6" s="97">
        <f>X6</f>
        <v>10300</v>
      </c>
      <c r="AA6" s="362">
        <f>C6/W6</f>
        <v>0</v>
      </c>
      <c r="AB6" s="362">
        <f>W6/X6</f>
        <v>0.25</v>
      </c>
    </row>
    <row r="7" spans="1:28">
      <c r="A7" s="99" t="s">
        <v>22</v>
      </c>
      <c r="B7" s="100" t="s">
        <v>238</v>
      </c>
      <c r="C7" s="97">
        <v>0</v>
      </c>
      <c r="D7" s="97">
        <v>110</v>
      </c>
      <c r="E7" s="97">
        <v>0</v>
      </c>
      <c r="F7" s="97">
        <f t="shared" ref="F7:F24" si="0">D7</f>
        <v>110</v>
      </c>
      <c r="G7" s="98">
        <f t="shared" ref="G7:G24" si="1">H7*0.05</f>
        <v>7.5</v>
      </c>
      <c r="H7" s="97">
        <v>150</v>
      </c>
      <c r="I7" s="98">
        <f t="shared" ref="I7:J24" si="2">G7</f>
        <v>7.5</v>
      </c>
      <c r="J7" s="97">
        <f t="shared" si="2"/>
        <v>150</v>
      </c>
      <c r="K7" s="97">
        <f t="shared" ref="K7:K24" si="3">L7*0.1</f>
        <v>15</v>
      </c>
      <c r="L7" s="97">
        <v>150</v>
      </c>
      <c r="M7" s="97">
        <f t="shared" ref="M7:N24" si="4">K7</f>
        <v>15</v>
      </c>
      <c r="N7" s="97">
        <f t="shared" si="4"/>
        <v>150</v>
      </c>
      <c r="O7" s="98">
        <f t="shared" ref="O7:O24" si="5">P7*0.15</f>
        <v>22.5</v>
      </c>
      <c r="P7" s="97">
        <v>150</v>
      </c>
      <c r="Q7" s="98">
        <f t="shared" ref="Q7:R24" si="6">O7</f>
        <v>22.5</v>
      </c>
      <c r="R7" s="97">
        <f t="shared" si="6"/>
        <v>150</v>
      </c>
      <c r="S7" s="97">
        <f t="shared" ref="S7:S24" si="7">T7*0.2</f>
        <v>30</v>
      </c>
      <c r="T7" s="97">
        <v>150</v>
      </c>
      <c r="U7" s="97">
        <f t="shared" ref="U7:V24" si="8">S7</f>
        <v>30</v>
      </c>
      <c r="V7" s="97">
        <f t="shared" si="8"/>
        <v>150</v>
      </c>
      <c r="W7" s="97">
        <f t="shared" ref="W7:W24" si="9">X7*0.25</f>
        <v>37.5</v>
      </c>
      <c r="X7" s="97">
        <v>150</v>
      </c>
      <c r="Y7" s="97">
        <f t="shared" ref="Y7:Z24" si="10">W7</f>
        <v>37.5</v>
      </c>
      <c r="Z7" s="97">
        <f t="shared" si="10"/>
        <v>150</v>
      </c>
      <c r="AA7" s="362">
        <f t="shared" ref="AA7:AA24" si="11">C7/W7</f>
        <v>0</v>
      </c>
      <c r="AB7" s="362">
        <f t="shared" ref="AB7:AB24" si="12">W7/X7</f>
        <v>0.25</v>
      </c>
    </row>
    <row r="8" spans="1:28">
      <c r="A8" s="96" t="s">
        <v>61</v>
      </c>
      <c r="B8" s="96" t="s">
        <v>239</v>
      </c>
      <c r="C8" s="101">
        <v>0</v>
      </c>
      <c r="D8" s="97">
        <v>50</v>
      </c>
      <c r="E8" s="97">
        <v>0</v>
      </c>
      <c r="F8" s="97">
        <f t="shared" si="0"/>
        <v>50</v>
      </c>
      <c r="G8" s="98">
        <f t="shared" si="1"/>
        <v>2.5</v>
      </c>
      <c r="H8" s="97">
        <v>50</v>
      </c>
      <c r="I8" s="98">
        <f t="shared" si="2"/>
        <v>2.5</v>
      </c>
      <c r="J8" s="97">
        <f t="shared" si="2"/>
        <v>50</v>
      </c>
      <c r="K8" s="97">
        <f t="shared" si="3"/>
        <v>5</v>
      </c>
      <c r="L8" s="97">
        <v>50</v>
      </c>
      <c r="M8" s="97">
        <f t="shared" si="4"/>
        <v>5</v>
      </c>
      <c r="N8" s="97">
        <f t="shared" si="4"/>
        <v>50</v>
      </c>
      <c r="O8" s="98">
        <f t="shared" si="5"/>
        <v>7.5</v>
      </c>
      <c r="P8" s="97">
        <v>50</v>
      </c>
      <c r="Q8" s="98">
        <f t="shared" si="6"/>
        <v>7.5</v>
      </c>
      <c r="R8" s="97">
        <f t="shared" si="6"/>
        <v>50</v>
      </c>
      <c r="S8" s="97">
        <f t="shared" si="7"/>
        <v>10</v>
      </c>
      <c r="T8" s="97">
        <v>50</v>
      </c>
      <c r="U8" s="97">
        <f t="shared" si="8"/>
        <v>10</v>
      </c>
      <c r="V8" s="97">
        <f t="shared" si="8"/>
        <v>50</v>
      </c>
      <c r="W8" s="97">
        <f t="shared" si="9"/>
        <v>12.5</v>
      </c>
      <c r="X8" s="97">
        <v>50</v>
      </c>
      <c r="Y8" s="97">
        <f t="shared" si="10"/>
        <v>12.5</v>
      </c>
      <c r="Z8" s="97">
        <f t="shared" si="10"/>
        <v>50</v>
      </c>
      <c r="AA8" s="362">
        <f t="shared" si="11"/>
        <v>0</v>
      </c>
      <c r="AB8" s="362">
        <f t="shared" si="12"/>
        <v>0.25</v>
      </c>
    </row>
    <row r="9" spans="1:28">
      <c r="A9" s="96" t="s">
        <v>63</v>
      </c>
      <c r="B9" s="102" t="s">
        <v>240</v>
      </c>
      <c r="C9" s="101">
        <v>0</v>
      </c>
      <c r="D9" s="97">
        <v>80</v>
      </c>
      <c r="E9" s="97">
        <v>0</v>
      </c>
      <c r="F9" s="97">
        <f t="shared" si="0"/>
        <v>80</v>
      </c>
      <c r="G9" s="98">
        <f t="shared" si="1"/>
        <v>5</v>
      </c>
      <c r="H9" s="97">
        <v>100</v>
      </c>
      <c r="I9" s="98">
        <f t="shared" si="2"/>
        <v>5</v>
      </c>
      <c r="J9" s="97">
        <f t="shared" si="2"/>
        <v>100</v>
      </c>
      <c r="K9" s="97">
        <f t="shared" si="3"/>
        <v>10</v>
      </c>
      <c r="L9" s="97">
        <v>100</v>
      </c>
      <c r="M9" s="97">
        <f t="shared" si="4"/>
        <v>10</v>
      </c>
      <c r="N9" s="97">
        <f t="shared" si="4"/>
        <v>100</v>
      </c>
      <c r="O9" s="98">
        <f t="shared" si="5"/>
        <v>15</v>
      </c>
      <c r="P9" s="97">
        <v>100</v>
      </c>
      <c r="Q9" s="98">
        <f t="shared" si="6"/>
        <v>15</v>
      </c>
      <c r="R9" s="97">
        <f t="shared" si="6"/>
        <v>100</v>
      </c>
      <c r="S9" s="97">
        <f t="shared" si="7"/>
        <v>20</v>
      </c>
      <c r="T9" s="97">
        <v>100</v>
      </c>
      <c r="U9" s="97">
        <f t="shared" si="8"/>
        <v>20</v>
      </c>
      <c r="V9" s="97">
        <f t="shared" si="8"/>
        <v>100</v>
      </c>
      <c r="W9" s="97">
        <f t="shared" si="9"/>
        <v>25</v>
      </c>
      <c r="X9" s="97">
        <v>100</v>
      </c>
      <c r="Y9" s="97">
        <f t="shared" si="10"/>
        <v>25</v>
      </c>
      <c r="Z9" s="97">
        <f t="shared" si="10"/>
        <v>100</v>
      </c>
      <c r="AA9" s="362">
        <f t="shared" si="11"/>
        <v>0</v>
      </c>
      <c r="AB9" s="362">
        <f t="shared" si="12"/>
        <v>0.25</v>
      </c>
    </row>
    <row r="10" spans="1:28">
      <c r="A10" s="96" t="s">
        <v>136</v>
      </c>
      <c r="B10" s="103" t="s">
        <v>241</v>
      </c>
      <c r="C10" s="101">
        <v>0</v>
      </c>
      <c r="D10" s="97">
        <v>500</v>
      </c>
      <c r="E10" s="97">
        <v>0</v>
      </c>
      <c r="F10" s="97">
        <f t="shared" si="0"/>
        <v>500</v>
      </c>
      <c r="G10" s="98">
        <f t="shared" si="1"/>
        <v>25</v>
      </c>
      <c r="H10" s="97">
        <v>500</v>
      </c>
      <c r="I10" s="98">
        <f t="shared" si="2"/>
        <v>25</v>
      </c>
      <c r="J10" s="97">
        <f t="shared" si="2"/>
        <v>500</v>
      </c>
      <c r="K10" s="97">
        <f t="shared" si="3"/>
        <v>50</v>
      </c>
      <c r="L10" s="97">
        <v>500</v>
      </c>
      <c r="M10" s="97">
        <f t="shared" si="4"/>
        <v>50</v>
      </c>
      <c r="N10" s="97">
        <f t="shared" si="4"/>
        <v>500</v>
      </c>
      <c r="O10" s="98">
        <f t="shared" si="5"/>
        <v>75</v>
      </c>
      <c r="P10" s="97">
        <v>500</v>
      </c>
      <c r="Q10" s="98">
        <f t="shared" si="6"/>
        <v>75</v>
      </c>
      <c r="R10" s="97">
        <f t="shared" si="6"/>
        <v>500</v>
      </c>
      <c r="S10" s="97">
        <f t="shared" si="7"/>
        <v>100</v>
      </c>
      <c r="T10" s="97">
        <v>500</v>
      </c>
      <c r="U10" s="97">
        <f t="shared" si="8"/>
        <v>100</v>
      </c>
      <c r="V10" s="97">
        <f t="shared" si="8"/>
        <v>500</v>
      </c>
      <c r="W10" s="97">
        <f t="shared" si="9"/>
        <v>125</v>
      </c>
      <c r="X10" s="97">
        <v>500</v>
      </c>
      <c r="Y10" s="97">
        <f t="shared" si="10"/>
        <v>125</v>
      </c>
      <c r="Z10" s="97">
        <f t="shared" si="10"/>
        <v>500</v>
      </c>
      <c r="AA10" s="362">
        <f t="shared" si="11"/>
        <v>0</v>
      </c>
      <c r="AB10" s="362">
        <f t="shared" si="12"/>
        <v>0.25</v>
      </c>
    </row>
    <row r="11" spans="1:28">
      <c r="A11" s="96" t="s">
        <v>155</v>
      </c>
      <c r="B11" s="102" t="s">
        <v>242</v>
      </c>
      <c r="C11" s="101">
        <v>0</v>
      </c>
      <c r="D11" s="97">
        <v>2500</v>
      </c>
      <c r="E11" s="97">
        <v>0</v>
      </c>
      <c r="F11" s="97">
        <f t="shared" si="0"/>
        <v>2500</v>
      </c>
      <c r="G11" s="98">
        <f t="shared" si="1"/>
        <v>125</v>
      </c>
      <c r="H11" s="97">
        <v>2500</v>
      </c>
      <c r="I11" s="98">
        <f t="shared" si="2"/>
        <v>125</v>
      </c>
      <c r="J11" s="97">
        <f t="shared" si="2"/>
        <v>2500</v>
      </c>
      <c r="K11" s="97">
        <f t="shared" si="3"/>
        <v>250</v>
      </c>
      <c r="L11" s="97">
        <v>2500</v>
      </c>
      <c r="M11" s="97">
        <f t="shared" si="4"/>
        <v>250</v>
      </c>
      <c r="N11" s="97">
        <f t="shared" si="4"/>
        <v>2500</v>
      </c>
      <c r="O11" s="98">
        <f t="shared" si="5"/>
        <v>375</v>
      </c>
      <c r="P11" s="97">
        <v>2500</v>
      </c>
      <c r="Q11" s="98">
        <f t="shared" si="6"/>
        <v>375</v>
      </c>
      <c r="R11" s="97">
        <f t="shared" si="6"/>
        <v>2500</v>
      </c>
      <c r="S11" s="97">
        <f t="shared" si="7"/>
        <v>500</v>
      </c>
      <c r="T11" s="97">
        <v>2500</v>
      </c>
      <c r="U11" s="97">
        <f t="shared" si="8"/>
        <v>500</v>
      </c>
      <c r="V11" s="97">
        <f t="shared" si="8"/>
        <v>2500</v>
      </c>
      <c r="W11" s="97">
        <f t="shared" si="9"/>
        <v>625</v>
      </c>
      <c r="X11" s="97">
        <v>2500</v>
      </c>
      <c r="Y11" s="97">
        <f t="shared" si="10"/>
        <v>625</v>
      </c>
      <c r="Z11" s="97">
        <f t="shared" si="10"/>
        <v>2500</v>
      </c>
      <c r="AA11" s="362">
        <f t="shared" si="11"/>
        <v>0</v>
      </c>
      <c r="AB11" s="362">
        <f t="shared" si="12"/>
        <v>0.25</v>
      </c>
    </row>
    <row r="12" spans="1:28" ht="39">
      <c r="A12" s="96" t="s">
        <v>159</v>
      </c>
      <c r="B12" s="104" t="s">
        <v>243</v>
      </c>
      <c r="C12" s="101">
        <v>0</v>
      </c>
      <c r="D12" s="97">
        <v>400</v>
      </c>
      <c r="E12" s="97">
        <v>0</v>
      </c>
      <c r="F12" s="97">
        <f t="shared" si="0"/>
        <v>400</v>
      </c>
      <c r="G12" s="98">
        <f t="shared" si="1"/>
        <v>20</v>
      </c>
      <c r="H12" s="97">
        <v>400</v>
      </c>
      <c r="I12" s="98">
        <f t="shared" si="2"/>
        <v>20</v>
      </c>
      <c r="J12" s="97">
        <f t="shared" si="2"/>
        <v>400</v>
      </c>
      <c r="K12" s="97">
        <f t="shared" si="3"/>
        <v>40</v>
      </c>
      <c r="L12" s="97">
        <v>400</v>
      </c>
      <c r="M12" s="97">
        <f t="shared" si="4"/>
        <v>40</v>
      </c>
      <c r="N12" s="97">
        <f t="shared" si="4"/>
        <v>400</v>
      </c>
      <c r="O12" s="98">
        <f t="shared" si="5"/>
        <v>60</v>
      </c>
      <c r="P12" s="97">
        <v>400</v>
      </c>
      <c r="Q12" s="98">
        <f t="shared" si="6"/>
        <v>60</v>
      </c>
      <c r="R12" s="97">
        <f t="shared" si="6"/>
        <v>400</v>
      </c>
      <c r="S12" s="97">
        <f t="shared" si="7"/>
        <v>80</v>
      </c>
      <c r="T12" s="97">
        <v>400</v>
      </c>
      <c r="U12" s="97">
        <f t="shared" si="8"/>
        <v>80</v>
      </c>
      <c r="V12" s="97">
        <f t="shared" si="8"/>
        <v>400</v>
      </c>
      <c r="W12" s="97">
        <f t="shared" si="9"/>
        <v>100</v>
      </c>
      <c r="X12" s="97">
        <v>400</v>
      </c>
      <c r="Y12" s="97">
        <f t="shared" si="10"/>
        <v>100</v>
      </c>
      <c r="Z12" s="97">
        <f t="shared" si="10"/>
        <v>400</v>
      </c>
      <c r="AA12" s="362">
        <f t="shared" si="11"/>
        <v>0</v>
      </c>
      <c r="AB12" s="362">
        <f t="shared" si="12"/>
        <v>0.25</v>
      </c>
    </row>
    <row r="13" spans="1:28" ht="26.25">
      <c r="A13" s="96" t="s">
        <v>244</v>
      </c>
      <c r="B13" s="105" t="s">
        <v>245</v>
      </c>
      <c r="C13" s="101">
        <v>0</v>
      </c>
      <c r="D13" s="97">
        <v>450</v>
      </c>
      <c r="E13" s="97">
        <v>0</v>
      </c>
      <c r="F13" s="97">
        <f t="shared" si="0"/>
        <v>450</v>
      </c>
      <c r="G13" s="98">
        <f t="shared" si="1"/>
        <v>22.5</v>
      </c>
      <c r="H13" s="97">
        <v>450</v>
      </c>
      <c r="I13" s="98">
        <f t="shared" si="2"/>
        <v>22.5</v>
      </c>
      <c r="J13" s="97">
        <f t="shared" si="2"/>
        <v>450</v>
      </c>
      <c r="K13" s="97">
        <f t="shared" si="3"/>
        <v>45</v>
      </c>
      <c r="L13" s="97">
        <v>450</v>
      </c>
      <c r="M13" s="97">
        <f t="shared" si="4"/>
        <v>45</v>
      </c>
      <c r="N13" s="97">
        <f t="shared" si="4"/>
        <v>450</v>
      </c>
      <c r="O13" s="98">
        <f t="shared" si="5"/>
        <v>67.5</v>
      </c>
      <c r="P13" s="97">
        <v>450</v>
      </c>
      <c r="Q13" s="98">
        <f t="shared" si="6"/>
        <v>67.5</v>
      </c>
      <c r="R13" s="97">
        <f t="shared" si="6"/>
        <v>450</v>
      </c>
      <c r="S13" s="97">
        <f t="shared" si="7"/>
        <v>90</v>
      </c>
      <c r="T13" s="97">
        <v>450</v>
      </c>
      <c r="U13" s="97">
        <f t="shared" si="8"/>
        <v>90</v>
      </c>
      <c r="V13" s="97">
        <f t="shared" si="8"/>
        <v>450</v>
      </c>
      <c r="W13" s="97">
        <f t="shared" si="9"/>
        <v>112.5</v>
      </c>
      <c r="X13" s="97">
        <v>450</v>
      </c>
      <c r="Y13" s="97">
        <f t="shared" si="10"/>
        <v>112.5</v>
      </c>
      <c r="Z13" s="97">
        <f t="shared" si="10"/>
        <v>450</v>
      </c>
      <c r="AA13" s="362">
        <f t="shared" si="11"/>
        <v>0</v>
      </c>
      <c r="AB13" s="362">
        <f t="shared" si="12"/>
        <v>0.25</v>
      </c>
    </row>
    <row r="14" spans="1:28" ht="26.25">
      <c r="A14" s="96" t="s">
        <v>219</v>
      </c>
      <c r="B14" s="106" t="s">
        <v>246</v>
      </c>
      <c r="C14" s="101">
        <v>0</v>
      </c>
      <c r="D14" s="97">
        <v>600</v>
      </c>
      <c r="E14" s="97">
        <v>0</v>
      </c>
      <c r="F14" s="97">
        <f t="shared" si="0"/>
        <v>600</v>
      </c>
      <c r="G14" s="98">
        <f t="shared" si="1"/>
        <v>30</v>
      </c>
      <c r="H14" s="97">
        <v>600</v>
      </c>
      <c r="I14" s="98">
        <f t="shared" si="2"/>
        <v>30</v>
      </c>
      <c r="J14" s="97">
        <f t="shared" si="2"/>
        <v>600</v>
      </c>
      <c r="K14" s="97">
        <f t="shared" si="3"/>
        <v>60</v>
      </c>
      <c r="L14" s="97">
        <v>600</v>
      </c>
      <c r="M14" s="97">
        <f t="shared" si="4"/>
        <v>60</v>
      </c>
      <c r="N14" s="97">
        <f t="shared" si="4"/>
        <v>600</v>
      </c>
      <c r="O14" s="98">
        <f t="shared" si="5"/>
        <v>90</v>
      </c>
      <c r="P14" s="97">
        <v>600</v>
      </c>
      <c r="Q14" s="98">
        <f t="shared" si="6"/>
        <v>90</v>
      </c>
      <c r="R14" s="97">
        <f t="shared" si="6"/>
        <v>600</v>
      </c>
      <c r="S14" s="97">
        <f t="shared" si="7"/>
        <v>120</v>
      </c>
      <c r="T14" s="97">
        <v>600</v>
      </c>
      <c r="U14" s="97">
        <f t="shared" si="8"/>
        <v>120</v>
      </c>
      <c r="V14" s="97">
        <f t="shared" si="8"/>
        <v>600</v>
      </c>
      <c r="W14" s="97">
        <f t="shared" si="9"/>
        <v>150</v>
      </c>
      <c r="X14" s="97">
        <v>600</v>
      </c>
      <c r="Y14" s="97">
        <f t="shared" si="10"/>
        <v>150</v>
      </c>
      <c r="Z14" s="97">
        <f t="shared" si="10"/>
        <v>600</v>
      </c>
      <c r="AA14" s="362">
        <f t="shared" si="11"/>
        <v>0</v>
      </c>
      <c r="AB14" s="362">
        <f t="shared" si="12"/>
        <v>0.25</v>
      </c>
    </row>
    <row r="15" spans="1:28">
      <c r="A15" s="96" t="s">
        <v>247</v>
      </c>
      <c r="B15" s="107" t="s">
        <v>248</v>
      </c>
      <c r="C15" s="101">
        <v>0</v>
      </c>
      <c r="D15" s="97">
        <v>10107</v>
      </c>
      <c r="E15" s="97">
        <v>0</v>
      </c>
      <c r="F15" s="97">
        <f t="shared" si="0"/>
        <v>10107</v>
      </c>
      <c r="G15" s="98">
        <f t="shared" si="1"/>
        <v>510</v>
      </c>
      <c r="H15" s="97">
        <v>10200</v>
      </c>
      <c r="I15" s="98">
        <f t="shared" si="2"/>
        <v>510</v>
      </c>
      <c r="J15" s="97">
        <f t="shared" si="2"/>
        <v>10200</v>
      </c>
      <c r="K15" s="97">
        <f t="shared" si="3"/>
        <v>1020</v>
      </c>
      <c r="L15" s="97">
        <v>10200</v>
      </c>
      <c r="M15" s="97">
        <f t="shared" si="4"/>
        <v>1020</v>
      </c>
      <c r="N15" s="97">
        <f t="shared" si="4"/>
        <v>10200</v>
      </c>
      <c r="O15" s="98">
        <f t="shared" si="5"/>
        <v>1530</v>
      </c>
      <c r="P15" s="97">
        <v>10200</v>
      </c>
      <c r="Q15" s="98">
        <f t="shared" si="6"/>
        <v>1530</v>
      </c>
      <c r="R15" s="97">
        <f t="shared" si="6"/>
        <v>10200</v>
      </c>
      <c r="S15" s="97">
        <f t="shared" si="7"/>
        <v>2040</v>
      </c>
      <c r="T15" s="97">
        <v>10200</v>
      </c>
      <c r="U15" s="97">
        <f t="shared" si="8"/>
        <v>2040</v>
      </c>
      <c r="V15" s="97">
        <f t="shared" si="8"/>
        <v>10200</v>
      </c>
      <c r="W15" s="97">
        <f t="shared" si="9"/>
        <v>2550</v>
      </c>
      <c r="X15" s="97">
        <v>10200</v>
      </c>
      <c r="Y15" s="97">
        <f t="shared" si="10"/>
        <v>2550</v>
      </c>
      <c r="Z15" s="97">
        <f t="shared" si="10"/>
        <v>10200</v>
      </c>
      <c r="AA15" s="362">
        <f t="shared" si="11"/>
        <v>0</v>
      </c>
      <c r="AB15" s="362">
        <f t="shared" si="12"/>
        <v>0.25</v>
      </c>
    </row>
    <row r="16" spans="1:28">
      <c r="A16" s="96" t="s">
        <v>249</v>
      </c>
      <c r="B16" s="107" t="s">
        <v>250</v>
      </c>
      <c r="C16" s="101">
        <v>0</v>
      </c>
      <c r="D16" s="97">
        <v>11547</v>
      </c>
      <c r="E16" s="97">
        <v>0</v>
      </c>
      <c r="F16" s="97">
        <f t="shared" si="0"/>
        <v>11547</v>
      </c>
      <c r="G16" s="98">
        <f t="shared" si="1"/>
        <v>580</v>
      </c>
      <c r="H16" s="97">
        <v>11600</v>
      </c>
      <c r="I16" s="98">
        <f t="shared" si="2"/>
        <v>580</v>
      </c>
      <c r="J16" s="97">
        <f t="shared" si="2"/>
        <v>11600</v>
      </c>
      <c r="K16" s="97">
        <f t="shared" si="3"/>
        <v>1160</v>
      </c>
      <c r="L16" s="97">
        <v>11600</v>
      </c>
      <c r="M16" s="97">
        <f t="shared" si="4"/>
        <v>1160</v>
      </c>
      <c r="N16" s="97">
        <f t="shared" si="4"/>
        <v>11600</v>
      </c>
      <c r="O16" s="98">
        <f t="shared" si="5"/>
        <v>1740</v>
      </c>
      <c r="P16" s="97">
        <v>11600</v>
      </c>
      <c r="Q16" s="98">
        <f t="shared" si="6"/>
        <v>1740</v>
      </c>
      <c r="R16" s="97">
        <f t="shared" si="6"/>
        <v>11600</v>
      </c>
      <c r="S16" s="97">
        <f t="shared" si="7"/>
        <v>2320</v>
      </c>
      <c r="T16" s="97">
        <v>11600</v>
      </c>
      <c r="U16" s="97">
        <f t="shared" si="8"/>
        <v>2320</v>
      </c>
      <c r="V16" s="97">
        <f t="shared" si="8"/>
        <v>11600</v>
      </c>
      <c r="W16" s="97">
        <f t="shared" si="9"/>
        <v>2900</v>
      </c>
      <c r="X16" s="97">
        <v>11600</v>
      </c>
      <c r="Y16" s="97">
        <f t="shared" si="10"/>
        <v>2900</v>
      </c>
      <c r="Z16" s="97">
        <f t="shared" si="10"/>
        <v>11600</v>
      </c>
      <c r="AA16" s="362">
        <f t="shared" si="11"/>
        <v>0</v>
      </c>
      <c r="AB16" s="362">
        <f t="shared" si="12"/>
        <v>0.25</v>
      </c>
    </row>
    <row r="17" spans="1:28">
      <c r="A17" s="96" t="s">
        <v>251</v>
      </c>
      <c r="B17" s="107" t="s">
        <v>252</v>
      </c>
      <c r="C17" s="101">
        <v>0</v>
      </c>
      <c r="D17" s="97">
        <v>1600</v>
      </c>
      <c r="E17" s="97">
        <v>0</v>
      </c>
      <c r="F17" s="97">
        <f t="shared" si="0"/>
        <v>1600</v>
      </c>
      <c r="G17" s="98">
        <f t="shared" si="1"/>
        <v>80</v>
      </c>
      <c r="H17" s="97">
        <v>1600</v>
      </c>
      <c r="I17" s="98">
        <f t="shared" si="2"/>
        <v>80</v>
      </c>
      <c r="J17" s="97">
        <f t="shared" si="2"/>
        <v>1600</v>
      </c>
      <c r="K17" s="97">
        <f t="shared" si="3"/>
        <v>160</v>
      </c>
      <c r="L17" s="97">
        <v>1600</v>
      </c>
      <c r="M17" s="97">
        <f t="shared" si="4"/>
        <v>160</v>
      </c>
      <c r="N17" s="97">
        <f t="shared" si="4"/>
        <v>1600</v>
      </c>
      <c r="O17" s="98">
        <f t="shared" si="5"/>
        <v>240</v>
      </c>
      <c r="P17" s="97">
        <v>1600</v>
      </c>
      <c r="Q17" s="98">
        <f t="shared" si="6"/>
        <v>240</v>
      </c>
      <c r="R17" s="97">
        <f t="shared" si="6"/>
        <v>1600</v>
      </c>
      <c r="S17" s="97">
        <f t="shared" si="7"/>
        <v>320</v>
      </c>
      <c r="T17" s="97">
        <v>1600</v>
      </c>
      <c r="U17" s="97">
        <f t="shared" si="8"/>
        <v>320</v>
      </c>
      <c r="V17" s="97">
        <f t="shared" si="8"/>
        <v>1600</v>
      </c>
      <c r="W17" s="97">
        <f t="shared" si="9"/>
        <v>400</v>
      </c>
      <c r="X17" s="97">
        <v>1600</v>
      </c>
      <c r="Y17" s="97">
        <f t="shared" si="10"/>
        <v>400</v>
      </c>
      <c r="Z17" s="97">
        <f t="shared" si="10"/>
        <v>1600</v>
      </c>
      <c r="AA17" s="362">
        <f t="shared" si="11"/>
        <v>0</v>
      </c>
      <c r="AB17" s="362">
        <f t="shared" si="12"/>
        <v>0.25</v>
      </c>
    </row>
    <row r="18" spans="1:28">
      <c r="A18" s="96" t="s">
        <v>253</v>
      </c>
      <c r="B18" s="107" t="s">
        <v>254</v>
      </c>
      <c r="C18" s="101">
        <v>0</v>
      </c>
      <c r="D18" s="97">
        <v>200</v>
      </c>
      <c r="E18" s="97">
        <v>0</v>
      </c>
      <c r="F18" s="97">
        <f t="shared" si="0"/>
        <v>200</v>
      </c>
      <c r="G18" s="98">
        <f t="shared" si="1"/>
        <v>10</v>
      </c>
      <c r="H18" s="97">
        <v>200</v>
      </c>
      <c r="I18" s="98">
        <f t="shared" si="2"/>
        <v>10</v>
      </c>
      <c r="J18" s="97">
        <f t="shared" si="2"/>
        <v>200</v>
      </c>
      <c r="K18" s="97">
        <f t="shared" si="3"/>
        <v>20</v>
      </c>
      <c r="L18" s="97">
        <v>200</v>
      </c>
      <c r="M18" s="97">
        <f t="shared" si="4"/>
        <v>20</v>
      </c>
      <c r="N18" s="97">
        <f t="shared" si="4"/>
        <v>200</v>
      </c>
      <c r="O18" s="98">
        <f t="shared" si="5"/>
        <v>30</v>
      </c>
      <c r="P18" s="97">
        <v>200</v>
      </c>
      <c r="Q18" s="98">
        <f t="shared" si="6"/>
        <v>30</v>
      </c>
      <c r="R18" s="97">
        <f t="shared" si="6"/>
        <v>200</v>
      </c>
      <c r="S18" s="97">
        <f t="shared" si="7"/>
        <v>40</v>
      </c>
      <c r="T18" s="97">
        <v>200</v>
      </c>
      <c r="U18" s="97">
        <f t="shared" si="8"/>
        <v>40</v>
      </c>
      <c r="V18" s="97">
        <f t="shared" si="8"/>
        <v>200</v>
      </c>
      <c r="W18" s="97">
        <f t="shared" si="9"/>
        <v>50</v>
      </c>
      <c r="X18" s="97">
        <v>200</v>
      </c>
      <c r="Y18" s="97">
        <f t="shared" si="10"/>
        <v>50</v>
      </c>
      <c r="Z18" s="97">
        <f t="shared" si="10"/>
        <v>200</v>
      </c>
      <c r="AA18" s="362">
        <f t="shared" si="11"/>
        <v>0</v>
      </c>
      <c r="AB18" s="362">
        <f t="shared" si="12"/>
        <v>0.25</v>
      </c>
    </row>
    <row r="19" spans="1:28">
      <c r="A19" s="96" t="s">
        <v>255</v>
      </c>
      <c r="B19" s="107" t="s">
        <v>256</v>
      </c>
      <c r="C19" s="101">
        <v>0</v>
      </c>
      <c r="D19" s="97">
        <v>700</v>
      </c>
      <c r="E19" s="97">
        <v>0</v>
      </c>
      <c r="F19" s="97">
        <f t="shared" si="0"/>
        <v>700</v>
      </c>
      <c r="G19" s="98">
        <f t="shared" si="1"/>
        <v>35</v>
      </c>
      <c r="H19" s="97">
        <v>700</v>
      </c>
      <c r="I19" s="98">
        <f t="shared" si="2"/>
        <v>35</v>
      </c>
      <c r="J19" s="97">
        <f t="shared" si="2"/>
        <v>700</v>
      </c>
      <c r="K19" s="97">
        <f t="shared" si="3"/>
        <v>70</v>
      </c>
      <c r="L19" s="97">
        <v>700</v>
      </c>
      <c r="M19" s="97">
        <f t="shared" si="4"/>
        <v>70</v>
      </c>
      <c r="N19" s="97">
        <f t="shared" si="4"/>
        <v>700</v>
      </c>
      <c r="O19" s="98">
        <f t="shared" si="5"/>
        <v>105</v>
      </c>
      <c r="P19" s="97">
        <v>700</v>
      </c>
      <c r="Q19" s="98">
        <f t="shared" si="6"/>
        <v>105</v>
      </c>
      <c r="R19" s="97">
        <f t="shared" si="6"/>
        <v>700</v>
      </c>
      <c r="S19" s="97">
        <f t="shared" si="7"/>
        <v>140</v>
      </c>
      <c r="T19" s="97">
        <v>700</v>
      </c>
      <c r="U19" s="97">
        <f t="shared" si="8"/>
        <v>140</v>
      </c>
      <c r="V19" s="97">
        <f t="shared" si="8"/>
        <v>700</v>
      </c>
      <c r="W19" s="97">
        <f t="shared" si="9"/>
        <v>175</v>
      </c>
      <c r="X19" s="97">
        <v>700</v>
      </c>
      <c r="Y19" s="97">
        <f t="shared" si="10"/>
        <v>175</v>
      </c>
      <c r="Z19" s="97">
        <f t="shared" si="10"/>
        <v>700</v>
      </c>
      <c r="AA19" s="362">
        <f t="shared" si="11"/>
        <v>0</v>
      </c>
      <c r="AB19" s="362">
        <f t="shared" si="12"/>
        <v>0.25</v>
      </c>
    </row>
    <row r="20" spans="1:28" ht="26.25">
      <c r="A20" s="96" t="s">
        <v>257</v>
      </c>
      <c r="B20" s="107" t="s">
        <v>258</v>
      </c>
      <c r="C20" s="101">
        <v>0</v>
      </c>
      <c r="D20" s="97">
        <v>500</v>
      </c>
      <c r="E20" s="97">
        <v>0</v>
      </c>
      <c r="F20" s="97">
        <f t="shared" si="0"/>
        <v>500</v>
      </c>
      <c r="G20" s="98">
        <f t="shared" si="1"/>
        <v>25</v>
      </c>
      <c r="H20" s="97">
        <v>500</v>
      </c>
      <c r="I20" s="98">
        <f t="shared" si="2"/>
        <v>25</v>
      </c>
      <c r="J20" s="97">
        <f t="shared" si="2"/>
        <v>500</v>
      </c>
      <c r="K20" s="97">
        <f t="shared" si="3"/>
        <v>50</v>
      </c>
      <c r="L20" s="97">
        <v>500</v>
      </c>
      <c r="M20" s="97">
        <f t="shared" si="4"/>
        <v>50</v>
      </c>
      <c r="N20" s="97">
        <f t="shared" si="4"/>
        <v>500</v>
      </c>
      <c r="O20" s="98">
        <f t="shared" si="5"/>
        <v>75</v>
      </c>
      <c r="P20" s="97">
        <v>500</v>
      </c>
      <c r="Q20" s="98">
        <f t="shared" si="6"/>
        <v>75</v>
      </c>
      <c r="R20" s="97">
        <f t="shared" si="6"/>
        <v>500</v>
      </c>
      <c r="S20" s="97">
        <f t="shared" si="7"/>
        <v>100</v>
      </c>
      <c r="T20" s="97">
        <v>500</v>
      </c>
      <c r="U20" s="97">
        <f t="shared" si="8"/>
        <v>100</v>
      </c>
      <c r="V20" s="97">
        <f t="shared" si="8"/>
        <v>500</v>
      </c>
      <c r="W20" s="97">
        <f t="shared" si="9"/>
        <v>125</v>
      </c>
      <c r="X20" s="97">
        <v>500</v>
      </c>
      <c r="Y20" s="97">
        <f t="shared" si="10"/>
        <v>125</v>
      </c>
      <c r="Z20" s="97">
        <f t="shared" si="10"/>
        <v>500</v>
      </c>
      <c r="AA20" s="362">
        <f t="shared" si="11"/>
        <v>0</v>
      </c>
      <c r="AB20" s="362">
        <f t="shared" si="12"/>
        <v>0.25</v>
      </c>
    </row>
    <row r="21" spans="1:28">
      <c r="A21" s="96" t="s">
        <v>259</v>
      </c>
      <c r="B21" s="107" t="s">
        <v>260</v>
      </c>
      <c r="C21" s="101">
        <v>0</v>
      </c>
      <c r="D21" s="97">
        <v>2000</v>
      </c>
      <c r="E21" s="97">
        <v>0</v>
      </c>
      <c r="F21" s="97">
        <f t="shared" si="0"/>
        <v>2000</v>
      </c>
      <c r="G21" s="98">
        <f t="shared" si="1"/>
        <v>100</v>
      </c>
      <c r="H21" s="97">
        <f>D21</f>
        <v>2000</v>
      </c>
      <c r="I21" s="98">
        <f t="shared" si="2"/>
        <v>100</v>
      </c>
      <c r="J21" s="97">
        <f t="shared" si="2"/>
        <v>2000</v>
      </c>
      <c r="K21" s="97">
        <f t="shared" si="3"/>
        <v>200</v>
      </c>
      <c r="L21" s="97">
        <f>H21</f>
        <v>2000</v>
      </c>
      <c r="M21" s="97">
        <f t="shared" si="4"/>
        <v>200</v>
      </c>
      <c r="N21" s="97">
        <f t="shared" si="4"/>
        <v>2000</v>
      </c>
      <c r="O21" s="98">
        <f t="shared" si="5"/>
        <v>300</v>
      </c>
      <c r="P21" s="97">
        <f>L21</f>
        <v>2000</v>
      </c>
      <c r="Q21" s="98">
        <f t="shared" si="6"/>
        <v>300</v>
      </c>
      <c r="R21" s="97">
        <f t="shared" si="6"/>
        <v>2000</v>
      </c>
      <c r="S21" s="97">
        <f t="shared" si="7"/>
        <v>400</v>
      </c>
      <c r="T21" s="97">
        <f>P21</f>
        <v>2000</v>
      </c>
      <c r="U21" s="97">
        <f t="shared" si="8"/>
        <v>400</v>
      </c>
      <c r="V21" s="97">
        <f t="shared" si="8"/>
        <v>2000</v>
      </c>
      <c r="W21" s="97">
        <f t="shared" si="9"/>
        <v>500</v>
      </c>
      <c r="X21" s="97">
        <f>T21</f>
        <v>2000</v>
      </c>
      <c r="Y21" s="97">
        <f t="shared" si="10"/>
        <v>500</v>
      </c>
      <c r="Z21" s="97">
        <f t="shared" si="10"/>
        <v>2000</v>
      </c>
      <c r="AA21" s="362">
        <f t="shared" si="11"/>
        <v>0</v>
      </c>
      <c r="AB21" s="362">
        <f t="shared" si="12"/>
        <v>0.25</v>
      </c>
    </row>
    <row r="22" spans="1:28">
      <c r="A22" s="96" t="s">
        <v>261</v>
      </c>
      <c r="B22" s="107" t="s">
        <v>262</v>
      </c>
      <c r="C22" s="101">
        <v>0</v>
      </c>
      <c r="D22" s="97">
        <v>9000</v>
      </c>
      <c r="E22" s="97">
        <v>0</v>
      </c>
      <c r="F22" s="97">
        <f t="shared" si="0"/>
        <v>9000</v>
      </c>
      <c r="G22" s="98">
        <f t="shared" si="1"/>
        <v>450</v>
      </c>
      <c r="H22" s="97">
        <f>D22</f>
        <v>9000</v>
      </c>
      <c r="I22" s="98">
        <f t="shared" si="2"/>
        <v>450</v>
      </c>
      <c r="J22" s="97">
        <f t="shared" si="2"/>
        <v>9000</v>
      </c>
      <c r="K22" s="97">
        <f t="shared" si="3"/>
        <v>900</v>
      </c>
      <c r="L22" s="97">
        <f>H22</f>
        <v>9000</v>
      </c>
      <c r="M22" s="97">
        <f t="shared" si="4"/>
        <v>900</v>
      </c>
      <c r="N22" s="97">
        <f t="shared" si="4"/>
        <v>9000</v>
      </c>
      <c r="O22" s="98">
        <f t="shared" si="5"/>
        <v>1350</v>
      </c>
      <c r="P22" s="97">
        <f>L22</f>
        <v>9000</v>
      </c>
      <c r="Q22" s="98">
        <f t="shared" si="6"/>
        <v>1350</v>
      </c>
      <c r="R22" s="97">
        <f t="shared" si="6"/>
        <v>9000</v>
      </c>
      <c r="S22" s="97">
        <f t="shared" si="7"/>
        <v>1800</v>
      </c>
      <c r="T22" s="97">
        <f>P22</f>
        <v>9000</v>
      </c>
      <c r="U22" s="97">
        <f t="shared" si="8"/>
        <v>1800</v>
      </c>
      <c r="V22" s="97">
        <f t="shared" si="8"/>
        <v>9000</v>
      </c>
      <c r="W22" s="97">
        <f t="shared" si="9"/>
        <v>2250</v>
      </c>
      <c r="X22" s="97">
        <f>T22</f>
        <v>9000</v>
      </c>
      <c r="Y22" s="97">
        <f t="shared" si="10"/>
        <v>2250</v>
      </c>
      <c r="Z22" s="97">
        <f t="shared" si="10"/>
        <v>9000</v>
      </c>
      <c r="AA22" s="362">
        <f t="shared" si="11"/>
        <v>0</v>
      </c>
      <c r="AB22" s="362">
        <f t="shared" si="12"/>
        <v>0.25</v>
      </c>
    </row>
    <row r="23" spans="1:28" ht="39">
      <c r="A23" s="96" t="s">
        <v>263</v>
      </c>
      <c r="B23" s="107" t="s">
        <v>264</v>
      </c>
      <c r="C23" s="101">
        <v>0</v>
      </c>
      <c r="D23" s="97">
        <v>1000</v>
      </c>
      <c r="E23" s="97">
        <v>0</v>
      </c>
      <c r="F23" s="97">
        <f t="shared" si="0"/>
        <v>1000</v>
      </c>
      <c r="G23" s="98">
        <f t="shared" si="1"/>
        <v>50</v>
      </c>
      <c r="H23" s="97">
        <f>D23</f>
        <v>1000</v>
      </c>
      <c r="I23" s="98">
        <f t="shared" si="2"/>
        <v>50</v>
      </c>
      <c r="J23" s="97">
        <f t="shared" si="2"/>
        <v>1000</v>
      </c>
      <c r="K23" s="97">
        <f t="shared" si="3"/>
        <v>100</v>
      </c>
      <c r="L23" s="97">
        <f>H23</f>
        <v>1000</v>
      </c>
      <c r="M23" s="97">
        <f t="shared" si="4"/>
        <v>100</v>
      </c>
      <c r="N23" s="97">
        <f t="shared" si="4"/>
        <v>1000</v>
      </c>
      <c r="O23" s="98">
        <f t="shared" si="5"/>
        <v>150</v>
      </c>
      <c r="P23" s="97">
        <f>L23</f>
        <v>1000</v>
      </c>
      <c r="Q23" s="98">
        <f t="shared" si="6"/>
        <v>150</v>
      </c>
      <c r="R23" s="97">
        <f t="shared" si="6"/>
        <v>1000</v>
      </c>
      <c r="S23" s="97">
        <f t="shared" si="7"/>
        <v>200</v>
      </c>
      <c r="T23" s="97">
        <f>P23</f>
        <v>1000</v>
      </c>
      <c r="U23" s="97">
        <f t="shared" si="8"/>
        <v>200</v>
      </c>
      <c r="V23" s="97">
        <f t="shared" si="8"/>
        <v>1000</v>
      </c>
      <c r="W23" s="97">
        <f t="shared" si="9"/>
        <v>250</v>
      </c>
      <c r="X23" s="97">
        <f>T23</f>
        <v>1000</v>
      </c>
      <c r="Y23" s="97">
        <f t="shared" si="10"/>
        <v>250</v>
      </c>
      <c r="Z23" s="97">
        <f t="shared" si="10"/>
        <v>1000</v>
      </c>
      <c r="AA23" s="362">
        <f t="shared" si="11"/>
        <v>0</v>
      </c>
      <c r="AB23" s="362">
        <f t="shared" si="12"/>
        <v>0.25</v>
      </c>
    </row>
    <row r="24" spans="1:28" ht="26.25">
      <c r="A24" s="96" t="s">
        <v>265</v>
      </c>
      <c r="B24" s="108" t="s">
        <v>266</v>
      </c>
      <c r="C24" s="101">
        <v>0</v>
      </c>
      <c r="D24" s="97">
        <v>50</v>
      </c>
      <c r="E24" s="97">
        <v>0</v>
      </c>
      <c r="F24" s="97">
        <f t="shared" si="0"/>
        <v>50</v>
      </c>
      <c r="G24" s="98">
        <f t="shared" si="1"/>
        <v>3</v>
      </c>
      <c r="H24" s="97">
        <v>60</v>
      </c>
      <c r="I24" s="98">
        <f t="shared" si="2"/>
        <v>3</v>
      </c>
      <c r="J24" s="97">
        <f t="shared" si="2"/>
        <v>60</v>
      </c>
      <c r="K24" s="97">
        <f t="shared" si="3"/>
        <v>6</v>
      </c>
      <c r="L24" s="97">
        <v>60</v>
      </c>
      <c r="M24" s="97">
        <f t="shared" si="4"/>
        <v>6</v>
      </c>
      <c r="N24" s="97">
        <f t="shared" si="4"/>
        <v>60</v>
      </c>
      <c r="O24" s="98">
        <f t="shared" si="5"/>
        <v>9</v>
      </c>
      <c r="P24" s="97">
        <v>60</v>
      </c>
      <c r="Q24" s="98">
        <f t="shared" si="6"/>
        <v>9</v>
      </c>
      <c r="R24" s="97">
        <f t="shared" si="6"/>
        <v>60</v>
      </c>
      <c r="S24" s="97">
        <f t="shared" si="7"/>
        <v>12</v>
      </c>
      <c r="T24" s="97">
        <v>60</v>
      </c>
      <c r="U24" s="97">
        <f t="shared" si="8"/>
        <v>12</v>
      </c>
      <c r="V24" s="97">
        <f t="shared" si="8"/>
        <v>60</v>
      </c>
      <c r="W24" s="97">
        <f t="shared" si="9"/>
        <v>15</v>
      </c>
      <c r="X24" s="97">
        <v>60</v>
      </c>
      <c r="Y24" s="97">
        <f t="shared" si="10"/>
        <v>15</v>
      </c>
      <c r="Z24" s="97">
        <f t="shared" si="10"/>
        <v>60</v>
      </c>
      <c r="AA24" s="362">
        <f t="shared" si="11"/>
        <v>0</v>
      </c>
      <c r="AB24" s="362">
        <f t="shared" si="12"/>
        <v>0.25</v>
      </c>
    </row>
    <row r="25" spans="1:28" ht="44.25" customHeight="1">
      <c r="A25" s="109"/>
      <c r="B25" s="110"/>
      <c r="C25" s="111"/>
      <c r="D25" s="111"/>
      <c r="E25" s="111"/>
      <c r="F25" s="111"/>
      <c r="G25" s="112"/>
      <c r="H25" s="111"/>
      <c r="I25" s="112"/>
      <c r="J25" s="111"/>
      <c r="K25" s="111"/>
      <c r="L25" s="111"/>
      <c r="M25" s="111"/>
      <c r="N25" s="111"/>
      <c r="O25" s="112"/>
      <c r="P25" s="111"/>
      <c r="Q25" s="112"/>
      <c r="R25" s="111"/>
      <c r="S25" s="111"/>
      <c r="T25" s="111"/>
      <c r="U25" s="111"/>
      <c r="V25" s="111"/>
      <c r="W25" s="111"/>
      <c r="X25" s="111"/>
      <c r="Y25" s="111"/>
      <c r="Z25" s="113" t="s">
        <v>123</v>
      </c>
      <c r="AA25" s="362">
        <f>AVERAGE(AA6:AA24)</f>
        <v>0</v>
      </c>
      <c r="AB25" s="362">
        <f>AVERAGE(AB6:AB24)</f>
        <v>0.25</v>
      </c>
    </row>
    <row r="27" spans="1:28" ht="23.25">
      <c r="A27" s="619" t="s">
        <v>25</v>
      </c>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row>
    <row r="28" spans="1:28" ht="45.75" customHeight="1">
      <c r="A28" s="620" t="s">
        <v>3</v>
      </c>
      <c r="B28" s="623" t="s">
        <v>26</v>
      </c>
      <c r="C28" s="626" t="s">
        <v>267</v>
      </c>
      <c r="D28" s="627"/>
      <c r="E28" s="627"/>
      <c r="F28" s="628"/>
      <c r="G28" s="632" t="s">
        <v>28</v>
      </c>
      <c r="H28" s="632"/>
      <c r="I28" s="632"/>
      <c r="J28" s="632"/>
      <c r="K28" s="632"/>
      <c r="L28" s="632"/>
      <c r="M28" s="632"/>
      <c r="N28" s="632"/>
      <c r="O28" s="632"/>
      <c r="P28" s="632"/>
      <c r="Q28" s="632"/>
      <c r="R28" s="632"/>
      <c r="S28" s="632"/>
      <c r="T28" s="632"/>
      <c r="U28" s="632"/>
      <c r="V28" s="632"/>
      <c r="W28" s="632"/>
      <c r="X28" s="632"/>
      <c r="Y28" s="632"/>
      <c r="Z28" s="632"/>
      <c r="AA28" s="581" t="s">
        <v>124</v>
      </c>
      <c r="AB28" s="581" t="s">
        <v>125</v>
      </c>
    </row>
    <row r="29" spans="1:28" ht="45" customHeight="1">
      <c r="A29" s="621"/>
      <c r="B29" s="624"/>
      <c r="C29" s="629"/>
      <c r="D29" s="630"/>
      <c r="E29" s="630"/>
      <c r="F29" s="631"/>
      <c r="G29" s="632" t="s">
        <v>9</v>
      </c>
      <c r="H29" s="632"/>
      <c r="I29" s="632"/>
      <c r="J29" s="632"/>
      <c r="K29" s="632" t="s">
        <v>10</v>
      </c>
      <c r="L29" s="632"/>
      <c r="M29" s="632"/>
      <c r="N29" s="632"/>
      <c r="O29" s="632" t="s">
        <v>11</v>
      </c>
      <c r="P29" s="632"/>
      <c r="Q29" s="632"/>
      <c r="R29" s="632"/>
      <c r="S29" s="632" t="s">
        <v>12</v>
      </c>
      <c r="T29" s="632"/>
      <c r="U29" s="632"/>
      <c r="V29" s="632"/>
      <c r="W29" s="632" t="s">
        <v>13</v>
      </c>
      <c r="X29" s="632"/>
      <c r="Y29" s="632"/>
      <c r="Z29" s="632"/>
      <c r="AA29" s="582"/>
      <c r="AB29" s="582"/>
    </row>
    <row r="30" spans="1:28" ht="78.75" customHeight="1">
      <c r="A30" s="622"/>
      <c r="B30" s="625"/>
      <c r="C30" s="95" t="s">
        <v>268</v>
      </c>
      <c r="D30" s="95" t="s">
        <v>32</v>
      </c>
      <c r="E30" s="95" t="s">
        <v>33</v>
      </c>
      <c r="F30" s="95" t="s">
        <v>236</v>
      </c>
      <c r="G30" s="95" t="s">
        <v>34</v>
      </c>
      <c r="H30" s="95" t="s">
        <v>32</v>
      </c>
      <c r="I30" s="95" t="s">
        <v>33</v>
      </c>
      <c r="J30" s="95" t="s">
        <v>19</v>
      </c>
      <c r="K30" s="95" t="s">
        <v>34</v>
      </c>
      <c r="L30" s="95" t="s">
        <v>32</v>
      </c>
      <c r="M30" s="95" t="s">
        <v>33</v>
      </c>
      <c r="N30" s="95" t="s">
        <v>19</v>
      </c>
      <c r="O30" s="95" t="s">
        <v>34</v>
      </c>
      <c r="P30" s="95" t="s">
        <v>32</v>
      </c>
      <c r="Q30" s="95" t="s">
        <v>33</v>
      </c>
      <c r="R30" s="95" t="s">
        <v>19</v>
      </c>
      <c r="S30" s="95" t="s">
        <v>34</v>
      </c>
      <c r="T30" s="95" t="s">
        <v>32</v>
      </c>
      <c r="U30" s="95" t="s">
        <v>33</v>
      </c>
      <c r="V30" s="95" t="s">
        <v>19</v>
      </c>
      <c r="W30" s="95" t="s">
        <v>34</v>
      </c>
      <c r="X30" s="95" t="s">
        <v>32</v>
      </c>
      <c r="Y30" s="95" t="s">
        <v>33</v>
      </c>
      <c r="Z30" s="95" t="s">
        <v>19</v>
      </c>
      <c r="AA30" s="583"/>
      <c r="AB30" s="583"/>
    </row>
    <row r="31" spans="1:28" ht="25.5">
      <c r="A31" s="96" t="s">
        <v>20</v>
      </c>
      <c r="B31" s="96" t="s">
        <v>269</v>
      </c>
      <c r="C31" s="96"/>
      <c r="D31" s="96"/>
      <c r="E31" s="96"/>
      <c r="F31" s="96"/>
      <c r="G31" s="96"/>
      <c r="H31" s="96"/>
      <c r="I31" s="96"/>
      <c r="J31" s="96"/>
      <c r="K31" s="96"/>
      <c r="L31" s="96"/>
      <c r="M31" s="96"/>
      <c r="N31" s="96"/>
      <c r="O31" s="96"/>
      <c r="P31" s="96"/>
      <c r="Q31" s="96"/>
      <c r="R31" s="96"/>
      <c r="S31" s="96"/>
      <c r="T31" s="96"/>
      <c r="U31" s="96"/>
      <c r="V31" s="96"/>
      <c r="W31" s="96"/>
      <c r="X31" s="96"/>
      <c r="Y31" s="96"/>
      <c r="Z31" s="96"/>
    </row>
    <row r="32" spans="1:28">
      <c r="A32" s="37" t="s">
        <v>36</v>
      </c>
      <c r="B32" s="37" t="s">
        <v>270</v>
      </c>
      <c r="C32" s="97">
        <v>0</v>
      </c>
      <c r="D32" s="97">
        <v>0</v>
      </c>
      <c r="E32" s="97">
        <v>0</v>
      </c>
      <c r="F32" s="97">
        <v>0</v>
      </c>
      <c r="G32" s="98">
        <v>103502</v>
      </c>
      <c r="H32" s="98">
        <f>G32</f>
        <v>103502</v>
      </c>
      <c r="I32" s="97">
        <f>J32</f>
        <v>103760</v>
      </c>
      <c r="J32" s="97">
        <f>SUM(J6:J24)+51850</f>
        <v>103760</v>
      </c>
      <c r="K32" s="98">
        <f>G32*1.05</f>
        <v>108677.1</v>
      </c>
      <c r="L32" s="98">
        <f>K32</f>
        <v>108677.1</v>
      </c>
      <c r="M32" s="97">
        <f>N32</f>
        <v>103760</v>
      </c>
      <c r="N32" s="97">
        <f>SUM(N6:N24)+51850</f>
        <v>103760</v>
      </c>
      <c r="O32" s="98">
        <f>K32*1.1</f>
        <v>119544.81000000001</v>
      </c>
      <c r="P32" s="98">
        <f>O32</f>
        <v>119544.81000000001</v>
      </c>
      <c r="Q32" s="97">
        <f>R32</f>
        <v>103760</v>
      </c>
      <c r="R32" s="98">
        <f>SUM(R6:R24)+51850</f>
        <v>103760</v>
      </c>
      <c r="S32" s="98">
        <f>O32*1.15</f>
        <v>137476.53150000001</v>
      </c>
      <c r="T32" s="98">
        <f>S32</f>
        <v>137476.53150000001</v>
      </c>
      <c r="U32" s="97">
        <f>V32</f>
        <v>103760</v>
      </c>
      <c r="V32" s="98">
        <f>SUM(V6:V24)+51850</f>
        <v>103760</v>
      </c>
      <c r="W32" s="98">
        <f>S32*1.2</f>
        <v>164971.83780000001</v>
      </c>
      <c r="X32" s="98">
        <f>W32</f>
        <v>164971.83780000001</v>
      </c>
      <c r="Y32" s="114">
        <v>103760</v>
      </c>
      <c r="Z32" s="115">
        <v>103760</v>
      </c>
      <c r="AA32" s="362">
        <f>C32/W32</f>
        <v>0</v>
      </c>
      <c r="AB32" s="362">
        <f>W32/X32</f>
        <v>1</v>
      </c>
    </row>
    <row r="33" spans="1:28">
      <c r="A33" s="37" t="s">
        <v>38</v>
      </c>
      <c r="B33" s="37" t="s">
        <v>271</v>
      </c>
      <c r="C33" s="97">
        <v>0</v>
      </c>
      <c r="D33" s="97">
        <v>0</v>
      </c>
      <c r="E33" s="97">
        <v>0</v>
      </c>
      <c r="F33" s="97">
        <v>0</v>
      </c>
      <c r="G33" s="98">
        <v>50000</v>
      </c>
      <c r="H33" s="98">
        <f t="shared" ref="H33:H47" si="13">G33</f>
        <v>50000</v>
      </c>
      <c r="I33" s="97">
        <v>100000</v>
      </c>
      <c r="J33" s="97">
        <v>100000</v>
      </c>
      <c r="K33" s="98">
        <f t="shared" ref="K33:K47" si="14">G33*1.05</f>
        <v>52500</v>
      </c>
      <c r="L33" s="98">
        <f t="shared" ref="L33:L47" si="15">K33</f>
        <v>52500</v>
      </c>
      <c r="M33" s="97">
        <v>100000</v>
      </c>
      <c r="N33" s="97">
        <v>100000</v>
      </c>
      <c r="O33" s="98">
        <f t="shared" ref="O33:O47" si="16">K33*1.1</f>
        <v>57750.000000000007</v>
      </c>
      <c r="P33" s="98">
        <f t="shared" ref="P33:P47" si="17">O33</f>
        <v>57750.000000000007</v>
      </c>
      <c r="Q33" s="97">
        <v>100000</v>
      </c>
      <c r="R33" s="98">
        <v>100000</v>
      </c>
      <c r="S33" s="98">
        <f t="shared" ref="S33:S47" si="18">O33*1.15</f>
        <v>66412.5</v>
      </c>
      <c r="T33" s="98">
        <f t="shared" ref="T33:T47" si="19">S33</f>
        <v>66412.5</v>
      </c>
      <c r="U33" s="97">
        <v>100000</v>
      </c>
      <c r="V33" s="98">
        <v>100000</v>
      </c>
      <c r="W33" s="98">
        <f t="shared" ref="W33:W47" si="20">S33*1.2</f>
        <v>79695</v>
      </c>
      <c r="X33" s="98">
        <f t="shared" ref="X33:X47" si="21">W33</f>
        <v>79695</v>
      </c>
      <c r="Y33" s="116">
        <v>100000</v>
      </c>
      <c r="Z33" s="117">
        <v>100000</v>
      </c>
      <c r="AA33" s="362">
        <f t="shared" ref="AA33:AA47" si="22">C33/W33</f>
        <v>0</v>
      </c>
      <c r="AB33" s="362">
        <f t="shared" ref="AB33:AB47" si="23">W33/X33</f>
        <v>1</v>
      </c>
    </row>
    <row r="34" spans="1:28" ht="25.5">
      <c r="A34" s="96" t="s">
        <v>22</v>
      </c>
      <c r="B34" s="96" t="s">
        <v>272</v>
      </c>
      <c r="C34" s="97"/>
      <c r="D34" s="97"/>
      <c r="E34" s="97"/>
      <c r="F34" s="97"/>
      <c r="G34" s="98"/>
      <c r="H34" s="98"/>
      <c r="I34" s="96"/>
      <c r="J34" s="96"/>
      <c r="K34" s="98"/>
      <c r="L34" s="98"/>
      <c r="M34" s="96"/>
      <c r="N34" s="96"/>
      <c r="O34" s="98"/>
      <c r="P34" s="98"/>
      <c r="Q34" s="98"/>
      <c r="R34" s="98"/>
      <c r="S34" s="98"/>
      <c r="T34" s="98"/>
      <c r="U34" s="98"/>
      <c r="V34" s="98"/>
      <c r="W34" s="98"/>
      <c r="X34" s="98"/>
      <c r="Y34" s="118"/>
      <c r="Z34" s="117"/>
      <c r="AA34" s="362"/>
      <c r="AB34" s="362"/>
    </row>
    <row r="35" spans="1:28">
      <c r="A35" s="37" t="s">
        <v>144</v>
      </c>
      <c r="B35" s="37" t="s">
        <v>273</v>
      </c>
      <c r="C35" s="97">
        <v>0</v>
      </c>
      <c r="D35" s="97">
        <v>0</v>
      </c>
      <c r="E35" s="97">
        <v>0</v>
      </c>
      <c r="F35" s="97">
        <v>0</v>
      </c>
      <c r="G35" s="98">
        <f>(100000*6)</f>
        <v>600000</v>
      </c>
      <c r="H35" s="98">
        <f t="shared" si="13"/>
        <v>600000</v>
      </c>
      <c r="I35" s="119">
        <f>J35</f>
        <v>15</v>
      </c>
      <c r="J35" s="119">
        <v>15</v>
      </c>
      <c r="K35" s="98">
        <f t="shared" si="14"/>
        <v>630000</v>
      </c>
      <c r="L35" s="98">
        <f t="shared" si="15"/>
        <v>630000</v>
      </c>
      <c r="M35" s="119">
        <v>40</v>
      </c>
      <c r="N35" s="119">
        <v>40</v>
      </c>
      <c r="O35" s="98">
        <f t="shared" si="16"/>
        <v>693000</v>
      </c>
      <c r="P35" s="98">
        <f t="shared" si="17"/>
        <v>693000</v>
      </c>
      <c r="Q35" s="98">
        <v>50</v>
      </c>
      <c r="R35" s="98">
        <v>50</v>
      </c>
      <c r="S35" s="98">
        <f t="shared" si="18"/>
        <v>796949.99999999988</v>
      </c>
      <c r="T35" s="98">
        <f t="shared" si="19"/>
        <v>796949.99999999988</v>
      </c>
      <c r="U35" s="98">
        <v>75</v>
      </c>
      <c r="V35" s="98">
        <v>75</v>
      </c>
      <c r="W35" s="98">
        <f t="shared" si="20"/>
        <v>956339.99999999977</v>
      </c>
      <c r="X35" s="98">
        <f t="shared" si="21"/>
        <v>956339.99999999977</v>
      </c>
      <c r="Y35" s="118">
        <v>100</v>
      </c>
      <c r="Z35" s="117">
        <v>100</v>
      </c>
      <c r="AA35" s="362">
        <f t="shared" si="22"/>
        <v>0</v>
      </c>
      <c r="AB35" s="362">
        <f t="shared" si="23"/>
        <v>1</v>
      </c>
    </row>
    <row r="36" spans="1:28">
      <c r="A36" s="120">
        <v>3</v>
      </c>
      <c r="B36" s="96" t="s">
        <v>274</v>
      </c>
      <c r="C36" s="97"/>
      <c r="D36" s="97"/>
      <c r="E36" s="97"/>
      <c r="F36" s="97"/>
      <c r="G36" s="98"/>
      <c r="H36" s="98"/>
      <c r="I36" s="96"/>
      <c r="J36" s="96"/>
      <c r="K36" s="98"/>
      <c r="L36" s="98"/>
      <c r="M36" s="96"/>
      <c r="N36" s="96"/>
      <c r="O36" s="98"/>
      <c r="P36" s="98"/>
      <c r="Q36" s="98"/>
      <c r="R36" s="98"/>
      <c r="S36" s="98"/>
      <c r="T36" s="98"/>
      <c r="U36" s="98"/>
      <c r="V36" s="98"/>
      <c r="W36" s="98"/>
      <c r="X36" s="98"/>
      <c r="Y36" s="118"/>
      <c r="Z36" s="117"/>
      <c r="AA36" s="362"/>
      <c r="AB36" s="362"/>
    </row>
    <row r="37" spans="1:28">
      <c r="A37" s="121" t="s">
        <v>147</v>
      </c>
      <c r="B37" s="122" t="s">
        <v>275</v>
      </c>
      <c r="C37" s="97">
        <v>2800</v>
      </c>
      <c r="D37" s="97">
        <v>2800</v>
      </c>
      <c r="E37" s="97">
        <v>18</v>
      </c>
      <c r="F37" s="97">
        <v>18</v>
      </c>
      <c r="G37" s="98">
        <v>2800</v>
      </c>
      <c r="H37" s="98">
        <f t="shared" si="13"/>
        <v>2800</v>
      </c>
      <c r="I37" s="97">
        <v>5</v>
      </c>
      <c r="J37" s="97">
        <v>23</v>
      </c>
      <c r="K37" s="98">
        <f t="shared" si="14"/>
        <v>2940</v>
      </c>
      <c r="L37" s="98">
        <f t="shared" si="15"/>
        <v>2940</v>
      </c>
      <c r="M37" s="97">
        <v>5</v>
      </c>
      <c r="N37" s="97">
        <v>23</v>
      </c>
      <c r="O37" s="98">
        <f t="shared" si="16"/>
        <v>3234.0000000000005</v>
      </c>
      <c r="P37" s="98">
        <f t="shared" si="17"/>
        <v>3234.0000000000005</v>
      </c>
      <c r="Q37" s="97">
        <v>5</v>
      </c>
      <c r="R37" s="97">
        <v>23</v>
      </c>
      <c r="S37" s="98">
        <f t="shared" si="18"/>
        <v>3719.1000000000004</v>
      </c>
      <c r="T37" s="98">
        <f t="shared" si="19"/>
        <v>3719.1000000000004</v>
      </c>
      <c r="U37" s="97">
        <v>5</v>
      </c>
      <c r="V37" s="97">
        <v>23</v>
      </c>
      <c r="W37" s="98">
        <f t="shared" si="20"/>
        <v>4462.92</v>
      </c>
      <c r="X37" s="98">
        <f t="shared" si="21"/>
        <v>4462.92</v>
      </c>
      <c r="Y37" s="116">
        <v>5</v>
      </c>
      <c r="Z37" s="123">
        <v>23</v>
      </c>
      <c r="AA37" s="362">
        <f t="shared" si="22"/>
        <v>0.62739193173975782</v>
      </c>
      <c r="AB37" s="362">
        <f t="shared" si="23"/>
        <v>1</v>
      </c>
    </row>
    <row r="38" spans="1:28">
      <c r="A38" s="37" t="s">
        <v>276</v>
      </c>
      <c r="B38" s="122" t="s">
        <v>277</v>
      </c>
      <c r="C38" s="97">
        <v>0</v>
      </c>
      <c r="D38" s="97">
        <v>0</v>
      </c>
      <c r="E38" s="97">
        <v>0</v>
      </c>
      <c r="F38" s="97">
        <v>0</v>
      </c>
      <c r="G38" s="98">
        <f>2800*3*250</f>
        <v>2100000</v>
      </c>
      <c r="H38" s="98">
        <f t="shared" si="13"/>
        <v>2100000</v>
      </c>
      <c r="I38" s="97">
        <v>5</v>
      </c>
      <c r="J38" s="97">
        <v>23</v>
      </c>
      <c r="K38" s="98">
        <f t="shared" si="14"/>
        <v>2205000</v>
      </c>
      <c r="L38" s="98">
        <f t="shared" si="15"/>
        <v>2205000</v>
      </c>
      <c r="M38" s="97">
        <v>5</v>
      </c>
      <c r="N38" s="97">
        <v>23</v>
      </c>
      <c r="O38" s="98">
        <f t="shared" si="16"/>
        <v>2425500</v>
      </c>
      <c r="P38" s="98">
        <f t="shared" si="17"/>
        <v>2425500</v>
      </c>
      <c r="Q38" s="97">
        <v>5</v>
      </c>
      <c r="R38" s="97">
        <v>23</v>
      </c>
      <c r="S38" s="98">
        <f t="shared" si="18"/>
        <v>2789325</v>
      </c>
      <c r="T38" s="98">
        <f t="shared" si="19"/>
        <v>2789325</v>
      </c>
      <c r="U38" s="97">
        <v>5</v>
      </c>
      <c r="V38" s="97">
        <v>23</v>
      </c>
      <c r="W38" s="98">
        <f t="shared" si="20"/>
        <v>3347190</v>
      </c>
      <c r="X38" s="98">
        <f t="shared" si="21"/>
        <v>3347190</v>
      </c>
      <c r="Y38" s="116">
        <v>5</v>
      </c>
      <c r="Z38" s="123">
        <v>23</v>
      </c>
      <c r="AA38" s="362">
        <f t="shared" si="22"/>
        <v>0</v>
      </c>
      <c r="AB38" s="362">
        <f t="shared" si="23"/>
        <v>1</v>
      </c>
    </row>
    <row r="39" spans="1:28">
      <c r="A39" s="37" t="s">
        <v>278</v>
      </c>
      <c r="B39" s="122" t="s">
        <v>279</v>
      </c>
      <c r="C39" s="97">
        <v>0</v>
      </c>
      <c r="D39" s="97">
        <v>0</v>
      </c>
      <c r="E39" s="97">
        <v>0</v>
      </c>
      <c r="F39" s="97">
        <v>0</v>
      </c>
      <c r="G39" s="98">
        <f>(2800*2)*250+(2800*15)*250</f>
        <v>11900000</v>
      </c>
      <c r="H39" s="98">
        <f>G39</f>
        <v>11900000</v>
      </c>
      <c r="I39" s="97">
        <v>5</v>
      </c>
      <c r="J39" s="97">
        <v>23</v>
      </c>
      <c r="K39" s="98">
        <f t="shared" si="14"/>
        <v>12495000</v>
      </c>
      <c r="L39" s="98">
        <f t="shared" si="15"/>
        <v>12495000</v>
      </c>
      <c r="M39" s="97">
        <v>5</v>
      </c>
      <c r="N39" s="97">
        <v>23</v>
      </c>
      <c r="O39" s="98">
        <f t="shared" si="16"/>
        <v>13744500.000000002</v>
      </c>
      <c r="P39" s="98">
        <f t="shared" si="17"/>
        <v>13744500.000000002</v>
      </c>
      <c r="Q39" s="97">
        <v>5</v>
      </c>
      <c r="R39" s="97">
        <v>23</v>
      </c>
      <c r="S39" s="98">
        <f t="shared" si="18"/>
        <v>15806175</v>
      </c>
      <c r="T39" s="98">
        <f t="shared" si="19"/>
        <v>15806175</v>
      </c>
      <c r="U39" s="97">
        <v>5</v>
      </c>
      <c r="V39" s="97">
        <v>23</v>
      </c>
      <c r="W39" s="98">
        <f t="shared" si="20"/>
        <v>18967410</v>
      </c>
      <c r="X39" s="98">
        <f t="shared" si="21"/>
        <v>18967410</v>
      </c>
      <c r="Y39" s="116">
        <v>5</v>
      </c>
      <c r="Z39" s="123">
        <v>23</v>
      </c>
      <c r="AA39" s="362">
        <f t="shared" si="22"/>
        <v>0</v>
      </c>
      <c r="AB39" s="362">
        <f t="shared" si="23"/>
        <v>1</v>
      </c>
    </row>
    <row r="40" spans="1:28">
      <c r="A40" s="120">
        <v>4</v>
      </c>
      <c r="B40" s="124" t="s">
        <v>280</v>
      </c>
      <c r="C40" s="87"/>
      <c r="D40" s="96"/>
      <c r="E40" s="96"/>
      <c r="F40" s="96"/>
      <c r="G40" s="98"/>
      <c r="H40" s="98"/>
      <c r="I40" s="96"/>
      <c r="J40" s="96"/>
      <c r="K40" s="98"/>
      <c r="L40" s="98"/>
      <c r="M40" s="96"/>
      <c r="N40" s="96"/>
      <c r="O40" s="98"/>
      <c r="P40" s="98"/>
      <c r="Q40" s="96"/>
      <c r="R40" s="96"/>
      <c r="S40" s="98"/>
      <c r="T40" s="98"/>
      <c r="U40" s="96"/>
      <c r="V40" s="96"/>
      <c r="W40" s="98"/>
      <c r="X40" s="98"/>
      <c r="Y40" s="125"/>
      <c r="Z40" s="126"/>
      <c r="AA40" s="362"/>
      <c r="AB40" s="362"/>
    </row>
    <row r="41" spans="1:28">
      <c r="A41" s="37" t="s">
        <v>150</v>
      </c>
      <c r="B41" s="37" t="s">
        <v>281</v>
      </c>
      <c r="C41" s="97">
        <v>0</v>
      </c>
      <c r="D41" s="97">
        <v>0</v>
      </c>
      <c r="E41" s="97">
        <v>0</v>
      </c>
      <c r="F41" s="97">
        <v>0</v>
      </c>
      <c r="G41" s="98">
        <f>(F32*5)+J35*5+(2800/3*10*250)</f>
        <v>2333408.3333333335</v>
      </c>
      <c r="H41" s="98">
        <f t="shared" si="13"/>
        <v>2333408.3333333335</v>
      </c>
      <c r="I41" s="97">
        <v>5</v>
      </c>
      <c r="J41" s="97">
        <f>I41</f>
        <v>5</v>
      </c>
      <c r="K41" s="98">
        <f t="shared" si="14"/>
        <v>2450078.7500000005</v>
      </c>
      <c r="L41" s="98">
        <f t="shared" si="15"/>
        <v>2450078.7500000005</v>
      </c>
      <c r="M41" s="97">
        <v>5</v>
      </c>
      <c r="N41" s="97">
        <f>M41</f>
        <v>5</v>
      </c>
      <c r="O41" s="98">
        <f t="shared" si="16"/>
        <v>2695086.6250000009</v>
      </c>
      <c r="P41" s="98">
        <f t="shared" si="17"/>
        <v>2695086.6250000009</v>
      </c>
      <c r="Q41" s="97">
        <v>5</v>
      </c>
      <c r="R41" s="97">
        <f>Q41</f>
        <v>5</v>
      </c>
      <c r="S41" s="98">
        <f t="shared" si="18"/>
        <v>3099349.6187500008</v>
      </c>
      <c r="T41" s="98">
        <f t="shared" si="19"/>
        <v>3099349.6187500008</v>
      </c>
      <c r="U41" s="97">
        <v>5</v>
      </c>
      <c r="V41" s="97">
        <f>U41</f>
        <v>5</v>
      </c>
      <c r="W41" s="98">
        <f t="shared" si="20"/>
        <v>3719219.5425000009</v>
      </c>
      <c r="X41" s="98">
        <f t="shared" si="21"/>
        <v>3719219.5425000009</v>
      </c>
      <c r="Y41" s="116">
        <v>5</v>
      </c>
      <c r="Z41" s="123">
        <v>5</v>
      </c>
      <c r="AA41" s="362">
        <f t="shared" si="22"/>
        <v>0</v>
      </c>
      <c r="AB41" s="362">
        <f t="shared" si="23"/>
        <v>1</v>
      </c>
    </row>
    <row r="42" spans="1:28" ht="14.1" customHeight="1">
      <c r="A42" s="37" t="s">
        <v>282</v>
      </c>
      <c r="B42" s="37" t="s">
        <v>283</v>
      </c>
      <c r="C42" s="97">
        <v>0</v>
      </c>
      <c r="D42" s="97">
        <v>0</v>
      </c>
      <c r="E42" s="97">
        <v>0</v>
      </c>
      <c r="F42" s="97">
        <v>0</v>
      </c>
      <c r="G42" s="98">
        <f>G41*2.8</f>
        <v>6533543.333333333</v>
      </c>
      <c r="H42" s="98">
        <f t="shared" si="13"/>
        <v>6533543.333333333</v>
      </c>
      <c r="I42" s="97">
        <v>5</v>
      </c>
      <c r="J42" s="97">
        <f t="shared" ref="J42:J47" si="24">I42</f>
        <v>5</v>
      </c>
      <c r="K42" s="98">
        <f t="shared" si="14"/>
        <v>6860220.5</v>
      </c>
      <c r="L42" s="98">
        <f t="shared" si="15"/>
        <v>6860220.5</v>
      </c>
      <c r="M42" s="97">
        <v>5</v>
      </c>
      <c r="N42" s="97">
        <f t="shared" ref="N42:N47" si="25">M42</f>
        <v>5</v>
      </c>
      <c r="O42" s="98">
        <f t="shared" si="16"/>
        <v>7546242.5500000007</v>
      </c>
      <c r="P42" s="98">
        <f t="shared" si="17"/>
        <v>7546242.5500000007</v>
      </c>
      <c r="Q42" s="97">
        <v>5</v>
      </c>
      <c r="R42" s="97">
        <f t="shared" ref="R42:R47" si="26">Q42</f>
        <v>5</v>
      </c>
      <c r="S42" s="98">
        <f t="shared" si="18"/>
        <v>8678178.932500001</v>
      </c>
      <c r="T42" s="98">
        <f t="shared" si="19"/>
        <v>8678178.932500001</v>
      </c>
      <c r="U42" s="97">
        <v>5</v>
      </c>
      <c r="V42" s="97">
        <f t="shared" ref="V42:V47" si="27">U42</f>
        <v>5</v>
      </c>
      <c r="W42" s="98">
        <f t="shared" si="20"/>
        <v>10413814.719000001</v>
      </c>
      <c r="X42" s="98">
        <f t="shared" si="21"/>
        <v>10413814.719000001</v>
      </c>
      <c r="Y42" s="116">
        <v>5</v>
      </c>
      <c r="Z42" s="123">
        <v>5</v>
      </c>
      <c r="AA42" s="362">
        <f t="shared" si="22"/>
        <v>0</v>
      </c>
      <c r="AB42" s="362">
        <f t="shared" si="23"/>
        <v>1</v>
      </c>
    </row>
    <row r="43" spans="1:28">
      <c r="A43" s="37" t="s">
        <v>284</v>
      </c>
      <c r="B43" s="37" t="s">
        <v>285</v>
      </c>
      <c r="C43" s="97">
        <v>0</v>
      </c>
      <c r="D43" s="97">
        <v>0</v>
      </c>
      <c r="E43" s="97">
        <v>0</v>
      </c>
      <c r="F43" s="97">
        <v>0</v>
      </c>
      <c r="G43" s="98">
        <f>(6*52)*25</f>
        <v>7800</v>
      </c>
      <c r="H43" s="98">
        <f t="shared" si="13"/>
        <v>7800</v>
      </c>
      <c r="I43" s="97">
        <v>5</v>
      </c>
      <c r="J43" s="97">
        <f t="shared" si="24"/>
        <v>5</v>
      </c>
      <c r="K43" s="98">
        <f t="shared" si="14"/>
        <v>8190</v>
      </c>
      <c r="L43" s="98">
        <f t="shared" si="15"/>
        <v>8190</v>
      </c>
      <c r="M43" s="97">
        <v>5</v>
      </c>
      <c r="N43" s="97">
        <f t="shared" si="25"/>
        <v>5</v>
      </c>
      <c r="O43" s="98">
        <f t="shared" si="16"/>
        <v>9009</v>
      </c>
      <c r="P43" s="98">
        <f t="shared" si="17"/>
        <v>9009</v>
      </c>
      <c r="Q43" s="97">
        <v>5</v>
      </c>
      <c r="R43" s="97">
        <f t="shared" si="26"/>
        <v>5</v>
      </c>
      <c r="S43" s="98">
        <f t="shared" si="18"/>
        <v>10360.349999999999</v>
      </c>
      <c r="T43" s="98">
        <f t="shared" si="19"/>
        <v>10360.349999999999</v>
      </c>
      <c r="U43" s="97">
        <v>5</v>
      </c>
      <c r="V43" s="97">
        <f t="shared" si="27"/>
        <v>5</v>
      </c>
      <c r="W43" s="98">
        <f t="shared" si="20"/>
        <v>12432.419999999998</v>
      </c>
      <c r="X43" s="98">
        <f t="shared" si="21"/>
        <v>12432.419999999998</v>
      </c>
      <c r="Y43" s="116">
        <v>5</v>
      </c>
      <c r="Z43" s="123">
        <v>5</v>
      </c>
      <c r="AA43" s="362">
        <f t="shared" si="22"/>
        <v>0</v>
      </c>
      <c r="AB43" s="362">
        <f t="shared" si="23"/>
        <v>1</v>
      </c>
    </row>
    <row r="44" spans="1:28" ht="14.1" customHeight="1">
      <c r="A44" s="120">
        <v>5</v>
      </c>
      <c r="B44" s="96" t="s">
        <v>286</v>
      </c>
      <c r="C44" s="87"/>
      <c r="D44" s="96"/>
      <c r="E44" s="96"/>
      <c r="F44" s="96"/>
      <c r="G44" s="98"/>
      <c r="H44" s="98"/>
      <c r="I44" s="97"/>
      <c r="J44" s="97"/>
      <c r="K44" s="98"/>
      <c r="L44" s="98"/>
      <c r="M44" s="97"/>
      <c r="N44" s="97"/>
      <c r="O44" s="98"/>
      <c r="P44" s="98"/>
      <c r="Q44" s="97"/>
      <c r="R44" s="97"/>
      <c r="S44" s="98"/>
      <c r="T44" s="98"/>
      <c r="U44" s="97"/>
      <c r="V44" s="97"/>
      <c r="W44" s="98"/>
      <c r="X44" s="98"/>
      <c r="Y44" s="116"/>
      <c r="Z44" s="123"/>
      <c r="AA44" s="362"/>
      <c r="AB44" s="362"/>
    </row>
    <row r="45" spans="1:28" ht="14.1" customHeight="1">
      <c r="A45" s="121" t="s">
        <v>153</v>
      </c>
      <c r="B45" s="37" t="s">
        <v>287</v>
      </c>
      <c r="C45" s="97">
        <v>0</v>
      </c>
      <c r="D45" s="97">
        <v>0</v>
      </c>
      <c r="E45" s="97">
        <v>0</v>
      </c>
      <c r="F45" s="97">
        <v>0</v>
      </c>
      <c r="G45" s="98">
        <v>10000</v>
      </c>
      <c r="H45" s="98">
        <f t="shared" si="13"/>
        <v>10000</v>
      </c>
      <c r="I45" s="97">
        <v>8</v>
      </c>
      <c r="J45" s="97">
        <f t="shared" si="24"/>
        <v>8</v>
      </c>
      <c r="K45" s="98">
        <f t="shared" si="14"/>
        <v>10500</v>
      </c>
      <c r="L45" s="98">
        <f t="shared" si="15"/>
        <v>10500</v>
      </c>
      <c r="M45" s="97">
        <v>8</v>
      </c>
      <c r="N45" s="97">
        <f t="shared" si="25"/>
        <v>8</v>
      </c>
      <c r="O45" s="98">
        <f t="shared" si="16"/>
        <v>11550.000000000002</v>
      </c>
      <c r="P45" s="98">
        <f t="shared" si="17"/>
        <v>11550.000000000002</v>
      </c>
      <c r="Q45" s="97">
        <v>8</v>
      </c>
      <c r="R45" s="97">
        <f t="shared" si="26"/>
        <v>8</v>
      </c>
      <c r="S45" s="98">
        <f t="shared" si="18"/>
        <v>13282.500000000002</v>
      </c>
      <c r="T45" s="98">
        <f t="shared" si="19"/>
        <v>13282.500000000002</v>
      </c>
      <c r="U45" s="97">
        <v>8</v>
      </c>
      <c r="V45" s="97">
        <f t="shared" si="27"/>
        <v>8</v>
      </c>
      <c r="W45" s="98">
        <f t="shared" si="20"/>
        <v>15939.000000000002</v>
      </c>
      <c r="X45" s="98">
        <f t="shared" si="21"/>
        <v>15939.000000000002</v>
      </c>
      <c r="Y45" s="116">
        <v>8</v>
      </c>
      <c r="Z45" s="123">
        <v>8</v>
      </c>
      <c r="AA45" s="362">
        <f t="shared" si="22"/>
        <v>0</v>
      </c>
      <c r="AB45" s="362">
        <f t="shared" si="23"/>
        <v>1</v>
      </c>
    </row>
    <row r="46" spans="1:28">
      <c r="A46" s="122" t="s">
        <v>288</v>
      </c>
      <c r="B46" s="122" t="s">
        <v>289</v>
      </c>
      <c r="C46" s="97">
        <v>0</v>
      </c>
      <c r="D46" s="97">
        <v>0</v>
      </c>
      <c r="E46" s="97">
        <v>0</v>
      </c>
      <c r="F46" s="97">
        <v>0</v>
      </c>
      <c r="G46" s="98">
        <f>G45*2</f>
        <v>20000</v>
      </c>
      <c r="H46" s="98">
        <f t="shared" si="13"/>
        <v>20000</v>
      </c>
      <c r="I46" s="97">
        <v>8</v>
      </c>
      <c r="J46" s="97">
        <f t="shared" si="24"/>
        <v>8</v>
      </c>
      <c r="K46" s="98">
        <f t="shared" si="14"/>
        <v>21000</v>
      </c>
      <c r="L46" s="98">
        <f t="shared" si="15"/>
        <v>21000</v>
      </c>
      <c r="M46" s="97">
        <v>8</v>
      </c>
      <c r="N46" s="97">
        <f t="shared" si="25"/>
        <v>8</v>
      </c>
      <c r="O46" s="98">
        <f t="shared" si="16"/>
        <v>23100.000000000004</v>
      </c>
      <c r="P46" s="98">
        <f t="shared" si="17"/>
        <v>23100.000000000004</v>
      </c>
      <c r="Q46" s="97">
        <v>8</v>
      </c>
      <c r="R46" s="97">
        <f t="shared" si="26"/>
        <v>8</v>
      </c>
      <c r="S46" s="98">
        <f t="shared" si="18"/>
        <v>26565.000000000004</v>
      </c>
      <c r="T46" s="98">
        <f t="shared" si="19"/>
        <v>26565.000000000004</v>
      </c>
      <c r="U46" s="97">
        <v>8</v>
      </c>
      <c r="V46" s="97">
        <f t="shared" si="27"/>
        <v>8</v>
      </c>
      <c r="W46" s="98">
        <f t="shared" si="20"/>
        <v>31878.000000000004</v>
      </c>
      <c r="X46" s="98">
        <f t="shared" si="21"/>
        <v>31878.000000000004</v>
      </c>
      <c r="Y46" s="116">
        <v>8</v>
      </c>
      <c r="Z46" s="123">
        <v>8</v>
      </c>
      <c r="AA46" s="362">
        <f t="shared" si="22"/>
        <v>0</v>
      </c>
      <c r="AB46" s="362">
        <f t="shared" si="23"/>
        <v>1</v>
      </c>
    </row>
    <row r="47" spans="1:28" ht="25.5">
      <c r="A47" s="122" t="s">
        <v>290</v>
      </c>
      <c r="B47" s="122" t="s">
        <v>291</v>
      </c>
      <c r="C47" s="97">
        <v>0</v>
      </c>
      <c r="D47" s="97">
        <v>0</v>
      </c>
      <c r="E47" s="97">
        <v>0</v>
      </c>
      <c r="F47" s="97">
        <v>0</v>
      </c>
      <c r="G47" s="98">
        <f>G45</f>
        <v>10000</v>
      </c>
      <c r="H47" s="98">
        <f t="shared" si="13"/>
        <v>10000</v>
      </c>
      <c r="I47" s="97">
        <v>8</v>
      </c>
      <c r="J47" s="97">
        <f t="shared" si="24"/>
        <v>8</v>
      </c>
      <c r="K47" s="98">
        <f t="shared" si="14"/>
        <v>10500</v>
      </c>
      <c r="L47" s="98">
        <f t="shared" si="15"/>
        <v>10500</v>
      </c>
      <c r="M47" s="97">
        <v>8</v>
      </c>
      <c r="N47" s="97">
        <f t="shared" si="25"/>
        <v>8</v>
      </c>
      <c r="O47" s="98">
        <f t="shared" si="16"/>
        <v>11550.000000000002</v>
      </c>
      <c r="P47" s="98">
        <f t="shared" si="17"/>
        <v>11550.000000000002</v>
      </c>
      <c r="Q47" s="97">
        <v>8</v>
      </c>
      <c r="R47" s="97">
        <f t="shared" si="26"/>
        <v>8</v>
      </c>
      <c r="S47" s="98">
        <f t="shared" si="18"/>
        <v>13282.500000000002</v>
      </c>
      <c r="T47" s="98">
        <f t="shared" si="19"/>
        <v>13282.500000000002</v>
      </c>
      <c r="U47" s="97">
        <v>8</v>
      </c>
      <c r="V47" s="97">
        <f t="shared" si="27"/>
        <v>8</v>
      </c>
      <c r="W47" s="98">
        <f t="shared" si="20"/>
        <v>15939.000000000002</v>
      </c>
      <c r="X47" s="98">
        <f t="shared" si="21"/>
        <v>15939.000000000002</v>
      </c>
      <c r="Y47" s="116">
        <v>8</v>
      </c>
      <c r="Z47" s="123">
        <v>8</v>
      </c>
      <c r="AA47" s="362">
        <f t="shared" si="22"/>
        <v>0</v>
      </c>
      <c r="AB47" s="362">
        <f t="shared" si="23"/>
        <v>1</v>
      </c>
    </row>
    <row r="48" spans="1:28" ht="31.5" customHeight="1">
      <c r="A48" s="127"/>
      <c r="Z48" s="113" t="s">
        <v>123</v>
      </c>
      <c r="AA48" s="362">
        <f>AVERAGE(AA32:AA47)</f>
        <v>5.2282660978313154E-2</v>
      </c>
      <c r="AB48" s="362">
        <f>AVERAGE(AB32:AB47)</f>
        <v>1</v>
      </c>
    </row>
    <row r="49" spans="1:18" ht="31.5" customHeight="1">
      <c r="B49" s="127" t="s">
        <v>40</v>
      </c>
    </row>
    <row r="50" spans="1:18" ht="31.5" customHeight="1">
      <c r="A50" s="10" t="s">
        <v>41</v>
      </c>
      <c r="B50" s="509" t="s">
        <v>42</v>
      </c>
      <c r="C50" s="509"/>
      <c r="D50" s="509"/>
      <c r="E50" s="509"/>
      <c r="F50" s="509"/>
      <c r="G50" s="509"/>
      <c r="H50" s="509"/>
      <c r="I50" s="509"/>
      <c r="J50" s="509"/>
      <c r="K50" s="509"/>
      <c r="L50" s="509"/>
      <c r="M50" s="509"/>
      <c r="N50" s="509"/>
      <c r="O50" s="509"/>
      <c r="P50" s="509"/>
      <c r="Q50" s="509"/>
      <c r="R50" s="509"/>
    </row>
    <row r="51" spans="1:18" ht="31.5" customHeight="1">
      <c r="A51" s="10" t="s">
        <v>43</v>
      </c>
      <c r="B51" s="509" t="s">
        <v>44</v>
      </c>
      <c r="C51" s="509"/>
      <c r="D51" s="509"/>
      <c r="E51" s="509"/>
      <c r="F51" s="509"/>
      <c r="G51" s="509"/>
      <c r="H51" s="509"/>
      <c r="I51" s="509"/>
      <c r="J51" s="509"/>
      <c r="K51" s="509"/>
      <c r="L51" s="509"/>
      <c r="M51" s="509"/>
      <c r="N51" s="509"/>
      <c r="O51" s="509"/>
      <c r="P51" s="509"/>
      <c r="Q51" s="509"/>
      <c r="R51" s="509"/>
    </row>
    <row r="52" spans="1:18" ht="31.5" customHeight="1">
      <c r="B52" s="509" t="s">
        <v>292</v>
      </c>
      <c r="C52" s="509"/>
      <c r="D52" s="509"/>
      <c r="E52" s="509"/>
      <c r="F52" s="509"/>
      <c r="G52" s="509"/>
      <c r="H52" s="509"/>
      <c r="I52" s="509"/>
      <c r="J52" s="509"/>
      <c r="K52" s="509"/>
      <c r="L52" s="509"/>
      <c r="M52" s="509"/>
      <c r="N52" s="509"/>
      <c r="O52" s="509"/>
      <c r="P52" s="509"/>
      <c r="Q52" s="509"/>
      <c r="R52" s="509"/>
    </row>
    <row r="53" spans="1:18" ht="31.5" customHeight="1">
      <c r="B53" s="509" t="s">
        <v>293</v>
      </c>
      <c r="C53" s="509"/>
      <c r="D53" s="509"/>
      <c r="E53" s="509"/>
      <c r="F53" s="509"/>
      <c r="G53" s="509"/>
      <c r="H53" s="509"/>
      <c r="I53" s="509"/>
      <c r="J53" s="509"/>
      <c r="K53" s="509"/>
      <c r="L53" s="509"/>
      <c r="M53" s="509"/>
      <c r="N53" s="509"/>
      <c r="O53" s="509"/>
      <c r="P53" s="509"/>
      <c r="Q53" s="509"/>
      <c r="R53" s="509"/>
    </row>
    <row r="54" spans="1:18" ht="73.5" customHeight="1">
      <c r="B54" s="509" t="s">
        <v>294</v>
      </c>
      <c r="C54" s="509"/>
      <c r="D54" s="509"/>
      <c r="E54" s="509"/>
      <c r="F54" s="509"/>
      <c r="G54" s="509"/>
      <c r="H54" s="509"/>
      <c r="I54" s="509"/>
      <c r="J54" s="509"/>
      <c r="K54" s="509"/>
      <c r="L54" s="509"/>
      <c r="M54" s="509"/>
      <c r="N54" s="509"/>
      <c r="O54" s="509"/>
      <c r="P54" s="509"/>
      <c r="Q54" s="509"/>
      <c r="R54" s="509"/>
    </row>
    <row r="55" spans="1:18" ht="39" customHeight="1">
      <c r="B55" s="509" t="s">
        <v>295</v>
      </c>
      <c r="C55" s="509"/>
      <c r="D55" s="509"/>
      <c r="E55" s="509"/>
      <c r="F55" s="509"/>
      <c r="G55" s="509"/>
      <c r="H55" s="509"/>
      <c r="I55" s="509"/>
      <c r="J55" s="509"/>
      <c r="K55" s="509"/>
      <c r="L55" s="509"/>
      <c r="M55" s="509"/>
      <c r="N55" s="509"/>
      <c r="O55" s="509"/>
      <c r="P55" s="509"/>
      <c r="Q55" s="509"/>
      <c r="R55" s="509"/>
    </row>
    <row r="56" spans="1:18" ht="54.95" customHeight="1">
      <c r="B56" s="509" t="s">
        <v>296</v>
      </c>
      <c r="C56" s="509"/>
      <c r="D56" s="509"/>
      <c r="E56" s="509"/>
      <c r="F56" s="509"/>
      <c r="G56" s="509"/>
      <c r="H56" s="509"/>
      <c r="I56" s="509"/>
      <c r="J56" s="509"/>
      <c r="K56" s="509"/>
      <c r="L56" s="509"/>
      <c r="M56" s="509"/>
      <c r="N56" s="509"/>
      <c r="O56" s="509"/>
      <c r="P56" s="509"/>
      <c r="Q56" s="509"/>
      <c r="R56" s="509"/>
    </row>
    <row r="57" spans="1:18">
      <c r="B57" s="509" t="s">
        <v>297</v>
      </c>
      <c r="C57" s="509"/>
      <c r="D57" s="509"/>
      <c r="E57" s="509"/>
      <c r="F57" s="509"/>
      <c r="G57" s="509"/>
      <c r="H57" s="509"/>
      <c r="I57" s="509"/>
      <c r="J57" s="509"/>
      <c r="K57" s="509"/>
      <c r="L57" s="509"/>
      <c r="M57" s="509"/>
      <c r="N57" s="509"/>
      <c r="O57" s="509"/>
      <c r="P57" s="509"/>
      <c r="Q57" s="509"/>
      <c r="R57" s="509"/>
    </row>
    <row r="58" spans="1:18">
      <c r="B58" s="128"/>
    </row>
    <row r="59" spans="1:18">
      <c r="B59" s="128"/>
    </row>
    <row r="61" spans="1:18">
      <c r="B61" s="128"/>
    </row>
  </sheetData>
  <mergeCells count="34">
    <mergeCell ref="B56:R56"/>
    <mergeCell ref="B57:R57"/>
    <mergeCell ref="B50:R50"/>
    <mergeCell ref="B51:R51"/>
    <mergeCell ref="B52:R52"/>
    <mergeCell ref="B53:R53"/>
    <mergeCell ref="B54:R54"/>
    <mergeCell ref="B55:R55"/>
    <mergeCell ref="AB28:AB30"/>
    <mergeCell ref="G29:J29"/>
    <mergeCell ref="K29:N29"/>
    <mergeCell ref="O29:R29"/>
    <mergeCell ref="S29:V29"/>
    <mergeCell ref="W29:Z29"/>
    <mergeCell ref="AA28:AA30"/>
    <mergeCell ref="A27:Z27"/>
    <mergeCell ref="A28:A30"/>
    <mergeCell ref="B28:B30"/>
    <mergeCell ref="C28:F29"/>
    <mergeCell ref="G28:Z28"/>
    <mergeCell ref="AA3:AA5"/>
    <mergeCell ref="AB3:AB5"/>
    <mergeCell ref="G4:J4"/>
    <mergeCell ref="K4:N4"/>
    <mergeCell ref="O4:R4"/>
    <mergeCell ref="S4:V4"/>
    <mergeCell ref="W4:Z4"/>
    <mergeCell ref="A1:E1"/>
    <mergeCell ref="F1:R1"/>
    <mergeCell ref="A2:Z2"/>
    <mergeCell ref="A3:A5"/>
    <mergeCell ref="B3:B5"/>
    <mergeCell ref="C3:F4"/>
    <mergeCell ref="G3:Z3"/>
  </mergeCells>
  <hyperlinks>
    <hyperlink ref="B10" r:id="rId1" display="http://www.lad.gov.lv/lv/es-atbalsts/tiesie-maksajumi/lauksaimniecibas-dzivnieku-genetisko-resursu-saglabasana-(ldgrs-08)/"/>
    <hyperlink ref="B12" r:id="rId2" display="http://www.lad.gov.lv/lv/es-atbalsts/tirgus-veicinasanas-pasakumi/valsts-un-es-atbalsts-auglu-un-darzenu-piegadasanai-izglitojamiem-visparejas-izglitibas-iestades-(-skolas-auglis-)/"/>
    <hyperlink ref="B13" r:id="rId3" display="http://www.lad.gov.lv/lv/es-atbalsts/tirgus-veicinasanas-pasakumi/valsts-un-es-atbalsts-auglu-un-darzenu-piegadasanai-izglitojamiem-visparejas-izglitibas-iestades-(-skolas-auglis-)/"/>
  </hyperlinks>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dimension ref="A1:AB27"/>
  <sheetViews>
    <sheetView topLeftCell="J1" workbookViewId="0">
      <selection activeCell="B25" sqref="B24:R25"/>
    </sheetView>
  </sheetViews>
  <sheetFormatPr defaultRowHeight="15"/>
  <cols>
    <col min="1" max="1" width="5" customWidth="1"/>
    <col min="2" max="2" width="15.85546875" customWidth="1"/>
    <col min="3" max="3" width="8" customWidth="1"/>
    <col min="4" max="4" width="9.5703125" customWidth="1"/>
    <col min="5" max="5" width="7.7109375" customWidth="1"/>
    <col min="6" max="7" width="8.85546875" bestFit="1" customWidth="1"/>
    <col min="8" max="8" width="9.42578125" customWidth="1"/>
    <col min="9" max="9" width="7" customWidth="1"/>
    <col min="10" max="11" width="8.85546875" bestFit="1" customWidth="1"/>
    <col min="12" max="12" width="9.85546875" bestFit="1" customWidth="1"/>
    <col min="13" max="13" width="7" customWidth="1"/>
    <col min="14" max="15" width="8.85546875" bestFit="1" customWidth="1"/>
    <col min="16" max="16" width="9.85546875" bestFit="1" customWidth="1"/>
    <col min="17" max="17" width="7" customWidth="1"/>
    <col min="18" max="19" width="8.85546875" bestFit="1" customWidth="1"/>
    <col min="20" max="20" width="9.85546875" bestFit="1" customWidth="1"/>
    <col min="21" max="21" width="7" customWidth="1"/>
    <col min="22" max="23" width="8.85546875" bestFit="1" customWidth="1"/>
    <col min="24" max="24" width="9.85546875" bestFit="1" customWidth="1"/>
    <col min="25" max="25" width="7" customWidth="1"/>
    <col min="26" max="26" width="8.85546875" bestFit="1" customWidth="1"/>
  </cols>
  <sheetData>
    <row r="1" spans="1:28" s="1" customFormat="1" ht="39.75" customHeight="1">
      <c r="A1" s="529" t="s">
        <v>0</v>
      </c>
      <c r="B1" s="529"/>
      <c r="C1" s="529"/>
      <c r="D1" s="529"/>
      <c r="E1" s="529"/>
      <c r="F1" s="530" t="s">
        <v>298</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8</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6"/>
      <c r="AB4" s="633"/>
    </row>
    <row r="5" spans="1:28" ht="150.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7"/>
      <c r="AB5" s="634"/>
    </row>
    <row r="6" spans="1:28" ht="88.5" customHeight="1">
      <c r="A6" s="6" t="s">
        <v>20</v>
      </c>
      <c r="B6" s="6" t="s">
        <v>299</v>
      </c>
      <c r="C6" s="8">
        <v>25000</v>
      </c>
      <c r="D6" s="8">
        <v>2408400</v>
      </c>
      <c r="E6" s="8">
        <f>C6</f>
        <v>25000</v>
      </c>
      <c r="F6" s="8">
        <f>D6</f>
        <v>2408400</v>
      </c>
      <c r="G6" s="8">
        <f>C6*1.15</f>
        <v>28749.999999999996</v>
      </c>
      <c r="H6" s="8">
        <f>D6*1.05</f>
        <v>2528820</v>
      </c>
      <c r="I6" s="8">
        <f>G6</f>
        <v>28749.999999999996</v>
      </c>
      <c r="J6" s="8">
        <f>H6</f>
        <v>2528820</v>
      </c>
      <c r="K6" s="8">
        <f>G6*1.1</f>
        <v>31625</v>
      </c>
      <c r="L6" s="8">
        <f>H6*1.05</f>
        <v>2655261</v>
      </c>
      <c r="M6" s="8">
        <f>K6</f>
        <v>31625</v>
      </c>
      <c r="N6" s="8">
        <f>L6</f>
        <v>2655261</v>
      </c>
      <c r="O6" s="8">
        <f>K6*1.1</f>
        <v>34787.5</v>
      </c>
      <c r="P6" s="8">
        <f>L6</f>
        <v>2655261</v>
      </c>
      <c r="Q6" s="8">
        <f>O6</f>
        <v>34787.5</v>
      </c>
      <c r="R6" s="8">
        <f>P6</f>
        <v>2655261</v>
      </c>
      <c r="S6" s="8">
        <f>O6*1.1</f>
        <v>38266.25</v>
      </c>
      <c r="T6" s="8">
        <f>P6</f>
        <v>2655261</v>
      </c>
      <c r="U6" s="8">
        <f>S6</f>
        <v>38266.25</v>
      </c>
      <c r="V6" s="8">
        <f>T6</f>
        <v>2655261</v>
      </c>
      <c r="W6" s="8">
        <f>S6*1.1</f>
        <v>42092.875</v>
      </c>
      <c r="X6" s="8">
        <f>T6</f>
        <v>2655261</v>
      </c>
      <c r="Y6" s="8">
        <f>W6</f>
        <v>42092.875</v>
      </c>
      <c r="Z6" s="8">
        <f>X6</f>
        <v>2655261</v>
      </c>
      <c r="AA6" s="213">
        <f>C6/W6</f>
        <v>0.59392474379571369</v>
      </c>
      <c r="AB6" s="213">
        <f>W6/X6</f>
        <v>1.5852631812842504E-2</v>
      </c>
    </row>
    <row r="7" spans="1:28">
      <c r="Z7" s="54" t="s">
        <v>138</v>
      </c>
      <c r="AA7" s="213">
        <f>AVERAGE(AA6)</f>
        <v>0.59392474379571369</v>
      </c>
      <c r="AB7" s="213">
        <f>AVERAGE(AB6)</f>
        <v>1.5852631812842504E-2</v>
      </c>
    </row>
    <row r="8" spans="1:28" ht="23.25">
      <c r="A8" s="514" t="s">
        <v>25</v>
      </c>
      <c r="B8" s="514"/>
      <c r="C8" s="514"/>
      <c r="D8" s="514"/>
      <c r="E8" s="514"/>
      <c r="F8" s="514"/>
      <c r="G8" s="514"/>
      <c r="H8" s="514"/>
      <c r="I8" s="514"/>
      <c r="J8" s="514"/>
      <c r="K8" s="514"/>
      <c r="L8" s="514"/>
      <c r="M8" s="514"/>
      <c r="N8" s="514"/>
      <c r="O8" s="514"/>
      <c r="P8" s="514"/>
      <c r="Q8" s="514"/>
      <c r="R8" s="514"/>
      <c r="S8" s="514"/>
      <c r="T8" s="514"/>
      <c r="U8" s="514"/>
      <c r="V8" s="514"/>
      <c r="W8" s="514"/>
      <c r="X8" s="514"/>
      <c r="Y8" s="514"/>
      <c r="Z8" s="514"/>
    </row>
    <row r="9" spans="1:28" ht="45.75" customHeight="1">
      <c r="A9" s="515" t="s">
        <v>3</v>
      </c>
      <c r="B9" s="518" t="s">
        <v>26</v>
      </c>
      <c r="C9" s="521" t="s">
        <v>139</v>
      </c>
      <c r="D9" s="522"/>
      <c r="E9" s="522"/>
      <c r="F9" s="523"/>
      <c r="G9" s="513" t="s">
        <v>28</v>
      </c>
      <c r="H9" s="513"/>
      <c r="I9" s="513"/>
      <c r="J9" s="513"/>
      <c r="K9" s="513"/>
      <c r="L9" s="513"/>
      <c r="M9" s="513"/>
      <c r="N9" s="513"/>
      <c r="O9" s="513"/>
      <c r="P9" s="513"/>
      <c r="Q9" s="513"/>
      <c r="R9" s="513"/>
      <c r="S9" s="513"/>
      <c r="T9" s="513"/>
      <c r="U9" s="513"/>
      <c r="V9" s="513"/>
      <c r="W9" s="513"/>
      <c r="X9" s="513"/>
      <c r="Y9" s="513"/>
      <c r="Z9" s="513"/>
      <c r="AA9" s="515" t="s">
        <v>29</v>
      </c>
      <c r="AB9" s="510" t="s">
        <v>30</v>
      </c>
    </row>
    <row r="10" spans="1:28" ht="45" customHeight="1">
      <c r="A10" s="516"/>
      <c r="B10" s="519"/>
      <c r="C10" s="524"/>
      <c r="D10" s="525"/>
      <c r="E10" s="525"/>
      <c r="F10" s="526"/>
      <c r="G10" s="513" t="s">
        <v>9</v>
      </c>
      <c r="H10" s="513"/>
      <c r="I10" s="513"/>
      <c r="J10" s="513"/>
      <c r="K10" s="513" t="s">
        <v>10</v>
      </c>
      <c r="L10" s="513"/>
      <c r="M10" s="513"/>
      <c r="N10" s="513"/>
      <c r="O10" s="513" t="s">
        <v>11</v>
      </c>
      <c r="P10" s="513"/>
      <c r="Q10" s="513"/>
      <c r="R10" s="513"/>
      <c r="S10" s="513" t="s">
        <v>12</v>
      </c>
      <c r="T10" s="513"/>
      <c r="U10" s="513"/>
      <c r="V10" s="513"/>
      <c r="W10" s="513" t="s">
        <v>13</v>
      </c>
      <c r="X10" s="513"/>
      <c r="Y10" s="513"/>
      <c r="Z10" s="513"/>
      <c r="AA10" s="516"/>
      <c r="AB10" s="633"/>
    </row>
    <row r="11" spans="1:28" ht="188.25" customHeight="1">
      <c r="A11" s="517"/>
      <c r="B11" s="520"/>
      <c r="C11" s="5" t="s">
        <v>140</v>
      </c>
      <c r="D11" s="5" t="s">
        <v>32</v>
      </c>
      <c r="E11" s="5" t="s">
        <v>33</v>
      </c>
      <c r="F11" s="5" t="s">
        <v>131</v>
      </c>
      <c r="G11" s="5" t="s">
        <v>34</v>
      </c>
      <c r="H11" s="5" t="s">
        <v>32</v>
      </c>
      <c r="I11" s="5" t="s">
        <v>33</v>
      </c>
      <c r="J11" s="5" t="s">
        <v>19</v>
      </c>
      <c r="K11" s="5" t="s">
        <v>34</v>
      </c>
      <c r="L11" s="5" t="s">
        <v>32</v>
      </c>
      <c r="M11" s="5" t="s">
        <v>33</v>
      </c>
      <c r="N11" s="5" t="s">
        <v>19</v>
      </c>
      <c r="O11" s="5" t="s">
        <v>34</v>
      </c>
      <c r="P11" s="5" t="s">
        <v>32</v>
      </c>
      <c r="Q11" s="5" t="s">
        <v>33</v>
      </c>
      <c r="R11" s="5" t="s">
        <v>19</v>
      </c>
      <c r="S11" s="5" t="s">
        <v>34</v>
      </c>
      <c r="T11" s="5" t="s">
        <v>32</v>
      </c>
      <c r="U11" s="5" t="s">
        <v>33</v>
      </c>
      <c r="V11" s="5" t="s">
        <v>19</v>
      </c>
      <c r="W11" s="5" t="s">
        <v>34</v>
      </c>
      <c r="X11" s="5" t="s">
        <v>32</v>
      </c>
      <c r="Y11" s="5" t="s">
        <v>33</v>
      </c>
      <c r="Z11" s="5" t="s">
        <v>19</v>
      </c>
      <c r="AA11" s="517"/>
      <c r="AB11" s="634"/>
    </row>
    <row r="12" spans="1:28" ht="44.25" customHeight="1">
      <c r="A12" s="6" t="s">
        <v>20</v>
      </c>
      <c r="B12" s="6" t="s">
        <v>300</v>
      </c>
      <c r="C12" s="8">
        <v>50000</v>
      </c>
      <c r="D12" s="8">
        <v>120000</v>
      </c>
      <c r="E12" s="8">
        <v>500</v>
      </c>
      <c r="F12" s="129">
        <v>1070</v>
      </c>
      <c r="G12" s="8">
        <f>C12*1.1</f>
        <v>55000.000000000007</v>
      </c>
      <c r="H12" s="8">
        <f>D12</f>
        <v>120000</v>
      </c>
      <c r="I12" s="8">
        <f>E12*1.1</f>
        <v>550</v>
      </c>
      <c r="J12" s="8">
        <f>F12</f>
        <v>1070</v>
      </c>
      <c r="K12" s="8">
        <f>G12*1.1</f>
        <v>60500.000000000015</v>
      </c>
      <c r="L12" s="8">
        <f>H12</f>
        <v>120000</v>
      </c>
      <c r="M12" s="8">
        <v>575</v>
      </c>
      <c r="N12" s="8">
        <f>J12</f>
        <v>1070</v>
      </c>
      <c r="O12" s="8">
        <f>K12*1.05</f>
        <v>63525.000000000015</v>
      </c>
      <c r="P12" s="8">
        <f>L12</f>
        <v>120000</v>
      </c>
      <c r="Q12" s="8">
        <f>M12</f>
        <v>575</v>
      </c>
      <c r="R12" s="8">
        <f>N12</f>
        <v>1070</v>
      </c>
      <c r="S12" s="8">
        <f>O12*1.05</f>
        <v>66701.250000000015</v>
      </c>
      <c r="T12" s="8">
        <f>P12</f>
        <v>120000</v>
      </c>
      <c r="U12" s="8">
        <f>Q12</f>
        <v>575</v>
      </c>
      <c r="V12" s="8">
        <f>R12</f>
        <v>1070</v>
      </c>
      <c r="W12" s="8">
        <f>S12*1.05</f>
        <v>70036.312500000015</v>
      </c>
      <c r="X12" s="8">
        <f>T12</f>
        <v>120000</v>
      </c>
      <c r="Y12" s="8">
        <f>U12</f>
        <v>575</v>
      </c>
      <c r="Z12" s="8">
        <f>V12</f>
        <v>1070</v>
      </c>
      <c r="AA12" s="213">
        <f>C12/W12</f>
        <v>0.71391537068717015</v>
      </c>
      <c r="AB12" s="213">
        <f>W12/X12</f>
        <v>0.58363593750000009</v>
      </c>
    </row>
    <row r="13" spans="1:28">
      <c r="Z13" s="54" t="s">
        <v>138</v>
      </c>
      <c r="AA13" s="213">
        <f>AVERAGE(AA12)</f>
        <v>0.71391537068717015</v>
      </c>
      <c r="AB13" s="213">
        <f>AVERAGE(AB12)</f>
        <v>0.58363593750000009</v>
      </c>
    </row>
    <row r="14" spans="1:28">
      <c r="A14" s="9"/>
      <c r="B14" s="9" t="s">
        <v>40</v>
      </c>
    </row>
    <row r="16" spans="1:28" ht="31.5" customHeight="1">
      <c r="A16" s="10" t="s">
        <v>41</v>
      </c>
      <c r="B16" s="509" t="s">
        <v>42</v>
      </c>
      <c r="C16" s="509"/>
      <c r="D16" s="509"/>
      <c r="E16" s="509"/>
      <c r="F16" s="509"/>
      <c r="G16" s="509"/>
      <c r="H16" s="509"/>
      <c r="I16" s="509"/>
      <c r="J16" s="509"/>
      <c r="K16" s="509"/>
      <c r="L16" s="509"/>
      <c r="M16" s="509"/>
      <c r="N16" s="509"/>
      <c r="O16" s="509"/>
      <c r="P16" s="509"/>
      <c r="Q16" s="509"/>
      <c r="R16" s="509"/>
    </row>
    <row r="17" spans="1:18" ht="31.5" customHeight="1">
      <c r="A17" s="10" t="s">
        <v>43</v>
      </c>
      <c r="B17" s="509" t="s">
        <v>44</v>
      </c>
      <c r="C17" s="509"/>
      <c r="D17" s="509"/>
      <c r="E17" s="509"/>
      <c r="F17" s="509"/>
      <c r="G17" s="509"/>
      <c r="H17" s="509"/>
      <c r="I17" s="509"/>
      <c r="J17" s="509"/>
      <c r="K17" s="509"/>
      <c r="L17" s="509"/>
      <c r="M17" s="509"/>
      <c r="N17" s="509"/>
      <c r="O17" s="509"/>
      <c r="P17" s="509"/>
      <c r="Q17" s="509"/>
      <c r="R17" s="509"/>
    </row>
    <row r="18" spans="1:18" ht="31.5" customHeight="1">
      <c r="B18" s="509" t="s">
        <v>164</v>
      </c>
      <c r="C18" s="509"/>
      <c r="D18" s="509"/>
      <c r="E18" s="509"/>
      <c r="F18" s="509"/>
      <c r="G18" s="509"/>
      <c r="H18" s="509"/>
      <c r="I18" s="509"/>
      <c r="J18" s="509"/>
      <c r="K18" s="509"/>
      <c r="L18" s="509"/>
      <c r="M18" s="509"/>
      <c r="N18" s="509"/>
      <c r="O18" s="509"/>
      <c r="P18" s="509"/>
      <c r="Q18" s="509"/>
      <c r="R18" s="509"/>
    </row>
    <row r="19" spans="1:18" ht="31.5" customHeight="1">
      <c r="B19" s="509" t="s">
        <v>165</v>
      </c>
      <c r="C19" s="509"/>
      <c r="D19" s="509"/>
      <c r="E19" s="509"/>
      <c r="F19" s="509"/>
      <c r="G19" s="509"/>
      <c r="H19" s="509"/>
      <c r="I19" s="509"/>
      <c r="J19" s="509"/>
      <c r="K19" s="509"/>
      <c r="L19" s="509"/>
      <c r="M19" s="509"/>
      <c r="N19" s="509"/>
      <c r="O19" s="509"/>
      <c r="P19" s="509"/>
      <c r="Q19" s="509"/>
      <c r="R19" s="509"/>
    </row>
    <row r="20" spans="1:18" ht="31.5" customHeight="1">
      <c r="B20" s="509" t="s">
        <v>166</v>
      </c>
      <c r="C20" s="509"/>
      <c r="D20" s="509"/>
      <c r="E20" s="509"/>
      <c r="F20" s="509"/>
      <c r="G20" s="509"/>
      <c r="H20" s="509"/>
      <c r="I20" s="509"/>
      <c r="J20" s="509"/>
      <c r="K20" s="509"/>
      <c r="L20" s="509"/>
      <c r="M20" s="509"/>
      <c r="N20" s="509"/>
      <c r="O20" s="509"/>
      <c r="P20" s="509"/>
      <c r="Q20" s="509"/>
      <c r="R20" s="509"/>
    </row>
    <row r="21" spans="1:18" ht="31.5" customHeight="1">
      <c r="B21" s="509" t="s">
        <v>167</v>
      </c>
      <c r="C21" s="509"/>
      <c r="D21" s="509"/>
      <c r="E21" s="509"/>
      <c r="F21" s="509"/>
      <c r="G21" s="509"/>
      <c r="H21" s="509"/>
      <c r="I21" s="509"/>
      <c r="J21" s="509"/>
      <c r="K21" s="509"/>
      <c r="L21" s="509"/>
      <c r="M21" s="509"/>
      <c r="N21" s="509"/>
      <c r="O21" s="509"/>
      <c r="P21" s="509"/>
      <c r="Q21" s="509"/>
      <c r="R21" s="509"/>
    </row>
    <row r="22" spans="1:18" ht="73.5" customHeight="1">
      <c r="B22" s="509" t="s">
        <v>168</v>
      </c>
      <c r="C22" s="509"/>
      <c r="D22" s="509"/>
      <c r="E22" s="509"/>
      <c r="F22" s="509"/>
      <c r="G22" s="509"/>
      <c r="H22" s="509"/>
      <c r="I22" s="509"/>
      <c r="J22" s="509"/>
      <c r="K22" s="509"/>
      <c r="L22" s="509"/>
      <c r="M22" s="509"/>
      <c r="N22" s="509"/>
      <c r="O22" s="509"/>
      <c r="P22" s="509"/>
      <c r="Q22" s="509"/>
      <c r="R22" s="509"/>
    </row>
    <row r="23" spans="1:18" ht="39" customHeight="1">
      <c r="B23" s="509" t="s">
        <v>169</v>
      </c>
      <c r="C23" s="509"/>
      <c r="D23" s="509"/>
      <c r="E23" s="509"/>
      <c r="F23" s="509"/>
      <c r="G23" s="509"/>
      <c r="H23" s="509"/>
      <c r="I23" s="509"/>
      <c r="J23" s="509"/>
      <c r="K23" s="509"/>
      <c r="L23" s="509"/>
      <c r="M23" s="509"/>
      <c r="N23" s="509"/>
      <c r="O23" s="509"/>
      <c r="P23" s="509"/>
      <c r="Q23" s="509"/>
      <c r="R23" s="509"/>
    </row>
    <row r="24" spans="1:18">
      <c r="B24" s="11"/>
    </row>
    <row r="25" spans="1:18">
      <c r="B25" s="11"/>
    </row>
    <row r="27" spans="1:18">
      <c r="B27" s="11"/>
    </row>
  </sheetData>
  <mergeCells count="34">
    <mergeCell ref="B22:R22"/>
    <mergeCell ref="B23:R23"/>
    <mergeCell ref="B16:R16"/>
    <mergeCell ref="B17:R17"/>
    <mergeCell ref="B18:R18"/>
    <mergeCell ref="B19:R19"/>
    <mergeCell ref="B20:R20"/>
    <mergeCell ref="B21:R21"/>
    <mergeCell ref="AB9:AB11"/>
    <mergeCell ref="G10:J10"/>
    <mergeCell ref="K10:N10"/>
    <mergeCell ref="O10:R10"/>
    <mergeCell ref="S10:V10"/>
    <mergeCell ref="W10:Z10"/>
    <mergeCell ref="AA9:AA11"/>
    <mergeCell ref="A8:Z8"/>
    <mergeCell ref="A9:A11"/>
    <mergeCell ref="B9:B11"/>
    <mergeCell ref="C9:F10"/>
    <mergeCell ref="G9:Z9"/>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AB45"/>
  <sheetViews>
    <sheetView topLeftCell="H1" workbookViewId="0">
      <selection activeCell="B25" sqref="B24:R25"/>
    </sheetView>
  </sheetViews>
  <sheetFormatPr defaultRowHeight="15"/>
  <cols>
    <col min="1" max="1" width="5" customWidth="1"/>
    <col min="2" max="2" width="15.85546875" customWidth="1"/>
    <col min="3" max="6" width="7.7109375" customWidth="1"/>
    <col min="7" max="26" width="7" customWidth="1"/>
  </cols>
  <sheetData>
    <row r="1" spans="1:28" s="1" customFormat="1" ht="60.75" customHeight="1">
      <c r="A1" s="529" t="s">
        <v>0</v>
      </c>
      <c r="B1" s="529"/>
      <c r="C1" s="529"/>
      <c r="D1" s="529"/>
      <c r="E1" s="529"/>
      <c r="F1" s="530" t="s">
        <v>301</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8</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6"/>
      <c r="AB4" s="633"/>
    </row>
    <row r="5" spans="1:28" ht="156.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7"/>
      <c r="AB5" s="634"/>
    </row>
    <row r="6" spans="1:28" ht="96" customHeight="1">
      <c r="A6" s="6" t="s">
        <v>20</v>
      </c>
      <c r="B6" s="6" t="s">
        <v>302</v>
      </c>
      <c r="C6" s="6">
        <v>1200</v>
      </c>
      <c r="D6" s="6">
        <v>20000</v>
      </c>
      <c r="E6" s="6">
        <v>1200</v>
      </c>
      <c r="F6" s="6">
        <v>20000</v>
      </c>
      <c r="G6" s="6">
        <f>H6*0.1</f>
        <v>2000</v>
      </c>
      <c r="H6" s="6">
        <v>20000</v>
      </c>
      <c r="I6" s="6">
        <f>J6*0.1</f>
        <v>2000</v>
      </c>
      <c r="J6" s="6">
        <v>20000</v>
      </c>
      <c r="K6" s="6">
        <f>L6*0.2</f>
        <v>4000</v>
      </c>
      <c r="L6" s="6">
        <v>20000</v>
      </c>
      <c r="M6" s="6">
        <f>N6*0.2</f>
        <v>4000</v>
      </c>
      <c r="N6" s="6">
        <v>20000</v>
      </c>
      <c r="O6" s="6">
        <f>P6*0.3</f>
        <v>6000</v>
      </c>
      <c r="P6" s="6">
        <v>20000</v>
      </c>
      <c r="Q6" s="6">
        <f>R6*0.3</f>
        <v>6000</v>
      </c>
      <c r="R6" s="6">
        <v>20000</v>
      </c>
      <c r="S6" s="6">
        <f>T6*0.4</f>
        <v>8000</v>
      </c>
      <c r="T6" s="6">
        <v>20000</v>
      </c>
      <c r="U6" s="6">
        <f>V6*0.4</f>
        <v>8000</v>
      </c>
      <c r="V6" s="6">
        <v>20000</v>
      </c>
      <c r="W6" s="6">
        <f>X6*0.5</f>
        <v>10000</v>
      </c>
      <c r="X6" s="6">
        <v>20000</v>
      </c>
      <c r="Y6" s="6">
        <f>Z6*0.5</f>
        <v>10000</v>
      </c>
      <c r="Z6" s="6">
        <v>20000</v>
      </c>
      <c r="AA6" s="213">
        <f>C6/W6</f>
        <v>0.12</v>
      </c>
      <c r="AB6" s="213">
        <f>W6/X6</f>
        <v>0.5</v>
      </c>
    </row>
    <row r="7" spans="1:28" ht="38.25">
      <c r="A7" s="6" t="s">
        <v>22</v>
      </c>
      <c r="B7" s="6" t="s">
        <v>303</v>
      </c>
      <c r="C7" s="6">
        <v>300</v>
      </c>
      <c r="D7" s="6">
        <v>8000</v>
      </c>
      <c r="E7" s="6">
        <v>300</v>
      </c>
      <c r="F7" s="6">
        <v>8000</v>
      </c>
      <c r="G7" s="6">
        <f>H7*0.1</f>
        <v>800</v>
      </c>
      <c r="H7" s="6">
        <v>8000</v>
      </c>
      <c r="I7" s="6">
        <f>J7*0.1</f>
        <v>800</v>
      </c>
      <c r="J7" s="6">
        <v>8000</v>
      </c>
      <c r="K7" s="6">
        <f>L7*0.2</f>
        <v>1600</v>
      </c>
      <c r="L7" s="6">
        <v>8000</v>
      </c>
      <c r="M7" s="6">
        <f>N7*0.2</f>
        <v>1600</v>
      </c>
      <c r="N7" s="6">
        <v>8000</v>
      </c>
      <c r="O7" s="6">
        <f>P7*0.3</f>
        <v>2400</v>
      </c>
      <c r="P7" s="6">
        <v>8000</v>
      </c>
      <c r="Q7" s="6">
        <f>R7*0.3</f>
        <v>2400</v>
      </c>
      <c r="R7" s="6">
        <v>8000</v>
      </c>
      <c r="S7" s="6">
        <f>T7*0.4</f>
        <v>3200</v>
      </c>
      <c r="T7" s="6">
        <v>8000</v>
      </c>
      <c r="U7" s="6">
        <f>V7*0.4</f>
        <v>3200</v>
      </c>
      <c r="V7" s="6">
        <v>8000</v>
      </c>
      <c r="W7" s="6">
        <f>X7*0.5</f>
        <v>4000</v>
      </c>
      <c r="X7" s="6">
        <v>8000</v>
      </c>
      <c r="Y7" s="6">
        <f>Z7*0.5</f>
        <v>4000</v>
      </c>
      <c r="Z7" s="6">
        <v>8000</v>
      </c>
      <c r="AA7" s="213">
        <f t="shared" ref="AA7:AA16" si="0">C7/W7</f>
        <v>7.4999999999999997E-2</v>
      </c>
      <c r="AB7" s="213">
        <f t="shared" ref="AB7:AB16" si="1">W7/X7</f>
        <v>0.5</v>
      </c>
    </row>
    <row r="8" spans="1:28" ht="63.75">
      <c r="A8" s="6" t="s">
        <v>61</v>
      </c>
      <c r="B8" s="6" t="s">
        <v>304</v>
      </c>
      <c r="C8" s="6">
        <v>269</v>
      </c>
      <c r="D8" s="6">
        <v>339</v>
      </c>
      <c r="E8" s="6">
        <v>269</v>
      </c>
      <c r="F8" s="6">
        <v>339</v>
      </c>
      <c r="G8" s="6">
        <v>320</v>
      </c>
      <c r="H8" s="6">
        <v>400</v>
      </c>
      <c r="I8" s="6">
        <f>J8*0.8</f>
        <v>320</v>
      </c>
      <c r="J8" s="6">
        <v>400</v>
      </c>
      <c r="K8" s="6">
        <f>L8*0.8</f>
        <v>480</v>
      </c>
      <c r="L8" s="6">
        <v>600</v>
      </c>
      <c r="M8" s="6">
        <f>N8*0.8</f>
        <v>400</v>
      </c>
      <c r="N8" s="6">
        <v>500</v>
      </c>
      <c r="O8" s="6">
        <f>P8*0.85</f>
        <v>595</v>
      </c>
      <c r="P8" s="6">
        <v>700</v>
      </c>
      <c r="Q8" s="6">
        <f>R8*0.85</f>
        <v>510</v>
      </c>
      <c r="R8" s="6">
        <v>600</v>
      </c>
      <c r="S8" s="6">
        <f>T8*0.9</f>
        <v>765</v>
      </c>
      <c r="T8" s="6">
        <v>850</v>
      </c>
      <c r="U8" s="6">
        <f>V8*0.9</f>
        <v>630</v>
      </c>
      <c r="V8" s="6">
        <v>700</v>
      </c>
      <c r="W8" s="6">
        <f>X8*0.9</f>
        <v>900</v>
      </c>
      <c r="X8" s="6">
        <v>1000</v>
      </c>
      <c r="Y8" s="6">
        <f>Z8*0.9</f>
        <v>720</v>
      </c>
      <c r="Z8" s="6">
        <v>800</v>
      </c>
      <c r="AA8" s="213">
        <f t="shared" si="0"/>
        <v>0.29888888888888887</v>
      </c>
      <c r="AB8" s="213">
        <f t="shared" si="1"/>
        <v>0.9</v>
      </c>
    </row>
    <row r="9" spans="1:28" ht="59.25" customHeight="1">
      <c r="A9" s="6" t="s">
        <v>63</v>
      </c>
      <c r="B9" s="6" t="s">
        <v>305</v>
      </c>
      <c r="C9" s="6">
        <v>0</v>
      </c>
      <c r="D9" s="6">
        <v>4000</v>
      </c>
      <c r="E9" s="6">
        <v>0</v>
      </c>
      <c r="F9" s="6">
        <v>4000</v>
      </c>
      <c r="G9" s="6">
        <f>H9*0.02</f>
        <v>80</v>
      </c>
      <c r="H9" s="6">
        <v>4000</v>
      </c>
      <c r="I9" s="6">
        <v>80</v>
      </c>
      <c r="J9" s="6">
        <v>4000</v>
      </c>
      <c r="K9" s="6">
        <f>L9*0.04</f>
        <v>160</v>
      </c>
      <c r="L9" s="6">
        <v>4000</v>
      </c>
      <c r="M9" s="6">
        <v>160</v>
      </c>
      <c r="N9" s="6">
        <v>4000</v>
      </c>
      <c r="O9" s="6">
        <f>P9*0.06</f>
        <v>240</v>
      </c>
      <c r="P9" s="6">
        <v>4000</v>
      </c>
      <c r="Q9" s="6">
        <v>240</v>
      </c>
      <c r="R9" s="6">
        <v>4000</v>
      </c>
      <c r="S9" s="6">
        <f>T9*0.08</f>
        <v>320</v>
      </c>
      <c r="T9" s="6">
        <v>4000</v>
      </c>
      <c r="U9" s="6">
        <v>320</v>
      </c>
      <c r="V9" s="6">
        <v>4000</v>
      </c>
      <c r="W9" s="6">
        <v>400</v>
      </c>
      <c r="X9" s="6">
        <v>4000</v>
      </c>
      <c r="Y9" s="6">
        <f>Z9*0.1</f>
        <v>400</v>
      </c>
      <c r="Z9" s="6">
        <v>4000</v>
      </c>
      <c r="AA9" s="213">
        <f t="shared" si="0"/>
        <v>0</v>
      </c>
      <c r="AB9" s="213">
        <f t="shared" si="1"/>
        <v>0.1</v>
      </c>
    </row>
    <row r="10" spans="1:28" ht="38.25">
      <c r="A10" s="6" t="s">
        <v>136</v>
      </c>
      <c r="B10" s="6" t="s">
        <v>306</v>
      </c>
      <c r="C10" s="6">
        <v>0</v>
      </c>
      <c r="D10" s="6">
        <v>5000</v>
      </c>
      <c r="E10" s="6">
        <v>0</v>
      </c>
      <c r="F10" s="6">
        <v>5000</v>
      </c>
      <c r="G10" s="6">
        <v>500</v>
      </c>
      <c r="H10" s="6">
        <v>5000</v>
      </c>
      <c r="I10" s="6">
        <f>J10*0.1</f>
        <v>500</v>
      </c>
      <c r="J10" s="6">
        <v>5000</v>
      </c>
      <c r="K10" s="6">
        <v>1000</v>
      </c>
      <c r="L10" s="6">
        <v>5000</v>
      </c>
      <c r="M10" s="6">
        <f>N10*0.2</f>
        <v>1000</v>
      </c>
      <c r="N10" s="6">
        <v>5000</v>
      </c>
      <c r="O10" s="6">
        <f>P10*0.3</f>
        <v>1500</v>
      </c>
      <c r="P10" s="6">
        <v>5000</v>
      </c>
      <c r="Q10" s="6">
        <f>R10*0.3</f>
        <v>1500</v>
      </c>
      <c r="R10" s="6">
        <v>5000</v>
      </c>
      <c r="S10" s="6">
        <f>T10*0.4</f>
        <v>2000</v>
      </c>
      <c r="T10" s="6">
        <v>5000</v>
      </c>
      <c r="U10" s="6">
        <f>V10*0.4</f>
        <v>2000</v>
      </c>
      <c r="V10" s="6">
        <v>5000</v>
      </c>
      <c r="W10" s="6">
        <f>X10*0.5</f>
        <v>2500</v>
      </c>
      <c r="X10" s="6">
        <v>5000</v>
      </c>
      <c r="Y10" s="6">
        <f>Z10*0.5</f>
        <v>2500</v>
      </c>
      <c r="Z10" s="6">
        <v>5000</v>
      </c>
      <c r="AA10" s="213">
        <f t="shared" si="0"/>
        <v>0</v>
      </c>
      <c r="AB10" s="213">
        <f t="shared" si="1"/>
        <v>0.5</v>
      </c>
    </row>
    <row r="11" spans="1:28" ht="39" customHeight="1">
      <c r="A11" s="6" t="s">
        <v>155</v>
      </c>
      <c r="B11" s="6" t="s">
        <v>307</v>
      </c>
      <c r="C11" s="6">
        <v>0</v>
      </c>
      <c r="D11" s="6">
        <v>1000</v>
      </c>
      <c r="E11" s="6">
        <v>0</v>
      </c>
      <c r="F11" s="6">
        <v>1000</v>
      </c>
      <c r="G11" s="6">
        <v>100</v>
      </c>
      <c r="H11" s="6">
        <v>1000</v>
      </c>
      <c r="I11" s="6">
        <v>100</v>
      </c>
      <c r="J11" s="6">
        <v>1000</v>
      </c>
      <c r="K11" s="6">
        <v>200</v>
      </c>
      <c r="L11" s="6">
        <v>1000</v>
      </c>
      <c r="M11" s="6">
        <v>200</v>
      </c>
      <c r="N11" s="6">
        <v>1000</v>
      </c>
      <c r="O11" s="6">
        <v>300</v>
      </c>
      <c r="P11" s="6">
        <v>1000</v>
      </c>
      <c r="Q11" s="6">
        <v>300</v>
      </c>
      <c r="R11" s="6">
        <v>1000</v>
      </c>
      <c r="S11" s="6">
        <v>400</v>
      </c>
      <c r="T11" s="6">
        <v>1000</v>
      </c>
      <c r="U11" s="6">
        <v>400</v>
      </c>
      <c r="V11" s="6">
        <v>1000</v>
      </c>
      <c r="W11" s="6">
        <f>X11*0.5</f>
        <v>500</v>
      </c>
      <c r="X11" s="6">
        <v>1000</v>
      </c>
      <c r="Y11" s="6">
        <f>Z11*0.5</f>
        <v>500</v>
      </c>
      <c r="Z11" s="6">
        <v>1000</v>
      </c>
      <c r="AA11" s="213">
        <f t="shared" si="0"/>
        <v>0</v>
      </c>
      <c r="AB11" s="213">
        <f t="shared" si="1"/>
        <v>0.5</v>
      </c>
    </row>
    <row r="12" spans="1:28" ht="79.5" customHeight="1">
      <c r="A12" s="6" t="s">
        <v>159</v>
      </c>
      <c r="B12" s="6" t="s">
        <v>308</v>
      </c>
      <c r="C12" s="6">
        <v>500</v>
      </c>
      <c r="D12" s="6">
        <v>1500</v>
      </c>
      <c r="E12" s="6">
        <v>500</v>
      </c>
      <c r="F12" s="6">
        <v>1500</v>
      </c>
      <c r="G12" s="6">
        <f>H12*0.5</f>
        <v>800</v>
      </c>
      <c r="H12" s="6">
        <v>1600</v>
      </c>
      <c r="I12" s="6">
        <f>J12*0.5</f>
        <v>750</v>
      </c>
      <c r="J12" s="6">
        <v>1500</v>
      </c>
      <c r="K12" s="6">
        <f>L12*0.6</f>
        <v>1020</v>
      </c>
      <c r="L12" s="6">
        <v>1700</v>
      </c>
      <c r="M12" s="6">
        <f>N12*0.6</f>
        <v>900</v>
      </c>
      <c r="N12" s="6">
        <v>1500</v>
      </c>
      <c r="O12" s="6">
        <f>P12*0.7</f>
        <v>1260</v>
      </c>
      <c r="P12" s="6">
        <v>1800</v>
      </c>
      <c r="Q12" s="6">
        <f>R12*0.7</f>
        <v>1050</v>
      </c>
      <c r="R12" s="6">
        <v>1500</v>
      </c>
      <c r="S12" s="6">
        <f>T12*0.85</f>
        <v>1615</v>
      </c>
      <c r="T12" s="6">
        <v>1900</v>
      </c>
      <c r="U12" s="6">
        <f>V12*0.85</f>
        <v>1275</v>
      </c>
      <c r="V12" s="6">
        <v>1500</v>
      </c>
      <c r="W12" s="6">
        <f>X12*0.95</f>
        <v>1900</v>
      </c>
      <c r="X12" s="6">
        <v>2000</v>
      </c>
      <c r="Y12" s="6">
        <f>Z12*0.95</f>
        <v>1425</v>
      </c>
      <c r="Z12" s="6">
        <v>1500</v>
      </c>
      <c r="AA12" s="213">
        <f t="shared" si="0"/>
        <v>0.26315789473684209</v>
      </c>
      <c r="AB12" s="213">
        <f t="shared" si="1"/>
        <v>0.95</v>
      </c>
    </row>
    <row r="13" spans="1:28" ht="76.5">
      <c r="A13" s="6" t="s">
        <v>244</v>
      </c>
      <c r="B13" s="6" t="s">
        <v>309</v>
      </c>
      <c r="C13" s="6">
        <v>0</v>
      </c>
      <c r="D13" s="6">
        <v>1200</v>
      </c>
      <c r="E13" s="6">
        <v>0</v>
      </c>
      <c r="F13" s="6">
        <v>1200</v>
      </c>
      <c r="G13" s="6">
        <f>H13*0.2</f>
        <v>240</v>
      </c>
      <c r="H13" s="6">
        <v>1200</v>
      </c>
      <c r="I13" s="6">
        <v>240</v>
      </c>
      <c r="J13" s="6">
        <v>1200</v>
      </c>
      <c r="K13" s="6">
        <f>L13*0.4</f>
        <v>480</v>
      </c>
      <c r="L13" s="6">
        <v>1200</v>
      </c>
      <c r="M13" s="6">
        <v>480</v>
      </c>
      <c r="N13" s="6">
        <v>1200</v>
      </c>
      <c r="O13" s="6">
        <f>P13*0.6</f>
        <v>720</v>
      </c>
      <c r="P13" s="6">
        <v>1200</v>
      </c>
      <c r="Q13" s="6">
        <v>720</v>
      </c>
      <c r="R13" s="6">
        <v>1200</v>
      </c>
      <c r="S13" s="6">
        <f>T13*0.8</f>
        <v>960</v>
      </c>
      <c r="T13" s="6">
        <v>1200</v>
      </c>
      <c r="U13" s="6">
        <v>960</v>
      </c>
      <c r="V13" s="6">
        <v>1200</v>
      </c>
      <c r="W13" s="6">
        <v>1080</v>
      </c>
      <c r="X13" s="6">
        <v>1200</v>
      </c>
      <c r="Y13" s="6">
        <v>1080</v>
      </c>
      <c r="Z13" s="6">
        <v>1200</v>
      </c>
      <c r="AA13" s="213">
        <f t="shared" si="0"/>
        <v>0</v>
      </c>
      <c r="AB13" s="213">
        <f t="shared" si="1"/>
        <v>0.9</v>
      </c>
    </row>
    <row r="14" spans="1:28" ht="76.5">
      <c r="A14" s="6" t="s">
        <v>219</v>
      </c>
      <c r="B14" s="6" t="s">
        <v>310</v>
      </c>
      <c r="C14" s="6">
        <v>0</v>
      </c>
      <c r="D14" s="6">
        <v>1200</v>
      </c>
      <c r="E14" s="6">
        <v>0</v>
      </c>
      <c r="F14" s="6">
        <v>1200</v>
      </c>
      <c r="G14" s="6">
        <f>H14*0.2</f>
        <v>240</v>
      </c>
      <c r="H14" s="6">
        <v>1200</v>
      </c>
      <c r="I14" s="6">
        <v>240</v>
      </c>
      <c r="J14" s="6">
        <v>1200</v>
      </c>
      <c r="K14" s="6">
        <f>L14*0.4</f>
        <v>480</v>
      </c>
      <c r="L14" s="6">
        <v>1200</v>
      </c>
      <c r="M14" s="6">
        <v>480</v>
      </c>
      <c r="N14" s="6">
        <v>1200</v>
      </c>
      <c r="O14" s="6">
        <f>P14*0.6</f>
        <v>720</v>
      </c>
      <c r="P14" s="6">
        <v>1200</v>
      </c>
      <c r="Q14" s="6">
        <v>720</v>
      </c>
      <c r="R14" s="6">
        <v>1200</v>
      </c>
      <c r="S14" s="6">
        <f>T14*0.8</f>
        <v>960</v>
      </c>
      <c r="T14" s="6">
        <v>1200</v>
      </c>
      <c r="U14" s="6">
        <v>960</v>
      </c>
      <c r="V14" s="6">
        <v>1200</v>
      </c>
      <c r="W14" s="6">
        <v>1080</v>
      </c>
      <c r="X14" s="6">
        <v>1200</v>
      </c>
      <c r="Y14" s="6">
        <v>1080</v>
      </c>
      <c r="Z14" s="6">
        <v>1200</v>
      </c>
      <c r="AA14" s="213">
        <f t="shared" si="0"/>
        <v>0</v>
      </c>
      <c r="AB14" s="213">
        <f t="shared" si="1"/>
        <v>0.9</v>
      </c>
    </row>
    <row r="15" spans="1:28" ht="81" customHeight="1">
      <c r="A15" s="6" t="s">
        <v>247</v>
      </c>
      <c r="B15" s="6" t="s">
        <v>311</v>
      </c>
      <c r="C15" s="6">
        <v>0</v>
      </c>
      <c r="D15" s="6">
        <v>1500</v>
      </c>
      <c r="E15" s="6">
        <v>0</v>
      </c>
      <c r="F15" s="6">
        <v>1500</v>
      </c>
      <c r="G15" s="6">
        <v>45</v>
      </c>
      <c r="H15" s="6">
        <v>1500</v>
      </c>
      <c r="I15" s="6">
        <v>45</v>
      </c>
      <c r="J15" s="6">
        <v>1500</v>
      </c>
      <c r="K15" s="6">
        <v>90</v>
      </c>
      <c r="L15" s="6">
        <v>1500</v>
      </c>
      <c r="M15" s="6">
        <v>90</v>
      </c>
      <c r="N15" s="6">
        <v>1500</v>
      </c>
      <c r="O15" s="6">
        <v>225</v>
      </c>
      <c r="P15" s="6">
        <v>1500</v>
      </c>
      <c r="Q15" s="6">
        <v>225</v>
      </c>
      <c r="R15" s="6">
        <v>1500</v>
      </c>
      <c r="S15" s="6">
        <v>360</v>
      </c>
      <c r="T15" s="6">
        <v>1500</v>
      </c>
      <c r="U15" s="6">
        <v>360</v>
      </c>
      <c r="V15" s="6">
        <v>1500</v>
      </c>
      <c r="W15" s="6">
        <v>540</v>
      </c>
      <c r="X15" s="6">
        <v>1500</v>
      </c>
      <c r="Y15" s="6">
        <v>540</v>
      </c>
      <c r="Z15" s="6">
        <v>1500</v>
      </c>
      <c r="AA15" s="213">
        <f t="shared" si="0"/>
        <v>0</v>
      </c>
      <c r="AB15" s="213">
        <f t="shared" si="1"/>
        <v>0.36</v>
      </c>
    </row>
    <row r="16" spans="1:28" ht="38.25">
      <c r="A16" s="6" t="s">
        <v>249</v>
      </c>
      <c r="B16" s="6" t="s">
        <v>312</v>
      </c>
      <c r="C16" s="6">
        <v>0</v>
      </c>
      <c r="D16" s="6">
        <v>20</v>
      </c>
      <c r="E16" s="6">
        <v>0</v>
      </c>
      <c r="F16" s="6">
        <v>20</v>
      </c>
      <c r="G16" s="6">
        <f>H16*0.9</f>
        <v>45</v>
      </c>
      <c r="H16" s="6">
        <v>50</v>
      </c>
      <c r="I16" s="6">
        <v>45</v>
      </c>
      <c r="J16" s="6">
        <v>50</v>
      </c>
      <c r="K16" s="6">
        <v>90</v>
      </c>
      <c r="L16" s="6">
        <v>100</v>
      </c>
      <c r="M16" s="6">
        <v>90</v>
      </c>
      <c r="N16" s="6">
        <v>100</v>
      </c>
      <c r="O16" s="6">
        <f>P16*0.9</f>
        <v>225</v>
      </c>
      <c r="P16" s="6">
        <v>250</v>
      </c>
      <c r="Q16" s="6">
        <v>225</v>
      </c>
      <c r="R16" s="6">
        <v>250</v>
      </c>
      <c r="S16" s="6">
        <f>T16*0.9</f>
        <v>360</v>
      </c>
      <c r="T16" s="6">
        <v>400</v>
      </c>
      <c r="U16" s="6">
        <v>360</v>
      </c>
      <c r="V16" s="6">
        <v>400</v>
      </c>
      <c r="W16" s="6">
        <v>540</v>
      </c>
      <c r="X16" s="6">
        <v>600</v>
      </c>
      <c r="Y16" s="6">
        <v>540</v>
      </c>
      <c r="Z16" s="6">
        <v>600</v>
      </c>
      <c r="AA16" s="213">
        <f t="shared" si="0"/>
        <v>0</v>
      </c>
      <c r="AB16" s="213">
        <f t="shared" si="1"/>
        <v>0.9</v>
      </c>
    </row>
    <row r="17" spans="1:28">
      <c r="Z17" s="42" t="s">
        <v>138</v>
      </c>
      <c r="AA17" s="213">
        <f>AVERAGE(AA6:AA16)</f>
        <v>6.8822434875066452E-2</v>
      </c>
      <c r="AB17" s="213">
        <f>AVERAGE(AB6:AB16)</f>
        <v>0.63727272727272744</v>
      </c>
    </row>
    <row r="18" spans="1:28" ht="23.25">
      <c r="A18" s="514" t="s">
        <v>25</v>
      </c>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row>
    <row r="19" spans="1:28">
      <c r="A19" s="515" t="s">
        <v>3</v>
      </c>
      <c r="B19" s="518" t="s">
        <v>26</v>
      </c>
      <c r="C19" s="521" t="s">
        <v>139</v>
      </c>
      <c r="D19" s="522"/>
      <c r="E19" s="522"/>
      <c r="F19" s="523"/>
      <c r="G19" s="513" t="s">
        <v>28</v>
      </c>
      <c r="H19" s="513"/>
      <c r="I19" s="513"/>
      <c r="J19" s="513"/>
      <c r="K19" s="513"/>
      <c r="L19" s="513"/>
      <c r="M19" s="513"/>
      <c r="N19" s="513"/>
      <c r="O19" s="513"/>
      <c r="P19" s="513"/>
      <c r="Q19" s="513"/>
      <c r="R19" s="513"/>
      <c r="S19" s="513"/>
      <c r="T19" s="513"/>
      <c r="U19" s="513"/>
      <c r="V19" s="513"/>
      <c r="W19" s="513"/>
      <c r="X19" s="513"/>
      <c r="Y19" s="513"/>
      <c r="Z19" s="513"/>
      <c r="AA19" s="562" t="s">
        <v>29</v>
      </c>
      <c r="AB19" s="635" t="s">
        <v>30</v>
      </c>
    </row>
    <row r="20" spans="1:28">
      <c r="A20" s="516"/>
      <c r="B20" s="519"/>
      <c r="C20" s="524"/>
      <c r="D20" s="525"/>
      <c r="E20" s="525"/>
      <c r="F20" s="526"/>
      <c r="G20" s="513" t="s">
        <v>9</v>
      </c>
      <c r="H20" s="513"/>
      <c r="I20" s="513"/>
      <c r="J20" s="513"/>
      <c r="K20" s="513" t="s">
        <v>10</v>
      </c>
      <c r="L20" s="513"/>
      <c r="M20" s="513"/>
      <c r="N20" s="513"/>
      <c r="O20" s="513" t="s">
        <v>11</v>
      </c>
      <c r="P20" s="513"/>
      <c r="Q20" s="513"/>
      <c r="R20" s="513"/>
      <c r="S20" s="513" t="s">
        <v>12</v>
      </c>
      <c r="T20" s="513"/>
      <c r="U20" s="513"/>
      <c r="V20" s="513"/>
      <c r="W20" s="513" t="s">
        <v>13</v>
      </c>
      <c r="X20" s="513"/>
      <c r="Y20" s="513"/>
      <c r="Z20" s="513"/>
      <c r="AA20" s="563"/>
      <c r="AB20" s="636"/>
    </row>
    <row r="21" spans="1:28" ht="74.25">
      <c r="A21" s="517"/>
      <c r="B21" s="520"/>
      <c r="C21" s="5" t="s">
        <v>140</v>
      </c>
      <c r="D21" s="5" t="s">
        <v>32</v>
      </c>
      <c r="E21" s="5" t="s">
        <v>33</v>
      </c>
      <c r="F21" s="5" t="s">
        <v>131</v>
      </c>
      <c r="G21" s="5" t="s">
        <v>34</v>
      </c>
      <c r="H21" s="5" t="s">
        <v>32</v>
      </c>
      <c r="I21" s="5" t="s">
        <v>33</v>
      </c>
      <c r="J21" s="5" t="s">
        <v>19</v>
      </c>
      <c r="K21" s="5" t="s">
        <v>34</v>
      </c>
      <c r="L21" s="5" t="s">
        <v>32</v>
      </c>
      <c r="M21" s="5" t="s">
        <v>33</v>
      </c>
      <c r="N21" s="5" t="s">
        <v>19</v>
      </c>
      <c r="O21" s="5" t="s">
        <v>34</v>
      </c>
      <c r="P21" s="5" t="s">
        <v>32</v>
      </c>
      <c r="Q21" s="5" t="s">
        <v>33</v>
      </c>
      <c r="R21" s="5" t="s">
        <v>19</v>
      </c>
      <c r="S21" s="5" t="s">
        <v>34</v>
      </c>
      <c r="T21" s="5" t="s">
        <v>32</v>
      </c>
      <c r="U21" s="5" t="s">
        <v>33</v>
      </c>
      <c r="V21" s="5" t="s">
        <v>19</v>
      </c>
      <c r="W21" s="5" t="s">
        <v>34</v>
      </c>
      <c r="X21" s="5" t="s">
        <v>32</v>
      </c>
      <c r="Y21" s="5" t="s">
        <v>33</v>
      </c>
      <c r="Z21" s="5" t="s">
        <v>19</v>
      </c>
      <c r="AA21" s="564"/>
      <c r="AB21" s="637"/>
    </row>
    <row r="22" spans="1:28" ht="63.75">
      <c r="A22" s="47" t="s">
        <v>20</v>
      </c>
      <c r="B22" s="47" t="s">
        <v>313</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87"/>
      <c r="AB22" s="87"/>
    </row>
    <row r="23" spans="1:28" ht="54">
      <c r="A23" s="6" t="s">
        <v>36</v>
      </c>
      <c r="B23" s="6" t="s">
        <v>314</v>
      </c>
      <c r="C23" s="131">
        <v>0</v>
      </c>
      <c r="D23" s="131">
        <v>20</v>
      </c>
      <c r="E23" s="131">
        <v>0</v>
      </c>
      <c r="F23" s="131">
        <v>23</v>
      </c>
      <c r="G23" s="131">
        <f>H23*0.9</f>
        <v>45</v>
      </c>
      <c r="H23" s="131">
        <v>50</v>
      </c>
      <c r="I23" s="131">
        <v>50</v>
      </c>
      <c r="J23" s="131">
        <v>55</v>
      </c>
      <c r="K23" s="131">
        <v>90</v>
      </c>
      <c r="L23" s="131">
        <v>100</v>
      </c>
      <c r="M23" s="131">
        <v>95</v>
      </c>
      <c r="N23" s="131">
        <v>105</v>
      </c>
      <c r="O23" s="131">
        <f>P23*0.9</f>
        <v>225</v>
      </c>
      <c r="P23" s="131">
        <v>250</v>
      </c>
      <c r="Q23" s="131">
        <v>230</v>
      </c>
      <c r="R23" s="131">
        <v>255</v>
      </c>
      <c r="S23" s="131">
        <f>T23*0.9</f>
        <v>360</v>
      </c>
      <c r="T23" s="131">
        <v>400</v>
      </c>
      <c r="U23" s="131">
        <v>365</v>
      </c>
      <c r="V23" s="131">
        <v>405</v>
      </c>
      <c r="W23" s="131">
        <v>540</v>
      </c>
      <c r="X23" s="131">
        <v>600</v>
      </c>
      <c r="Y23" s="131">
        <v>545</v>
      </c>
      <c r="Z23" s="131">
        <v>605</v>
      </c>
      <c r="AA23" s="213">
        <f>C23/W23</f>
        <v>0</v>
      </c>
      <c r="AB23" s="213">
        <f>W23/X23</f>
        <v>0.9</v>
      </c>
    </row>
    <row r="24" spans="1:28" ht="76.5">
      <c r="A24" s="6" t="s">
        <v>38</v>
      </c>
      <c r="B24" s="6" t="s">
        <v>315</v>
      </c>
      <c r="C24" s="131">
        <v>0</v>
      </c>
      <c r="D24" s="131">
        <v>20</v>
      </c>
      <c r="E24" s="131">
        <v>0</v>
      </c>
      <c r="F24" s="131">
        <v>3</v>
      </c>
      <c r="G24" s="131">
        <v>50</v>
      </c>
      <c r="H24" s="131">
        <v>50</v>
      </c>
      <c r="I24" s="131">
        <v>5</v>
      </c>
      <c r="J24" s="131">
        <v>5</v>
      </c>
      <c r="K24" s="131">
        <v>100</v>
      </c>
      <c r="L24" s="131">
        <v>100</v>
      </c>
      <c r="M24" s="131">
        <v>5</v>
      </c>
      <c r="N24" s="131">
        <v>5</v>
      </c>
      <c r="O24" s="131">
        <v>250</v>
      </c>
      <c r="P24" s="131">
        <v>250</v>
      </c>
      <c r="Q24" s="131">
        <v>5</v>
      </c>
      <c r="R24" s="131">
        <v>5</v>
      </c>
      <c r="S24" s="131">
        <v>400</v>
      </c>
      <c r="T24" s="131">
        <v>400</v>
      </c>
      <c r="U24" s="131">
        <v>5</v>
      </c>
      <c r="V24" s="131">
        <v>5</v>
      </c>
      <c r="W24" s="131">
        <v>600</v>
      </c>
      <c r="X24" s="131">
        <v>600</v>
      </c>
      <c r="Y24" s="131">
        <v>5</v>
      </c>
      <c r="Z24" s="131">
        <v>5</v>
      </c>
      <c r="AA24" s="213">
        <f t="shared" ref="AA24:AA30" si="2">C24/W24</f>
        <v>0</v>
      </c>
      <c r="AB24" s="213">
        <f t="shared" ref="AB24:AB30" si="3">W24/X24</f>
        <v>1</v>
      </c>
    </row>
    <row r="25" spans="1:28" ht="63.75">
      <c r="A25" s="47" t="s">
        <v>22</v>
      </c>
      <c r="B25" s="47" t="s">
        <v>316</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213"/>
      <c r="AB25" s="213"/>
    </row>
    <row r="26" spans="1:28" ht="25.5">
      <c r="A26" s="6" t="s">
        <v>144</v>
      </c>
      <c r="B26" s="6" t="s">
        <v>317</v>
      </c>
      <c r="C26" s="131">
        <f>D26*0.1</f>
        <v>322.20000000000005</v>
      </c>
      <c r="D26" s="131">
        <v>3222</v>
      </c>
      <c r="E26" s="131">
        <v>30</v>
      </c>
      <c r="F26" s="131">
        <v>3252</v>
      </c>
      <c r="G26" s="131">
        <f>H26*0.2</f>
        <v>644.40000000000009</v>
      </c>
      <c r="H26" s="131">
        <v>3222</v>
      </c>
      <c r="I26" s="131">
        <v>270</v>
      </c>
      <c r="J26" s="131">
        <v>3252</v>
      </c>
      <c r="K26" s="131">
        <f>L26*0.4</f>
        <v>1288.8000000000002</v>
      </c>
      <c r="L26" s="131">
        <v>3222</v>
      </c>
      <c r="M26" s="131">
        <v>510</v>
      </c>
      <c r="N26" s="131">
        <v>3252</v>
      </c>
      <c r="O26" s="131">
        <f>P26*0.6</f>
        <v>1933.1999999999998</v>
      </c>
      <c r="P26" s="131">
        <v>3222</v>
      </c>
      <c r="Q26" s="131">
        <v>750</v>
      </c>
      <c r="R26" s="131">
        <v>3252</v>
      </c>
      <c r="S26" s="131">
        <f>T26*0.8</f>
        <v>2577.6000000000004</v>
      </c>
      <c r="T26" s="131">
        <v>3222</v>
      </c>
      <c r="U26" s="131">
        <v>960</v>
      </c>
      <c r="V26" s="131">
        <v>3252</v>
      </c>
      <c r="W26" s="131">
        <f>X26*0.9</f>
        <v>2899.8</v>
      </c>
      <c r="X26" s="131">
        <v>3222</v>
      </c>
      <c r="Y26" s="131">
        <v>1110</v>
      </c>
      <c r="Z26" s="131">
        <v>3252</v>
      </c>
      <c r="AA26" s="213">
        <f t="shared" si="2"/>
        <v>0.11111111111111112</v>
      </c>
      <c r="AB26" s="213">
        <f t="shared" si="3"/>
        <v>0.9</v>
      </c>
    </row>
    <row r="27" spans="1:28" ht="63.75">
      <c r="A27" s="6" t="s">
        <v>318</v>
      </c>
      <c r="B27" s="6" t="s">
        <v>319</v>
      </c>
      <c r="C27" s="132">
        <v>1000</v>
      </c>
      <c r="D27" s="132">
        <v>100000</v>
      </c>
      <c r="E27" s="132">
        <v>5</v>
      </c>
      <c r="F27" s="132">
        <v>50</v>
      </c>
      <c r="G27" s="132">
        <v>50000</v>
      </c>
      <c r="H27" s="132">
        <v>100000</v>
      </c>
      <c r="I27" s="132">
        <v>50</v>
      </c>
      <c r="J27" s="132">
        <v>50</v>
      </c>
      <c r="K27" s="132">
        <v>100000</v>
      </c>
      <c r="L27" s="132">
        <v>100000</v>
      </c>
      <c r="M27" s="132">
        <v>50</v>
      </c>
      <c r="N27" s="132">
        <v>50</v>
      </c>
      <c r="O27" s="132">
        <v>100000</v>
      </c>
      <c r="P27" s="132">
        <v>100000</v>
      </c>
      <c r="Q27" s="132">
        <v>50</v>
      </c>
      <c r="R27" s="132">
        <v>50</v>
      </c>
      <c r="S27" s="132">
        <v>100000</v>
      </c>
      <c r="T27" s="132">
        <v>100000</v>
      </c>
      <c r="U27" s="132">
        <v>50</v>
      </c>
      <c r="V27" s="132">
        <v>50</v>
      </c>
      <c r="W27" s="132">
        <v>100000</v>
      </c>
      <c r="X27" s="132">
        <v>100000</v>
      </c>
      <c r="Y27" s="132">
        <v>50</v>
      </c>
      <c r="Z27" s="132">
        <v>50</v>
      </c>
      <c r="AA27" s="213">
        <f t="shared" si="2"/>
        <v>0.01</v>
      </c>
      <c r="AB27" s="213">
        <f t="shared" si="3"/>
        <v>1</v>
      </c>
    </row>
    <row r="28" spans="1:28" ht="51">
      <c r="A28" s="6" t="s">
        <v>320</v>
      </c>
      <c r="B28" s="6" t="s">
        <v>321</v>
      </c>
      <c r="C28" s="132">
        <v>250</v>
      </c>
      <c r="D28" s="132">
        <v>230000</v>
      </c>
      <c r="E28" s="132">
        <v>5</v>
      </c>
      <c r="F28" s="132">
        <v>150</v>
      </c>
      <c r="G28" s="132">
        <v>100000</v>
      </c>
      <c r="H28" s="132">
        <v>230000</v>
      </c>
      <c r="I28" s="132">
        <v>150</v>
      </c>
      <c r="J28" s="132">
        <v>150</v>
      </c>
      <c r="K28" s="132">
        <v>230000</v>
      </c>
      <c r="L28" s="132">
        <v>230000</v>
      </c>
      <c r="M28" s="132">
        <v>150</v>
      </c>
      <c r="N28" s="132">
        <v>150</v>
      </c>
      <c r="O28" s="132">
        <v>230000</v>
      </c>
      <c r="P28" s="132">
        <v>230000</v>
      </c>
      <c r="Q28" s="132">
        <v>150</v>
      </c>
      <c r="R28" s="132">
        <v>150</v>
      </c>
      <c r="S28" s="132">
        <v>230000</v>
      </c>
      <c r="T28" s="132">
        <v>230000</v>
      </c>
      <c r="U28" s="132">
        <v>150</v>
      </c>
      <c r="V28" s="132">
        <v>150</v>
      </c>
      <c r="W28" s="132">
        <v>230000</v>
      </c>
      <c r="X28" s="132">
        <v>230000</v>
      </c>
      <c r="Y28" s="132">
        <v>150</v>
      </c>
      <c r="Z28" s="132">
        <v>150</v>
      </c>
      <c r="AA28" s="213">
        <f t="shared" si="2"/>
        <v>1.0869565217391304E-3</v>
      </c>
      <c r="AB28" s="213">
        <f t="shared" si="3"/>
        <v>1</v>
      </c>
    </row>
    <row r="29" spans="1:28" ht="38.25">
      <c r="A29" s="6" t="s">
        <v>322</v>
      </c>
      <c r="B29" s="6" t="s">
        <v>323</v>
      </c>
      <c r="C29" s="131">
        <v>0</v>
      </c>
      <c r="D29" s="131">
        <v>15000</v>
      </c>
      <c r="E29" s="131">
        <v>0</v>
      </c>
      <c r="F29" s="131">
        <v>5015</v>
      </c>
      <c r="G29" s="131">
        <f>H29*0.1</f>
        <v>1500</v>
      </c>
      <c r="H29" s="131">
        <v>15000</v>
      </c>
      <c r="I29" s="131">
        <f>J29*0.1</f>
        <v>501.5</v>
      </c>
      <c r="J29" s="131">
        <v>5015</v>
      </c>
      <c r="K29" s="131">
        <f>L29*0.2</f>
        <v>3000</v>
      </c>
      <c r="L29" s="131">
        <v>15000</v>
      </c>
      <c r="M29" s="131">
        <f>N29*0.2</f>
        <v>1003</v>
      </c>
      <c r="N29" s="131">
        <v>5015</v>
      </c>
      <c r="O29" s="131">
        <f>P29*0.3</f>
        <v>4500</v>
      </c>
      <c r="P29" s="131">
        <v>15000</v>
      </c>
      <c r="Q29" s="131">
        <f>R29*0.3</f>
        <v>1504.5</v>
      </c>
      <c r="R29" s="131">
        <v>5015</v>
      </c>
      <c r="S29" s="131">
        <f>T29*0.4</f>
        <v>6000</v>
      </c>
      <c r="T29" s="131">
        <v>15000</v>
      </c>
      <c r="U29" s="131">
        <f>V29*0.4</f>
        <v>2006</v>
      </c>
      <c r="V29" s="131">
        <v>5015</v>
      </c>
      <c r="W29" s="131">
        <f>X29*0.5</f>
        <v>7500</v>
      </c>
      <c r="X29" s="131">
        <v>15000</v>
      </c>
      <c r="Y29" s="131">
        <f>Z29*0.5</f>
        <v>2507.5</v>
      </c>
      <c r="Z29" s="131">
        <v>5015</v>
      </c>
      <c r="AA29" s="213">
        <f t="shared" si="2"/>
        <v>0</v>
      </c>
      <c r="AB29" s="213">
        <f t="shared" si="3"/>
        <v>0.5</v>
      </c>
    </row>
    <row r="30" spans="1:28" ht="38.25">
      <c r="A30" s="6" t="s">
        <v>324</v>
      </c>
      <c r="B30" s="6" t="s">
        <v>325</v>
      </c>
      <c r="C30" s="132">
        <v>1769</v>
      </c>
      <c r="D30" s="132">
        <v>32339</v>
      </c>
      <c r="E30" s="132">
        <v>1799</v>
      </c>
      <c r="F30" s="132">
        <v>32369</v>
      </c>
      <c r="G30" s="131">
        <v>3200</v>
      </c>
      <c r="H30" s="131">
        <v>32400</v>
      </c>
      <c r="I30" s="131">
        <v>3230</v>
      </c>
      <c r="J30" s="131">
        <v>32430</v>
      </c>
      <c r="K30" s="131">
        <v>6240</v>
      </c>
      <c r="L30" s="131">
        <v>32600</v>
      </c>
      <c r="M30" s="131">
        <v>6190</v>
      </c>
      <c r="N30" s="131">
        <v>32530</v>
      </c>
      <c r="O30" s="131">
        <v>9235</v>
      </c>
      <c r="P30" s="131">
        <v>32700</v>
      </c>
      <c r="Q30" s="131">
        <v>9180</v>
      </c>
      <c r="R30" s="131">
        <v>32630</v>
      </c>
      <c r="S30" s="131">
        <v>12285</v>
      </c>
      <c r="T30" s="131">
        <v>32850</v>
      </c>
      <c r="U30" s="131">
        <v>12180</v>
      </c>
      <c r="V30" s="131">
        <v>32730</v>
      </c>
      <c r="W30" s="131">
        <v>15300</v>
      </c>
      <c r="X30" s="131">
        <v>33000</v>
      </c>
      <c r="Y30" s="131">
        <v>15150</v>
      </c>
      <c r="Z30" s="131">
        <v>32830</v>
      </c>
      <c r="AA30" s="213">
        <f t="shared" si="2"/>
        <v>0.11562091503267974</v>
      </c>
      <c r="AB30" s="213">
        <f t="shared" si="3"/>
        <v>0.46363636363636362</v>
      </c>
    </row>
    <row r="31" spans="1:28" ht="21">
      <c r="Z31" s="133" t="s">
        <v>138</v>
      </c>
      <c r="AA31" s="213">
        <f>AVERAGE(AA23:AA30)</f>
        <v>3.3974140380789997E-2</v>
      </c>
      <c r="AB31" s="213">
        <f>AVERAGE(AB23:AB30)</f>
        <v>0.82337662337662343</v>
      </c>
    </row>
    <row r="32" spans="1:28">
      <c r="A32" s="9"/>
      <c r="B32" s="9" t="s">
        <v>40</v>
      </c>
    </row>
    <row r="34" spans="1:18">
      <c r="A34" s="10" t="s">
        <v>41</v>
      </c>
      <c r="B34" s="509" t="s">
        <v>42</v>
      </c>
      <c r="C34" s="509"/>
      <c r="D34" s="509"/>
      <c r="E34" s="509"/>
      <c r="F34" s="509"/>
      <c r="G34" s="509"/>
      <c r="H34" s="509"/>
      <c r="I34" s="509"/>
      <c r="J34" s="509"/>
      <c r="K34" s="509"/>
      <c r="L34" s="509"/>
      <c r="M34" s="509"/>
      <c r="N34" s="509"/>
      <c r="O34" s="509"/>
      <c r="P34" s="509"/>
      <c r="Q34" s="509"/>
      <c r="R34" s="509"/>
    </row>
    <row r="35" spans="1:18">
      <c r="A35" s="10" t="s">
        <v>43</v>
      </c>
      <c r="B35" s="509" t="s">
        <v>44</v>
      </c>
      <c r="C35" s="509"/>
      <c r="D35" s="509"/>
      <c r="E35" s="509"/>
      <c r="F35" s="509"/>
      <c r="G35" s="509"/>
      <c r="H35" s="509"/>
      <c r="I35" s="509"/>
      <c r="J35" s="509"/>
      <c r="K35" s="509"/>
      <c r="L35" s="509"/>
      <c r="M35" s="509"/>
      <c r="N35" s="509"/>
      <c r="O35" s="509"/>
      <c r="P35" s="509"/>
      <c r="Q35" s="509"/>
      <c r="R35" s="509"/>
    </row>
    <row r="36" spans="1:18">
      <c r="B36" s="509" t="s">
        <v>164</v>
      </c>
      <c r="C36" s="509"/>
      <c r="D36" s="509"/>
      <c r="E36" s="509"/>
      <c r="F36" s="509"/>
      <c r="G36" s="509"/>
      <c r="H36" s="509"/>
      <c r="I36" s="509"/>
      <c r="J36" s="509"/>
      <c r="K36" s="509"/>
      <c r="L36" s="509"/>
      <c r="M36" s="509"/>
      <c r="N36" s="509"/>
      <c r="O36" s="509"/>
      <c r="P36" s="509"/>
      <c r="Q36" s="509"/>
      <c r="R36" s="509"/>
    </row>
    <row r="37" spans="1:18">
      <c r="B37" s="509" t="s">
        <v>165</v>
      </c>
      <c r="C37" s="509"/>
      <c r="D37" s="509"/>
      <c r="E37" s="509"/>
      <c r="F37" s="509"/>
      <c r="G37" s="509"/>
      <c r="H37" s="509"/>
      <c r="I37" s="509"/>
      <c r="J37" s="509"/>
      <c r="K37" s="509"/>
      <c r="L37" s="509"/>
      <c r="M37" s="509"/>
      <c r="N37" s="509"/>
      <c r="O37" s="509"/>
      <c r="P37" s="509"/>
      <c r="Q37" s="509"/>
      <c r="R37" s="509"/>
    </row>
    <row r="38" spans="1:18">
      <c r="B38" s="509" t="s">
        <v>166</v>
      </c>
      <c r="C38" s="509"/>
      <c r="D38" s="509"/>
      <c r="E38" s="509"/>
      <c r="F38" s="509"/>
      <c r="G38" s="509"/>
      <c r="H38" s="509"/>
      <c r="I38" s="509"/>
      <c r="J38" s="509"/>
      <c r="K38" s="509"/>
      <c r="L38" s="509"/>
      <c r="M38" s="509"/>
      <c r="N38" s="509"/>
      <c r="O38" s="509"/>
      <c r="P38" s="509"/>
      <c r="Q38" s="509"/>
      <c r="R38" s="509"/>
    </row>
    <row r="39" spans="1:18">
      <c r="B39" s="509" t="s">
        <v>167</v>
      </c>
      <c r="C39" s="509"/>
      <c r="D39" s="509"/>
      <c r="E39" s="509"/>
      <c r="F39" s="509"/>
      <c r="G39" s="509"/>
      <c r="H39" s="509"/>
      <c r="I39" s="509"/>
      <c r="J39" s="509"/>
      <c r="K39" s="509"/>
      <c r="L39" s="509"/>
      <c r="M39" s="509"/>
      <c r="N39" s="509"/>
      <c r="O39" s="509"/>
      <c r="P39" s="509"/>
      <c r="Q39" s="509"/>
      <c r="R39" s="509"/>
    </row>
    <row r="40" spans="1:18">
      <c r="B40" s="509" t="s">
        <v>168</v>
      </c>
      <c r="C40" s="509"/>
      <c r="D40" s="509"/>
      <c r="E40" s="509"/>
      <c r="F40" s="509"/>
      <c r="G40" s="509"/>
      <c r="H40" s="509"/>
      <c r="I40" s="509"/>
      <c r="J40" s="509"/>
      <c r="K40" s="509"/>
      <c r="L40" s="509"/>
      <c r="M40" s="509"/>
      <c r="N40" s="509"/>
      <c r="O40" s="509"/>
      <c r="P40" s="509"/>
      <c r="Q40" s="509"/>
      <c r="R40" s="509"/>
    </row>
    <row r="41" spans="1:18">
      <c r="B41" s="509" t="s">
        <v>169</v>
      </c>
      <c r="C41" s="509"/>
      <c r="D41" s="509"/>
      <c r="E41" s="509"/>
      <c r="F41" s="509"/>
      <c r="G41" s="509"/>
      <c r="H41" s="509"/>
      <c r="I41" s="509"/>
      <c r="J41" s="509"/>
      <c r="K41" s="509"/>
      <c r="L41" s="509"/>
      <c r="M41" s="509"/>
      <c r="N41" s="509"/>
      <c r="O41" s="509"/>
      <c r="P41" s="509"/>
      <c r="Q41" s="509"/>
      <c r="R41" s="509"/>
    </row>
    <row r="42" spans="1:18">
      <c r="B42" s="11"/>
    </row>
    <row r="43" spans="1:18">
      <c r="B43" s="11"/>
    </row>
    <row r="45" spans="1:18">
      <c r="B45" s="11"/>
    </row>
  </sheetData>
  <mergeCells count="34">
    <mergeCell ref="B40:R40"/>
    <mergeCell ref="B41:R41"/>
    <mergeCell ref="B34:R34"/>
    <mergeCell ref="B35:R35"/>
    <mergeCell ref="B36:R36"/>
    <mergeCell ref="B37:R37"/>
    <mergeCell ref="B38:R38"/>
    <mergeCell ref="B39:R39"/>
    <mergeCell ref="AB19:AB21"/>
    <mergeCell ref="G20:J20"/>
    <mergeCell ref="K20:N20"/>
    <mergeCell ref="O20:R20"/>
    <mergeCell ref="S20:V20"/>
    <mergeCell ref="W20:Z20"/>
    <mergeCell ref="AA19:AA21"/>
    <mergeCell ref="A18:Z18"/>
    <mergeCell ref="A19:A21"/>
    <mergeCell ref="B19:B21"/>
    <mergeCell ref="C19:F20"/>
    <mergeCell ref="G19:Z19"/>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dimension ref="A1:AC45"/>
  <sheetViews>
    <sheetView topLeftCell="P1" workbookViewId="0">
      <selection activeCell="B25" sqref="B24:R25"/>
    </sheetView>
  </sheetViews>
  <sheetFormatPr defaultColWidth="8.85546875" defaultRowHeight="15"/>
  <cols>
    <col min="1" max="1" width="5" customWidth="1"/>
    <col min="2" max="2" width="30.7109375" customWidth="1"/>
    <col min="3" max="6" width="7.7109375" customWidth="1"/>
    <col min="7" max="8" width="9.85546875" customWidth="1"/>
    <col min="9" max="11" width="7" customWidth="1"/>
    <col min="12" max="12" width="8.7109375" customWidth="1"/>
    <col min="13" max="15" width="7" customWidth="1"/>
    <col min="16" max="16" width="10.140625" customWidth="1"/>
    <col min="17" max="19" width="7" customWidth="1"/>
    <col min="20" max="20" width="8.42578125" customWidth="1"/>
    <col min="21" max="22" width="7" customWidth="1"/>
    <col min="23" max="23" width="8.28515625" customWidth="1"/>
    <col min="24" max="24" width="8.42578125" customWidth="1"/>
    <col min="25" max="26" width="7" customWidth="1"/>
    <col min="29" max="29" width="71.85546875" customWidth="1"/>
  </cols>
  <sheetData>
    <row r="1" spans="1:29" s="1" customFormat="1" ht="60.75" customHeight="1">
      <c r="A1" s="529" t="s">
        <v>0</v>
      </c>
      <c r="B1" s="529"/>
      <c r="C1" s="529"/>
      <c r="D1" s="529"/>
      <c r="E1" s="529"/>
      <c r="F1" s="579" t="s">
        <v>326</v>
      </c>
      <c r="G1" s="579"/>
      <c r="H1" s="579"/>
      <c r="I1" s="579"/>
      <c r="J1" s="579"/>
      <c r="K1" s="579"/>
      <c r="L1" s="579"/>
      <c r="M1" s="579"/>
      <c r="N1" s="579"/>
      <c r="O1" s="579"/>
      <c r="P1" s="579"/>
      <c r="Q1" s="579"/>
      <c r="R1" s="579"/>
      <c r="AA1" s="134"/>
      <c r="AB1" s="134"/>
    </row>
    <row r="2" spans="1:29"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135"/>
      <c r="AB2" s="135"/>
    </row>
    <row r="3" spans="1:29" ht="44.25" customHeight="1">
      <c r="A3" s="515" t="s">
        <v>3</v>
      </c>
      <c r="B3" s="518" t="s">
        <v>52</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604"/>
      <c r="AA3" s="510" t="s">
        <v>7</v>
      </c>
      <c r="AB3" s="510" t="s">
        <v>8</v>
      </c>
    </row>
    <row r="4" spans="1:29"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604"/>
      <c r="AA4" s="633"/>
      <c r="AB4" s="633"/>
    </row>
    <row r="5" spans="1:29" ht="133.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84" t="s">
        <v>19</v>
      </c>
      <c r="AA5" s="634"/>
      <c r="AB5" s="634"/>
    </row>
    <row r="6" spans="1:29" ht="29.25" customHeight="1">
      <c r="A6" s="6" t="s">
        <v>20</v>
      </c>
      <c r="B6" s="316" t="s">
        <v>327</v>
      </c>
      <c r="C6" s="6">
        <v>0</v>
      </c>
      <c r="D6" s="6">
        <v>0</v>
      </c>
      <c r="E6" s="6">
        <v>0</v>
      </c>
      <c r="F6" s="6">
        <v>0</v>
      </c>
      <c r="G6" s="6">
        <v>11000</v>
      </c>
      <c r="H6" s="6">
        <v>11000</v>
      </c>
      <c r="I6" s="6">
        <v>11000</v>
      </c>
      <c r="J6" s="6">
        <v>11000</v>
      </c>
      <c r="K6" s="6">
        <v>12100</v>
      </c>
      <c r="L6" s="6">
        <v>12100</v>
      </c>
      <c r="M6" s="6">
        <v>12100</v>
      </c>
      <c r="N6" s="6">
        <v>12100</v>
      </c>
      <c r="O6" s="6">
        <v>13310</v>
      </c>
      <c r="P6" s="6">
        <v>13310</v>
      </c>
      <c r="Q6" s="6">
        <v>13310</v>
      </c>
      <c r="R6" s="6">
        <v>13310</v>
      </c>
      <c r="S6" s="6">
        <v>14641</v>
      </c>
      <c r="T6" s="6">
        <v>14641</v>
      </c>
      <c r="U6" s="6">
        <v>14641</v>
      </c>
      <c r="V6" s="6">
        <v>14641</v>
      </c>
      <c r="W6" s="6">
        <v>16105.1</v>
      </c>
      <c r="X6" s="6">
        <v>16105.1</v>
      </c>
      <c r="Y6" s="6">
        <v>16105.1</v>
      </c>
      <c r="Z6" s="40">
        <v>16105.1</v>
      </c>
      <c r="AA6" s="213">
        <f>C6/W6</f>
        <v>0</v>
      </c>
      <c r="AB6" s="213">
        <f>W6/X6</f>
        <v>1</v>
      </c>
    </row>
    <row r="7" spans="1:29" ht="49.5" customHeight="1">
      <c r="A7" s="6" t="s">
        <v>22</v>
      </c>
      <c r="B7" s="212" t="s">
        <v>328</v>
      </c>
      <c r="C7" s="6">
        <v>0</v>
      </c>
      <c r="D7" s="6">
        <v>3735</v>
      </c>
      <c r="E7" s="6">
        <v>0</v>
      </c>
      <c r="F7" s="6">
        <v>3735</v>
      </c>
      <c r="G7" s="6">
        <v>3300</v>
      </c>
      <c r="H7" s="6">
        <v>7775</v>
      </c>
      <c r="I7" s="6">
        <v>3300</v>
      </c>
      <c r="J7" s="6">
        <v>7775</v>
      </c>
      <c r="K7" s="6">
        <v>3630</v>
      </c>
      <c r="L7" s="6">
        <v>8552</v>
      </c>
      <c r="M7" s="6">
        <v>3630</v>
      </c>
      <c r="N7" s="6">
        <v>8552</v>
      </c>
      <c r="O7" s="6">
        <v>3993</v>
      </c>
      <c r="P7" s="6">
        <v>9407</v>
      </c>
      <c r="Q7" s="6">
        <v>3993</v>
      </c>
      <c r="R7" s="6">
        <v>9407</v>
      </c>
      <c r="S7" s="6">
        <v>4392</v>
      </c>
      <c r="T7" s="6">
        <v>10348</v>
      </c>
      <c r="U7" s="6">
        <v>4392</v>
      </c>
      <c r="V7" s="6">
        <v>10348</v>
      </c>
      <c r="W7" s="6">
        <v>4831</v>
      </c>
      <c r="X7" s="6">
        <v>11303</v>
      </c>
      <c r="Y7" s="6">
        <v>4831</v>
      </c>
      <c r="Z7" s="40">
        <v>11303</v>
      </c>
      <c r="AA7" s="213">
        <f t="shared" ref="AA7:AA23" si="0">C7/W7</f>
        <v>0</v>
      </c>
      <c r="AB7" s="213">
        <f t="shared" ref="AB7:AB23" si="1">W7/X7</f>
        <v>0.42740865257011412</v>
      </c>
      <c r="AC7" s="136"/>
    </row>
    <row r="8" spans="1:29" ht="46.5" customHeight="1">
      <c r="A8" s="6" t="s">
        <v>61</v>
      </c>
      <c r="B8" s="212" t="s">
        <v>329</v>
      </c>
      <c r="C8" s="6">
        <v>0</v>
      </c>
      <c r="D8" s="6">
        <v>0</v>
      </c>
      <c r="E8" s="6">
        <v>0</v>
      </c>
      <c r="F8" s="6">
        <v>0</v>
      </c>
      <c r="G8" s="131">
        <v>12620</v>
      </c>
      <c r="H8" s="131">
        <v>12620</v>
      </c>
      <c r="I8" s="131">
        <v>12620</v>
      </c>
      <c r="J8" s="131">
        <v>12620</v>
      </c>
      <c r="K8" s="131">
        <f t="shared" ref="K8:Z8" si="2">G$8+G$8*0.1</f>
        <v>13882</v>
      </c>
      <c r="L8" s="131">
        <f t="shared" si="2"/>
        <v>13882</v>
      </c>
      <c r="M8" s="131">
        <f t="shared" si="2"/>
        <v>13882</v>
      </c>
      <c r="N8" s="131">
        <f t="shared" si="2"/>
        <v>13882</v>
      </c>
      <c r="O8" s="131">
        <f t="shared" si="2"/>
        <v>15270.2</v>
      </c>
      <c r="P8" s="131">
        <f t="shared" si="2"/>
        <v>15270.2</v>
      </c>
      <c r="Q8" s="131">
        <f t="shared" si="2"/>
        <v>15270.2</v>
      </c>
      <c r="R8" s="131">
        <f t="shared" si="2"/>
        <v>15270.2</v>
      </c>
      <c r="S8" s="131">
        <f t="shared" si="2"/>
        <v>16797.22</v>
      </c>
      <c r="T8" s="131">
        <f t="shared" si="2"/>
        <v>16797.22</v>
      </c>
      <c r="U8" s="131">
        <f t="shared" si="2"/>
        <v>16797.22</v>
      </c>
      <c r="V8" s="131">
        <f t="shared" si="2"/>
        <v>16797.22</v>
      </c>
      <c r="W8" s="131">
        <f t="shared" si="2"/>
        <v>18476.942000000003</v>
      </c>
      <c r="X8" s="131">
        <f t="shared" si="2"/>
        <v>18476.942000000003</v>
      </c>
      <c r="Y8" s="131">
        <f t="shared" si="2"/>
        <v>18476.942000000003</v>
      </c>
      <c r="Z8" s="317">
        <f t="shared" si="2"/>
        <v>18476.942000000003</v>
      </c>
      <c r="AA8" s="213">
        <f t="shared" si="0"/>
        <v>0</v>
      </c>
      <c r="AB8" s="213">
        <f t="shared" si="1"/>
        <v>1</v>
      </c>
    </row>
    <row r="9" spans="1:29" ht="39" customHeight="1">
      <c r="A9" s="6" t="s">
        <v>63</v>
      </c>
      <c r="B9" s="6" t="s">
        <v>330</v>
      </c>
      <c r="C9" s="6">
        <v>0</v>
      </c>
      <c r="D9" s="6">
        <v>0</v>
      </c>
      <c r="E9" s="6">
        <v>0</v>
      </c>
      <c r="F9" s="6">
        <v>0</v>
      </c>
      <c r="G9" s="131">
        <v>22547</v>
      </c>
      <c r="H9" s="131">
        <v>22547</v>
      </c>
      <c r="I9" s="131">
        <v>22547</v>
      </c>
      <c r="J9" s="131">
        <v>22547</v>
      </c>
      <c r="K9" s="131">
        <f t="shared" ref="K9:Z24" si="3">G9+G9*0.1</f>
        <v>24801.7</v>
      </c>
      <c r="L9" s="131">
        <f t="shared" si="3"/>
        <v>24801.7</v>
      </c>
      <c r="M9" s="131">
        <f t="shared" si="3"/>
        <v>24801.7</v>
      </c>
      <c r="N9" s="131">
        <f t="shared" si="3"/>
        <v>24801.7</v>
      </c>
      <c r="O9" s="131">
        <f t="shared" si="3"/>
        <v>27281.870000000003</v>
      </c>
      <c r="P9" s="131">
        <f t="shared" si="3"/>
        <v>27281.870000000003</v>
      </c>
      <c r="Q9" s="131">
        <f t="shared" si="3"/>
        <v>27281.870000000003</v>
      </c>
      <c r="R9" s="131">
        <f t="shared" si="3"/>
        <v>27281.870000000003</v>
      </c>
      <c r="S9" s="131">
        <f t="shared" si="3"/>
        <v>30010.057000000004</v>
      </c>
      <c r="T9" s="131">
        <f t="shared" si="3"/>
        <v>30010.057000000004</v>
      </c>
      <c r="U9" s="131">
        <f t="shared" si="3"/>
        <v>30010.057000000004</v>
      </c>
      <c r="V9" s="131">
        <f t="shared" si="3"/>
        <v>30010.057000000004</v>
      </c>
      <c r="W9" s="131">
        <f t="shared" si="3"/>
        <v>33011.062700000002</v>
      </c>
      <c r="X9" s="131">
        <f t="shared" si="3"/>
        <v>33011.062700000002</v>
      </c>
      <c r="Y9" s="131">
        <f t="shared" si="3"/>
        <v>33011.062700000002</v>
      </c>
      <c r="Z9" s="317">
        <f t="shared" si="3"/>
        <v>33011.062700000002</v>
      </c>
      <c r="AA9" s="213">
        <f t="shared" si="0"/>
        <v>0</v>
      </c>
      <c r="AB9" s="213">
        <f t="shared" si="1"/>
        <v>1</v>
      </c>
    </row>
    <row r="10" spans="1:29" ht="56.25" customHeight="1">
      <c r="A10" s="6" t="s">
        <v>136</v>
      </c>
      <c r="B10" s="6" t="s">
        <v>331</v>
      </c>
      <c r="C10" s="6">
        <v>0</v>
      </c>
      <c r="D10" s="6">
        <v>0</v>
      </c>
      <c r="E10" s="6">
        <v>0</v>
      </c>
      <c r="F10" s="6">
        <v>0</v>
      </c>
      <c r="G10" s="131">
        <v>1474</v>
      </c>
      <c r="H10" s="131">
        <v>1474</v>
      </c>
      <c r="I10" s="131">
        <v>1474</v>
      </c>
      <c r="J10" s="131">
        <v>1474</v>
      </c>
      <c r="K10" s="131">
        <f t="shared" si="3"/>
        <v>1621.4</v>
      </c>
      <c r="L10" s="131">
        <f t="shared" si="3"/>
        <v>1621.4</v>
      </c>
      <c r="M10" s="131">
        <f t="shared" si="3"/>
        <v>1621.4</v>
      </c>
      <c r="N10" s="131">
        <f t="shared" si="3"/>
        <v>1621.4</v>
      </c>
      <c r="O10" s="131">
        <f t="shared" si="3"/>
        <v>1783.5400000000002</v>
      </c>
      <c r="P10" s="131">
        <f t="shared" si="3"/>
        <v>1783.5400000000002</v>
      </c>
      <c r="Q10" s="131">
        <f t="shared" si="3"/>
        <v>1783.5400000000002</v>
      </c>
      <c r="R10" s="131">
        <f t="shared" si="3"/>
        <v>1783.5400000000002</v>
      </c>
      <c r="S10" s="131">
        <f t="shared" si="3"/>
        <v>1961.8940000000002</v>
      </c>
      <c r="T10" s="131">
        <f t="shared" si="3"/>
        <v>1961.8940000000002</v>
      </c>
      <c r="U10" s="131">
        <f t="shared" si="3"/>
        <v>1961.8940000000002</v>
      </c>
      <c r="V10" s="131">
        <f t="shared" si="3"/>
        <v>1961.8940000000002</v>
      </c>
      <c r="W10" s="131">
        <f t="shared" si="3"/>
        <v>2158.0834000000004</v>
      </c>
      <c r="X10" s="131">
        <f t="shared" si="3"/>
        <v>2158.0834000000004</v>
      </c>
      <c r="Y10" s="131">
        <f t="shared" si="3"/>
        <v>2158.0834000000004</v>
      </c>
      <c r="Z10" s="317">
        <f t="shared" si="3"/>
        <v>2158.0834000000004</v>
      </c>
      <c r="AA10" s="213">
        <f t="shared" si="0"/>
        <v>0</v>
      </c>
      <c r="AB10" s="213">
        <f t="shared" si="1"/>
        <v>1</v>
      </c>
    </row>
    <row r="11" spans="1:29" ht="57" customHeight="1">
      <c r="A11" s="6" t="s">
        <v>155</v>
      </c>
      <c r="B11" s="6" t="s">
        <v>332</v>
      </c>
      <c r="C11" s="6">
        <v>0</v>
      </c>
      <c r="D11" s="6">
        <v>0</v>
      </c>
      <c r="E11" s="6">
        <v>0</v>
      </c>
      <c r="F11" s="6">
        <v>0</v>
      </c>
      <c r="G11" s="131">
        <v>5362</v>
      </c>
      <c r="H11" s="131">
        <v>5362</v>
      </c>
      <c r="I11" s="131">
        <v>5362</v>
      </c>
      <c r="J11" s="131">
        <v>5362</v>
      </c>
      <c r="K11" s="131">
        <f t="shared" si="3"/>
        <v>5898.2</v>
      </c>
      <c r="L11" s="131">
        <f t="shared" si="3"/>
        <v>5898.2</v>
      </c>
      <c r="M11" s="131">
        <f t="shared" si="3"/>
        <v>5898.2</v>
      </c>
      <c r="N11" s="131">
        <f t="shared" si="3"/>
        <v>5898.2</v>
      </c>
      <c r="O11" s="131">
        <f t="shared" si="3"/>
        <v>6488.0199999999995</v>
      </c>
      <c r="P11" s="131">
        <f t="shared" si="3"/>
        <v>6488.0199999999995</v>
      </c>
      <c r="Q11" s="131">
        <f t="shared" si="3"/>
        <v>6488.0199999999995</v>
      </c>
      <c r="R11" s="131">
        <f t="shared" si="3"/>
        <v>6488.0199999999995</v>
      </c>
      <c r="S11" s="131">
        <f t="shared" si="3"/>
        <v>7136.8219999999992</v>
      </c>
      <c r="T11" s="131">
        <f t="shared" si="3"/>
        <v>7136.8219999999992</v>
      </c>
      <c r="U11" s="131">
        <f t="shared" si="3"/>
        <v>7136.8219999999992</v>
      </c>
      <c r="V11" s="131">
        <f t="shared" si="3"/>
        <v>7136.8219999999992</v>
      </c>
      <c r="W11" s="131">
        <f t="shared" si="3"/>
        <v>7850.5041999999994</v>
      </c>
      <c r="X11" s="131">
        <f t="shared" si="3"/>
        <v>7850.5041999999994</v>
      </c>
      <c r="Y11" s="131">
        <f t="shared" si="3"/>
        <v>7850.5041999999994</v>
      </c>
      <c r="Z11" s="317">
        <f t="shared" si="3"/>
        <v>7850.5041999999994</v>
      </c>
      <c r="AA11" s="213">
        <f t="shared" si="0"/>
        <v>0</v>
      </c>
      <c r="AB11" s="213">
        <f t="shared" si="1"/>
        <v>1</v>
      </c>
    </row>
    <row r="12" spans="1:29" ht="30.75" customHeight="1">
      <c r="A12" s="6" t="s">
        <v>159</v>
      </c>
      <c r="B12" s="6" t="s">
        <v>333</v>
      </c>
      <c r="C12" s="6">
        <v>0</v>
      </c>
      <c r="D12" s="6">
        <v>0</v>
      </c>
      <c r="E12" s="6">
        <v>0</v>
      </c>
      <c r="F12" s="6">
        <v>0</v>
      </c>
      <c r="G12" s="131">
        <v>10951</v>
      </c>
      <c r="H12" s="131">
        <v>10951</v>
      </c>
      <c r="I12" s="131">
        <v>10951</v>
      </c>
      <c r="J12" s="131">
        <v>10951</v>
      </c>
      <c r="K12" s="131">
        <f t="shared" si="3"/>
        <v>12046.1</v>
      </c>
      <c r="L12" s="131">
        <f t="shared" si="3"/>
        <v>12046.1</v>
      </c>
      <c r="M12" s="131">
        <f t="shared" si="3"/>
        <v>12046.1</v>
      </c>
      <c r="N12" s="131">
        <f t="shared" si="3"/>
        <v>12046.1</v>
      </c>
      <c r="O12" s="131">
        <f t="shared" si="3"/>
        <v>13250.710000000001</v>
      </c>
      <c r="P12" s="131">
        <f t="shared" si="3"/>
        <v>13250.710000000001</v>
      </c>
      <c r="Q12" s="131">
        <f t="shared" si="3"/>
        <v>13250.710000000001</v>
      </c>
      <c r="R12" s="131">
        <f t="shared" si="3"/>
        <v>13250.710000000001</v>
      </c>
      <c r="S12" s="131">
        <f t="shared" si="3"/>
        <v>14575.781000000001</v>
      </c>
      <c r="T12" s="131">
        <f t="shared" si="3"/>
        <v>14575.781000000001</v>
      </c>
      <c r="U12" s="131">
        <f t="shared" si="3"/>
        <v>14575.781000000001</v>
      </c>
      <c r="V12" s="131">
        <f t="shared" si="3"/>
        <v>14575.781000000001</v>
      </c>
      <c r="W12" s="131">
        <f t="shared" si="3"/>
        <v>16033.359100000001</v>
      </c>
      <c r="X12" s="131">
        <f t="shared" si="3"/>
        <v>16033.359100000001</v>
      </c>
      <c r="Y12" s="131">
        <f t="shared" si="3"/>
        <v>16033.359100000001</v>
      </c>
      <c r="Z12" s="317">
        <f t="shared" si="3"/>
        <v>16033.359100000001</v>
      </c>
      <c r="AA12" s="213">
        <f t="shared" si="0"/>
        <v>0</v>
      </c>
      <c r="AB12" s="213">
        <f t="shared" si="1"/>
        <v>1</v>
      </c>
    </row>
    <row r="13" spans="1:29" ht="30" customHeight="1">
      <c r="A13" s="6" t="s">
        <v>244</v>
      </c>
      <c r="B13" s="6" t="s">
        <v>334</v>
      </c>
      <c r="C13" s="6">
        <v>0</v>
      </c>
      <c r="D13" s="6">
        <v>0</v>
      </c>
      <c r="E13" s="6">
        <v>0</v>
      </c>
      <c r="F13" s="6">
        <v>0</v>
      </c>
      <c r="G13" s="131">
        <v>6996</v>
      </c>
      <c r="H13" s="131">
        <v>6996</v>
      </c>
      <c r="I13" s="131">
        <v>6996</v>
      </c>
      <c r="J13" s="131">
        <v>6996</v>
      </c>
      <c r="K13" s="131">
        <f t="shared" si="3"/>
        <v>7695.6</v>
      </c>
      <c r="L13" s="131">
        <f t="shared" si="3"/>
        <v>7695.6</v>
      </c>
      <c r="M13" s="131">
        <f t="shared" si="3"/>
        <v>7695.6</v>
      </c>
      <c r="N13" s="131">
        <f t="shared" si="3"/>
        <v>7695.6</v>
      </c>
      <c r="O13" s="131">
        <f t="shared" si="3"/>
        <v>8465.16</v>
      </c>
      <c r="P13" s="131">
        <f t="shared" si="3"/>
        <v>8465.16</v>
      </c>
      <c r="Q13" s="131">
        <f t="shared" si="3"/>
        <v>8465.16</v>
      </c>
      <c r="R13" s="131">
        <f t="shared" si="3"/>
        <v>8465.16</v>
      </c>
      <c r="S13" s="131">
        <f t="shared" si="3"/>
        <v>9311.6759999999995</v>
      </c>
      <c r="T13" s="131">
        <f t="shared" si="3"/>
        <v>9311.6759999999995</v>
      </c>
      <c r="U13" s="131">
        <f t="shared" si="3"/>
        <v>9311.6759999999995</v>
      </c>
      <c r="V13" s="131">
        <f t="shared" si="3"/>
        <v>9311.6759999999995</v>
      </c>
      <c r="W13" s="131">
        <f t="shared" si="3"/>
        <v>10242.8436</v>
      </c>
      <c r="X13" s="131">
        <f t="shared" si="3"/>
        <v>10242.8436</v>
      </c>
      <c r="Y13" s="131">
        <f t="shared" si="3"/>
        <v>10242.8436</v>
      </c>
      <c r="Z13" s="317">
        <f t="shared" si="3"/>
        <v>10242.8436</v>
      </c>
      <c r="AA13" s="213">
        <f t="shared" si="0"/>
        <v>0</v>
      </c>
      <c r="AB13" s="213">
        <f t="shared" si="1"/>
        <v>1</v>
      </c>
    </row>
    <row r="14" spans="1:29" ht="53.25" customHeight="1">
      <c r="A14" s="6" t="s">
        <v>219</v>
      </c>
      <c r="B14" s="6" t="s">
        <v>335</v>
      </c>
      <c r="C14" s="6">
        <v>0</v>
      </c>
      <c r="D14" s="6">
        <v>0</v>
      </c>
      <c r="E14" s="6">
        <v>0</v>
      </c>
      <c r="F14" s="6">
        <v>0</v>
      </c>
      <c r="G14" s="131">
        <v>1493</v>
      </c>
      <c r="H14" s="131">
        <v>1493</v>
      </c>
      <c r="I14" s="131">
        <v>1493</v>
      </c>
      <c r="J14" s="131">
        <v>1493</v>
      </c>
      <c r="K14" s="131">
        <f t="shared" si="3"/>
        <v>1642.3</v>
      </c>
      <c r="L14" s="131">
        <f t="shared" si="3"/>
        <v>1642.3</v>
      </c>
      <c r="M14" s="131">
        <f t="shared" si="3"/>
        <v>1642.3</v>
      </c>
      <c r="N14" s="131">
        <f t="shared" si="3"/>
        <v>1642.3</v>
      </c>
      <c r="O14" s="131">
        <f t="shared" si="3"/>
        <v>1806.53</v>
      </c>
      <c r="P14" s="131">
        <f t="shared" si="3"/>
        <v>1806.53</v>
      </c>
      <c r="Q14" s="131">
        <f t="shared" si="3"/>
        <v>1806.53</v>
      </c>
      <c r="R14" s="131">
        <f t="shared" si="3"/>
        <v>1806.53</v>
      </c>
      <c r="S14" s="131">
        <f t="shared" si="3"/>
        <v>1987.183</v>
      </c>
      <c r="T14" s="131">
        <f t="shared" si="3"/>
        <v>1987.183</v>
      </c>
      <c r="U14" s="131">
        <f t="shared" si="3"/>
        <v>1987.183</v>
      </c>
      <c r="V14" s="131">
        <f t="shared" si="3"/>
        <v>1987.183</v>
      </c>
      <c r="W14" s="131">
        <f t="shared" si="3"/>
        <v>2185.9013</v>
      </c>
      <c r="X14" s="131">
        <f t="shared" si="3"/>
        <v>2185.9013</v>
      </c>
      <c r="Y14" s="131">
        <f t="shared" si="3"/>
        <v>2185.9013</v>
      </c>
      <c r="Z14" s="317">
        <f t="shared" si="3"/>
        <v>2185.9013</v>
      </c>
      <c r="AA14" s="213">
        <f t="shared" si="0"/>
        <v>0</v>
      </c>
      <c r="AB14" s="213">
        <f t="shared" si="1"/>
        <v>1</v>
      </c>
    </row>
    <row r="15" spans="1:29" ht="44.25" customHeight="1">
      <c r="A15" s="6" t="s">
        <v>247</v>
      </c>
      <c r="B15" s="6" t="s">
        <v>336</v>
      </c>
      <c r="C15" s="6">
        <v>0</v>
      </c>
      <c r="D15" s="6">
        <v>0</v>
      </c>
      <c r="E15" s="6">
        <v>0</v>
      </c>
      <c r="F15" s="6">
        <v>0</v>
      </c>
      <c r="G15" s="131">
        <v>1104</v>
      </c>
      <c r="H15" s="131">
        <v>1104</v>
      </c>
      <c r="I15" s="131">
        <v>1104</v>
      </c>
      <c r="J15" s="131">
        <v>1104</v>
      </c>
      <c r="K15" s="131">
        <f t="shared" si="3"/>
        <v>1214.4000000000001</v>
      </c>
      <c r="L15" s="131">
        <f t="shared" si="3"/>
        <v>1214.4000000000001</v>
      </c>
      <c r="M15" s="131">
        <f t="shared" si="3"/>
        <v>1214.4000000000001</v>
      </c>
      <c r="N15" s="131">
        <f t="shared" si="3"/>
        <v>1214.4000000000001</v>
      </c>
      <c r="O15" s="131">
        <f t="shared" si="3"/>
        <v>1335.8400000000001</v>
      </c>
      <c r="P15" s="131">
        <f t="shared" si="3"/>
        <v>1335.8400000000001</v>
      </c>
      <c r="Q15" s="131">
        <f t="shared" si="3"/>
        <v>1335.8400000000001</v>
      </c>
      <c r="R15" s="131">
        <f t="shared" si="3"/>
        <v>1335.8400000000001</v>
      </c>
      <c r="S15" s="131">
        <f t="shared" si="3"/>
        <v>1469.4240000000002</v>
      </c>
      <c r="T15" s="131">
        <f t="shared" si="3"/>
        <v>1469.4240000000002</v>
      </c>
      <c r="U15" s="131">
        <f t="shared" si="3"/>
        <v>1469.4240000000002</v>
      </c>
      <c r="V15" s="131">
        <f t="shared" si="3"/>
        <v>1469.4240000000002</v>
      </c>
      <c r="W15" s="131">
        <f t="shared" si="3"/>
        <v>1616.3664000000003</v>
      </c>
      <c r="X15" s="131">
        <f t="shared" si="3"/>
        <v>1616.3664000000003</v>
      </c>
      <c r="Y15" s="131">
        <f t="shared" si="3"/>
        <v>1616.3664000000003</v>
      </c>
      <c r="Z15" s="317">
        <f t="shared" si="3"/>
        <v>1616.3664000000003</v>
      </c>
      <c r="AA15" s="213">
        <f t="shared" si="0"/>
        <v>0</v>
      </c>
      <c r="AB15" s="213">
        <f t="shared" si="1"/>
        <v>1</v>
      </c>
    </row>
    <row r="16" spans="1:29" ht="40.5" customHeight="1">
      <c r="A16" s="6" t="s">
        <v>249</v>
      </c>
      <c r="B16" s="6" t="s">
        <v>337</v>
      </c>
      <c r="C16" s="6">
        <v>0</v>
      </c>
      <c r="D16" s="6">
        <v>0</v>
      </c>
      <c r="E16" s="6">
        <v>0</v>
      </c>
      <c r="F16" s="6">
        <v>0</v>
      </c>
      <c r="G16" s="131">
        <v>10846</v>
      </c>
      <c r="H16" s="131">
        <v>10846</v>
      </c>
      <c r="I16" s="131">
        <v>10846</v>
      </c>
      <c r="J16" s="131">
        <v>10846</v>
      </c>
      <c r="K16" s="131">
        <f t="shared" si="3"/>
        <v>11930.6</v>
      </c>
      <c r="L16" s="131">
        <f t="shared" si="3"/>
        <v>11930.6</v>
      </c>
      <c r="M16" s="131">
        <f t="shared" si="3"/>
        <v>11930.6</v>
      </c>
      <c r="N16" s="131">
        <f t="shared" si="3"/>
        <v>11930.6</v>
      </c>
      <c r="O16" s="131">
        <f t="shared" si="3"/>
        <v>13123.66</v>
      </c>
      <c r="P16" s="131">
        <f t="shared" si="3"/>
        <v>13123.66</v>
      </c>
      <c r="Q16" s="131">
        <f t="shared" si="3"/>
        <v>13123.66</v>
      </c>
      <c r="R16" s="131">
        <f t="shared" si="3"/>
        <v>13123.66</v>
      </c>
      <c r="S16" s="131">
        <f t="shared" si="3"/>
        <v>14436.026</v>
      </c>
      <c r="T16" s="131">
        <f t="shared" si="3"/>
        <v>14436.026</v>
      </c>
      <c r="U16" s="131">
        <f t="shared" si="3"/>
        <v>14436.026</v>
      </c>
      <c r="V16" s="131">
        <f t="shared" si="3"/>
        <v>14436.026</v>
      </c>
      <c r="W16" s="131">
        <f t="shared" si="3"/>
        <v>15879.6286</v>
      </c>
      <c r="X16" s="131">
        <f t="shared" si="3"/>
        <v>15879.6286</v>
      </c>
      <c r="Y16" s="131">
        <f t="shared" si="3"/>
        <v>15879.6286</v>
      </c>
      <c r="Z16" s="317">
        <f t="shared" si="3"/>
        <v>15879.6286</v>
      </c>
      <c r="AA16" s="213">
        <f t="shared" si="0"/>
        <v>0</v>
      </c>
      <c r="AB16" s="213">
        <f t="shared" si="1"/>
        <v>1</v>
      </c>
    </row>
    <row r="17" spans="1:28" ht="30" customHeight="1">
      <c r="A17" s="6" t="s">
        <v>251</v>
      </c>
      <c r="B17" s="6" t="s">
        <v>338</v>
      </c>
      <c r="C17" s="6">
        <v>0</v>
      </c>
      <c r="D17" s="6">
        <v>0</v>
      </c>
      <c r="E17" s="6">
        <v>0</v>
      </c>
      <c r="F17" s="6">
        <v>0</v>
      </c>
      <c r="G17" s="131">
        <v>2674</v>
      </c>
      <c r="H17" s="131">
        <v>2674</v>
      </c>
      <c r="I17" s="131">
        <v>2674</v>
      </c>
      <c r="J17" s="131">
        <v>2674</v>
      </c>
      <c r="K17" s="131">
        <f t="shared" si="3"/>
        <v>2941.4</v>
      </c>
      <c r="L17" s="131">
        <f t="shared" si="3"/>
        <v>2941.4</v>
      </c>
      <c r="M17" s="131">
        <f t="shared" si="3"/>
        <v>2941.4</v>
      </c>
      <c r="N17" s="131">
        <f t="shared" si="3"/>
        <v>2941.4</v>
      </c>
      <c r="O17" s="131">
        <f t="shared" si="3"/>
        <v>3235.54</v>
      </c>
      <c r="P17" s="131">
        <f t="shared" si="3"/>
        <v>3235.54</v>
      </c>
      <c r="Q17" s="131">
        <f t="shared" si="3"/>
        <v>3235.54</v>
      </c>
      <c r="R17" s="131">
        <f t="shared" si="3"/>
        <v>3235.54</v>
      </c>
      <c r="S17" s="131">
        <f t="shared" si="3"/>
        <v>3559.0940000000001</v>
      </c>
      <c r="T17" s="131">
        <f t="shared" si="3"/>
        <v>3559.0940000000001</v>
      </c>
      <c r="U17" s="131">
        <f t="shared" si="3"/>
        <v>3559.0940000000001</v>
      </c>
      <c r="V17" s="131">
        <f t="shared" si="3"/>
        <v>3559.0940000000001</v>
      </c>
      <c r="W17" s="131">
        <f t="shared" si="3"/>
        <v>3915.0034000000001</v>
      </c>
      <c r="X17" s="131">
        <f t="shared" si="3"/>
        <v>3915.0034000000001</v>
      </c>
      <c r="Y17" s="131">
        <f t="shared" si="3"/>
        <v>3915.0034000000001</v>
      </c>
      <c r="Z17" s="317">
        <f t="shared" si="3"/>
        <v>3915.0034000000001</v>
      </c>
      <c r="AA17" s="213">
        <f t="shared" si="0"/>
        <v>0</v>
      </c>
      <c r="AB17" s="213">
        <f t="shared" si="1"/>
        <v>1</v>
      </c>
    </row>
    <row r="18" spans="1:28" ht="31.5" customHeight="1">
      <c r="A18" s="6" t="s">
        <v>253</v>
      </c>
      <c r="B18" s="6" t="s">
        <v>339</v>
      </c>
      <c r="C18" s="6">
        <v>0</v>
      </c>
      <c r="D18" s="6">
        <v>0</v>
      </c>
      <c r="E18" s="6">
        <v>0</v>
      </c>
      <c r="F18" s="6">
        <v>0</v>
      </c>
      <c r="G18" s="131">
        <v>5534</v>
      </c>
      <c r="H18" s="131">
        <v>5534</v>
      </c>
      <c r="I18" s="131">
        <v>5534</v>
      </c>
      <c r="J18" s="131">
        <v>5534</v>
      </c>
      <c r="K18" s="131">
        <f t="shared" si="3"/>
        <v>6087.4</v>
      </c>
      <c r="L18" s="131">
        <f t="shared" si="3"/>
        <v>6087.4</v>
      </c>
      <c r="M18" s="131">
        <f t="shared" si="3"/>
        <v>6087.4</v>
      </c>
      <c r="N18" s="131">
        <f t="shared" si="3"/>
        <v>6087.4</v>
      </c>
      <c r="O18" s="131">
        <f t="shared" si="3"/>
        <v>6696.1399999999994</v>
      </c>
      <c r="P18" s="131">
        <f t="shared" si="3"/>
        <v>6696.1399999999994</v>
      </c>
      <c r="Q18" s="131">
        <f t="shared" si="3"/>
        <v>6696.1399999999994</v>
      </c>
      <c r="R18" s="131">
        <f t="shared" si="3"/>
        <v>6696.1399999999994</v>
      </c>
      <c r="S18" s="131">
        <f t="shared" si="3"/>
        <v>7365.753999999999</v>
      </c>
      <c r="T18" s="131">
        <f t="shared" si="3"/>
        <v>7365.753999999999</v>
      </c>
      <c r="U18" s="131">
        <f t="shared" si="3"/>
        <v>7365.753999999999</v>
      </c>
      <c r="V18" s="131">
        <f t="shared" si="3"/>
        <v>7365.753999999999</v>
      </c>
      <c r="W18" s="131">
        <f t="shared" si="3"/>
        <v>8102.3293999999987</v>
      </c>
      <c r="X18" s="131">
        <f t="shared" si="3"/>
        <v>8102.3293999999987</v>
      </c>
      <c r="Y18" s="131">
        <f t="shared" si="3"/>
        <v>8102.3293999999987</v>
      </c>
      <c r="Z18" s="317">
        <f t="shared" si="3"/>
        <v>8102.3293999999987</v>
      </c>
      <c r="AA18" s="213">
        <f t="shared" si="0"/>
        <v>0</v>
      </c>
      <c r="AB18" s="213">
        <f t="shared" si="1"/>
        <v>1</v>
      </c>
    </row>
    <row r="19" spans="1:28" ht="30.75" customHeight="1">
      <c r="A19" s="6" t="s">
        <v>255</v>
      </c>
      <c r="B19" s="49" t="s">
        <v>340</v>
      </c>
      <c r="C19" s="6">
        <v>0</v>
      </c>
      <c r="D19" s="6">
        <v>0</v>
      </c>
      <c r="E19" s="6">
        <v>0</v>
      </c>
      <c r="F19" s="6">
        <v>0</v>
      </c>
      <c r="G19" s="131">
        <v>45</v>
      </c>
      <c r="H19" s="131">
        <v>45</v>
      </c>
      <c r="I19" s="131">
        <v>45</v>
      </c>
      <c r="J19" s="131">
        <v>45</v>
      </c>
      <c r="K19" s="131">
        <f t="shared" si="3"/>
        <v>49.5</v>
      </c>
      <c r="L19" s="131">
        <f t="shared" si="3"/>
        <v>49.5</v>
      </c>
      <c r="M19" s="131">
        <f t="shared" si="3"/>
        <v>49.5</v>
      </c>
      <c r="N19" s="131">
        <f t="shared" si="3"/>
        <v>49.5</v>
      </c>
      <c r="O19" s="131">
        <f t="shared" si="3"/>
        <v>54.45</v>
      </c>
      <c r="P19" s="131">
        <f t="shared" si="3"/>
        <v>54.45</v>
      </c>
      <c r="Q19" s="131">
        <f t="shared" si="3"/>
        <v>54.45</v>
      </c>
      <c r="R19" s="131">
        <f t="shared" si="3"/>
        <v>54.45</v>
      </c>
      <c r="S19" s="131">
        <f t="shared" si="3"/>
        <v>59.895000000000003</v>
      </c>
      <c r="T19" s="131">
        <f t="shared" si="3"/>
        <v>59.895000000000003</v>
      </c>
      <c r="U19" s="131">
        <f t="shared" si="3"/>
        <v>59.895000000000003</v>
      </c>
      <c r="V19" s="131">
        <f t="shared" si="3"/>
        <v>59.895000000000003</v>
      </c>
      <c r="W19" s="131">
        <f t="shared" si="3"/>
        <v>65.884500000000003</v>
      </c>
      <c r="X19" s="131">
        <f t="shared" si="3"/>
        <v>65.884500000000003</v>
      </c>
      <c r="Y19" s="131">
        <f t="shared" si="3"/>
        <v>65.884500000000003</v>
      </c>
      <c r="Z19" s="317">
        <f t="shared" si="3"/>
        <v>65.884500000000003</v>
      </c>
      <c r="AA19" s="213">
        <f t="shared" si="0"/>
        <v>0</v>
      </c>
      <c r="AB19" s="213">
        <f t="shared" si="1"/>
        <v>1</v>
      </c>
    </row>
    <row r="20" spans="1:28" ht="22.5" customHeight="1">
      <c r="A20" s="6" t="s">
        <v>257</v>
      </c>
      <c r="B20" s="6" t="s">
        <v>341</v>
      </c>
      <c r="C20" s="6">
        <v>0</v>
      </c>
      <c r="D20" s="6">
        <v>0</v>
      </c>
      <c r="E20" s="6">
        <v>0</v>
      </c>
      <c r="F20" s="6">
        <v>0</v>
      </c>
      <c r="G20" s="131">
        <v>182665</v>
      </c>
      <c r="H20" s="131">
        <v>182665</v>
      </c>
      <c r="I20" s="131">
        <v>182665</v>
      </c>
      <c r="J20" s="131">
        <v>182665</v>
      </c>
      <c r="K20" s="131">
        <f t="shared" si="3"/>
        <v>200931.5</v>
      </c>
      <c r="L20" s="131">
        <f t="shared" si="3"/>
        <v>200931.5</v>
      </c>
      <c r="M20" s="131">
        <f t="shared" si="3"/>
        <v>200931.5</v>
      </c>
      <c r="N20" s="131">
        <f t="shared" si="3"/>
        <v>200931.5</v>
      </c>
      <c r="O20" s="131">
        <f t="shared" si="3"/>
        <v>221024.65</v>
      </c>
      <c r="P20" s="131">
        <f t="shared" si="3"/>
        <v>221024.65</v>
      </c>
      <c r="Q20" s="131">
        <f t="shared" si="3"/>
        <v>221024.65</v>
      </c>
      <c r="R20" s="131">
        <f t="shared" si="3"/>
        <v>221024.65</v>
      </c>
      <c r="S20" s="131">
        <f t="shared" si="3"/>
        <v>243127.11499999999</v>
      </c>
      <c r="T20" s="131">
        <f t="shared" si="3"/>
        <v>243127.11499999999</v>
      </c>
      <c r="U20" s="131">
        <f t="shared" si="3"/>
        <v>243127.11499999999</v>
      </c>
      <c r="V20" s="131">
        <f t="shared" si="3"/>
        <v>243127.11499999999</v>
      </c>
      <c r="W20" s="131">
        <f t="shared" si="3"/>
        <v>267439.82649999997</v>
      </c>
      <c r="X20" s="131">
        <f t="shared" si="3"/>
        <v>267439.82649999997</v>
      </c>
      <c r="Y20" s="131">
        <f t="shared" si="3"/>
        <v>267439.82649999997</v>
      </c>
      <c r="Z20" s="317">
        <f t="shared" si="3"/>
        <v>267439.82649999997</v>
      </c>
      <c r="AA20" s="213">
        <f t="shared" si="0"/>
        <v>0</v>
      </c>
      <c r="AB20" s="213">
        <f t="shared" si="1"/>
        <v>1</v>
      </c>
    </row>
    <row r="21" spans="1:28" ht="64.5" customHeight="1">
      <c r="A21" s="6" t="s">
        <v>259</v>
      </c>
      <c r="B21" s="6" t="s">
        <v>342</v>
      </c>
      <c r="C21" s="6">
        <v>0</v>
      </c>
      <c r="D21" s="6">
        <v>0</v>
      </c>
      <c r="E21" s="6">
        <v>0</v>
      </c>
      <c r="F21" s="6">
        <v>0</v>
      </c>
      <c r="G21" s="6">
        <v>70000</v>
      </c>
      <c r="H21" s="6">
        <v>100000</v>
      </c>
      <c r="I21" s="6">
        <v>70000</v>
      </c>
      <c r="J21" s="6">
        <v>100000</v>
      </c>
      <c r="K21" s="131">
        <f t="shared" si="3"/>
        <v>77000</v>
      </c>
      <c r="L21" s="131">
        <f t="shared" si="3"/>
        <v>110000</v>
      </c>
      <c r="M21" s="131">
        <f t="shared" si="3"/>
        <v>77000</v>
      </c>
      <c r="N21" s="131">
        <f t="shared" si="3"/>
        <v>110000</v>
      </c>
      <c r="O21" s="131">
        <f t="shared" si="3"/>
        <v>84700</v>
      </c>
      <c r="P21" s="131">
        <f t="shared" si="3"/>
        <v>121000</v>
      </c>
      <c r="Q21" s="131">
        <f t="shared" si="3"/>
        <v>84700</v>
      </c>
      <c r="R21" s="131">
        <f t="shared" si="3"/>
        <v>121000</v>
      </c>
      <c r="S21" s="131">
        <f t="shared" si="3"/>
        <v>93170</v>
      </c>
      <c r="T21" s="131">
        <f t="shared" si="3"/>
        <v>133100</v>
      </c>
      <c r="U21" s="131">
        <f t="shared" si="3"/>
        <v>93170</v>
      </c>
      <c r="V21" s="131">
        <f t="shared" si="3"/>
        <v>133100</v>
      </c>
      <c r="W21" s="131">
        <f t="shared" si="3"/>
        <v>102487</v>
      </c>
      <c r="X21" s="131">
        <f t="shared" si="3"/>
        <v>146410</v>
      </c>
      <c r="Y21" s="131">
        <f t="shared" si="3"/>
        <v>102487</v>
      </c>
      <c r="Z21" s="317">
        <f t="shared" si="3"/>
        <v>146410</v>
      </c>
      <c r="AA21" s="213">
        <f t="shared" si="0"/>
        <v>0</v>
      </c>
      <c r="AB21" s="213">
        <f t="shared" si="1"/>
        <v>0.7</v>
      </c>
    </row>
    <row r="22" spans="1:28" ht="33" customHeight="1">
      <c r="A22" s="6" t="s">
        <v>261</v>
      </c>
      <c r="B22" s="6" t="s">
        <v>343</v>
      </c>
      <c r="C22" s="6">
        <v>10000</v>
      </c>
      <c r="D22" s="6">
        <v>10000</v>
      </c>
      <c r="E22" s="6">
        <v>10000</v>
      </c>
      <c r="F22" s="6">
        <v>10000</v>
      </c>
      <c r="G22" s="131">
        <f t="shared" ref="G22:R24" si="4">C22+C22*0.1</f>
        <v>11000</v>
      </c>
      <c r="H22" s="131">
        <f t="shared" si="4"/>
        <v>11000</v>
      </c>
      <c r="I22" s="131">
        <f t="shared" si="4"/>
        <v>11000</v>
      </c>
      <c r="J22" s="131">
        <f t="shared" si="4"/>
        <v>11000</v>
      </c>
      <c r="K22" s="131">
        <f t="shared" si="4"/>
        <v>12100</v>
      </c>
      <c r="L22" s="131">
        <f t="shared" si="4"/>
        <v>12100</v>
      </c>
      <c r="M22" s="131">
        <f t="shared" si="4"/>
        <v>12100</v>
      </c>
      <c r="N22" s="131">
        <f t="shared" si="4"/>
        <v>12100</v>
      </c>
      <c r="O22" s="131">
        <f t="shared" si="4"/>
        <v>13310</v>
      </c>
      <c r="P22" s="131">
        <f t="shared" si="4"/>
        <v>13310</v>
      </c>
      <c r="Q22" s="131">
        <f t="shared" si="4"/>
        <v>13310</v>
      </c>
      <c r="R22" s="131">
        <f t="shared" si="4"/>
        <v>13310</v>
      </c>
      <c r="S22" s="131">
        <f t="shared" si="3"/>
        <v>14641</v>
      </c>
      <c r="T22" s="131">
        <f t="shared" si="3"/>
        <v>14641</v>
      </c>
      <c r="U22" s="131">
        <f t="shared" si="3"/>
        <v>14641</v>
      </c>
      <c r="V22" s="131">
        <f t="shared" si="3"/>
        <v>14641</v>
      </c>
      <c r="W22" s="131">
        <f t="shared" si="3"/>
        <v>16105.1</v>
      </c>
      <c r="X22" s="131">
        <f t="shared" si="3"/>
        <v>16105.1</v>
      </c>
      <c r="Y22" s="131">
        <f t="shared" si="3"/>
        <v>16105.1</v>
      </c>
      <c r="Z22" s="317">
        <f t="shared" si="3"/>
        <v>16105.1</v>
      </c>
      <c r="AA22" s="213">
        <f t="shared" si="0"/>
        <v>0.62092132305915515</v>
      </c>
      <c r="AB22" s="213">
        <f t="shared" si="1"/>
        <v>1</v>
      </c>
    </row>
    <row r="23" spans="1:28" ht="30.75" customHeight="1">
      <c r="A23" s="6" t="s">
        <v>263</v>
      </c>
      <c r="B23" s="6" t="s">
        <v>344</v>
      </c>
      <c r="C23" s="6">
        <v>96179</v>
      </c>
      <c r="D23" s="6">
        <v>96179</v>
      </c>
      <c r="E23" s="6">
        <v>96179</v>
      </c>
      <c r="F23" s="6">
        <v>96179</v>
      </c>
      <c r="G23" s="131">
        <v>96179</v>
      </c>
      <c r="H23" s="131">
        <v>96179</v>
      </c>
      <c r="I23" s="131">
        <v>96179</v>
      </c>
      <c r="J23" s="131">
        <v>96179</v>
      </c>
      <c r="K23" s="131">
        <f>G23+G23*0.02</f>
        <v>98102.58</v>
      </c>
      <c r="L23" s="131">
        <f t="shared" si="4"/>
        <v>105796.9</v>
      </c>
      <c r="M23" s="131">
        <f t="shared" si="4"/>
        <v>105796.9</v>
      </c>
      <c r="N23" s="131">
        <f t="shared" si="4"/>
        <v>105796.9</v>
      </c>
      <c r="O23" s="131">
        <f>K23+K23*0.02</f>
        <v>100064.63160000001</v>
      </c>
      <c r="P23" s="131">
        <f t="shared" si="4"/>
        <v>116376.59</v>
      </c>
      <c r="Q23" s="131">
        <f t="shared" si="4"/>
        <v>116376.59</v>
      </c>
      <c r="R23" s="131">
        <f t="shared" si="4"/>
        <v>116376.59</v>
      </c>
      <c r="S23" s="131">
        <f>O23+O23*0.02</f>
        <v>102065.924232</v>
      </c>
      <c r="T23" s="131">
        <f t="shared" si="3"/>
        <v>128014.249</v>
      </c>
      <c r="U23" s="131">
        <f t="shared" si="3"/>
        <v>128014.249</v>
      </c>
      <c r="V23" s="131">
        <f t="shared" si="3"/>
        <v>128014.249</v>
      </c>
      <c r="W23" s="131">
        <f>S23+S23*0.02</f>
        <v>104107.24271664</v>
      </c>
      <c r="X23" s="131">
        <f t="shared" si="3"/>
        <v>140815.67389999999</v>
      </c>
      <c r="Y23" s="131">
        <f t="shared" si="3"/>
        <v>140815.67389999999</v>
      </c>
      <c r="Z23" s="317">
        <f t="shared" si="3"/>
        <v>140815.67389999999</v>
      </c>
      <c r="AA23" s="213">
        <f t="shared" si="0"/>
        <v>0.9238454260265142</v>
      </c>
      <c r="AB23" s="213">
        <f t="shared" si="1"/>
        <v>0.73931572979987714</v>
      </c>
    </row>
    <row r="24" spans="1:28" ht="57.75" customHeight="1">
      <c r="A24" s="6" t="s">
        <v>265</v>
      </c>
      <c r="B24" s="6" t="s">
        <v>345</v>
      </c>
      <c r="C24" s="6">
        <v>0</v>
      </c>
      <c r="D24" s="6">
        <v>0</v>
      </c>
      <c r="E24" s="6">
        <v>0</v>
      </c>
      <c r="F24" s="6">
        <v>0</v>
      </c>
      <c r="G24" s="131">
        <f t="shared" si="4"/>
        <v>0</v>
      </c>
      <c r="H24" s="131">
        <f t="shared" si="4"/>
        <v>0</v>
      </c>
      <c r="I24" s="131">
        <f t="shared" si="4"/>
        <v>0</v>
      </c>
      <c r="J24" s="131">
        <f t="shared" si="4"/>
        <v>0</v>
      </c>
      <c r="K24" s="131">
        <f t="shared" si="4"/>
        <v>0</v>
      </c>
      <c r="L24" s="131">
        <f t="shared" si="4"/>
        <v>0</v>
      </c>
      <c r="M24" s="131">
        <f t="shared" si="4"/>
        <v>0</v>
      </c>
      <c r="N24" s="131">
        <f t="shared" si="4"/>
        <v>0</v>
      </c>
      <c r="O24" s="131">
        <f t="shared" si="4"/>
        <v>0</v>
      </c>
      <c r="P24" s="131">
        <f t="shared" si="4"/>
        <v>0</v>
      </c>
      <c r="Q24" s="131">
        <f t="shared" si="4"/>
        <v>0</v>
      </c>
      <c r="R24" s="131">
        <f t="shared" si="4"/>
        <v>0</v>
      </c>
      <c r="S24" s="131">
        <f t="shared" si="3"/>
        <v>0</v>
      </c>
      <c r="T24" s="131">
        <f t="shared" si="3"/>
        <v>0</v>
      </c>
      <c r="U24" s="131">
        <f t="shared" si="3"/>
        <v>0</v>
      </c>
      <c r="V24" s="131">
        <f t="shared" si="3"/>
        <v>0</v>
      </c>
      <c r="W24" s="131">
        <f t="shared" si="3"/>
        <v>0</v>
      </c>
      <c r="X24" s="131">
        <f t="shared" si="3"/>
        <v>0</v>
      </c>
      <c r="Y24" s="131">
        <f t="shared" si="3"/>
        <v>0</v>
      </c>
      <c r="Z24" s="317">
        <f t="shared" si="3"/>
        <v>0</v>
      </c>
      <c r="AA24" s="213"/>
      <c r="AB24" s="213"/>
    </row>
    <row r="25" spans="1:28" ht="24.75" customHeight="1">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321" t="s">
        <v>24</v>
      </c>
      <c r="AA25" s="213">
        <f>AVERAGE(AA6:AA24)</f>
        <v>8.5820374949203859E-2</v>
      </c>
      <c r="AB25" s="213">
        <f>AVERAGE(AB6:AB24)</f>
        <v>0.93704024346499948</v>
      </c>
    </row>
    <row r="26" spans="1:28" ht="23.25">
      <c r="A26" s="514" t="s">
        <v>25</v>
      </c>
      <c r="B26" s="514"/>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157"/>
      <c r="AB26" s="157"/>
    </row>
    <row r="27" spans="1:28" ht="45.75" customHeight="1">
      <c r="A27" s="515" t="s">
        <v>3</v>
      </c>
      <c r="B27" s="518" t="s">
        <v>26</v>
      </c>
      <c r="C27" s="521" t="s">
        <v>139</v>
      </c>
      <c r="D27" s="522"/>
      <c r="E27" s="522"/>
      <c r="F27" s="523"/>
      <c r="G27" s="513" t="s">
        <v>28</v>
      </c>
      <c r="H27" s="513"/>
      <c r="I27" s="513"/>
      <c r="J27" s="513"/>
      <c r="K27" s="513"/>
      <c r="L27" s="513"/>
      <c r="M27" s="513"/>
      <c r="N27" s="513"/>
      <c r="O27" s="513"/>
      <c r="P27" s="513"/>
      <c r="Q27" s="513"/>
      <c r="R27" s="513"/>
      <c r="S27" s="513"/>
      <c r="T27" s="513"/>
      <c r="U27" s="513"/>
      <c r="V27" s="513"/>
      <c r="W27" s="513"/>
      <c r="X27" s="513"/>
      <c r="Y27" s="513"/>
      <c r="Z27" s="604"/>
      <c r="AA27" s="515" t="s">
        <v>29</v>
      </c>
      <c r="AB27" s="515" t="s">
        <v>30</v>
      </c>
    </row>
    <row r="28" spans="1:28" ht="45" customHeight="1">
      <c r="A28" s="516"/>
      <c r="B28" s="519"/>
      <c r="C28" s="524"/>
      <c r="D28" s="525"/>
      <c r="E28" s="525"/>
      <c r="F28" s="526"/>
      <c r="G28" s="513" t="s">
        <v>9</v>
      </c>
      <c r="H28" s="513"/>
      <c r="I28" s="513"/>
      <c r="J28" s="513"/>
      <c r="K28" s="513" t="s">
        <v>10</v>
      </c>
      <c r="L28" s="513"/>
      <c r="M28" s="513"/>
      <c r="N28" s="513"/>
      <c r="O28" s="513" t="s">
        <v>11</v>
      </c>
      <c r="P28" s="513"/>
      <c r="Q28" s="513"/>
      <c r="R28" s="513"/>
      <c r="S28" s="513" t="s">
        <v>12</v>
      </c>
      <c r="T28" s="513"/>
      <c r="U28" s="513"/>
      <c r="V28" s="513"/>
      <c r="W28" s="513" t="s">
        <v>13</v>
      </c>
      <c r="X28" s="513"/>
      <c r="Y28" s="513"/>
      <c r="Z28" s="604"/>
      <c r="AA28" s="516"/>
      <c r="AB28" s="516"/>
    </row>
    <row r="29" spans="1:28" ht="163.5" customHeight="1">
      <c r="A29" s="517"/>
      <c r="B29" s="520"/>
      <c r="C29" s="5" t="s">
        <v>140</v>
      </c>
      <c r="D29" s="5" t="s">
        <v>32</v>
      </c>
      <c r="E29" s="5" t="s">
        <v>33</v>
      </c>
      <c r="F29" s="5" t="s">
        <v>131</v>
      </c>
      <c r="G29" s="5" t="s">
        <v>34</v>
      </c>
      <c r="H29" s="5" t="s">
        <v>32</v>
      </c>
      <c r="I29" s="5" t="s">
        <v>33</v>
      </c>
      <c r="J29" s="5" t="s">
        <v>19</v>
      </c>
      <c r="K29" s="5" t="s">
        <v>34</v>
      </c>
      <c r="L29" s="5" t="s">
        <v>32</v>
      </c>
      <c r="M29" s="5" t="s">
        <v>33</v>
      </c>
      <c r="N29" s="5" t="s">
        <v>19</v>
      </c>
      <c r="O29" s="5" t="s">
        <v>34</v>
      </c>
      <c r="P29" s="5" t="s">
        <v>32</v>
      </c>
      <c r="Q29" s="5" t="s">
        <v>33</v>
      </c>
      <c r="R29" s="5" t="s">
        <v>19</v>
      </c>
      <c r="S29" s="5" t="s">
        <v>34</v>
      </c>
      <c r="T29" s="5" t="s">
        <v>32</v>
      </c>
      <c r="U29" s="5" t="s">
        <v>33</v>
      </c>
      <c r="V29" s="5" t="s">
        <v>19</v>
      </c>
      <c r="W29" s="5" t="s">
        <v>34</v>
      </c>
      <c r="X29" s="5" t="s">
        <v>32</v>
      </c>
      <c r="Y29" s="5" t="s">
        <v>33</v>
      </c>
      <c r="Z29" s="84" t="s">
        <v>19</v>
      </c>
      <c r="AA29" s="517"/>
      <c r="AB29" s="517"/>
    </row>
    <row r="30" spans="1:28" ht="25.5">
      <c r="A30" s="47" t="s">
        <v>20</v>
      </c>
      <c r="B30" s="47" t="s">
        <v>346</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318"/>
      <c r="AA30" s="319"/>
      <c r="AB30" s="319"/>
    </row>
    <row r="31" spans="1:28" ht="38.25">
      <c r="A31" s="6" t="s">
        <v>36</v>
      </c>
      <c r="B31" s="6" t="s">
        <v>347</v>
      </c>
      <c r="C31" s="320">
        <v>374903</v>
      </c>
      <c r="D31" s="320">
        <v>2834558</v>
      </c>
      <c r="E31" s="320">
        <v>198</v>
      </c>
      <c r="F31" s="320">
        <v>210559</v>
      </c>
      <c r="G31" s="131">
        <f>C31+C31*0.1</f>
        <v>412393.3</v>
      </c>
      <c r="H31" s="131">
        <f t="shared" ref="H31" si="5">D31+D31*0.1</f>
        <v>3118013.8</v>
      </c>
      <c r="I31" s="131">
        <f>E31+E31*0.3</f>
        <v>257.39999999999998</v>
      </c>
      <c r="J31" s="131">
        <f t="shared" ref="J31:Z31" si="6">F31+F31*0.3</f>
        <v>273726.7</v>
      </c>
      <c r="K31" s="131">
        <f t="shared" si="6"/>
        <v>536111.29</v>
      </c>
      <c r="L31" s="131">
        <f t="shared" si="6"/>
        <v>4053417.9399999995</v>
      </c>
      <c r="M31" s="131">
        <f t="shared" si="6"/>
        <v>334.61999999999995</v>
      </c>
      <c r="N31" s="131">
        <f t="shared" si="6"/>
        <v>355844.71</v>
      </c>
      <c r="O31" s="131">
        <f t="shared" si="6"/>
        <v>696944.67700000003</v>
      </c>
      <c r="P31" s="131">
        <f t="shared" si="6"/>
        <v>5269443.3219999988</v>
      </c>
      <c r="Q31" s="131">
        <f t="shared" si="6"/>
        <v>435.00599999999991</v>
      </c>
      <c r="R31" s="131">
        <f t="shared" si="6"/>
        <v>462598.12300000002</v>
      </c>
      <c r="S31" s="131">
        <f t="shared" si="6"/>
        <v>906028.08010000002</v>
      </c>
      <c r="T31" s="131">
        <f t="shared" si="6"/>
        <v>6850276.318599998</v>
      </c>
      <c r="U31" s="131">
        <f t="shared" si="6"/>
        <v>565.50779999999986</v>
      </c>
      <c r="V31" s="131">
        <f t="shared" si="6"/>
        <v>601377.55989999999</v>
      </c>
      <c r="W31" s="131">
        <f t="shared" si="6"/>
        <v>1177836.50413</v>
      </c>
      <c r="X31" s="131">
        <f t="shared" si="6"/>
        <v>8905359.2141799964</v>
      </c>
      <c r="Y31" s="131">
        <f t="shared" si="6"/>
        <v>735.16013999999984</v>
      </c>
      <c r="Z31" s="131">
        <f t="shared" si="6"/>
        <v>781790.82786999992</v>
      </c>
      <c r="AA31" s="213">
        <f>C31/W31</f>
        <v>0.31829799695070521</v>
      </c>
      <c r="AB31" s="213">
        <f>W31/X31</f>
        <v>0.13226153777767122</v>
      </c>
    </row>
    <row r="32" spans="1:28" ht="33">
      <c r="A32" s="9"/>
      <c r="B32" s="9" t="s">
        <v>40</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321" t="s">
        <v>24</v>
      </c>
      <c r="AA32" s="213">
        <f>AVERAGE(AA31:AA31)</f>
        <v>0.31829799695070521</v>
      </c>
      <c r="AB32" s="213">
        <f>AVERAGE(AB31:AB31)</f>
        <v>0.13226153777767122</v>
      </c>
    </row>
    <row r="34" spans="1:18">
      <c r="A34" s="10" t="s">
        <v>41</v>
      </c>
      <c r="B34" s="509" t="s">
        <v>42</v>
      </c>
      <c r="C34" s="509"/>
      <c r="D34" s="509"/>
      <c r="E34" s="509"/>
      <c r="F34" s="509"/>
      <c r="G34" s="509"/>
      <c r="H34" s="509"/>
      <c r="I34" s="509"/>
      <c r="J34" s="509"/>
      <c r="K34" s="509"/>
      <c r="L34" s="509"/>
      <c r="M34" s="509"/>
      <c r="N34" s="509"/>
      <c r="O34" s="509"/>
      <c r="P34" s="509"/>
      <c r="Q34" s="509"/>
      <c r="R34" s="509"/>
    </row>
    <row r="35" spans="1:18">
      <c r="A35" s="10" t="s">
        <v>43</v>
      </c>
      <c r="B35" s="509" t="s">
        <v>44</v>
      </c>
      <c r="C35" s="509"/>
      <c r="D35" s="509"/>
      <c r="E35" s="509"/>
      <c r="F35" s="509"/>
      <c r="G35" s="509"/>
      <c r="H35" s="509"/>
      <c r="I35" s="509"/>
      <c r="J35" s="509"/>
      <c r="K35" s="509"/>
      <c r="L35" s="509"/>
      <c r="M35" s="509"/>
      <c r="N35" s="509"/>
      <c r="O35" s="509"/>
      <c r="P35" s="509"/>
      <c r="Q35" s="509"/>
      <c r="R35" s="509"/>
    </row>
    <row r="36" spans="1:18">
      <c r="B36" s="509" t="s">
        <v>164</v>
      </c>
      <c r="C36" s="509"/>
      <c r="D36" s="509"/>
      <c r="E36" s="509"/>
      <c r="F36" s="509"/>
      <c r="G36" s="509"/>
      <c r="H36" s="509"/>
      <c r="I36" s="509"/>
      <c r="J36" s="509"/>
      <c r="K36" s="509"/>
      <c r="L36" s="509"/>
      <c r="M36" s="509"/>
      <c r="N36" s="509"/>
      <c r="O36" s="509"/>
      <c r="P36" s="509"/>
      <c r="Q36" s="509"/>
      <c r="R36" s="509"/>
    </row>
    <row r="37" spans="1:18">
      <c r="B37" s="509" t="s">
        <v>165</v>
      </c>
      <c r="C37" s="509"/>
      <c r="D37" s="509"/>
      <c r="E37" s="509"/>
      <c r="F37" s="509"/>
      <c r="G37" s="509"/>
      <c r="H37" s="509"/>
      <c r="I37" s="509"/>
      <c r="J37" s="509"/>
      <c r="K37" s="509"/>
      <c r="L37" s="509"/>
      <c r="M37" s="509"/>
      <c r="N37" s="509"/>
      <c r="O37" s="509"/>
      <c r="P37" s="509"/>
      <c r="Q37" s="509"/>
      <c r="R37" s="509"/>
    </row>
    <row r="38" spans="1:18">
      <c r="B38" s="509" t="s">
        <v>166</v>
      </c>
      <c r="C38" s="509"/>
      <c r="D38" s="509"/>
      <c r="E38" s="509"/>
      <c r="F38" s="509"/>
      <c r="G38" s="509"/>
      <c r="H38" s="509"/>
      <c r="I38" s="509"/>
      <c r="J38" s="509"/>
      <c r="K38" s="509"/>
      <c r="L38" s="509"/>
      <c r="M38" s="509"/>
      <c r="N38" s="509"/>
      <c r="O38" s="509"/>
      <c r="P38" s="509"/>
      <c r="Q38" s="509"/>
      <c r="R38" s="509"/>
    </row>
    <row r="39" spans="1:18">
      <c r="B39" s="509" t="s">
        <v>167</v>
      </c>
      <c r="C39" s="509"/>
      <c r="D39" s="509"/>
      <c r="E39" s="509"/>
      <c r="F39" s="509"/>
      <c r="G39" s="509"/>
      <c r="H39" s="509"/>
      <c r="I39" s="509"/>
      <c r="J39" s="509"/>
      <c r="K39" s="509"/>
      <c r="L39" s="509"/>
      <c r="M39" s="509"/>
      <c r="N39" s="509"/>
      <c r="O39" s="509"/>
      <c r="P39" s="509"/>
      <c r="Q39" s="509"/>
      <c r="R39" s="509"/>
    </row>
    <row r="40" spans="1:18">
      <c r="B40" s="509" t="s">
        <v>168</v>
      </c>
      <c r="C40" s="509"/>
      <c r="D40" s="509"/>
      <c r="E40" s="509"/>
      <c r="F40" s="509"/>
      <c r="G40" s="509"/>
      <c r="H40" s="509"/>
      <c r="I40" s="509"/>
      <c r="J40" s="509"/>
      <c r="K40" s="509"/>
      <c r="L40" s="509"/>
      <c r="M40" s="509"/>
      <c r="N40" s="509"/>
      <c r="O40" s="509"/>
      <c r="P40" s="509"/>
      <c r="Q40" s="509"/>
      <c r="R40" s="509"/>
    </row>
    <row r="41" spans="1:18">
      <c r="B41" s="509" t="s">
        <v>169</v>
      </c>
      <c r="C41" s="509"/>
      <c r="D41" s="509"/>
      <c r="E41" s="509"/>
      <c r="F41" s="509"/>
      <c r="G41" s="509"/>
      <c r="H41" s="509"/>
      <c r="I41" s="509"/>
      <c r="J41" s="509"/>
      <c r="K41" s="509"/>
      <c r="L41" s="509"/>
      <c r="M41" s="509"/>
      <c r="N41" s="509"/>
      <c r="O41" s="509"/>
      <c r="P41" s="509"/>
      <c r="Q41" s="509"/>
      <c r="R41" s="509"/>
    </row>
    <row r="42" spans="1:18">
      <c r="B42" s="11"/>
    </row>
    <row r="43" spans="1:18">
      <c r="B43" s="11"/>
    </row>
    <row r="45" spans="1:18">
      <c r="B45" s="11"/>
    </row>
  </sheetData>
  <mergeCells count="34">
    <mergeCell ref="B40:R40"/>
    <mergeCell ref="B41:R41"/>
    <mergeCell ref="B34:R34"/>
    <mergeCell ref="B35:R35"/>
    <mergeCell ref="B36:R36"/>
    <mergeCell ref="B37:R37"/>
    <mergeCell ref="B38:R38"/>
    <mergeCell ref="B39:R39"/>
    <mergeCell ref="AB27:AB29"/>
    <mergeCell ref="G28:J28"/>
    <mergeCell ref="K28:N28"/>
    <mergeCell ref="O28:R28"/>
    <mergeCell ref="S28:V28"/>
    <mergeCell ref="W28:Z28"/>
    <mergeCell ref="AA27:AA29"/>
    <mergeCell ref="A26:Z26"/>
    <mergeCell ref="A27:A29"/>
    <mergeCell ref="B27:B29"/>
    <mergeCell ref="C27:F28"/>
    <mergeCell ref="G27:Z27"/>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dimension ref="A1:AB30"/>
  <sheetViews>
    <sheetView topLeftCell="F1" workbookViewId="0">
      <selection activeCell="B25" sqref="B24:R25"/>
    </sheetView>
  </sheetViews>
  <sheetFormatPr defaultRowHeight="15"/>
  <cols>
    <col min="1" max="1" width="5" customWidth="1"/>
    <col min="2" max="2" width="15.85546875" customWidth="1"/>
    <col min="3" max="6" width="7.7109375" customWidth="1"/>
    <col min="7" max="25" width="7" customWidth="1"/>
    <col min="26" max="26" width="7.42578125" customWidth="1"/>
  </cols>
  <sheetData>
    <row r="1" spans="1:28" s="1" customFormat="1" ht="60.75" customHeight="1">
      <c r="A1" s="529" t="s">
        <v>0</v>
      </c>
      <c r="B1" s="529"/>
      <c r="C1" s="529"/>
      <c r="D1" s="529"/>
      <c r="E1" s="529"/>
      <c r="F1" s="530" t="s">
        <v>348</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81" t="s">
        <v>119</v>
      </c>
      <c r="AB3" s="584" t="s">
        <v>120</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82"/>
      <c r="AB4" s="584"/>
    </row>
    <row r="5" spans="1:28"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83"/>
      <c r="AB5" s="584"/>
    </row>
    <row r="6" spans="1:28" ht="47.25">
      <c r="A6" s="6" t="s">
        <v>20</v>
      </c>
      <c r="B6" s="137" t="s">
        <v>349</v>
      </c>
      <c r="C6" s="6">
        <v>0</v>
      </c>
      <c r="D6" s="6">
        <v>4300</v>
      </c>
      <c r="E6" s="6">
        <v>0</v>
      </c>
      <c r="F6" s="6">
        <v>4300</v>
      </c>
      <c r="G6" s="6">
        <v>600</v>
      </c>
      <c r="H6" s="6">
        <v>4200</v>
      </c>
      <c r="I6" s="6">
        <f>G6</f>
        <v>600</v>
      </c>
      <c r="J6" s="6">
        <f>H6</f>
        <v>4200</v>
      </c>
      <c r="K6" s="6">
        <v>800</v>
      </c>
      <c r="L6" s="6">
        <v>4100</v>
      </c>
      <c r="M6" s="6">
        <f>K6</f>
        <v>800</v>
      </c>
      <c r="N6" s="6">
        <f>L6</f>
        <v>4100</v>
      </c>
      <c r="O6" s="6">
        <v>900</v>
      </c>
      <c r="P6" s="6">
        <v>4000</v>
      </c>
      <c r="Q6" s="6">
        <f>O6</f>
        <v>900</v>
      </c>
      <c r="R6" s="6">
        <f>P6</f>
        <v>4000</v>
      </c>
      <c r="S6" s="6">
        <v>1000</v>
      </c>
      <c r="T6" s="6">
        <v>3900</v>
      </c>
      <c r="U6" s="6">
        <f>S6</f>
        <v>1000</v>
      </c>
      <c r="V6" s="6">
        <f>T6</f>
        <v>3900</v>
      </c>
      <c r="W6" s="6">
        <v>1100</v>
      </c>
      <c r="X6" s="6">
        <v>3800</v>
      </c>
      <c r="Y6" s="6">
        <f>W6</f>
        <v>1100</v>
      </c>
      <c r="Z6" s="6">
        <f>X6</f>
        <v>3800</v>
      </c>
      <c r="AA6" s="362">
        <f>C6/W6</f>
        <v>0</v>
      </c>
      <c r="AB6" s="362">
        <f>W6/X6</f>
        <v>0.28947368421052633</v>
      </c>
    </row>
    <row r="7" spans="1:28" ht="78.75">
      <c r="A7" s="6" t="s">
        <v>22</v>
      </c>
      <c r="B7" s="137" t="s">
        <v>350</v>
      </c>
      <c r="C7" s="6">
        <v>0</v>
      </c>
      <c r="D7" s="6">
        <v>4300</v>
      </c>
      <c r="E7" s="6">
        <v>0</v>
      </c>
      <c r="F7" s="6">
        <v>4300</v>
      </c>
      <c r="G7" s="6">
        <v>600</v>
      </c>
      <c r="H7" s="6">
        <v>4200</v>
      </c>
      <c r="I7" s="6">
        <f t="shared" ref="I7:J8" si="0">G7</f>
        <v>600</v>
      </c>
      <c r="J7" s="6">
        <f t="shared" si="0"/>
        <v>4200</v>
      </c>
      <c r="K7" s="6">
        <v>800</v>
      </c>
      <c r="L7" s="6">
        <v>4100</v>
      </c>
      <c r="M7" s="6">
        <f t="shared" ref="M7:N8" si="1">K7</f>
        <v>800</v>
      </c>
      <c r="N7" s="6">
        <f t="shared" si="1"/>
        <v>4100</v>
      </c>
      <c r="O7" s="6">
        <v>900</v>
      </c>
      <c r="P7" s="6">
        <v>4000</v>
      </c>
      <c r="Q7" s="6">
        <f t="shared" ref="Q7:R8" si="2">O7</f>
        <v>900</v>
      </c>
      <c r="R7" s="6">
        <f t="shared" si="2"/>
        <v>4000</v>
      </c>
      <c r="S7" s="6">
        <v>1000</v>
      </c>
      <c r="T7" s="6">
        <v>3900</v>
      </c>
      <c r="U7" s="6">
        <f t="shared" ref="U7:V8" si="3">S7</f>
        <v>1000</v>
      </c>
      <c r="V7" s="6">
        <f t="shared" si="3"/>
        <v>3900</v>
      </c>
      <c r="W7" s="6">
        <v>1100</v>
      </c>
      <c r="X7" s="6">
        <v>3800</v>
      </c>
      <c r="Y7" s="6">
        <f t="shared" ref="Y7:Z8" si="4">W7</f>
        <v>1100</v>
      </c>
      <c r="Z7" s="6">
        <f t="shared" si="4"/>
        <v>3800</v>
      </c>
      <c r="AA7" s="362">
        <f>C7/W7</f>
        <v>0</v>
      </c>
      <c r="AB7" s="362">
        <f t="shared" ref="AB7:AB8" si="5">W7/X7</f>
        <v>0.28947368421052633</v>
      </c>
    </row>
    <row r="8" spans="1:28" ht="38.25">
      <c r="A8" s="6" t="s">
        <v>61</v>
      </c>
      <c r="B8" s="6" t="s">
        <v>351</v>
      </c>
      <c r="C8" s="6">
        <v>0</v>
      </c>
      <c r="D8" s="6">
        <v>600</v>
      </c>
      <c r="E8" s="6">
        <v>0</v>
      </c>
      <c r="F8" s="6">
        <v>600</v>
      </c>
      <c r="G8" s="6">
        <v>100</v>
      </c>
      <c r="H8" s="6">
        <v>450</v>
      </c>
      <c r="I8" s="6">
        <f t="shared" si="0"/>
        <v>100</v>
      </c>
      <c r="J8" s="6">
        <f t="shared" si="0"/>
        <v>450</v>
      </c>
      <c r="K8" s="6">
        <v>150</v>
      </c>
      <c r="L8" s="6">
        <v>420</v>
      </c>
      <c r="M8" s="6">
        <f t="shared" si="1"/>
        <v>150</v>
      </c>
      <c r="N8" s="6">
        <f t="shared" si="1"/>
        <v>420</v>
      </c>
      <c r="O8" s="6">
        <v>170</v>
      </c>
      <c r="P8" s="6">
        <v>400</v>
      </c>
      <c r="Q8" s="6">
        <f t="shared" si="2"/>
        <v>170</v>
      </c>
      <c r="R8" s="6">
        <f t="shared" si="2"/>
        <v>400</v>
      </c>
      <c r="S8" s="6">
        <v>190</v>
      </c>
      <c r="T8" s="6">
        <v>380</v>
      </c>
      <c r="U8" s="6">
        <f t="shared" si="3"/>
        <v>190</v>
      </c>
      <c r="V8" s="6">
        <f t="shared" si="3"/>
        <v>380</v>
      </c>
      <c r="W8" s="6">
        <v>200</v>
      </c>
      <c r="X8" s="6">
        <v>370</v>
      </c>
      <c r="Y8" s="6">
        <f t="shared" si="4"/>
        <v>200</v>
      </c>
      <c r="Z8" s="6">
        <f t="shared" si="4"/>
        <v>370</v>
      </c>
      <c r="AA8" s="362">
        <f>C8/W8</f>
        <v>0</v>
      </c>
      <c r="AB8" s="362">
        <f t="shared" si="5"/>
        <v>0.54054054054054057</v>
      </c>
    </row>
    <row r="9" spans="1:28" ht="42" customHeight="1">
      <c r="Z9" s="138" t="s">
        <v>123</v>
      </c>
      <c r="AA9" s="362">
        <f>AVERAGE(AA6:AA8)</f>
        <v>0</v>
      </c>
      <c r="AB9" s="362">
        <f>AVERAGE(AB6:AB8)</f>
        <v>0.37316263632053109</v>
      </c>
    </row>
    <row r="10" spans="1:28" ht="23.25">
      <c r="A10" s="514" t="s">
        <v>25</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row>
    <row r="11" spans="1:28" ht="45.75" customHeight="1">
      <c r="A11" s="515" t="s">
        <v>3</v>
      </c>
      <c r="B11" s="518" t="s">
        <v>26</v>
      </c>
      <c r="C11" s="521" t="s">
        <v>139</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557" t="s">
        <v>124</v>
      </c>
      <c r="AB11" s="557" t="s">
        <v>125</v>
      </c>
    </row>
    <row r="12" spans="1:28"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558"/>
      <c r="AB12" s="558"/>
    </row>
    <row r="13" spans="1:28" ht="78.75" customHeight="1">
      <c r="A13" s="517"/>
      <c r="B13" s="520"/>
      <c r="C13" s="5" t="s">
        <v>140</v>
      </c>
      <c r="D13" s="5" t="s">
        <v>32</v>
      </c>
      <c r="E13" s="5" t="s">
        <v>33</v>
      </c>
      <c r="F13" s="5" t="s">
        <v>131</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559"/>
      <c r="AB13" s="559"/>
    </row>
    <row r="14" spans="1:28" ht="63.75">
      <c r="A14" s="47" t="s">
        <v>20</v>
      </c>
      <c r="B14" s="47" t="s">
        <v>352</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row>
    <row r="15" spans="1:28" ht="79.5">
      <c r="A15" s="6" t="s">
        <v>36</v>
      </c>
      <c r="B15" s="6" t="s">
        <v>353</v>
      </c>
      <c r="C15" s="131">
        <v>4300</v>
      </c>
      <c r="D15" s="131">
        <v>4300</v>
      </c>
      <c r="E15" s="131">
        <v>20</v>
      </c>
      <c r="F15" s="131">
        <v>20</v>
      </c>
      <c r="G15" s="131">
        <v>4200</v>
      </c>
      <c r="H15" s="131">
        <f>G15</f>
        <v>4200</v>
      </c>
      <c r="I15" s="131">
        <v>20</v>
      </c>
      <c r="J15" s="131">
        <v>20</v>
      </c>
      <c r="K15" s="131">
        <v>4100</v>
      </c>
      <c r="L15" s="131">
        <f>K15</f>
        <v>4100</v>
      </c>
      <c r="M15" s="131">
        <v>19</v>
      </c>
      <c r="N15" s="131">
        <v>19</v>
      </c>
      <c r="O15" s="131">
        <v>4000</v>
      </c>
      <c r="P15" s="131">
        <f>O15</f>
        <v>4000</v>
      </c>
      <c r="Q15" s="131">
        <v>18</v>
      </c>
      <c r="R15" s="131">
        <v>18</v>
      </c>
      <c r="S15" s="131">
        <v>3900</v>
      </c>
      <c r="T15" s="131">
        <f>S15</f>
        <v>3900</v>
      </c>
      <c r="U15" s="131">
        <v>18</v>
      </c>
      <c r="V15" s="131">
        <v>18</v>
      </c>
      <c r="W15" s="131">
        <v>3800</v>
      </c>
      <c r="X15" s="131">
        <f>W15</f>
        <v>3800</v>
      </c>
      <c r="Y15" s="131">
        <v>18</v>
      </c>
      <c r="Z15" s="131">
        <v>18</v>
      </c>
      <c r="AA15" s="362">
        <v>1</v>
      </c>
      <c r="AB15" s="362">
        <f>W15/X15</f>
        <v>1</v>
      </c>
    </row>
    <row r="16" spans="1:28" ht="37.5" customHeight="1">
      <c r="Z16" s="113" t="s">
        <v>123</v>
      </c>
      <c r="AA16" s="362">
        <f>AVERAGE(AA15)</f>
        <v>1</v>
      </c>
      <c r="AB16" s="362">
        <f>AVERAGE(AB15)</f>
        <v>1</v>
      </c>
    </row>
    <row r="17" spans="1:18">
      <c r="A17" s="9"/>
      <c r="B17" s="9" t="s">
        <v>40</v>
      </c>
    </row>
    <row r="19" spans="1:18" ht="31.5" customHeight="1">
      <c r="A19" s="10" t="s">
        <v>41</v>
      </c>
      <c r="B19" s="509" t="s">
        <v>42</v>
      </c>
      <c r="C19" s="509"/>
      <c r="D19" s="509"/>
      <c r="E19" s="509"/>
      <c r="F19" s="509"/>
      <c r="G19" s="509"/>
      <c r="H19" s="509"/>
      <c r="I19" s="509"/>
      <c r="J19" s="509"/>
      <c r="K19" s="509"/>
      <c r="L19" s="509"/>
      <c r="M19" s="509"/>
      <c r="N19" s="509"/>
      <c r="O19" s="509"/>
      <c r="P19" s="509"/>
      <c r="Q19" s="509"/>
      <c r="R19" s="509"/>
    </row>
    <row r="20" spans="1:18" ht="31.5" customHeight="1">
      <c r="A20" s="10" t="s">
        <v>43</v>
      </c>
      <c r="B20" s="509" t="s">
        <v>44</v>
      </c>
      <c r="C20" s="509"/>
      <c r="D20" s="509"/>
      <c r="E20" s="509"/>
      <c r="F20" s="509"/>
      <c r="G20" s="509"/>
      <c r="H20" s="509"/>
      <c r="I20" s="509"/>
      <c r="J20" s="509"/>
      <c r="K20" s="509"/>
      <c r="L20" s="509"/>
      <c r="M20" s="509"/>
      <c r="N20" s="509"/>
      <c r="O20" s="509"/>
      <c r="P20" s="509"/>
      <c r="Q20" s="509"/>
      <c r="R20" s="509"/>
    </row>
    <row r="21" spans="1:18" ht="31.5" customHeight="1">
      <c r="B21" s="509" t="s">
        <v>164</v>
      </c>
      <c r="C21" s="509"/>
      <c r="D21" s="509"/>
      <c r="E21" s="509"/>
      <c r="F21" s="509"/>
      <c r="G21" s="509"/>
      <c r="H21" s="509"/>
      <c r="I21" s="509"/>
      <c r="J21" s="509"/>
      <c r="K21" s="509"/>
      <c r="L21" s="509"/>
      <c r="M21" s="509"/>
      <c r="N21" s="509"/>
      <c r="O21" s="509"/>
      <c r="P21" s="509"/>
      <c r="Q21" s="509"/>
      <c r="R21" s="509"/>
    </row>
    <row r="22" spans="1:18" ht="31.5" customHeight="1">
      <c r="B22" s="509" t="s">
        <v>165</v>
      </c>
      <c r="C22" s="509"/>
      <c r="D22" s="509"/>
      <c r="E22" s="509"/>
      <c r="F22" s="509"/>
      <c r="G22" s="509"/>
      <c r="H22" s="509"/>
      <c r="I22" s="509"/>
      <c r="J22" s="509"/>
      <c r="K22" s="509"/>
      <c r="L22" s="509"/>
      <c r="M22" s="509"/>
      <c r="N22" s="509"/>
      <c r="O22" s="509"/>
      <c r="P22" s="509"/>
      <c r="Q22" s="509"/>
      <c r="R22" s="509"/>
    </row>
    <row r="23" spans="1:18" ht="31.5" customHeight="1">
      <c r="B23" s="509" t="s">
        <v>166</v>
      </c>
      <c r="C23" s="509"/>
      <c r="D23" s="509"/>
      <c r="E23" s="509"/>
      <c r="F23" s="509"/>
      <c r="G23" s="509"/>
      <c r="H23" s="509"/>
      <c r="I23" s="509"/>
      <c r="J23" s="509"/>
      <c r="K23" s="509"/>
      <c r="L23" s="509"/>
      <c r="M23" s="509"/>
      <c r="N23" s="509"/>
      <c r="O23" s="509"/>
      <c r="P23" s="509"/>
      <c r="Q23" s="509"/>
      <c r="R23" s="509"/>
    </row>
    <row r="24" spans="1:18" ht="31.5" customHeight="1">
      <c r="B24" s="509" t="s">
        <v>167</v>
      </c>
      <c r="C24" s="509"/>
      <c r="D24" s="509"/>
      <c r="E24" s="509"/>
      <c r="F24" s="509"/>
      <c r="G24" s="509"/>
      <c r="H24" s="509"/>
      <c r="I24" s="509"/>
      <c r="J24" s="509"/>
      <c r="K24" s="509"/>
      <c r="L24" s="509"/>
      <c r="M24" s="509"/>
      <c r="N24" s="509"/>
      <c r="O24" s="509"/>
      <c r="P24" s="509"/>
      <c r="Q24" s="509"/>
      <c r="R24" s="509"/>
    </row>
    <row r="25" spans="1:18" ht="73.5" customHeight="1">
      <c r="B25" s="509" t="s">
        <v>168</v>
      </c>
      <c r="C25" s="509"/>
      <c r="D25" s="509"/>
      <c r="E25" s="509"/>
      <c r="F25" s="509"/>
      <c r="G25" s="509"/>
      <c r="H25" s="509"/>
      <c r="I25" s="509"/>
      <c r="J25" s="509"/>
      <c r="K25" s="509"/>
      <c r="L25" s="509"/>
      <c r="M25" s="509"/>
      <c r="N25" s="509"/>
      <c r="O25" s="509"/>
      <c r="P25" s="509"/>
      <c r="Q25" s="509"/>
      <c r="R25" s="509"/>
    </row>
    <row r="26" spans="1:18" ht="39" customHeight="1">
      <c r="B26" s="509" t="s">
        <v>169</v>
      </c>
      <c r="C26" s="509"/>
      <c r="D26" s="509"/>
      <c r="E26" s="509"/>
      <c r="F26" s="509"/>
      <c r="G26" s="509"/>
      <c r="H26" s="509"/>
      <c r="I26" s="509"/>
      <c r="J26" s="509"/>
      <c r="K26" s="509"/>
      <c r="L26" s="509"/>
      <c r="M26" s="509"/>
      <c r="N26" s="509"/>
      <c r="O26" s="509"/>
      <c r="P26" s="509"/>
      <c r="Q26" s="509"/>
      <c r="R26" s="509"/>
    </row>
    <row r="27" spans="1:18">
      <c r="B27" s="11"/>
    </row>
    <row r="28" spans="1:18">
      <c r="B28" s="11"/>
    </row>
    <row r="30" spans="1:18">
      <c r="B30" s="11"/>
    </row>
  </sheetData>
  <mergeCells count="34">
    <mergeCell ref="B25:R25"/>
    <mergeCell ref="B26:R26"/>
    <mergeCell ref="B19:R19"/>
    <mergeCell ref="B20:R20"/>
    <mergeCell ref="B21:R21"/>
    <mergeCell ref="B22:R22"/>
    <mergeCell ref="B23:R23"/>
    <mergeCell ref="B24:R24"/>
    <mergeCell ref="AB11:AB13"/>
    <mergeCell ref="G12:J12"/>
    <mergeCell ref="K12:N12"/>
    <mergeCell ref="O12:R12"/>
    <mergeCell ref="S12:V12"/>
    <mergeCell ref="W12:Z12"/>
    <mergeCell ref="AA11:AA13"/>
    <mergeCell ref="A10:Z10"/>
    <mergeCell ref="A11:A13"/>
    <mergeCell ref="B11:B13"/>
    <mergeCell ref="C11:F12"/>
    <mergeCell ref="G11:Z11"/>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dimension ref="A1:AB31"/>
  <sheetViews>
    <sheetView topLeftCell="A19" workbookViewId="0">
      <selection activeCell="B25" sqref="B24:R25"/>
    </sheetView>
  </sheetViews>
  <sheetFormatPr defaultRowHeight="15"/>
  <cols>
    <col min="1" max="1" width="5" style="140" customWidth="1"/>
    <col min="2" max="2" width="15.85546875" style="140" customWidth="1"/>
    <col min="3" max="6" width="7.7109375" style="140" customWidth="1"/>
    <col min="7" max="7" width="7.28515625" style="140" customWidth="1"/>
    <col min="8" max="26" width="7" style="140" customWidth="1"/>
    <col min="27" max="256" width="9.140625" style="140"/>
    <col min="257" max="257" width="5" style="140" customWidth="1"/>
    <col min="258" max="258" width="15.85546875" style="140" customWidth="1"/>
    <col min="259" max="262" width="7.7109375" style="140" customWidth="1"/>
    <col min="263" max="263" width="7.28515625" style="140" customWidth="1"/>
    <col min="264" max="282" width="7" style="140" customWidth="1"/>
    <col min="283" max="512" width="9.140625" style="140"/>
    <col min="513" max="513" width="5" style="140" customWidth="1"/>
    <col min="514" max="514" width="15.85546875" style="140" customWidth="1"/>
    <col min="515" max="518" width="7.7109375" style="140" customWidth="1"/>
    <col min="519" max="519" width="7.28515625" style="140" customWidth="1"/>
    <col min="520" max="538" width="7" style="140" customWidth="1"/>
    <col min="539" max="768" width="9.140625" style="140"/>
    <col min="769" max="769" width="5" style="140" customWidth="1"/>
    <col min="770" max="770" width="15.85546875" style="140" customWidth="1"/>
    <col min="771" max="774" width="7.7109375" style="140" customWidth="1"/>
    <col min="775" max="775" width="7.28515625" style="140" customWidth="1"/>
    <col min="776" max="794" width="7" style="140" customWidth="1"/>
    <col min="795" max="1024" width="9.140625" style="140"/>
    <col min="1025" max="1025" width="5" style="140" customWidth="1"/>
    <col min="1026" max="1026" width="15.85546875" style="140" customWidth="1"/>
    <col min="1027" max="1030" width="7.7109375" style="140" customWidth="1"/>
    <col min="1031" max="1031" width="7.28515625" style="140" customWidth="1"/>
    <col min="1032" max="1050" width="7" style="140" customWidth="1"/>
    <col min="1051" max="1280" width="9.140625" style="140"/>
    <col min="1281" max="1281" width="5" style="140" customWidth="1"/>
    <col min="1282" max="1282" width="15.85546875" style="140" customWidth="1"/>
    <col min="1283" max="1286" width="7.7109375" style="140" customWidth="1"/>
    <col min="1287" max="1287" width="7.28515625" style="140" customWidth="1"/>
    <col min="1288" max="1306" width="7" style="140" customWidth="1"/>
    <col min="1307" max="1536" width="9.140625" style="140"/>
    <col min="1537" max="1537" width="5" style="140" customWidth="1"/>
    <col min="1538" max="1538" width="15.85546875" style="140" customWidth="1"/>
    <col min="1539" max="1542" width="7.7109375" style="140" customWidth="1"/>
    <col min="1543" max="1543" width="7.28515625" style="140" customWidth="1"/>
    <col min="1544" max="1562" width="7" style="140" customWidth="1"/>
    <col min="1563" max="1792" width="9.140625" style="140"/>
    <col min="1793" max="1793" width="5" style="140" customWidth="1"/>
    <col min="1794" max="1794" width="15.85546875" style="140" customWidth="1"/>
    <col min="1795" max="1798" width="7.7109375" style="140" customWidth="1"/>
    <col min="1799" max="1799" width="7.28515625" style="140" customWidth="1"/>
    <col min="1800" max="1818" width="7" style="140" customWidth="1"/>
    <col min="1819" max="2048" width="9.140625" style="140"/>
    <col min="2049" max="2049" width="5" style="140" customWidth="1"/>
    <col min="2050" max="2050" width="15.85546875" style="140" customWidth="1"/>
    <col min="2051" max="2054" width="7.7109375" style="140" customWidth="1"/>
    <col min="2055" max="2055" width="7.28515625" style="140" customWidth="1"/>
    <col min="2056" max="2074" width="7" style="140" customWidth="1"/>
    <col min="2075" max="2304" width="9.140625" style="140"/>
    <col min="2305" max="2305" width="5" style="140" customWidth="1"/>
    <col min="2306" max="2306" width="15.85546875" style="140" customWidth="1"/>
    <col min="2307" max="2310" width="7.7109375" style="140" customWidth="1"/>
    <col min="2311" max="2311" width="7.28515625" style="140" customWidth="1"/>
    <col min="2312" max="2330" width="7" style="140" customWidth="1"/>
    <col min="2331" max="2560" width="9.140625" style="140"/>
    <col min="2561" max="2561" width="5" style="140" customWidth="1"/>
    <col min="2562" max="2562" width="15.85546875" style="140" customWidth="1"/>
    <col min="2563" max="2566" width="7.7109375" style="140" customWidth="1"/>
    <col min="2567" max="2567" width="7.28515625" style="140" customWidth="1"/>
    <col min="2568" max="2586" width="7" style="140" customWidth="1"/>
    <col min="2587" max="2816" width="9.140625" style="140"/>
    <col min="2817" max="2817" width="5" style="140" customWidth="1"/>
    <col min="2818" max="2818" width="15.85546875" style="140" customWidth="1"/>
    <col min="2819" max="2822" width="7.7109375" style="140" customWidth="1"/>
    <col min="2823" max="2823" width="7.28515625" style="140" customWidth="1"/>
    <col min="2824" max="2842" width="7" style="140" customWidth="1"/>
    <col min="2843" max="3072" width="9.140625" style="140"/>
    <col min="3073" max="3073" width="5" style="140" customWidth="1"/>
    <col min="3074" max="3074" width="15.85546875" style="140" customWidth="1"/>
    <col min="3075" max="3078" width="7.7109375" style="140" customWidth="1"/>
    <col min="3079" max="3079" width="7.28515625" style="140" customWidth="1"/>
    <col min="3080" max="3098" width="7" style="140" customWidth="1"/>
    <col min="3099" max="3328" width="9.140625" style="140"/>
    <col min="3329" max="3329" width="5" style="140" customWidth="1"/>
    <col min="3330" max="3330" width="15.85546875" style="140" customWidth="1"/>
    <col min="3331" max="3334" width="7.7109375" style="140" customWidth="1"/>
    <col min="3335" max="3335" width="7.28515625" style="140" customWidth="1"/>
    <col min="3336" max="3354" width="7" style="140" customWidth="1"/>
    <col min="3355" max="3584" width="9.140625" style="140"/>
    <col min="3585" max="3585" width="5" style="140" customWidth="1"/>
    <col min="3586" max="3586" width="15.85546875" style="140" customWidth="1"/>
    <col min="3587" max="3590" width="7.7109375" style="140" customWidth="1"/>
    <col min="3591" max="3591" width="7.28515625" style="140" customWidth="1"/>
    <col min="3592" max="3610" width="7" style="140" customWidth="1"/>
    <col min="3611" max="3840" width="9.140625" style="140"/>
    <col min="3841" max="3841" width="5" style="140" customWidth="1"/>
    <col min="3842" max="3842" width="15.85546875" style="140" customWidth="1"/>
    <col min="3843" max="3846" width="7.7109375" style="140" customWidth="1"/>
    <col min="3847" max="3847" width="7.28515625" style="140" customWidth="1"/>
    <col min="3848" max="3866" width="7" style="140" customWidth="1"/>
    <col min="3867" max="4096" width="9.140625" style="140"/>
    <col min="4097" max="4097" width="5" style="140" customWidth="1"/>
    <col min="4098" max="4098" width="15.85546875" style="140" customWidth="1"/>
    <col min="4099" max="4102" width="7.7109375" style="140" customWidth="1"/>
    <col min="4103" max="4103" width="7.28515625" style="140" customWidth="1"/>
    <col min="4104" max="4122" width="7" style="140" customWidth="1"/>
    <col min="4123" max="4352" width="9.140625" style="140"/>
    <col min="4353" max="4353" width="5" style="140" customWidth="1"/>
    <col min="4354" max="4354" width="15.85546875" style="140" customWidth="1"/>
    <col min="4355" max="4358" width="7.7109375" style="140" customWidth="1"/>
    <col min="4359" max="4359" width="7.28515625" style="140" customWidth="1"/>
    <col min="4360" max="4378" width="7" style="140" customWidth="1"/>
    <col min="4379" max="4608" width="9.140625" style="140"/>
    <col min="4609" max="4609" width="5" style="140" customWidth="1"/>
    <col min="4610" max="4610" width="15.85546875" style="140" customWidth="1"/>
    <col min="4611" max="4614" width="7.7109375" style="140" customWidth="1"/>
    <col min="4615" max="4615" width="7.28515625" style="140" customWidth="1"/>
    <col min="4616" max="4634" width="7" style="140" customWidth="1"/>
    <col min="4635" max="4864" width="9.140625" style="140"/>
    <col min="4865" max="4865" width="5" style="140" customWidth="1"/>
    <col min="4866" max="4866" width="15.85546875" style="140" customWidth="1"/>
    <col min="4867" max="4870" width="7.7109375" style="140" customWidth="1"/>
    <col min="4871" max="4871" width="7.28515625" style="140" customWidth="1"/>
    <col min="4872" max="4890" width="7" style="140" customWidth="1"/>
    <col min="4891" max="5120" width="9.140625" style="140"/>
    <col min="5121" max="5121" width="5" style="140" customWidth="1"/>
    <col min="5122" max="5122" width="15.85546875" style="140" customWidth="1"/>
    <col min="5123" max="5126" width="7.7109375" style="140" customWidth="1"/>
    <col min="5127" max="5127" width="7.28515625" style="140" customWidth="1"/>
    <col min="5128" max="5146" width="7" style="140" customWidth="1"/>
    <col min="5147" max="5376" width="9.140625" style="140"/>
    <col min="5377" max="5377" width="5" style="140" customWidth="1"/>
    <col min="5378" max="5378" width="15.85546875" style="140" customWidth="1"/>
    <col min="5379" max="5382" width="7.7109375" style="140" customWidth="1"/>
    <col min="5383" max="5383" width="7.28515625" style="140" customWidth="1"/>
    <col min="5384" max="5402" width="7" style="140" customWidth="1"/>
    <col min="5403" max="5632" width="9.140625" style="140"/>
    <col min="5633" max="5633" width="5" style="140" customWidth="1"/>
    <col min="5634" max="5634" width="15.85546875" style="140" customWidth="1"/>
    <col min="5635" max="5638" width="7.7109375" style="140" customWidth="1"/>
    <col min="5639" max="5639" width="7.28515625" style="140" customWidth="1"/>
    <col min="5640" max="5658" width="7" style="140" customWidth="1"/>
    <col min="5659" max="5888" width="9.140625" style="140"/>
    <col min="5889" max="5889" width="5" style="140" customWidth="1"/>
    <col min="5890" max="5890" width="15.85546875" style="140" customWidth="1"/>
    <col min="5891" max="5894" width="7.7109375" style="140" customWidth="1"/>
    <col min="5895" max="5895" width="7.28515625" style="140" customWidth="1"/>
    <col min="5896" max="5914" width="7" style="140" customWidth="1"/>
    <col min="5915" max="6144" width="9.140625" style="140"/>
    <col min="6145" max="6145" width="5" style="140" customWidth="1"/>
    <col min="6146" max="6146" width="15.85546875" style="140" customWidth="1"/>
    <col min="6147" max="6150" width="7.7109375" style="140" customWidth="1"/>
    <col min="6151" max="6151" width="7.28515625" style="140" customWidth="1"/>
    <col min="6152" max="6170" width="7" style="140" customWidth="1"/>
    <col min="6171" max="6400" width="9.140625" style="140"/>
    <col min="6401" max="6401" width="5" style="140" customWidth="1"/>
    <col min="6402" max="6402" width="15.85546875" style="140" customWidth="1"/>
    <col min="6403" max="6406" width="7.7109375" style="140" customWidth="1"/>
    <col min="6407" max="6407" width="7.28515625" style="140" customWidth="1"/>
    <col min="6408" max="6426" width="7" style="140" customWidth="1"/>
    <col min="6427" max="6656" width="9.140625" style="140"/>
    <col min="6657" max="6657" width="5" style="140" customWidth="1"/>
    <col min="6658" max="6658" width="15.85546875" style="140" customWidth="1"/>
    <col min="6659" max="6662" width="7.7109375" style="140" customWidth="1"/>
    <col min="6663" max="6663" width="7.28515625" style="140" customWidth="1"/>
    <col min="6664" max="6682" width="7" style="140" customWidth="1"/>
    <col min="6683" max="6912" width="9.140625" style="140"/>
    <col min="6913" max="6913" width="5" style="140" customWidth="1"/>
    <col min="6914" max="6914" width="15.85546875" style="140" customWidth="1"/>
    <col min="6915" max="6918" width="7.7109375" style="140" customWidth="1"/>
    <col min="6919" max="6919" width="7.28515625" style="140" customWidth="1"/>
    <col min="6920" max="6938" width="7" style="140" customWidth="1"/>
    <col min="6939" max="7168" width="9.140625" style="140"/>
    <col min="7169" max="7169" width="5" style="140" customWidth="1"/>
    <col min="7170" max="7170" width="15.85546875" style="140" customWidth="1"/>
    <col min="7171" max="7174" width="7.7109375" style="140" customWidth="1"/>
    <col min="7175" max="7175" width="7.28515625" style="140" customWidth="1"/>
    <col min="7176" max="7194" width="7" style="140" customWidth="1"/>
    <col min="7195" max="7424" width="9.140625" style="140"/>
    <col min="7425" max="7425" width="5" style="140" customWidth="1"/>
    <col min="7426" max="7426" width="15.85546875" style="140" customWidth="1"/>
    <col min="7427" max="7430" width="7.7109375" style="140" customWidth="1"/>
    <col min="7431" max="7431" width="7.28515625" style="140" customWidth="1"/>
    <col min="7432" max="7450" width="7" style="140" customWidth="1"/>
    <col min="7451" max="7680" width="9.140625" style="140"/>
    <col min="7681" max="7681" width="5" style="140" customWidth="1"/>
    <col min="7682" max="7682" width="15.85546875" style="140" customWidth="1"/>
    <col min="7683" max="7686" width="7.7109375" style="140" customWidth="1"/>
    <col min="7687" max="7687" width="7.28515625" style="140" customWidth="1"/>
    <col min="7688" max="7706" width="7" style="140" customWidth="1"/>
    <col min="7707" max="7936" width="9.140625" style="140"/>
    <col min="7937" max="7937" width="5" style="140" customWidth="1"/>
    <col min="7938" max="7938" width="15.85546875" style="140" customWidth="1"/>
    <col min="7939" max="7942" width="7.7109375" style="140" customWidth="1"/>
    <col min="7943" max="7943" width="7.28515625" style="140" customWidth="1"/>
    <col min="7944" max="7962" width="7" style="140" customWidth="1"/>
    <col min="7963" max="8192" width="9.140625" style="140"/>
    <col min="8193" max="8193" width="5" style="140" customWidth="1"/>
    <col min="8194" max="8194" width="15.85546875" style="140" customWidth="1"/>
    <col min="8195" max="8198" width="7.7109375" style="140" customWidth="1"/>
    <col min="8199" max="8199" width="7.28515625" style="140" customWidth="1"/>
    <col min="8200" max="8218" width="7" style="140" customWidth="1"/>
    <col min="8219" max="8448" width="9.140625" style="140"/>
    <col min="8449" max="8449" width="5" style="140" customWidth="1"/>
    <col min="8450" max="8450" width="15.85546875" style="140" customWidth="1"/>
    <col min="8451" max="8454" width="7.7109375" style="140" customWidth="1"/>
    <col min="8455" max="8455" width="7.28515625" style="140" customWidth="1"/>
    <col min="8456" max="8474" width="7" style="140" customWidth="1"/>
    <col min="8475" max="8704" width="9.140625" style="140"/>
    <col min="8705" max="8705" width="5" style="140" customWidth="1"/>
    <col min="8706" max="8706" width="15.85546875" style="140" customWidth="1"/>
    <col min="8707" max="8710" width="7.7109375" style="140" customWidth="1"/>
    <col min="8711" max="8711" width="7.28515625" style="140" customWidth="1"/>
    <col min="8712" max="8730" width="7" style="140" customWidth="1"/>
    <col min="8731" max="8960" width="9.140625" style="140"/>
    <col min="8961" max="8961" width="5" style="140" customWidth="1"/>
    <col min="8962" max="8962" width="15.85546875" style="140" customWidth="1"/>
    <col min="8963" max="8966" width="7.7109375" style="140" customWidth="1"/>
    <col min="8967" max="8967" width="7.28515625" style="140" customWidth="1"/>
    <col min="8968" max="8986" width="7" style="140" customWidth="1"/>
    <col min="8987" max="9216" width="9.140625" style="140"/>
    <col min="9217" max="9217" width="5" style="140" customWidth="1"/>
    <col min="9218" max="9218" width="15.85546875" style="140" customWidth="1"/>
    <col min="9219" max="9222" width="7.7109375" style="140" customWidth="1"/>
    <col min="9223" max="9223" width="7.28515625" style="140" customWidth="1"/>
    <col min="9224" max="9242" width="7" style="140" customWidth="1"/>
    <col min="9243" max="9472" width="9.140625" style="140"/>
    <col min="9473" max="9473" width="5" style="140" customWidth="1"/>
    <col min="9474" max="9474" width="15.85546875" style="140" customWidth="1"/>
    <col min="9475" max="9478" width="7.7109375" style="140" customWidth="1"/>
    <col min="9479" max="9479" width="7.28515625" style="140" customWidth="1"/>
    <col min="9480" max="9498" width="7" style="140" customWidth="1"/>
    <col min="9499" max="9728" width="9.140625" style="140"/>
    <col min="9729" max="9729" width="5" style="140" customWidth="1"/>
    <col min="9730" max="9730" width="15.85546875" style="140" customWidth="1"/>
    <col min="9731" max="9734" width="7.7109375" style="140" customWidth="1"/>
    <col min="9735" max="9735" width="7.28515625" style="140" customWidth="1"/>
    <col min="9736" max="9754" width="7" style="140" customWidth="1"/>
    <col min="9755" max="9984" width="9.140625" style="140"/>
    <col min="9985" max="9985" width="5" style="140" customWidth="1"/>
    <col min="9986" max="9986" width="15.85546875" style="140" customWidth="1"/>
    <col min="9987" max="9990" width="7.7109375" style="140" customWidth="1"/>
    <col min="9991" max="9991" width="7.28515625" style="140" customWidth="1"/>
    <col min="9992" max="10010" width="7" style="140" customWidth="1"/>
    <col min="10011" max="10240" width="9.140625" style="140"/>
    <col min="10241" max="10241" width="5" style="140" customWidth="1"/>
    <col min="10242" max="10242" width="15.85546875" style="140" customWidth="1"/>
    <col min="10243" max="10246" width="7.7109375" style="140" customWidth="1"/>
    <col min="10247" max="10247" width="7.28515625" style="140" customWidth="1"/>
    <col min="10248" max="10266" width="7" style="140" customWidth="1"/>
    <col min="10267" max="10496" width="9.140625" style="140"/>
    <col min="10497" max="10497" width="5" style="140" customWidth="1"/>
    <col min="10498" max="10498" width="15.85546875" style="140" customWidth="1"/>
    <col min="10499" max="10502" width="7.7109375" style="140" customWidth="1"/>
    <col min="10503" max="10503" width="7.28515625" style="140" customWidth="1"/>
    <col min="10504" max="10522" width="7" style="140" customWidth="1"/>
    <col min="10523" max="10752" width="9.140625" style="140"/>
    <col min="10753" max="10753" width="5" style="140" customWidth="1"/>
    <col min="10754" max="10754" width="15.85546875" style="140" customWidth="1"/>
    <col min="10755" max="10758" width="7.7109375" style="140" customWidth="1"/>
    <col min="10759" max="10759" width="7.28515625" style="140" customWidth="1"/>
    <col min="10760" max="10778" width="7" style="140" customWidth="1"/>
    <col min="10779" max="11008" width="9.140625" style="140"/>
    <col min="11009" max="11009" width="5" style="140" customWidth="1"/>
    <col min="11010" max="11010" width="15.85546875" style="140" customWidth="1"/>
    <col min="11011" max="11014" width="7.7109375" style="140" customWidth="1"/>
    <col min="11015" max="11015" width="7.28515625" style="140" customWidth="1"/>
    <col min="11016" max="11034" width="7" style="140" customWidth="1"/>
    <col min="11035" max="11264" width="9.140625" style="140"/>
    <col min="11265" max="11265" width="5" style="140" customWidth="1"/>
    <col min="11266" max="11266" width="15.85546875" style="140" customWidth="1"/>
    <col min="11267" max="11270" width="7.7109375" style="140" customWidth="1"/>
    <col min="11271" max="11271" width="7.28515625" style="140" customWidth="1"/>
    <col min="11272" max="11290" width="7" style="140" customWidth="1"/>
    <col min="11291" max="11520" width="9.140625" style="140"/>
    <col min="11521" max="11521" width="5" style="140" customWidth="1"/>
    <col min="11522" max="11522" width="15.85546875" style="140" customWidth="1"/>
    <col min="11523" max="11526" width="7.7109375" style="140" customWidth="1"/>
    <col min="11527" max="11527" width="7.28515625" style="140" customWidth="1"/>
    <col min="11528" max="11546" width="7" style="140" customWidth="1"/>
    <col min="11547" max="11776" width="9.140625" style="140"/>
    <col min="11777" max="11777" width="5" style="140" customWidth="1"/>
    <col min="11778" max="11778" width="15.85546875" style="140" customWidth="1"/>
    <col min="11779" max="11782" width="7.7109375" style="140" customWidth="1"/>
    <col min="11783" max="11783" width="7.28515625" style="140" customWidth="1"/>
    <col min="11784" max="11802" width="7" style="140" customWidth="1"/>
    <col min="11803" max="12032" width="9.140625" style="140"/>
    <col min="12033" max="12033" width="5" style="140" customWidth="1"/>
    <col min="12034" max="12034" width="15.85546875" style="140" customWidth="1"/>
    <col min="12035" max="12038" width="7.7109375" style="140" customWidth="1"/>
    <col min="12039" max="12039" width="7.28515625" style="140" customWidth="1"/>
    <col min="12040" max="12058" width="7" style="140" customWidth="1"/>
    <col min="12059" max="12288" width="9.140625" style="140"/>
    <col min="12289" max="12289" width="5" style="140" customWidth="1"/>
    <col min="12290" max="12290" width="15.85546875" style="140" customWidth="1"/>
    <col min="12291" max="12294" width="7.7109375" style="140" customWidth="1"/>
    <col min="12295" max="12295" width="7.28515625" style="140" customWidth="1"/>
    <col min="12296" max="12314" width="7" style="140" customWidth="1"/>
    <col min="12315" max="12544" width="9.140625" style="140"/>
    <col min="12545" max="12545" width="5" style="140" customWidth="1"/>
    <col min="12546" max="12546" width="15.85546875" style="140" customWidth="1"/>
    <col min="12547" max="12550" width="7.7109375" style="140" customWidth="1"/>
    <col min="12551" max="12551" width="7.28515625" style="140" customWidth="1"/>
    <col min="12552" max="12570" width="7" style="140" customWidth="1"/>
    <col min="12571" max="12800" width="9.140625" style="140"/>
    <col min="12801" max="12801" width="5" style="140" customWidth="1"/>
    <col min="12802" max="12802" width="15.85546875" style="140" customWidth="1"/>
    <col min="12803" max="12806" width="7.7109375" style="140" customWidth="1"/>
    <col min="12807" max="12807" width="7.28515625" style="140" customWidth="1"/>
    <col min="12808" max="12826" width="7" style="140" customWidth="1"/>
    <col min="12827" max="13056" width="9.140625" style="140"/>
    <col min="13057" max="13057" width="5" style="140" customWidth="1"/>
    <col min="13058" max="13058" width="15.85546875" style="140" customWidth="1"/>
    <col min="13059" max="13062" width="7.7109375" style="140" customWidth="1"/>
    <col min="13063" max="13063" width="7.28515625" style="140" customWidth="1"/>
    <col min="13064" max="13082" width="7" style="140" customWidth="1"/>
    <col min="13083" max="13312" width="9.140625" style="140"/>
    <col min="13313" max="13313" width="5" style="140" customWidth="1"/>
    <col min="13314" max="13314" width="15.85546875" style="140" customWidth="1"/>
    <col min="13315" max="13318" width="7.7109375" style="140" customWidth="1"/>
    <col min="13319" max="13319" width="7.28515625" style="140" customWidth="1"/>
    <col min="13320" max="13338" width="7" style="140" customWidth="1"/>
    <col min="13339" max="13568" width="9.140625" style="140"/>
    <col min="13569" max="13569" width="5" style="140" customWidth="1"/>
    <col min="13570" max="13570" width="15.85546875" style="140" customWidth="1"/>
    <col min="13571" max="13574" width="7.7109375" style="140" customWidth="1"/>
    <col min="13575" max="13575" width="7.28515625" style="140" customWidth="1"/>
    <col min="13576" max="13594" width="7" style="140" customWidth="1"/>
    <col min="13595" max="13824" width="9.140625" style="140"/>
    <col min="13825" max="13825" width="5" style="140" customWidth="1"/>
    <col min="13826" max="13826" width="15.85546875" style="140" customWidth="1"/>
    <col min="13827" max="13830" width="7.7109375" style="140" customWidth="1"/>
    <col min="13831" max="13831" width="7.28515625" style="140" customWidth="1"/>
    <col min="13832" max="13850" width="7" style="140" customWidth="1"/>
    <col min="13851" max="14080" width="9.140625" style="140"/>
    <col min="14081" max="14081" width="5" style="140" customWidth="1"/>
    <col min="14082" max="14082" width="15.85546875" style="140" customWidth="1"/>
    <col min="14083" max="14086" width="7.7109375" style="140" customWidth="1"/>
    <col min="14087" max="14087" width="7.28515625" style="140" customWidth="1"/>
    <col min="14088" max="14106" width="7" style="140" customWidth="1"/>
    <col min="14107" max="14336" width="9.140625" style="140"/>
    <col min="14337" max="14337" width="5" style="140" customWidth="1"/>
    <col min="14338" max="14338" width="15.85546875" style="140" customWidth="1"/>
    <col min="14339" max="14342" width="7.7109375" style="140" customWidth="1"/>
    <col min="14343" max="14343" width="7.28515625" style="140" customWidth="1"/>
    <col min="14344" max="14362" width="7" style="140" customWidth="1"/>
    <col min="14363" max="14592" width="9.140625" style="140"/>
    <col min="14593" max="14593" width="5" style="140" customWidth="1"/>
    <col min="14594" max="14594" width="15.85546875" style="140" customWidth="1"/>
    <col min="14595" max="14598" width="7.7109375" style="140" customWidth="1"/>
    <col min="14599" max="14599" width="7.28515625" style="140" customWidth="1"/>
    <col min="14600" max="14618" width="7" style="140" customWidth="1"/>
    <col min="14619" max="14848" width="9.140625" style="140"/>
    <col min="14849" max="14849" width="5" style="140" customWidth="1"/>
    <col min="14850" max="14850" width="15.85546875" style="140" customWidth="1"/>
    <col min="14851" max="14854" width="7.7109375" style="140" customWidth="1"/>
    <col min="14855" max="14855" width="7.28515625" style="140" customWidth="1"/>
    <col min="14856" max="14874" width="7" style="140" customWidth="1"/>
    <col min="14875" max="15104" width="9.140625" style="140"/>
    <col min="15105" max="15105" width="5" style="140" customWidth="1"/>
    <col min="15106" max="15106" width="15.85546875" style="140" customWidth="1"/>
    <col min="15107" max="15110" width="7.7109375" style="140" customWidth="1"/>
    <col min="15111" max="15111" width="7.28515625" style="140" customWidth="1"/>
    <col min="15112" max="15130" width="7" style="140" customWidth="1"/>
    <col min="15131" max="15360" width="9.140625" style="140"/>
    <col min="15361" max="15361" width="5" style="140" customWidth="1"/>
    <col min="15362" max="15362" width="15.85546875" style="140" customWidth="1"/>
    <col min="15363" max="15366" width="7.7109375" style="140" customWidth="1"/>
    <col min="15367" max="15367" width="7.28515625" style="140" customWidth="1"/>
    <col min="15368" max="15386" width="7" style="140" customWidth="1"/>
    <col min="15387" max="15616" width="9.140625" style="140"/>
    <col min="15617" max="15617" width="5" style="140" customWidth="1"/>
    <col min="15618" max="15618" width="15.85546875" style="140" customWidth="1"/>
    <col min="15619" max="15622" width="7.7109375" style="140" customWidth="1"/>
    <col min="15623" max="15623" width="7.28515625" style="140" customWidth="1"/>
    <col min="15624" max="15642" width="7" style="140" customWidth="1"/>
    <col min="15643" max="15872" width="9.140625" style="140"/>
    <col min="15873" max="15873" width="5" style="140" customWidth="1"/>
    <col min="15874" max="15874" width="15.85546875" style="140" customWidth="1"/>
    <col min="15875" max="15878" width="7.7109375" style="140" customWidth="1"/>
    <col min="15879" max="15879" width="7.28515625" style="140" customWidth="1"/>
    <col min="15880" max="15898" width="7" style="140" customWidth="1"/>
    <col min="15899" max="16128" width="9.140625" style="140"/>
    <col min="16129" max="16129" width="5" style="140" customWidth="1"/>
    <col min="16130" max="16130" width="15.85546875" style="140" customWidth="1"/>
    <col min="16131" max="16134" width="7.7109375" style="140" customWidth="1"/>
    <col min="16135" max="16135" width="7.28515625" style="140" customWidth="1"/>
    <col min="16136" max="16154" width="7" style="140" customWidth="1"/>
    <col min="16155" max="16384" width="9.140625" style="140"/>
  </cols>
  <sheetData>
    <row r="1" spans="1:28" s="139" customFormat="1" ht="60.75" customHeight="1">
      <c r="A1" s="638" t="s">
        <v>0</v>
      </c>
      <c r="B1" s="638"/>
      <c r="C1" s="638"/>
      <c r="D1" s="638"/>
      <c r="E1" s="638"/>
      <c r="F1" s="639" t="s">
        <v>354</v>
      </c>
      <c r="G1" s="639"/>
      <c r="H1" s="639"/>
      <c r="I1" s="639"/>
      <c r="J1" s="639"/>
      <c r="K1" s="639"/>
      <c r="L1" s="639"/>
      <c r="M1" s="639"/>
      <c r="N1" s="639"/>
      <c r="O1" s="639"/>
      <c r="P1" s="639"/>
      <c r="Q1" s="639"/>
      <c r="R1" s="639"/>
    </row>
    <row r="2" spans="1:28" ht="31.5" customHeight="1">
      <c r="A2" s="640" t="s">
        <v>2</v>
      </c>
      <c r="B2" s="640"/>
      <c r="C2" s="640"/>
      <c r="D2" s="640"/>
      <c r="E2" s="640"/>
      <c r="F2" s="640"/>
      <c r="G2" s="640"/>
      <c r="H2" s="640"/>
      <c r="I2" s="640"/>
      <c r="J2" s="640"/>
      <c r="K2" s="640"/>
      <c r="L2" s="640"/>
      <c r="M2" s="640"/>
      <c r="N2" s="640"/>
      <c r="O2" s="640"/>
      <c r="P2" s="640"/>
      <c r="Q2" s="640"/>
      <c r="R2" s="640"/>
      <c r="S2" s="640"/>
      <c r="T2" s="640"/>
      <c r="U2" s="640"/>
      <c r="V2" s="640"/>
      <c r="W2" s="640"/>
      <c r="X2" s="640"/>
      <c r="Y2" s="640"/>
      <c r="Z2" s="640"/>
    </row>
    <row r="3" spans="1:28" ht="44.25" customHeight="1">
      <c r="A3" s="589" t="s">
        <v>3</v>
      </c>
      <c r="B3" s="592" t="s">
        <v>52</v>
      </c>
      <c r="C3" s="595" t="s">
        <v>5</v>
      </c>
      <c r="D3" s="596"/>
      <c r="E3" s="596"/>
      <c r="F3" s="597"/>
      <c r="G3" s="601" t="s">
        <v>6</v>
      </c>
      <c r="H3" s="601"/>
      <c r="I3" s="601"/>
      <c r="J3" s="601"/>
      <c r="K3" s="601"/>
      <c r="L3" s="601"/>
      <c r="M3" s="601"/>
      <c r="N3" s="601"/>
      <c r="O3" s="601"/>
      <c r="P3" s="601"/>
      <c r="Q3" s="601"/>
      <c r="R3" s="601"/>
      <c r="S3" s="601"/>
      <c r="T3" s="601"/>
      <c r="U3" s="601"/>
      <c r="V3" s="601"/>
      <c r="W3" s="601"/>
      <c r="X3" s="601"/>
      <c r="Y3" s="601"/>
      <c r="Z3" s="601"/>
      <c r="AA3" s="513" t="s">
        <v>119</v>
      </c>
      <c r="AB3" s="513" t="s">
        <v>120</v>
      </c>
    </row>
    <row r="4" spans="1:28" ht="44.25" customHeight="1">
      <c r="A4" s="590"/>
      <c r="B4" s="593"/>
      <c r="C4" s="598"/>
      <c r="D4" s="599"/>
      <c r="E4" s="599"/>
      <c r="F4" s="600"/>
      <c r="G4" s="601" t="s">
        <v>9</v>
      </c>
      <c r="H4" s="601"/>
      <c r="I4" s="601"/>
      <c r="J4" s="601"/>
      <c r="K4" s="601" t="s">
        <v>10</v>
      </c>
      <c r="L4" s="601"/>
      <c r="M4" s="601"/>
      <c r="N4" s="601"/>
      <c r="O4" s="601" t="s">
        <v>11</v>
      </c>
      <c r="P4" s="601"/>
      <c r="Q4" s="601"/>
      <c r="R4" s="601"/>
      <c r="S4" s="601" t="s">
        <v>12</v>
      </c>
      <c r="T4" s="601"/>
      <c r="U4" s="601"/>
      <c r="V4" s="601"/>
      <c r="W4" s="601" t="s">
        <v>13</v>
      </c>
      <c r="X4" s="601"/>
      <c r="Y4" s="601"/>
      <c r="Z4" s="601"/>
      <c r="AA4" s="513"/>
      <c r="AB4" s="513"/>
    </row>
    <row r="5" spans="1:28" ht="75.75" customHeight="1">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513"/>
      <c r="AB5" s="513"/>
    </row>
    <row r="6" spans="1:28" s="142" customFormat="1" ht="38.25">
      <c r="A6" s="72" t="s">
        <v>20</v>
      </c>
      <c r="B6" s="72" t="s">
        <v>751</v>
      </c>
      <c r="C6" s="72">
        <v>0</v>
      </c>
      <c r="D6" s="322">
        <v>0</v>
      </c>
      <c r="E6" s="72">
        <v>0</v>
      </c>
      <c r="F6" s="72">
        <v>0</v>
      </c>
      <c r="G6" s="322">
        <v>8000</v>
      </c>
      <c r="H6" s="322">
        <v>8000</v>
      </c>
      <c r="I6" s="322">
        <v>8000</v>
      </c>
      <c r="J6" s="322">
        <v>8000</v>
      </c>
      <c r="K6" s="322">
        <v>10000</v>
      </c>
      <c r="L6" s="322">
        <v>10000</v>
      </c>
      <c r="M6" s="322">
        <v>10000</v>
      </c>
      <c r="N6" s="322">
        <v>10000</v>
      </c>
      <c r="O6" s="322">
        <v>12000</v>
      </c>
      <c r="P6" s="322">
        <v>12000</v>
      </c>
      <c r="Q6" s="322">
        <v>12000</v>
      </c>
      <c r="R6" s="322">
        <v>12000</v>
      </c>
      <c r="S6" s="322">
        <v>13000</v>
      </c>
      <c r="T6" s="322">
        <v>13000</v>
      </c>
      <c r="U6" s="322">
        <v>13000</v>
      </c>
      <c r="V6" s="322">
        <v>13000</v>
      </c>
      <c r="W6" s="322">
        <v>14000</v>
      </c>
      <c r="X6" s="322">
        <v>14000</v>
      </c>
      <c r="Y6" s="322">
        <v>14000</v>
      </c>
      <c r="Z6" s="322">
        <v>14000</v>
      </c>
      <c r="AA6" s="350">
        <f>C6/W6</f>
        <v>0</v>
      </c>
      <c r="AB6" s="350">
        <f>W6/X6</f>
        <v>1</v>
      </c>
    </row>
    <row r="7" spans="1:28" s="142" customFormat="1" ht="38.25">
      <c r="A7" s="72" t="s">
        <v>22</v>
      </c>
      <c r="B7" s="72" t="s">
        <v>752</v>
      </c>
      <c r="C7" s="72">
        <v>0</v>
      </c>
      <c r="D7" s="322">
        <v>0</v>
      </c>
      <c r="E7" s="72">
        <v>0</v>
      </c>
      <c r="F7" s="72">
        <v>0</v>
      </c>
      <c r="G7" s="322">
        <v>8000</v>
      </c>
      <c r="H7" s="322">
        <v>8000</v>
      </c>
      <c r="I7" s="322">
        <v>8000</v>
      </c>
      <c r="J7" s="322">
        <v>8000</v>
      </c>
      <c r="K7" s="322">
        <v>10000</v>
      </c>
      <c r="L7" s="322">
        <v>10000</v>
      </c>
      <c r="M7" s="322">
        <v>10000</v>
      </c>
      <c r="N7" s="322">
        <v>10000</v>
      </c>
      <c r="O7" s="322">
        <v>12000</v>
      </c>
      <c r="P7" s="322">
        <v>12000</v>
      </c>
      <c r="Q7" s="322">
        <v>12000</v>
      </c>
      <c r="R7" s="322">
        <v>12000</v>
      </c>
      <c r="S7" s="322">
        <v>13000</v>
      </c>
      <c r="T7" s="322">
        <v>13000</v>
      </c>
      <c r="U7" s="322">
        <v>13000</v>
      </c>
      <c r="V7" s="322">
        <v>13000</v>
      </c>
      <c r="W7" s="322">
        <v>14000</v>
      </c>
      <c r="X7" s="322">
        <v>14000</v>
      </c>
      <c r="Y7" s="322">
        <v>14000</v>
      </c>
      <c r="Z7" s="322">
        <v>14000</v>
      </c>
      <c r="AA7" s="350">
        <f t="shared" ref="AA7:AA9" si="0">C7/W7</f>
        <v>0</v>
      </c>
      <c r="AB7" s="350">
        <f t="shared" ref="AB7:AB9" si="1">W7/X7</f>
        <v>1</v>
      </c>
    </row>
    <row r="8" spans="1:28" s="142" customFormat="1" ht="38.25">
      <c r="A8" s="72" t="s">
        <v>61</v>
      </c>
      <c r="B8" s="72" t="s">
        <v>753</v>
      </c>
      <c r="C8" s="72">
        <v>0</v>
      </c>
      <c r="D8" s="322">
        <v>0</v>
      </c>
      <c r="E8" s="72">
        <v>0</v>
      </c>
      <c r="F8" s="72">
        <v>0</v>
      </c>
      <c r="G8" s="322">
        <v>300</v>
      </c>
      <c r="H8" s="322">
        <v>300</v>
      </c>
      <c r="I8" s="322">
        <v>300</v>
      </c>
      <c r="J8" s="322">
        <v>300</v>
      </c>
      <c r="K8" s="322">
        <v>500</v>
      </c>
      <c r="L8" s="322">
        <v>500</v>
      </c>
      <c r="M8" s="322">
        <v>500</v>
      </c>
      <c r="N8" s="322">
        <v>500</v>
      </c>
      <c r="O8" s="322">
        <v>700</v>
      </c>
      <c r="P8" s="322">
        <v>700</v>
      </c>
      <c r="Q8" s="322">
        <v>700</v>
      </c>
      <c r="R8" s="322">
        <v>700</v>
      </c>
      <c r="S8" s="322">
        <v>800</v>
      </c>
      <c r="T8" s="322">
        <v>800</v>
      </c>
      <c r="U8" s="322">
        <v>800</v>
      </c>
      <c r="V8" s="322">
        <v>800</v>
      </c>
      <c r="W8" s="322">
        <v>850</v>
      </c>
      <c r="X8" s="322">
        <v>850</v>
      </c>
      <c r="Y8" s="322">
        <v>850</v>
      </c>
      <c r="Z8" s="322">
        <v>850</v>
      </c>
      <c r="AA8" s="350">
        <f t="shared" si="0"/>
        <v>0</v>
      </c>
      <c r="AB8" s="457">
        <f t="shared" si="1"/>
        <v>1</v>
      </c>
    </row>
    <row r="9" spans="1:28" s="142" customFormat="1" ht="38.25">
      <c r="A9" s="72" t="s">
        <v>63</v>
      </c>
      <c r="B9" s="72" t="s">
        <v>754</v>
      </c>
      <c r="C9" s="72">
        <v>0</v>
      </c>
      <c r="D9" s="322">
        <v>0</v>
      </c>
      <c r="E9" s="72">
        <v>0</v>
      </c>
      <c r="F9" s="72">
        <v>0</v>
      </c>
      <c r="G9" s="322">
        <v>100</v>
      </c>
      <c r="H9" s="322">
        <v>100</v>
      </c>
      <c r="I9" s="322">
        <v>100</v>
      </c>
      <c r="J9" s="322">
        <v>100</v>
      </c>
      <c r="K9" s="322">
        <v>150</v>
      </c>
      <c r="L9" s="322">
        <v>150</v>
      </c>
      <c r="M9" s="322">
        <v>150</v>
      </c>
      <c r="N9" s="322">
        <v>150</v>
      </c>
      <c r="O9" s="322">
        <v>200</v>
      </c>
      <c r="P9" s="322">
        <v>200</v>
      </c>
      <c r="Q9" s="322">
        <v>200</v>
      </c>
      <c r="R9" s="322">
        <v>200</v>
      </c>
      <c r="S9" s="322">
        <v>250</v>
      </c>
      <c r="T9" s="322">
        <v>250</v>
      </c>
      <c r="U9" s="322">
        <v>250</v>
      </c>
      <c r="V9" s="322">
        <v>250</v>
      </c>
      <c r="W9" s="322">
        <v>300</v>
      </c>
      <c r="X9" s="322">
        <v>300</v>
      </c>
      <c r="Y9" s="322">
        <v>300</v>
      </c>
      <c r="Z9" s="322">
        <v>300</v>
      </c>
      <c r="AA9" s="350">
        <f t="shared" si="0"/>
        <v>0</v>
      </c>
      <c r="AB9" s="458">
        <f t="shared" si="1"/>
        <v>1</v>
      </c>
    </row>
    <row r="10" spans="1:28" s="142" customFormat="1" ht="51">
      <c r="A10" s="323"/>
      <c r="B10" s="323"/>
      <c r="C10" s="323"/>
      <c r="D10" s="324"/>
      <c r="E10" s="323"/>
      <c r="F10" s="323"/>
      <c r="G10" s="324"/>
      <c r="H10" s="324"/>
      <c r="I10" s="324"/>
      <c r="J10" s="324"/>
      <c r="K10" s="324"/>
      <c r="L10" s="324"/>
      <c r="M10" s="324"/>
      <c r="N10" s="324"/>
      <c r="O10" s="324"/>
      <c r="P10" s="324"/>
      <c r="Q10" s="324"/>
      <c r="R10" s="324"/>
      <c r="S10" s="324"/>
      <c r="T10" s="324"/>
      <c r="U10" s="324"/>
      <c r="V10" s="324"/>
      <c r="W10" s="324"/>
      <c r="X10" s="324"/>
      <c r="Y10" s="324"/>
      <c r="Z10" s="212" t="s">
        <v>123</v>
      </c>
      <c r="AA10" s="413">
        <f>AVERAGE(AA6:AA9)</f>
        <v>0</v>
      </c>
      <c r="AB10" s="413">
        <f>AVERAGE(AB6:AB9)</f>
        <v>1</v>
      </c>
    </row>
    <row r="12" spans="1:28" ht="22.5" customHeight="1">
      <c r="A12" s="640" t="s">
        <v>356</v>
      </c>
      <c r="B12" s="640"/>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row>
    <row r="13" spans="1:28" ht="45.75" customHeight="1">
      <c r="A13" s="589" t="s">
        <v>3</v>
      </c>
      <c r="B13" s="592" t="s">
        <v>26</v>
      </c>
      <c r="C13" s="595" t="s">
        <v>27</v>
      </c>
      <c r="D13" s="596"/>
      <c r="E13" s="596"/>
      <c r="F13" s="597"/>
      <c r="G13" s="601" t="s">
        <v>28</v>
      </c>
      <c r="H13" s="601"/>
      <c r="I13" s="601"/>
      <c r="J13" s="601"/>
      <c r="K13" s="601"/>
      <c r="L13" s="601"/>
      <c r="M13" s="601"/>
      <c r="N13" s="601"/>
      <c r="O13" s="601"/>
      <c r="P13" s="601"/>
      <c r="Q13" s="601"/>
      <c r="R13" s="601"/>
      <c r="S13" s="601"/>
      <c r="T13" s="601"/>
      <c r="U13" s="601"/>
      <c r="V13" s="601"/>
      <c r="W13" s="601"/>
      <c r="X13" s="601"/>
      <c r="Y13" s="601"/>
      <c r="Z13" s="601"/>
      <c r="AA13" s="513" t="s">
        <v>124</v>
      </c>
      <c r="AB13" s="513" t="s">
        <v>125</v>
      </c>
    </row>
    <row r="14" spans="1:28" ht="45" customHeight="1">
      <c r="A14" s="590"/>
      <c r="B14" s="593"/>
      <c r="C14" s="598"/>
      <c r="D14" s="599"/>
      <c r="E14" s="599"/>
      <c r="F14" s="600"/>
      <c r="G14" s="601" t="s">
        <v>9</v>
      </c>
      <c r="H14" s="601"/>
      <c r="I14" s="601"/>
      <c r="J14" s="601"/>
      <c r="K14" s="601" t="s">
        <v>10</v>
      </c>
      <c r="L14" s="601"/>
      <c r="M14" s="601"/>
      <c r="N14" s="601"/>
      <c r="O14" s="601" t="s">
        <v>11</v>
      </c>
      <c r="P14" s="601"/>
      <c r="Q14" s="601"/>
      <c r="R14" s="601"/>
      <c r="S14" s="601" t="s">
        <v>12</v>
      </c>
      <c r="T14" s="601"/>
      <c r="U14" s="601"/>
      <c r="V14" s="601"/>
      <c r="W14" s="601" t="s">
        <v>13</v>
      </c>
      <c r="X14" s="601"/>
      <c r="Y14" s="601"/>
      <c r="Z14" s="601"/>
      <c r="AA14" s="513" t="s">
        <v>124</v>
      </c>
      <c r="AB14" s="513" t="s">
        <v>125</v>
      </c>
    </row>
    <row r="15" spans="1:28" ht="78.75" customHeight="1">
      <c r="A15" s="591"/>
      <c r="B15" s="594"/>
      <c r="C15" s="68" t="s">
        <v>31</v>
      </c>
      <c r="D15" s="68" t="s">
        <v>32</v>
      </c>
      <c r="E15" s="68" t="s">
        <v>33</v>
      </c>
      <c r="F15" s="68" t="s">
        <v>17</v>
      </c>
      <c r="G15" s="68" t="s">
        <v>34</v>
      </c>
      <c r="H15" s="68" t="s">
        <v>32</v>
      </c>
      <c r="I15" s="68" t="s">
        <v>33</v>
      </c>
      <c r="J15" s="68" t="s">
        <v>19</v>
      </c>
      <c r="K15" s="68" t="s">
        <v>34</v>
      </c>
      <c r="L15" s="68" t="s">
        <v>32</v>
      </c>
      <c r="M15" s="68" t="s">
        <v>33</v>
      </c>
      <c r="N15" s="68" t="s">
        <v>19</v>
      </c>
      <c r="O15" s="68" t="s">
        <v>34</v>
      </c>
      <c r="P15" s="68" t="s">
        <v>32</v>
      </c>
      <c r="Q15" s="68" t="s">
        <v>33</v>
      </c>
      <c r="R15" s="68" t="s">
        <v>19</v>
      </c>
      <c r="S15" s="68" t="s">
        <v>34</v>
      </c>
      <c r="T15" s="68" t="s">
        <v>32</v>
      </c>
      <c r="U15" s="68" t="s">
        <v>33</v>
      </c>
      <c r="V15" s="68" t="s">
        <v>19</v>
      </c>
      <c r="W15" s="68" t="s">
        <v>34</v>
      </c>
      <c r="X15" s="68" t="s">
        <v>32</v>
      </c>
      <c r="Y15" s="68" t="s">
        <v>33</v>
      </c>
      <c r="Z15" s="68" t="s">
        <v>19</v>
      </c>
      <c r="AA15" s="513" t="s">
        <v>124</v>
      </c>
      <c r="AB15" s="513" t="s">
        <v>125</v>
      </c>
    </row>
    <row r="16" spans="1:28" s="143" customFormat="1" ht="146.25" customHeight="1">
      <c r="A16" s="642" t="s">
        <v>359</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596"/>
      <c r="AA16" s="596"/>
      <c r="AB16" s="597"/>
    </row>
    <row r="17" spans="1:28">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6"/>
      <c r="AA17" s="327"/>
      <c r="AB17" s="327"/>
    </row>
    <row r="18" spans="1:28">
      <c r="A18" s="77"/>
      <c r="B18" s="77" t="s">
        <v>40</v>
      </c>
    </row>
    <row r="20" spans="1:28" ht="31.5" customHeight="1">
      <c r="A20" s="144" t="s">
        <v>41</v>
      </c>
      <c r="B20" s="602" t="s">
        <v>42</v>
      </c>
      <c r="C20" s="602"/>
      <c r="D20" s="602"/>
      <c r="E20" s="602"/>
      <c r="F20" s="602"/>
      <c r="G20" s="602"/>
      <c r="H20" s="602"/>
      <c r="I20" s="602"/>
      <c r="J20" s="602"/>
      <c r="K20" s="602"/>
      <c r="L20" s="602"/>
      <c r="M20" s="602"/>
      <c r="N20" s="602"/>
      <c r="O20" s="602"/>
      <c r="P20" s="602"/>
      <c r="Q20" s="602"/>
      <c r="R20" s="602"/>
    </row>
    <row r="21" spans="1:28" ht="31.5" customHeight="1">
      <c r="A21" s="144" t="s">
        <v>43</v>
      </c>
      <c r="B21" s="602" t="s">
        <v>44</v>
      </c>
      <c r="C21" s="602"/>
      <c r="D21" s="602"/>
      <c r="E21" s="602"/>
      <c r="F21" s="602"/>
      <c r="G21" s="602"/>
      <c r="H21" s="602"/>
      <c r="I21" s="602"/>
      <c r="J21" s="602"/>
      <c r="K21" s="602"/>
      <c r="L21" s="602"/>
      <c r="M21" s="602"/>
      <c r="N21" s="602"/>
      <c r="O21" s="602"/>
      <c r="P21" s="602"/>
      <c r="Q21" s="602"/>
      <c r="R21" s="602"/>
    </row>
    <row r="22" spans="1:28" ht="31.5" customHeight="1">
      <c r="B22" s="602" t="s">
        <v>45</v>
      </c>
      <c r="C22" s="602"/>
      <c r="D22" s="602"/>
      <c r="E22" s="602"/>
      <c r="F22" s="602"/>
      <c r="G22" s="602"/>
      <c r="H22" s="602"/>
      <c r="I22" s="602"/>
      <c r="J22" s="602"/>
      <c r="K22" s="602"/>
      <c r="L22" s="602"/>
      <c r="M22" s="602"/>
      <c r="N22" s="602"/>
      <c r="O22" s="602"/>
      <c r="P22" s="602"/>
      <c r="Q22" s="602"/>
      <c r="R22" s="602"/>
    </row>
    <row r="23" spans="1:28" ht="31.5" customHeight="1">
      <c r="B23" s="602" t="s">
        <v>46</v>
      </c>
      <c r="C23" s="602"/>
      <c r="D23" s="602"/>
      <c r="E23" s="602"/>
      <c r="F23" s="602"/>
      <c r="G23" s="602"/>
      <c r="H23" s="602"/>
      <c r="I23" s="602"/>
      <c r="J23" s="602"/>
      <c r="K23" s="602"/>
      <c r="L23" s="602"/>
      <c r="M23" s="602"/>
      <c r="N23" s="602"/>
      <c r="O23" s="602"/>
      <c r="P23" s="602"/>
      <c r="Q23" s="602"/>
      <c r="R23" s="602"/>
    </row>
    <row r="24" spans="1:28" ht="31.5" customHeight="1">
      <c r="B24" s="602" t="s">
        <v>47</v>
      </c>
      <c r="C24" s="602"/>
      <c r="D24" s="602"/>
      <c r="E24" s="602"/>
      <c r="F24" s="602"/>
      <c r="G24" s="602"/>
      <c r="H24" s="602"/>
      <c r="I24" s="602"/>
      <c r="J24" s="602"/>
      <c r="K24" s="602"/>
      <c r="L24" s="602"/>
      <c r="M24" s="602"/>
      <c r="N24" s="602"/>
      <c r="O24" s="602"/>
      <c r="P24" s="602"/>
      <c r="Q24" s="602"/>
      <c r="R24" s="602"/>
    </row>
    <row r="25" spans="1:28" ht="31.5" customHeight="1">
      <c r="B25" s="602" t="s">
        <v>48</v>
      </c>
      <c r="C25" s="602"/>
      <c r="D25" s="602"/>
      <c r="E25" s="602"/>
      <c r="F25" s="602"/>
      <c r="G25" s="602"/>
      <c r="H25" s="602"/>
      <c r="I25" s="602"/>
      <c r="J25" s="602"/>
      <c r="K25" s="602"/>
      <c r="L25" s="602"/>
      <c r="M25" s="602"/>
      <c r="N25" s="602"/>
      <c r="O25" s="602"/>
      <c r="P25" s="602"/>
      <c r="Q25" s="602"/>
      <c r="R25" s="602"/>
    </row>
    <row r="26" spans="1:28" ht="73.5" customHeight="1">
      <c r="B26" s="602" t="s">
        <v>49</v>
      </c>
      <c r="C26" s="602"/>
      <c r="D26" s="602"/>
      <c r="E26" s="602"/>
      <c r="F26" s="602"/>
      <c r="G26" s="602"/>
      <c r="H26" s="602"/>
      <c r="I26" s="602"/>
      <c r="J26" s="602"/>
      <c r="K26" s="602"/>
      <c r="L26" s="602"/>
      <c r="M26" s="602"/>
      <c r="N26" s="602"/>
      <c r="O26" s="602"/>
      <c r="P26" s="602"/>
      <c r="Q26" s="602"/>
      <c r="R26" s="602"/>
    </row>
    <row r="27" spans="1:28" ht="39" customHeight="1">
      <c r="B27" s="602" t="s">
        <v>50</v>
      </c>
      <c r="C27" s="602"/>
      <c r="D27" s="602"/>
      <c r="E27" s="602"/>
      <c r="F27" s="602"/>
      <c r="G27" s="602"/>
      <c r="H27" s="602"/>
      <c r="I27" s="602"/>
      <c r="J27" s="602"/>
      <c r="K27" s="602"/>
      <c r="L27" s="602"/>
      <c r="M27" s="602"/>
      <c r="N27" s="602"/>
      <c r="O27" s="602"/>
      <c r="P27" s="602"/>
      <c r="Q27" s="602"/>
      <c r="R27" s="602"/>
    </row>
    <row r="28" spans="1:28" s="146" customFormat="1" ht="152.25" customHeight="1">
      <c r="A28" s="145"/>
      <c r="B28" s="641" t="s">
        <v>360</v>
      </c>
      <c r="C28" s="641"/>
      <c r="D28" s="641"/>
      <c r="E28" s="641"/>
      <c r="F28" s="641"/>
      <c r="G28" s="641"/>
      <c r="H28" s="641"/>
      <c r="I28" s="641"/>
      <c r="J28" s="641"/>
      <c r="K28" s="641"/>
      <c r="L28" s="641"/>
      <c r="M28" s="641"/>
      <c r="N28" s="641"/>
      <c r="O28" s="641"/>
      <c r="P28" s="641"/>
      <c r="Q28" s="641"/>
      <c r="R28" s="641"/>
    </row>
    <row r="29" spans="1:28" s="147" customFormat="1" ht="12.75"/>
    <row r="30" spans="1:28" s="147" customFormat="1" ht="12.75"/>
    <row r="31" spans="1:28" s="147" customFormat="1" ht="12.75"/>
  </sheetData>
  <mergeCells count="36">
    <mergeCell ref="B25:R25"/>
    <mergeCell ref="B26:R26"/>
    <mergeCell ref="B27:R27"/>
    <mergeCell ref="B28:R28"/>
    <mergeCell ref="A16:AB16"/>
    <mergeCell ref="B20:R20"/>
    <mergeCell ref="B21:R21"/>
    <mergeCell ref="B22:R22"/>
    <mergeCell ref="B23:R23"/>
    <mergeCell ref="B24:R24"/>
    <mergeCell ref="AB13:AB15"/>
    <mergeCell ref="G14:J14"/>
    <mergeCell ref="K14:N14"/>
    <mergeCell ref="O14:R14"/>
    <mergeCell ref="S14:V14"/>
    <mergeCell ref="W14:Z14"/>
    <mergeCell ref="AA13:AA15"/>
    <mergeCell ref="A12:Z12"/>
    <mergeCell ref="A13:A15"/>
    <mergeCell ref="B13:B15"/>
    <mergeCell ref="C13:F14"/>
    <mergeCell ref="G13:Z13"/>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dimension ref="B1:AC32"/>
  <sheetViews>
    <sheetView topLeftCell="O10" workbookViewId="0">
      <selection activeCell="B25" sqref="B24:S25"/>
    </sheetView>
  </sheetViews>
  <sheetFormatPr defaultRowHeight="15"/>
  <cols>
    <col min="1" max="1" width="3.85546875" customWidth="1"/>
    <col min="2" max="2" width="6.85546875" style="135" customWidth="1"/>
    <col min="3" max="3" width="24.7109375" customWidth="1"/>
    <col min="4" max="4" width="10.85546875" customWidth="1"/>
    <col min="5" max="5" width="8.7109375" customWidth="1"/>
    <col min="8" max="8" width="10.7109375" customWidth="1"/>
    <col min="9" max="9" width="10.85546875" customWidth="1"/>
    <col min="10" max="10" width="10.7109375" customWidth="1"/>
    <col min="11" max="11" width="7.85546875" customWidth="1"/>
    <col min="12" max="12" width="10.7109375" customWidth="1"/>
    <col min="13" max="13" width="9.42578125" customWidth="1"/>
    <col min="14" max="14" width="8.28515625" customWidth="1"/>
    <col min="15" max="15" width="7.28515625" customWidth="1"/>
    <col min="16" max="16" width="10.42578125" customWidth="1"/>
    <col min="17" max="17" width="8.85546875" customWidth="1"/>
    <col min="18" max="18" width="8.140625" customWidth="1"/>
    <col min="19" max="19" width="7.42578125" customWidth="1"/>
    <col min="20" max="20" width="10.5703125" customWidth="1"/>
    <col min="21" max="21" width="8.7109375" customWidth="1"/>
    <col min="22" max="22" width="8.28515625" customWidth="1"/>
    <col min="23" max="23" width="7.7109375" customWidth="1"/>
    <col min="24" max="24" width="10.5703125" customWidth="1"/>
    <col min="25" max="25" width="8.7109375" customWidth="1"/>
    <col min="26" max="26" width="8.140625" customWidth="1"/>
    <col min="27" max="27" width="7.85546875" customWidth="1"/>
    <col min="28" max="28" width="17.140625" style="135" customWidth="1"/>
    <col min="29" max="29" width="15.140625" style="135" customWidth="1"/>
  </cols>
  <sheetData>
    <row r="1" spans="2:29" ht="20.25">
      <c r="B1" s="644" t="s">
        <v>0</v>
      </c>
      <c r="C1" s="644"/>
      <c r="D1" s="644"/>
      <c r="E1" s="644"/>
      <c r="F1" s="644"/>
      <c r="G1" s="645" t="s">
        <v>361</v>
      </c>
      <c r="H1" s="586"/>
      <c r="I1" s="586"/>
      <c r="J1" s="586"/>
      <c r="K1" s="586"/>
      <c r="L1" s="586"/>
      <c r="M1" s="586"/>
      <c r="N1" s="586"/>
      <c r="O1" s="586"/>
      <c r="P1" s="586"/>
      <c r="Q1" s="586"/>
      <c r="R1" s="586"/>
      <c r="S1" s="586"/>
      <c r="T1" s="66"/>
      <c r="U1" s="66"/>
      <c r="V1" s="66"/>
      <c r="W1" s="66"/>
      <c r="X1" s="66"/>
      <c r="Y1" s="66"/>
      <c r="Z1" s="66"/>
      <c r="AA1" s="66"/>
    </row>
    <row r="2" spans="2:29" ht="23.25">
      <c r="B2" s="588" t="s">
        <v>2</v>
      </c>
      <c r="C2" s="588"/>
      <c r="D2" s="588"/>
      <c r="E2" s="588"/>
      <c r="F2" s="588"/>
      <c r="G2" s="588"/>
      <c r="H2" s="588"/>
      <c r="I2" s="588"/>
      <c r="J2" s="588"/>
      <c r="K2" s="588"/>
      <c r="L2" s="588"/>
      <c r="M2" s="588"/>
      <c r="N2" s="588"/>
      <c r="O2" s="588"/>
      <c r="P2" s="588"/>
      <c r="Q2" s="588"/>
      <c r="R2" s="588"/>
      <c r="S2" s="588"/>
      <c r="T2" s="588"/>
      <c r="U2" s="588"/>
      <c r="V2" s="588"/>
      <c r="W2" s="588"/>
      <c r="X2" s="588"/>
      <c r="Y2" s="588"/>
      <c r="Z2" s="588"/>
      <c r="AA2" s="588"/>
    </row>
    <row r="3" spans="2:29">
      <c r="B3" s="589" t="s">
        <v>3</v>
      </c>
      <c r="C3" s="592" t="s">
        <v>4</v>
      </c>
      <c r="D3" s="595" t="s">
        <v>5</v>
      </c>
      <c r="E3" s="596"/>
      <c r="F3" s="596"/>
      <c r="G3" s="597"/>
      <c r="H3" s="601" t="s">
        <v>6</v>
      </c>
      <c r="I3" s="601"/>
      <c r="J3" s="601"/>
      <c r="K3" s="601"/>
      <c r="L3" s="601"/>
      <c r="M3" s="601"/>
      <c r="N3" s="601"/>
      <c r="O3" s="601"/>
      <c r="P3" s="601"/>
      <c r="Q3" s="601"/>
      <c r="R3" s="601"/>
      <c r="S3" s="601"/>
      <c r="T3" s="601"/>
      <c r="U3" s="601"/>
      <c r="V3" s="601"/>
      <c r="W3" s="601"/>
      <c r="X3" s="601"/>
      <c r="Y3" s="601"/>
      <c r="Z3" s="601"/>
      <c r="AA3" s="601"/>
      <c r="AB3" s="515" t="s">
        <v>7</v>
      </c>
      <c r="AC3" s="515" t="s">
        <v>8</v>
      </c>
    </row>
    <row r="4" spans="2:29" ht="33" customHeight="1">
      <c r="B4" s="590"/>
      <c r="C4" s="593"/>
      <c r="D4" s="598"/>
      <c r="E4" s="599"/>
      <c r="F4" s="599"/>
      <c r="G4" s="600"/>
      <c r="H4" s="601" t="s">
        <v>9</v>
      </c>
      <c r="I4" s="601"/>
      <c r="J4" s="601"/>
      <c r="K4" s="601"/>
      <c r="L4" s="601" t="s">
        <v>10</v>
      </c>
      <c r="M4" s="601"/>
      <c r="N4" s="601"/>
      <c r="O4" s="601"/>
      <c r="P4" s="601" t="s">
        <v>11</v>
      </c>
      <c r="Q4" s="601"/>
      <c r="R4" s="601"/>
      <c r="S4" s="601"/>
      <c r="T4" s="601" t="s">
        <v>12</v>
      </c>
      <c r="U4" s="601"/>
      <c r="V4" s="601"/>
      <c r="W4" s="601"/>
      <c r="X4" s="601" t="s">
        <v>13</v>
      </c>
      <c r="Y4" s="601"/>
      <c r="Z4" s="601"/>
      <c r="AA4" s="601"/>
      <c r="AB4" s="527"/>
      <c r="AC4" s="527"/>
    </row>
    <row r="5" spans="2:29" s="136" customFormat="1" ht="83.25" customHeight="1">
      <c r="B5" s="591"/>
      <c r="C5" s="594"/>
      <c r="D5" s="68" t="s">
        <v>14</v>
      </c>
      <c r="E5" s="68" t="s">
        <v>15</v>
      </c>
      <c r="F5" s="68" t="s">
        <v>16</v>
      </c>
      <c r="G5" s="68" t="s">
        <v>17</v>
      </c>
      <c r="H5" s="68" t="s">
        <v>14</v>
      </c>
      <c r="I5" s="68" t="s">
        <v>15</v>
      </c>
      <c r="J5" s="68" t="s">
        <v>18</v>
      </c>
      <c r="K5" s="68" t="s">
        <v>19</v>
      </c>
      <c r="L5" s="68" t="s">
        <v>14</v>
      </c>
      <c r="M5" s="68" t="s">
        <v>15</v>
      </c>
      <c r="N5" s="68" t="s">
        <v>18</v>
      </c>
      <c r="O5" s="68" t="s">
        <v>19</v>
      </c>
      <c r="P5" s="68" t="s">
        <v>14</v>
      </c>
      <c r="Q5" s="68" t="s">
        <v>15</v>
      </c>
      <c r="R5" s="68" t="s">
        <v>18</v>
      </c>
      <c r="S5" s="68" t="s">
        <v>19</v>
      </c>
      <c r="T5" s="68" t="s">
        <v>14</v>
      </c>
      <c r="U5" s="68" t="s">
        <v>15</v>
      </c>
      <c r="V5" s="68" t="s">
        <v>18</v>
      </c>
      <c r="W5" s="68" t="s">
        <v>19</v>
      </c>
      <c r="X5" s="68" t="s">
        <v>14</v>
      </c>
      <c r="Y5" s="68" t="s">
        <v>15</v>
      </c>
      <c r="Z5" s="68" t="s">
        <v>18</v>
      </c>
      <c r="AA5" s="68" t="s">
        <v>19</v>
      </c>
      <c r="AB5" s="528"/>
      <c r="AC5" s="528"/>
    </row>
    <row r="6" spans="2:29" s="135" customFormat="1" ht="25.5">
      <c r="B6" s="70">
        <v>1</v>
      </c>
      <c r="C6" s="148" t="s">
        <v>362</v>
      </c>
      <c r="D6" s="70">
        <v>0</v>
      </c>
      <c r="E6" s="70">
        <v>11000000</v>
      </c>
      <c r="F6" s="70">
        <v>0</v>
      </c>
      <c r="G6" s="70">
        <v>8000</v>
      </c>
      <c r="H6" s="149">
        <v>1100000</v>
      </c>
      <c r="I6" s="149">
        <v>11000000</v>
      </c>
      <c r="J6" s="149">
        <v>800</v>
      </c>
      <c r="K6" s="149">
        <v>8000</v>
      </c>
      <c r="L6" s="149">
        <v>2200000</v>
      </c>
      <c r="M6" s="149">
        <v>11000000</v>
      </c>
      <c r="N6" s="149">
        <v>1600</v>
      </c>
      <c r="O6" s="149">
        <v>8000</v>
      </c>
      <c r="P6" s="149">
        <v>3600000</v>
      </c>
      <c r="Q6" s="149">
        <v>11000000</v>
      </c>
      <c r="R6" s="149">
        <v>3000</v>
      </c>
      <c r="S6" s="149">
        <v>8000</v>
      </c>
      <c r="T6" s="149">
        <v>7000000</v>
      </c>
      <c r="U6" s="149">
        <v>11000000</v>
      </c>
      <c r="V6" s="149">
        <v>5000</v>
      </c>
      <c r="W6" s="149">
        <v>8000</v>
      </c>
      <c r="X6" s="149">
        <v>9500000</v>
      </c>
      <c r="Y6" s="149">
        <v>11000000</v>
      </c>
      <c r="Z6" s="149">
        <v>7000</v>
      </c>
      <c r="AA6" s="150">
        <v>8000</v>
      </c>
      <c r="AB6" s="328">
        <f t="shared" ref="AB6:AB12" si="0">D6/X6</f>
        <v>0</v>
      </c>
      <c r="AC6" s="328">
        <f t="shared" ref="AC6:AC12" si="1">X6/Y6</f>
        <v>0.86363636363636365</v>
      </c>
    </row>
    <row r="7" spans="2:29" s="135" customFormat="1" ht="25.5">
      <c r="B7" s="70">
        <v>2</v>
      </c>
      <c r="C7" s="148" t="s">
        <v>363</v>
      </c>
      <c r="D7" s="70">
        <v>0</v>
      </c>
      <c r="E7" s="70">
        <v>11000000</v>
      </c>
      <c r="F7" s="70">
        <v>0</v>
      </c>
      <c r="G7" s="70">
        <v>3270</v>
      </c>
      <c r="H7" s="70">
        <v>1100000</v>
      </c>
      <c r="I7" s="149">
        <v>11000000</v>
      </c>
      <c r="J7" s="149">
        <v>327</v>
      </c>
      <c r="K7" s="149">
        <v>3270</v>
      </c>
      <c r="L7" s="149">
        <v>2200000</v>
      </c>
      <c r="M7" s="149">
        <v>11000000</v>
      </c>
      <c r="N7" s="149">
        <v>650</v>
      </c>
      <c r="O7" s="149">
        <v>3270</v>
      </c>
      <c r="P7" s="149">
        <v>3600000</v>
      </c>
      <c r="Q7" s="149">
        <v>11000000</v>
      </c>
      <c r="R7" s="149">
        <v>1225</v>
      </c>
      <c r="S7" s="70">
        <v>3270</v>
      </c>
      <c r="T7" s="70">
        <v>7000000</v>
      </c>
      <c r="U7" s="149">
        <v>11000000</v>
      </c>
      <c r="V7" s="70">
        <v>2000</v>
      </c>
      <c r="W7" s="70">
        <v>3270</v>
      </c>
      <c r="X7" s="70">
        <v>9500000</v>
      </c>
      <c r="Y7" s="149">
        <v>11000000</v>
      </c>
      <c r="Z7" s="70">
        <v>2500</v>
      </c>
      <c r="AA7" s="152">
        <v>3270</v>
      </c>
      <c r="AB7" s="328">
        <f t="shared" si="0"/>
        <v>0</v>
      </c>
      <c r="AC7" s="328">
        <f t="shared" si="1"/>
        <v>0.86363636363636365</v>
      </c>
    </row>
    <row r="8" spans="2:29" s="135" customFormat="1" ht="51">
      <c r="B8" s="70">
        <v>3</v>
      </c>
      <c r="C8" s="148" t="s">
        <v>364</v>
      </c>
      <c r="D8" s="70">
        <v>0</v>
      </c>
      <c r="E8" s="70">
        <v>3000000</v>
      </c>
      <c r="F8" s="70">
        <v>0</v>
      </c>
      <c r="G8" s="70">
        <v>800</v>
      </c>
      <c r="H8" s="149">
        <v>300000</v>
      </c>
      <c r="I8" s="149">
        <v>3000000</v>
      </c>
      <c r="J8" s="149">
        <v>80</v>
      </c>
      <c r="K8" s="149">
        <v>800</v>
      </c>
      <c r="L8" s="149">
        <v>600000</v>
      </c>
      <c r="M8" s="149">
        <v>3000000</v>
      </c>
      <c r="N8" s="149">
        <v>160</v>
      </c>
      <c r="O8" s="153">
        <v>800</v>
      </c>
      <c r="P8" s="149">
        <v>1000000</v>
      </c>
      <c r="Q8" s="149">
        <v>3000000</v>
      </c>
      <c r="R8" s="149">
        <v>300</v>
      </c>
      <c r="S8" s="149">
        <v>800</v>
      </c>
      <c r="T8" s="70">
        <v>2000000</v>
      </c>
      <c r="U8" s="149">
        <v>3000000</v>
      </c>
      <c r="V8" s="149">
        <v>480</v>
      </c>
      <c r="W8" s="149">
        <v>800</v>
      </c>
      <c r="X8" s="149">
        <v>2500000</v>
      </c>
      <c r="Y8" s="149">
        <v>3000000</v>
      </c>
      <c r="Z8" s="149">
        <v>650</v>
      </c>
      <c r="AA8" s="150">
        <v>800</v>
      </c>
      <c r="AB8" s="328">
        <f t="shared" si="0"/>
        <v>0</v>
      </c>
      <c r="AC8" s="329">
        <f t="shared" si="1"/>
        <v>0.83333333333333337</v>
      </c>
    </row>
    <row r="9" spans="2:29" s="135" customFormat="1" ht="16.5" customHeight="1">
      <c r="B9" s="70">
        <v>4</v>
      </c>
      <c r="C9" s="148" t="s">
        <v>365</v>
      </c>
      <c r="D9" s="70">
        <v>0</v>
      </c>
      <c r="E9" s="70">
        <v>100</v>
      </c>
      <c r="F9" s="70">
        <v>0</v>
      </c>
      <c r="G9" s="70">
        <v>15</v>
      </c>
      <c r="H9" s="149">
        <v>200</v>
      </c>
      <c r="I9" s="149">
        <v>300</v>
      </c>
      <c r="J9" s="149">
        <v>3</v>
      </c>
      <c r="K9" s="149">
        <v>15</v>
      </c>
      <c r="L9" s="149">
        <v>300</v>
      </c>
      <c r="M9" s="149">
        <v>400</v>
      </c>
      <c r="N9" s="149">
        <v>5</v>
      </c>
      <c r="O9" s="153">
        <v>15</v>
      </c>
      <c r="P9" s="149">
        <v>400</v>
      </c>
      <c r="Q9" s="149">
        <v>450</v>
      </c>
      <c r="R9" s="149">
        <v>8</v>
      </c>
      <c r="S9" s="149">
        <v>15</v>
      </c>
      <c r="T9" s="149">
        <v>470</v>
      </c>
      <c r="U9" s="149">
        <v>500</v>
      </c>
      <c r="V9" s="149">
        <v>12</v>
      </c>
      <c r="W9" s="149">
        <v>15</v>
      </c>
      <c r="X9" s="149">
        <v>500</v>
      </c>
      <c r="Y9" s="149">
        <v>520</v>
      </c>
      <c r="Z9" s="149">
        <v>14</v>
      </c>
      <c r="AA9" s="150">
        <v>15</v>
      </c>
      <c r="AB9" s="328">
        <f t="shared" si="0"/>
        <v>0</v>
      </c>
      <c r="AC9" s="329">
        <f t="shared" si="1"/>
        <v>0.96153846153846156</v>
      </c>
    </row>
    <row r="10" spans="2:29" s="135" customFormat="1" ht="51">
      <c r="B10" s="70">
        <v>5</v>
      </c>
      <c r="C10" s="148" t="s">
        <v>366</v>
      </c>
      <c r="D10" s="70">
        <v>0</v>
      </c>
      <c r="E10" s="70">
        <v>0</v>
      </c>
      <c r="F10" s="70">
        <v>0</v>
      </c>
      <c r="G10" s="70">
        <v>0</v>
      </c>
      <c r="H10" s="149">
        <v>400000</v>
      </c>
      <c r="I10" s="149">
        <v>400000</v>
      </c>
      <c r="J10" s="149">
        <v>400000</v>
      </c>
      <c r="K10" s="70">
        <v>400000</v>
      </c>
      <c r="L10" s="70">
        <v>500000</v>
      </c>
      <c r="M10" s="70">
        <v>500000</v>
      </c>
      <c r="N10" s="70">
        <v>500000</v>
      </c>
      <c r="O10" s="154">
        <v>500000</v>
      </c>
      <c r="P10" s="70">
        <v>800000</v>
      </c>
      <c r="Q10" s="70">
        <v>800000</v>
      </c>
      <c r="R10" s="70">
        <v>800000</v>
      </c>
      <c r="S10" s="70">
        <v>800000</v>
      </c>
      <c r="T10" s="70">
        <v>1000000</v>
      </c>
      <c r="U10" s="70">
        <v>1000000</v>
      </c>
      <c r="V10" s="70">
        <v>1000000</v>
      </c>
      <c r="W10" s="70">
        <v>1000000</v>
      </c>
      <c r="X10" s="70">
        <v>1500000</v>
      </c>
      <c r="Y10" s="70">
        <v>1500000</v>
      </c>
      <c r="Z10" s="70">
        <v>1500000</v>
      </c>
      <c r="AA10" s="152">
        <v>1500000</v>
      </c>
      <c r="AB10" s="328">
        <f t="shared" si="0"/>
        <v>0</v>
      </c>
      <c r="AC10" s="329">
        <f t="shared" si="1"/>
        <v>1</v>
      </c>
    </row>
    <row r="11" spans="2:29" ht="54" customHeight="1">
      <c r="B11" s="70">
        <v>6</v>
      </c>
      <c r="C11" s="155" t="s">
        <v>367</v>
      </c>
      <c r="D11" s="70">
        <v>0</v>
      </c>
      <c r="E11" s="70">
        <v>0</v>
      </c>
      <c r="F11" s="70">
        <v>0</v>
      </c>
      <c r="G11" s="70">
        <v>0</v>
      </c>
      <c r="H11" s="70">
        <v>400000</v>
      </c>
      <c r="I11" s="70">
        <v>400000</v>
      </c>
      <c r="J11" s="70">
        <v>400000</v>
      </c>
      <c r="K11" s="70">
        <v>400000</v>
      </c>
      <c r="L11" s="70">
        <v>500000</v>
      </c>
      <c r="M11" s="70">
        <v>500000</v>
      </c>
      <c r="N11" s="70">
        <v>500000</v>
      </c>
      <c r="O11" s="154">
        <v>500000</v>
      </c>
      <c r="P11" s="70">
        <v>800000</v>
      </c>
      <c r="Q11" s="70">
        <v>800000</v>
      </c>
      <c r="R11" s="70">
        <v>800000</v>
      </c>
      <c r="S11" s="70">
        <v>800000</v>
      </c>
      <c r="T11" s="70">
        <v>1000000</v>
      </c>
      <c r="U11" s="70">
        <v>1000000</v>
      </c>
      <c r="V11" s="70">
        <v>1000000</v>
      </c>
      <c r="W11" s="70">
        <v>1000000</v>
      </c>
      <c r="X11" s="70">
        <v>1500000</v>
      </c>
      <c r="Y11" s="70">
        <v>1500000</v>
      </c>
      <c r="Z11" s="70">
        <v>1500000</v>
      </c>
      <c r="AA11" s="152">
        <v>1500000</v>
      </c>
      <c r="AB11" s="328">
        <f t="shared" si="0"/>
        <v>0</v>
      </c>
      <c r="AC11" s="329">
        <f t="shared" si="1"/>
        <v>1</v>
      </c>
    </row>
    <row r="12" spans="2:29" ht="38.25">
      <c r="B12" s="70">
        <v>7</v>
      </c>
      <c r="C12" s="155" t="s">
        <v>368</v>
      </c>
      <c r="D12" s="70">
        <v>0</v>
      </c>
      <c r="E12" s="70">
        <v>0</v>
      </c>
      <c r="F12" s="70">
        <v>0</v>
      </c>
      <c r="G12" s="70">
        <v>0</v>
      </c>
      <c r="H12" s="149">
        <v>400000</v>
      </c>
      <c r="I12" s="149">
        <v>400000</v>
      </c>
      <c r="J12" s="149">
        <v>400000</v>
      </c>
      <c r="K12" s="149">
        <v>400000</v>
      </c>
      <c r="L12" s="70">
        <v>500000</v>
      </c>
      <c r="M12" s="70">
        <v>500000</v>
      </c>
      <c r="N12" s="70">
        <v>500000</v>
      </c>
      <c r="O12" s="154">
        <v>500000</v>
      </c>
      <c r="P12" s="70">
        <v>800000</v>
      </c>
      <c r="Q12" s="70">
        <v>800000</v>
      </c>
      <c r="R12" s="70">
        <v>800000</v>
      </c>
      <c r="S12" s="70">
        <v>800000</v>
      </c>
      <c r="T12" s="70">
        <v>1000000</v>
      </c>
      <c r="U12" s="70">
        <v>1000000</v>
      </c>
      <c r="V12" s="70">
        <v>1000000</v>
      </c>
      <c r="W12" s="70">
        <v>1000000</v>
      </c>
      <c r="X12" s="70">
        <v>1500000</v>
      </c>
      <c r="Y12" s="70">
        <v>1500000</v>
      </c>
      <c r="Z12" s="70">
        <v>1500000</v>
      </c>
      <c r="AA12" s="152">
        <v>1500000</v>
      </c>
      <c r="AB12" s="328">
        <f t="shared" si="0"/>
        <v>0</v>
      </c>
      <c r="AC12" s="329">
        <f t="shared" si="1"/>
        <v>1</v>
      </c>
    </row>
    <row r="13" spans="2:29" ht="25.5">
      <c r="O13" s="156"/>
      <c r="AA13" s="151" t="s">
        <v>24</v>
      </c>
      <c r="AB13" s="328">
        <f>AVERAGE(AB6:AB12)</f>
        <v>0</v>
      </c>
      <c r="AC13" s="328">
        <f>AVERAGE(AC6:AC12)</f>
        <v>0.93173493173493172</v>
      </c>
    </row>
    <row r="14" spans="2:29" ht="23.25">
      <c r="B14" s="588"/>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row>
    <row r="15" spans="2:29" ht="21" customHeight="1">
      <c r="B15" s="589" t="s">
        <v>3</v>
      </c>
      <c r="C15" s="592" t="s">
        <v>26</v>
      </c>
      <c r="D15" s="595" t="s">
        <v>27</v>
      </c>
      <c r="E15" s="596"/>
      <c r="F15" s="596"/>
      <c r="G15" s="597"/>
      <c r="H15" s="601" t="s">
        <v>28</v>
      </c>
      <c r="I15" s="601"/>
      <c r="J15" s="601"/>
      <c r="K15" s="601"/>
      <c r="L15" s="601"/>
      <c r="M15" s="601"/>
      <c r="N15" s="601"/>
      <c r="O15" s="601"/>
      <c r="P15" s="601"/>
      <c r="Q15" s="601"/>
      <c r="R15" s="601"/>
      <c r="S15" s="601"/>
      <c r="T15" s="601"/>
      <c r="U15" s="601"/>
      <c r="V15" s="601"/>
      <c r="W15" s="601"/>
      <c r="X15" s="601"/>
      <c r="Y15" s="601"/>
      <c r="Z15" s="601"/>
      <c r="AA15" s="601"/>
      <c r="AB15" s="601" t="s">
        <v>124</v>
      </c>
      <c r="AC15" s="601" t="s">
        <v>125</v>
      </c>
    </row>
    <row r="16" spans="2:29" ht="31.5" customHeight="1">
      <c r="B16" s="590"/>
      <c r="C16" s="593"/>
      <c r="D16" s="598"/>
      <c r="E16" s="599"/>
      <c r="F16" s="599"/>
      <c r="G16" s="600"/>
      <c r="H16" s="601" t="s">
        <v>9</v>
      </c>
      <c r="I16" s="601"/>
      <c r="J16" s="601"/>
      <c r="K16" s="601"/>
      <c r="L16" s="601" t="s">
        <v>10</v>
      </c>
      <c r="M16" s="601"/>
      <c r="N16" s="601"/>
      <c r="O16" s="601"/>
      <c r="P16" s="601" t="s">
        <v>11</v>
      </c>
      <c r="Q16" s="601"/>
      <c r="R16" s="601"/>
      <c r="S16" s="601"/>
      <c r="T16" s="601" t="s">
        <v>12</v>
      </c>
      <c r="U16" s="601"/>
      <c r="V16" s="601"/>
      <c r="W16" s="601"/>
      <c r="X16" s="601" t="s">
        <v>13</v>
      </c>
      <c r="Y16" s="601"/>
      <c r="Z16" s="601"/>
      <c r="AA16" s="601"/>
      <c r="AB16" s="601" t="s">
        <v>124</v>
      </c>
      <c r="AC16" s="601" t="s">
        <v>125</v>
      </c>
    </row>
    <row r="17" spans="2:29" ht="83.25" customHeight="1">
      <c r="B17" s="591"/>
      <c r="C17" s="594"/>
      <c r="D17" s="68" t="s">
        <v>31</v>
      </c>
      <c r="E17" s="68" t="s">
        <v>32</v>
      </c>
      <c r="F17" s="68" t="s">
        <v>33</v>
      </c>
      <c r="G17" s="68" t="s">
        <v>17</v>
      </c>
      <c r="H17" s="68" t="s">
        <v>34</v>
      </c>
      <c r="I17" s="68" t="s">
        <v>32</v>
      </c>
      <c r="J17" s="68" t="s">
        <v>33</v>
      </c>
      <c r="K17" s="68" t="s">
        <v>19</v>
      </c>
      <c r="L17" s="68" t="s">
        <v>34</v>
      </c>
      <c r="M17" s="68" t="s">
        <v>32</v>
      </c>
      <c r="N17" s="68" t="s">
        <v>33</v>
      </c>
      <c r="O17" s="68" t="s">
        <v>19</v>
      </c>
      <c r="P17" s="68" t="s">
        <v>34</v>
      </c>
      <c r="Q17" s="68" t="s">
        <v>32</v>
      </c>
      <c r="R17" s="68" t="s">
        <v>33</v>
      </c>
      <c r="S17" s="68" t="s">
        <v>19</v>
      </c>
      <c r="T17" s="68" t="s">
        <v>34</v>
      </c>
      <c r="U17" s="68" t="s">
        <v>32</v>
      </c>
      <c r="V17" s="68" t="s">
        <v>33</v>
      </c>
      <c r="W17" s="68" t="s">
        <v>19</v>
      </c>
      <c r="X17" s="68" t="s">
        <v>34</v>
      </c>
      <c r="Y17" s="68" t="s">
        <v>32</v>
      </c>
      <c r="Z17" s="68" t="s">
        <v>33</v>
      </c>
      <c r="AA17" s="68" t="s">
        <v>19</v>
      </c>
      <c r="AB17" s="601" t="s">
        <v>124</v>
      </c>
      <c r="AC17" s="601" t="s">
        <v>125</v>
      </c>
    </row>
    <row r="18" spans="2:29" ht="25.5">
      <c r="B18" s="70">
        <v>1</v>
      </c>
      <c r="C18" s="69" t="s">
        <v>369</v>
      </c>
      <c r="D18" s="73"/>
      <c r="E18" s="70"/>
      <c r="F18" s="70"/>
      <c r="G18" s="70"/>
      <c r="H18" s="158"/>
      <c r="I18" s="70"/>
      <c r="J18" s="70"/>
      <c r="K18" s="159"/>
      <c r="L18" s="70"/>
      <c r="M18" s="70"/>
      <c r="N18" s="70"/>
      <c r="O18" s="160"/>
      <c r="P18" s="70"/>
      <c r="Q18" s="70"/>
      <c r="R18" s="70"/>
      <c r="S18" s="70"/>
      <c r="T18" s="70"/>
      <c r="U18" s="70"/>
      <c r="V18" s="70"/>
      <c r="W18" s="70"/>
      <c r="X18" s="70"/>
      <c r="Y18" s="70"/>
      <c r="Z18" s="70"/>
      <c r="AA18" s="70"/>
    </row>
    <row r="19" spans="2:29" ht="38.25">
      <c r="B19" s="70" t="s">
        <v>36</v>
      </c>
      <c r="C19" s="161" t="s">
        <v>370</v>
      </c>
      <c r="D19" s="70">
        <v>0</v>
      </c>
      <c r="E19" s="70">
        <v>500000</v>
      </c>
      <c r="F19" s="70">
        <v>0</v>
      </c>
      <c r="G19" s="70">
        <v>11270</v>
      </c>
      <c r="H19" s="70">
        <v>50000</v>
      </c>
      <c r="I19" s="70">
        <v>500000</v>
      </c>
      <c r="J19" s="70">
        <v>1127</v>
      </c>
      <c r="K19" s="70">
        <v>11270</v>
      </c>
      <c r="L19" s="70">
        <v>100000</v>
      </c>
      <c r="M19" s="70">
        <v>500000</v>
      </c>
      <c r="N19" s="70">
        <v>2250</v>
      </c>
      <c r="O19" s="154">
        <v>11270</v>
      </c>
      <c r="P19" s="70">
        <v>170000</v>
      </c>
      <c r="Q19" s="70">
        <v>500000</v>
      </c>
      <c r="R19" s="70">
        <v>4225</v>
      </c>
      <c r="S19" s="70">
        <v>11270</v>
      </c>
      <c r="T19" s="70">
        <v>350000</v>
      </c>
      <c r="U19" s="70">
        <v>500000</v>
      </c>
      <c r="V19" s="70">
        <v>7000</v>
      </c>
      <c r="W19" s="70">
        <v>11270</v>
      </c>
      <c r="X19" s="70">
        <v>450000</v>
      </c>
      <c r="Y19" s="70">
        <v>500000</v>
      </c>
      <c r="Z19" s="70">
        <v>9500</v>
      </c>
      <c r="AA19" s="70">
        <v>11270</v>
      </c>
      <c r="AB19" s="328">
        <f t="shared" ref="AB19" si="2">D19/X19</f>
        <v>0</v>
      </c>
      <c r="AC19" s="328">
        <f t="shared" ref="AC19" si="3">X19/Y19</f>
        <v>0.9</v>
      </c>
    </row>
    <row r="20" spans="2:29" ht="25.5">
      <c r="B20" s="70" t="s">
        <v>38</v>
      </c>
      <c r="C20" s="69"/>
      <c r="D20" s="70"/>
      <c r="E20" s="70"/>
      <c r="F20" s="70"/>
      <c r="G20" s="70"/>
      <c r="H20" s="70"/>
      <c r="I20" s="70"/>
      <c r="J20" s="70"/>
      <c r="K20" s="70"/>
      <c r="L20" s="70"/>
      <c r="M20" s="70"/>
      <c r="N20" s="70"/>
      <c r="O20" s="154"/>
      <c r="P20" s="70"/>
      <c r="Q20" s="70"/>
      <c r="R20" s="70"/>
      <c r="S20" s="70"/>
      <c r="T20" s="70"/>
      <c r="U20" s="70"/>
      <c r="V20" s="70"/>
      <c r="W20" s="70"/>
      <c r="X20" s="70"/>
      <c r="Y20" s="70"/>
      <c r="Z20" s="70"/>
      <c r="AA20" s="151" t="s">
        <v>24</v>
      </c>
      <c r="AB20" s="328">
        <f>AVERAGE(AB19)</f>
        <v>0</v>
      </c>
      <c r="AC20" s="328">
        <f>AVERAGE(AC19)</f>
        <v>0.9</v>
      </c>
    </row>
    <row r="21" spans="2:29">
      <c r="B21" s="70">
        <v>2</v>
      </c>
      <c r="C21" s="69"/>
      <c r="D21" s="70"/>
      <c r="E21" s="70"/>
      <c r="F21" s="70"/>
      <c r="G21" s="70"/>
      <c r="H21" s="70"/>
      <c r="I21" s="70"/>
      <c r="J21" s="70"/>
      <c r="K21" s="70"/>
      <c r="L21" s="70"/>
      <c r="M21" s="70"/>
      <c r="N21" s="70"/>
      <c r="O21" s="154"/>
      <c r="P21" s="70"/>
      <c r="Q21" s="70"/>
      <c r="R21" s="70"/>
      <c r="S21" s="70"/>
      <c r="T21" s="70"/>
      <c r="U21" s="70"/>
      <c r="V21" s="70"/>
      <c r="W21" s="70"/>
      <c r="X21" s="70"/>
      <c r="Y21" s="70"/>
      <c r="Z21" s="70"/>
      <c r="AA21" s="70"/>
      <c r="AB21" s="162"/>
      <c r="AC21" s="162"/>
    </row>
    <row r="22" spans="2:29">
      <c r="O22" s="156"/>
    </row>
    <row r="23" spans="2:29">
      <c r="B23" s="163"/>
      <c r="C23" s="77" t="s">
        <v>40</v>
      </c>
      <c r="O23" s="156"/>
    </row>
    <row r="24" spans="2:29">
      <c r="O24" s="156"/>
    </row>
    <row r="25" spans="2:29">
      <c r="B25" s="135" t="s">
        <v>41</v>
      </c>
      <c r="C25" s="602" t="s">
        <v>42</v>
      </c>
      <c r="D25" s="602"/>
      <c r="E25" s="602"/>
      <c r="F25" s="602"/>
      <c r="G25" s="602"/>
      <c r="H25" s="602"/>
      <c r="I25" s="602"/>
      <c r="J25" s="602"/>
      <c r="K25" s="602"/>
      <c r="L25" s="602"/>
      <c r="M25" s="602"/>
      <c r="N25" s="602"/>
      <c r="O25" s="602"/>
      <c r="P25" s="602"/>
      <c r="Q25" s="602"/>
      <c r="R25" s="602"/>
      <c r="S25" s="602"/>
    </row>
    <row r="26" spans="2:29">
      <c r="B26" s="135" t="s">
        <v>43</v>
      </c>
      <c r="C26" s="602" t="s">
        <v>44</v>
      </c>
      <c r="D26" s="602"/>
      <c r="E26" s="602"/>
      <c r="F26" s="602"/>
      <c r="G26" s="602"/>
      <c r="H26" s="602"/>
      <c r="I26" s="602"/>
      <c r="J26" s="602"/>
      <c r="K26" s="602"/>
      <c r="L26" s="602"/>
      <c r="M26" s="602"/>
      <c r="N26" s="602"/>
      <c r="O26" s="602"/>
      <c r="P26" s="602"/>
      <c r="Q26" s="602"/>
      <c r="R26" s="602"/>
      <c r="S26" s="602"/>
    </row>
    <row r="27" spans="2:29">
      <c r="C27" s="602" t="s">
        <v>45</v>
      </c>
      <c r="D27" s="602"/>
      <c r="E27" s="602"/>
      <c r="F27" s="602"/>
      <c r="G27" s="602"/>
      <c r="H27" s="602"/>
      <c r="I27" s="602"/>
      <c r="J27" s="602"/>
      <c r="K27" s="602"/>
      <c r="L27" s="602"/>
      <c r="M27" s="602"/>
      <c r="N27" s="602"/>
      <c r="O27" s="602"/>
      <c r="P27" s="602"/>
      <c r="Q27" s="602"/>
      <c r="R27" s="602"/>
      <c r="S27" s="602"/>
    </row>
    <row r="28" spans="2:29">
      <c r="C28" s="602" t="s">
        <v>46</v>
      </c>
      <c r="D28" s="602"/>
      <c r="E28" s="602"/>
      <c r="F28" s="602"/>
      <c r="G28" s="602"/>
      <c r="H28" s="602"/>
      <c r="I28" s="602"/>
      <c r="J28" s="602"/>
      <c r="K28" s="602"/>
      <c r="L28" s="602"/>
      <c r="M28" s="602"/>
      <c r="N28" s="602"/>
      <c r="O28" s="602"/>
      <c r="P28" s="602"/>
      <c r="Q28" s="602"/>
      <c r="R28" s="602"/>
      <c r="S28" s="602"/>
    </row>
    <row r="29" spans="2:29">
      <c r="C29" s="602" t="s">
        <v>47</v>
      </c>
      <c r="D29" s="602"/>
      <c r="E29" s="602"/>
      <c r="F29" s="602"/>
      <c r="G29" s="602"/>
      <c r="H29" s="602"/>
      <c r="I29" s="602"/>
      <c r="J29" s="602"/>
      <c r="K29" s="602"/>
      <c r="L29" s="602"/>
      <c r="M29" s="602"/>
      <c r="N29" s="602"/>
      <c r="O29" s="602"/>
      <c r="P29" s="602"/>
      <c r="Q29" s="602"/>
      <c r="R29" s="602"/>
      <c r="S29" s="602"/>
    </row>
    <row r="30" spans="2:29">
      <c r="C30" s="602" t="s">
        <v>48</v>
      </c>
      <c r="D30" s="602"/>
      <c r="E30" s="602"/>
      <c r="F30" s="602"/>
      <c r="G30" s="602"/>
      <c r="H30" s="602"/>
      <c r="I30" s="602"/>
      <c r="J30" s="602"/>
      <c r="K30" s="602"/>
      <c r="L30" s="602"/>
      <c r="M30" s="602"/>
      <c r="N30" s="602"/>
      <c r="O30" s="602"/>
      <c r="P30" s="602"/>
      <c r="Q30" s="602"/>
      <c r="R30" s="602"/>
      <c r="S30" s="602"/>
    </row>
    <row r="31" spans="2:29">
      <c r="C31" s="602" t="s">
        <v>49</v>
      </c>
      <c r="D31" s="602"/>
      <c r="E31" s="602"/>
      <c r="F31" s="602"/>
      <c r="G31" s="602"/>
      <c r="H31" s="602"/>
      <c r="I31" s="602"/>
      <c r="J31" s="602"/>
      <c r="K31" s="602"/>
      <c r="L31" s="602"/>
      <c r="M31" s="602"/>
      <c r="N31" s="602"/>
      <c r="O31" s="602"/>
      <c r="P31" s="602"/>
      <c r="Q31" s="602"/>
      <c r="R31" s="602"/>
      <c r="S31" s="602"/>
    </row>
    <row r="32" spans="2:29">
      <c r="C32" s="602" t="s">
        <v>50</v>
      </c>
      <c r="D32" s="602"/>
      <c r="E32" s="602"/>
      <c r="F32" s="602"/>
      <c r="G32" s="602"/>
      <c r="H32" s="602"/>
      <c r="I32" s="602"/>
      <c r="J32" s="602"/>
      <c r="K32" s="602"/>
      <c r="L32" s="602"/>
      <c r="M32" s="602"/>
      <c r="N32" s="602"/>
      <c r="O32" s="602"/>
      <c r="P32" s="602"/>
      <c r="Q32" s="602"/>
      <c r="R32" s="602"/>
      <c r="S32" s="602"/>
    </row>
  </sheetData>
  <mergeCells count="34">
    <mergeCell ref="C31:S31"/>
    <mergeCell ref="C32:S32"/>
    <mergeCell ref="C25:S25"/>
    <mergeCell ref="C26:S26"/>
    <mergeCell ref="C27:S27"/>
    <mergeCell ref="C28:S28"/>
    <mergeCell ref="C29:S29"/>
    <mergeCell ref="C30:S30"/>
    <mergeCell ref="AC15:AC17"/>
    <mergeCell ref="H16:K16"/>
    <mergeCell ref="L16:O16"/>
    <mergeCell ref="P16:S16"/>
    <mergeCell ref="T16:W16"/>
    <mergeCell ref="X16:AA16"/>
    <mergeCell ref="AB15:AB17"/>
    <mergeCell ref="B14:AA14"/>
    <mergeCell ref="B15:B17"/>
    <mergeCell ref="C15:C17"/>
    <mergeCell ref="D15:G16"/>
    <mergeCell ref="H15:AA15"/>
    <mergeCell ref="AB3:AB5"/>
    <mergeCell ref="AC3:AC5"/>
    <mergeCell ref="H4:K4"/>
    <mergeCell ref="L4:O4"/>
    <mergeCell ref="P4:S4"/>
    <mergeCell ref="T4:W4"/>
    <mergeCell ref="X4:AA4"/>
    <mergeCell ref="B1:F1"/>
    <mergeCell ref="G1:S1"/>
    <mergeCell ref="B2:AA2"/>
    <mergeCell ref="B3:B5"/>
    <mergeCell ref="C3:C5"/>
    <mergeCell ref="D3:G4"/>
    <mergeCell ref="H3:AA3"/>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dimension ref="A1:AB34"/>
  <sheetViews>
    <sheetView topLeftCell="L15" workbookViewId="0">
      <selection activeCell="B25" sqref="B24:R25"/>
    </sheetView>
  </sheetViews>
  <sheetFormatPr defaultRowHeight="15"/>
  <cols>
    <col min="1" max="1" width="5" style="165" customWidth="1"/>
    <col min="2" max="2" width="15.85546875" style="165" customWidth="1"/>
    <col min="3" max="6" width="7.7109375" style="165" customWidth="1"/>
    <col min="7" max="8" width="7.85546875" style="165" customWidth="1"/>
    <col min="9" max="10" width="7" style="165" customWidth="1"/>
    <col min="11" max="11" width="8.140625" style="165" customWidth="1"/>
    <col min="12" max="12" width="7.5703125" style="165" customWidth="1"/>
    <col min="13" max="14" width="7" style="165" customWidth="1"/>
    <col min="15" max="15" width="8.140625" style="165" customWidth="1"/>
    <col min="16" max="16" width="7.85546875" style="165" customWidth="1"/>
    <col min="17" max="18" width="7" style="165" customWidth="1"/>
    <col min="19" max="20" width="7.5703125" style="165" customWidth="1"/>
    <col min="21" max="22" width="7" style="165" customWidth="1"/>
    <col min="23" max="23" width="7.85546875" style="165" customWidth="1"/>
    <col min="24" max="24" width="7.5703125" style="165" customWidth="1"/>
    <col min="25" max="25" width="7" style="165" customWidth="1"/>
    <col min="26" max="26" width="8.42578125" style="165" customWidth="1"/>
    <col min="27" max="16384" width="9.140625" style="165"/>
  </cols>
  <sheetData>
    <row r="1" spans="1:28" s="164" customFormat="1" ht="60.75" customHeight="1">
      <c r="A1" s="646" t="s">
        <v>0</v>
      </c>
      <c r="B1" s="646"/>
      <c r="C1" s="646"/>
      <c r="D1" s="646"/>
      <c r="E1" s="646"/>
      <c r="F1" s="647" t="s">
        <v>371</v>
      </c>
      <c r="G1" s="647"/>
      <c r="H1" s="647"/>
      <c r="I1" s="647"/>
      <c r="J1" s="647"/>
      <c r="K1" s="647"/>
      <c r="L1" s="647"/>
      <c r="M1" s="647"/>
      <c r="N1" s="647"/>
      <c r="O1" s="647"/>
      <c r="P1" s="647"/>
      <c r="Q1" s="647"/>
      <c r="R1" s="647"/>
    </row>
    <row r="2" spans="1:28" ht="31.5" customHeight="1">
      <c r="A2" s="648" t="s">
        <v>2</v>
      </c>
      <c r="B2" s="648"/>
      <c r="C2" s="648"/>
      <c r="D2" s="648"/>
      <c r="E2" s="648"/>
      <c r="F2" s="648"/>
      <c r="G2" s="648"/>
      <c r="H2" s="648"/>
      <c r="I2" s="648"/>
      <c r="J2" s="648"/>
      <c r="K2" s="648"/>
      <c r="L2" s="648"/>
      <c r="M2" s="648"/>
      <c r="N2" s="648"/>
      <c r="O2" s="648"/>
      <c r="P2" s="648"/>
      <c r="Q2" s="648"/>
      <c r="R2" s="648"/>
      <c r="S2" s="648"/>
      <c r="T2" s="648"/>
      <c r="U2" s="648"/>
      <c r="V2" s="648"/>
      <c r="W2" s="648"/>
      <c r="X2" s="648"/>
      <c r="Y2" s="648"/>
      <c r="Z2" s="648"/>
    </row>
    <row r="3" spans="1:28" ht="44.25" customHeight="1">
      <c r="A3" s="649" t="s">
        <v>3</v>
      </c>
      <c r="B3" s="652" t="s">
        <v>4</v>
      </c>
      <c r="C3" s="655" t="s">
        <v>129</v>
      </c>
      <c r="D3" s="656"/>
      <c r="E3" s="656"/>
      <c r="F3" s="657"/>
      <c r="G3" s="661" t="s">
        <v>6</v>
      </c>
      <c r="H3" s="661"/>
      <c r="I3" s="661"/>
      <c r="J3" s="661"/>
      <c r="K3" s="661"/>
      <c r="L3" s="661"/>
      <c r="M3" s="661"/>
      <c r="N3" s="661"/>
      <c r="O3" s="661"/>
      <c r="P3" s="661"/>
      <c r="Q3" s="661"/>
      <c r="R3" s="661"/>
      <c r="S3" s="661"/>
      <c r="T3" s="661"/>
      <c r="U3" s="661"/>
      <c r="V3" s="661"/>
      <c r="W3" s="661"/>
      <c r="X3" s="661"/>
      <c r="Y3" s="661"/>
      <c r="Z3" s="661"/>
      <c r="AA3" s="513" t="s">
        <v>119</v>
      </c>
      <c r="AB3" s="513" t="s">
        <v>120</v>
      </c>
    </row>
    <row r="4" spans="1:28" ht="44.25" customHeight="1">
      <c r="A4" s="650"/>
      <c r="B4" s="653"/>
      <c r="C4" s="658"/>
      <c r="D4" s="659"/>
      <c r="E4" s="659"/>
      <c r="F4" s="660"/>
      <c r="G4" s="661" t="s">
        <v>9</v>
      </c>
      <c r="H4" s="661"/>
      <c r="I4" s="661"/>
      <c r="J4" s="661"/>
      <c r="K4" s="661" t="s">
        <v>10</v>
      </c>
      <c r="L4" s="661"/>
      <c r="M4" s="661"/>
      <c r="N4" s="661"/>
      <c r="O4" s="661" t="s">
        <v>11</v>
      </c>
      <c r="P4" s="661"/>
      <c r="Q4" s="661"/>
      <c r="R4" s="661"/>
      <c r="S4" s="661" t="s">
        <v>12</v>
      </c>
      <c r="T4" s="661"/>
      <c r="U4" s="661"/>
      <c r="V4" s="661"/>
      <c r="W4" s="661" t="s">
        <v>13</v>
      </c>
      <c r="X4" s="661"/>
      <c r="Y4" s="661"/>
      <c r="Z4" s="661"/>
      <c r="AA4" s="513"/>
      <c r="AB4" s="513"/>
    </row>
    <row r="5" spans="1:28" ht="75.75" customHeight="1">
      <c r="A5" s="651"/>
      <c r="B5" s="654"/>
      <c r="C5" s="166" t="s">
        <v>14</v>
      </c>
      <c r="D5" s="166" t="s">
        <v>15</v>
      </c>
      <c r="E5" s="166" t="s">
        <v>130</v>
      </c>
      <c r="F5" s="166" t="s">
        <v>131</v>
      </c>
      <c r="G5" s="166" t="s">
        <v>14</v>
      </c>
      <c r="H5" s="166" t="s">
        <v>15</v>
      </c>
      <c r="I5" s="166" t="s">
        <v>18</v>
      </c>
      <c r="J5" s="166" t="s">
        <v>19</v>
      </c>
      <c r="K5" s="166" t="s">
        <v>14</v>
      </c>
      <c r="L5" s="166" t="s">
        <v>15</v>
      </c>
      <c r="M5" s="166" t="s">
        <v>18</v>
      </c>
      <c r="N5" s="166" t="s">
        <v>19</v>
      </c>
      <c r="O5" s="166" t="s">
        <v>14</v>
      </c>
      <c r="P5" s="166" t="s">
        <v>15</v>
      </c>
      <c r="Q5" s="166" t="s">
        <v>18</v>
      </c>
      <c r="R5" s="166" t="s">
        <v>19</v>
      </c>
      <c r="S5" s="166" t="s">
        <v>14</v>
      </c>
      <c r="T5" s="166" t="s">
        <v>15</v>
      </c>
      <c r="U5" s="166" t="s">
        <v>18</v>
      </c>
      <c r="V5" s="166" t="s">
        <v>19</v>
      </c>
      <c r="W5" s="166" t="s">
        <v>14</v>
      </c>
      <c r="X5" s="166" t="s">
        <v>15</v>
      </c>
      <c r="Y5" s="166" t="s">
        <v>18</v>
      </c>
      <c r="Z5" s="166" t="s">
        <v>19</v>
      </c>
      <c r="AA5" s="513"/>
      <c r="AB5" s="513"/>
    </row>
    <row r="6" spans="1:28" ht="51">
      <c r="A6" s="49" t="s">
        <v>20</v>
      </c>
      <c r="B6" s="49" t="s">
        <v>372</v>
      </c>
      <c r="C6" s="49">
        <v>1600</v>
      </c>
      <c r="D6" s="49">
        <v>1600</v>
      </c>
      <c r="E6" s="49">
        <v>1600</v>
      </c>
      <c r="F6" s="49">
        <v>1600</v>
      </c>
      <c r="G6" s="49">
        <v>1850</v>
      </c>
      <c r="H6" s="49">
        <v>1850</v>
      </c>
      <c r="I6" s="49">
        <v>1850</v>
      </c>
      <c r="J6" s="49">
        <v>1850</v>
      </c>
      <c r="K6" s="49">
        <v>2100</v>
      </c>
      <c r="L6" s="49">
        <v>2100</v>
      </c>
      <c r="M6" s="49">
        <v>2100</v>
      </c>
      <c r="N6" s="49">
        <v>2100</v>
      </c>
      <c r="O6" s="49">
        <v>2350</v>
      </c>
      <c r="P6" s="49">
        <v>2350</v>
      </c>
      <c r="Q6" s="49">
        <v>2350</v>
      </c>
      <c r="R6" s="49">
        <v>2350</v>
      </c>
      <c r="S6" s="49">
        <v>2600</v>
      </c>
      <c r="T6" s="49">
        <v>2600</v>
      </c>
      <c r="U6" s="49">
        <v>2600</v>
      </c>
      <c r="V6" s="49">
        <v>2600</v>
      </c>
      <c r="W6" s="49">
        <v>2850</v>
      </c>
      <c r="X6" s="49">
        <v>2850</v>
      </c>
      <c r="Y6" s="49">
        <v>2850</v>
      </c>
      <c r="Z6" s="49">
        <v>2850</v>
      </c>
      <c r="AA6" s="459">
        <f>C6/W6</f>
        <v>0.56140350877192979</v>
      </c>
      <c r="AB6" s="459">
        <f>W6/X6</f>
        <v>1</v>
      </c>
    </row>
    <row r="7" spans="1:28" ht="63.75">
      <c r="A7" s="49" t="s">
        <v>22</v>
      </c>
      <c r="B7" s="49" t="s">
        <v>373</v>
      </c>
      <c r="C7" s="49">
        <v>0</v>
      </c>
      <c r="D7" s="49">
        <v>5000</v>
      </c>
      <c r="E7" s="49">
        <v>0</v>
      </c>
      <c r="F7" s="49">
        <v>5000</v>
      </c>
      <c r="G7" s="49">
        <v>150</v>
      </c>
      <c r="H7" s="49">
        <v>5000</v>
      </c>
      <c r="I7" s="49">
        <v>150</v>
      </c>
      <c r="J7" s="49">
        <v>5000</v>
      </c>
      <c r="K7" s="49">
        <v>300</v>
      </c>
      <c r="L7" s="49">
        <v>5000</v>
      </c>
      <c r="M7" s="49">
        <v>300</v>
      </c>
      <c r="N7" s="49">
        <v>5000</v>
      </c>
      <c r="O7" s="49">
        <v>400</v>
      </c>
      <c r="P7" s="49">
        <v>5000</v>
      </c>
      <c r="Q7" s="49">
        <v>400</v>
      </c>
      <c r="R7" s="49">
        <v>5000</v>
      </c>
      <c r="S7" s="49">
        <v>400</v>
      </c>
      <c r="T7" s="49">
        <v>5000</v>
      </c>
      <c r="U7" s="49">
        <v>400</v>
      </c>
      <c r="V7" s="49">
        <v>5000</v>
      </c>
      <c r="W7" s="49">
        <v>400</v>
      </c>
      <c r="X7" s="49">
        <v>5000</v>
      </c>
      <c r="Y7" s="49">
        <v>400</v>
      </c>
      <c r="Z7" s="49">
        <v>5000</v>
      </c>
      <c r="AA7" s="456">
        <f t="shared" ref="AA7:AA12" si="0">C7/W7</f>
        <v>0</v>
      </c>
      <c r="AB7" s="460">
        <f t="shared" ref="AB7:AB12" si="1">W7/X7</f>
        <v>0.08</v>
      </c>
    </row>
    <row r="8" spans="1:28" ht="124.5" customHeight="1">
      <c r="A8" s="49" t="s">
        <v>61</v>
      </c>
      <c r="B8" s="49" t="s">
        <v>374</v>
      </c>
      <c r="C8" s="49">
        <v>0</v>
      </c>
      <c r="D8" s="49">
        <v>100</v>
      </c>
      <c r="E8" s="49">
        <v>0</v>
      </c>
      <c r="F8" s="49">
        <v>100</v>
      </c>
      <c r="G8" s="49">
        <v>50</v>
      </c>
      <c r="H8" s="49">
        <v>120</v>
      </c>
      <c r="I8" s="49">
        <v>50</v>
      </c>
      <c r="J8" s="49">
        <v>120</v>
      </c>
      <c r="K8" s="49">
        <v>100</v>
      </c>
      <c r="L8" s="49">
        <v>150</v>
      </c>
      <c r="M8" s="49">
        <v>100</v>
      </c>
      <c r="N8" s="49">
        <v>150</v>
      </c>
      <c r="O8" s="49">
        <v>120</v>
      </c>
      <c r="P8" s="49">
        <v>150</v>
      </c>
      <c r="Q8" s="49">
        <v>120</v>
      </c>
      <c r="R8" s="49">
        <v>150</v>
      </c>
      <c r="S8" s="49">
        <v>150</v>
      </c>
      <c r="T8" s="49">
        <v>170</v>
      </c>
      <c r="U8" s="49">
        <v>150</v>
      </c>
      <c r="V8" s="49">
        <v>170</v>
      </c>
      <c r="W8" s="49">
        <v>170</v>
      </c>
      <c r="X8" s="49">
        <v>175</v>
      </c>
      <c r="Y8" s="49">
        <v>170</v>
      </c>
      <c r="Z8" s="49">
        <v>175</v>
      </c>
      <c r="AA8" s="456">
        <f t="shared" si="0"/>
        <v>0</v>
      </c>
      <c r="AB8" s="456">
        <f t="shared" si="1"/>
        <v>0.97142857142857142</v>
      </c>
    </row>
    <row r="9" spans="1:28" ht="39" customHeight="1">
      <c r="A9" s="49" t="s">
        <v>63</v>
      </c>
      <c r="B9" s="49" t="s">
        <v>375</v>
      </c>
      <c r="C9" s="49">
        <v>402800</v>
      </c>
      <c r="D9" s="49">
        <f>C9</f>
        <v>402800</v>
      </c>
      <c r="E9" s="49">
        <v>0</v>
      </c>
      <c r="F9" s="49">
        <v>6300</v>
      </c>
      <c r="G9" s="49">
        <f>50*ROUND($C$9/$F$9,0)+C9</f>
        <v>406000</v>
      </c>
      <c r="H9" s="49">
        <f>G9</f>
        <v>406000</v>
      </c>
      <c r="I9" s="49">
        <v>6350</v>
      </c>
      <c r="J9" s="49">
        <v>6350</v>
      </c>
      <c r="K9" s="49">
        <f>50*ROUND($C$9/$F$9,0)+G9</f>
        <v>409200</v>
      </c>
      <c r="L9" s="49">
        <f>K9</f>
        <v>409200</v>
      </c>
      <c r="M9" s="49">
        <v>6400</v>
      </c>
      <c r="N9" s="49">
        <v>6400</v>
      </c>
      <c r="O9" s="49">
        <f>50*ROUND($C$9/$F$9,0)+K9</f>
        <v>412400</v>
      </c>
      <c r="P9" s="49">
        <f>O9</f>
        <v>412400</v>
      </c>
      <c r="Q9" s="49">
        <v>6450</v>
      </c>
      <c r="R9" s="49">
        <v>6450</v>
      </c>
      <c r="S9" s="49">
        <f>50*ROUND($C$9/$F$9,0)+O9</f>
        <v>415600</v>
      </c>
      <c r="T9" s="49">
        <f>S9</f>
        <v>415600</v>
      </c>
      <c r="U9" s="49">
        <v>6500</v>
      </c>
      <c r="V9" s="49">
        <v>6500</v>
      </c>
      <c r="W9" s="49">
        <f>50*ROUND($C$9/$F$9,0)+S9</f>
        <v>418800</v>
      </c>
      <c r="X9" s="49">
        <f>W9</f>
        <v>418800</v>
      </c>
      <c r="Y9" s="49">
        <v>6550</v>
      </c>
      <c r="Z9" s="49">
        <v>6550</v>
      </c>
      <c r="AA9" s="456">
        <f t="shared" si="0"/>
        <v>0.96179560649474694</v>
      </c>
      <c r="AB9" s="456">
        <f t="shared" si="1"/>
        <v>1</v>
      </c>
    </row>
    <row r="10" spans="1:28" ht="39.75" customHeight="1">
      <c r="A10" s="49" t="s">
        <v>136</v>
      </c>
      <c r="B10" s="49" t="s">
        <v>376</v>
      </c>
      <c r="C10" s="49">
        <v>0</v>
      </c>
      <c r="D10" s="49">
        <v>6000</v>
      </c>
      <c r="E10" s="49">
        <v>0</v>
      </c>
      <c r="F10" s="49">
        <v>6000</v>
      </c>
      <c r="G10" s="49">
        <v>3000</v>
      </c>
      <c r="H10" s="49">
        <v>7000</v>
      </c>
      <c r="I10" s="49">
        <v>3000</v>
      </c>
      <c r="J10" s="49">
        <v>7000</v>
      </c>
      <c r="K10" s="49">
        <v>3500</v>
      </c>
      <c r="L10" s="49">
        <v>7000</v>
      </c>
      <c r="M10" s="49">
        <v>3500</v>
      </c>
      <c r="N10" s="49">
        <v>7000</v>
      </c>
      <c r="O10" s="49">
        <v>3800</v>
      </c>
      <c r="P10" s="49">
        <v>7100</v>
      </c>
      <c r="Q10" s="49">
        <v>3800</v>
      </c>
      <c r="R10" s="49">
        <v>7100</v>
      </c>
      <c r="S10" s="49">
        <v>4000</v>
      </c>
      <c r="T10" s="49">
        <v>7100</v>
      </c>
      <c r="U10" s="49">
        <v>4000</v>
      </c>
      <c r="V10" s="49">
        <v>7100</v>
      </c>
      <c r="W10" s="49">
        <v>4200</v>
      </c>
      <c r="X10" s="49">
        <v>7100</v>
      </c>
      <c r="Y10" s="49">
        <v>4200</v>
      </c>
      <c r="Z10" s="49">
        <v>7100</v>
      </c>
      <c r="AA10" s="456">
        <f t="shared" si="0"/>
        <v>0</v>
      </c>
      <c r="AB10" s="456">
        <f t="shared" si="1"/>
        <v>0.59154929577464788</v>
      </c>
    </row>
    <row r="11" spans="1:28" ht="63.75" customHeight="1">
      <c r="A11" s="49" t="s">
        <v>155</v>
      </c>
      <c r="B11" s="49" t="s">
        <v>377</v>
      </c>
      <c r="C11" s="49">
        <v>0</v>
      </c>
      <c r="D11" s="49">
        <v>700</v>
      </c>
      <c r="E11" s="49">
        <v>0</v>
      </c>
      <c r="F11" s="49">
        <v>700</v>
      </c>
      <c r="G11" s="49">
        <v>200</v>
      </c>
      <c r="H11" s="49">
        <v>3400</v>
      </c>
      <c r="I11" s="49">
        <v>200</v>
      </c>
      <c r="J11" s="49">
        <v>3400</v>
      </c>
      <c r="K11" s="49">
        <v>250</v>
      </c>
      <c r="L11" s="49">
        <v>6000</v>
      </c>
      <c r="M11" s="49">
        <v>250</v>
      </c>
      <c r="N11" s="49">
        <v>6000</v>
      </c>
      <c r="O11" s="49">
        <v>300</v>
      </c>
      <c r="P11" s="49">
        <v>500</v>
      </c>
      <c r="Q11" s="49">
        <v>300</v>
      </c>
      <c r="R11" s="49">
        <v>500</v>
      </c>
      <c r="S11" s="49">
        <v>350</v>
      </c>
      <c r="T11" s="49">
        <v>700</v>
      </c>
      <c r="U11" s="49">
        <v>350</v>
      </c>
      <c r="V11" s="49">
        <v>700</v>
      </c>
      <c r="W11" s="49">
        <v>250</v>
      </c>
      <c r="X11" s="49">
        <v>600</v>
      </c>
      <c r="Y11" s="49">
        <v>250</v>
      </c>
      <c r="Z11" s="49">
        <v>600</v>
      </c>
      <c r="AA11" s="456">
        <f t="shared" si="0"/>
        <v>0</v>
      </c>
      <c r="AB11" s="456">
        <f t="shared" si="1"/>
        <v>0.41666666666666669</v>
      </c>
    </row>
    <row r="12" spans="1:28" ht="40.5" customHeight="1">
      <c r="A12" s="49" t="s">
        <v>159</v>
      </c>
      <c r="B12" s="49" t="s">
        <v>378</v>
      </c>
      <c r="C12" s="49">
        <v>0</v>
      </c>
      <c r="D12" s="49">
        <v>3500</v>
      </c>
      <c r="E12" s="49">
        <v>0</v>
      </c>
      <c r="F12" s="49">
        <v>3500</v>
      </c>
      <c r="G12" s="49">
        <v>150</v>
      </c>
      <c r="H12" s="49">
        <v>3500</v>
      </c>
      <c r="I12" s="49">
        <v>150</v>
      </c>
      <c r="J12" s="49">
        <v>3500</v>
      </c>
      <c r="K12" s="49">
        <v>300</v>
      </c>
      <c r="L12" s="49">
        <v>3500</v>
      </c>
      <c r="M12" s="49">
        <v>300</v>
      </c>
      <c r="N12" s="49">
        <v>3500</v>
      </c>
      <c r="O12" s="49">
        <v>500</v>
      </c>
      <c r="P12" s="49">
        <v>3500</v>
      </c>
      <c r="Q12" s="49">
        <v>500</v>
      </c>
      <c r="R12" s="49">
        <v>3500</v>
      </c>
      <c r="S12" s="49">
        <v>700</v>
      </c>
      <c r="T12" s="49">
        <v>3500</v>
      </c>
      <c r="U12" s="49">
        <v>700</v>
      </c>
      <c r="V12" s="49">
        <v>3500</v>
      </c>
      <c r="W12" s="49">
        <v>1000</v>
      </c>
      <c r="X12" s="49">
        <v>3500</v>
      </c>
      <c r="Y12" s="49">
        <v>1000</v>
      </c>
      <c r="Z12" s="49">
        <v>3500</v>
      </c>
      <c r="AA12" s="456">
        <f t="shared" si="0"/>
        <v>0</v>
      </c>
      <c r="AB12" s="456">
        <f t="shared" si="1"/>
        <v>0.2857142857142857</v>
      </c>
    </row>
    <row r="13" spans="1:28" ht="40.5" customHeight="1">
      <c r="A13" s="9"/>
      <c r="B13" s="9"/>
      <c r="C13" s="9"/>
      <c r="D13" s="9"/>
      <c r="E13" s="9"/>
      <c r="F13" s="9"/>
      <c r="G13" s="9"/>
      <c r="H13" s="9"/>
      <c r="I13" s="9"/>
      <c r="J13" s="9"/>
      <c r="K13" s="9"/>
      <c r="L13" s="9"/>
      <c r="M13" s="9"/>
      <c r="N13" s="9"/>
      <c r="O13" s="9"/>
      <c r="P13" s="9"/>
      <c r="Q13" s="9"/>
      <c r="R13" s="9"/>
      <c r="S13" s="9"/>
      <c r="T13" s="9"/>
      <c r="U13" s="9"/>
      <c r="V13" s="9"/>
      <c r="W13" s="9"/>
      <c r="X13" s="9"/>
      <c r="Y13" s="9"/>
      <c r="Z13" s="212" t="s">
        <v>123</v>
      </c>
      <c r="AA13" s="461">
        <f>AVERAGE(AA6:AA12)</f>
        <v>0.21759987360952524</v>
      </c>
      <c r="AB13" s="461">
        <f>AVERAGE(AB6:AB12)</f>
        <v>0.62076554565488173</v>
      </c>
    </row>
    <row r="14" spans="1:28" ht="46.5" customHeight="1">
      <c r="A14" s="393"/>
      <c r="B14" s="393"/>
      <c r="C14" s="662" t="s">
        <v>755</v>
      </c>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row>
    <row r="15" spans="1:28">
      <c r="A15" s="664" t="s">
        <v>25</v>
      </c>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393"/>
      <c r="AB15" s="393"/>
    </row>
    <row r="16" spans="1:28" ht="45.75" customHeight="1">
      <c r="A16" s="649" t="s">
        <v>3</v>
      </c>
      <c r="B16" s="652" t="s">
        <v>26</v>
      </c>
      <c r="C16" s="655" t="s">
        <v>139</v>
      </c>
      <c r="D16" s="656"/>
      <c r="E16" s="656"/>
      <c r="F16" s="657"/>
      <c r="G16" s="661" t="s">
        <v>28</v>
      </c>
      <c r="H16" s="661"/>
      <c r="I16" s="661"/>
      <c r="J16" s="661"/>
      <c r="K16" s="661"/>
      <c r="L16" s="661"/>
      <c r="M16" s="661"/>
      <c r="N16" s="661"/>
      <c r="O16" s="661"/>
      <c r="P16" s="661"/>
      <c r="Q16" s="661"/>
      <c r="R16" s="661"/>
      <c r="S16" s="661"/>
      <c r="T16" s="661"/>
      <c r="U16" s="661"/>
      <c r="V16" s="661"/>
      <c r="W16" s="661"/>
      <c r="X16" s="661"/>
      <c r="Y16" s="661"/>
      <c r="Z16" s="661"/>
      <c r="AA16" s="513" t="s">
        <v>124</v>
      </c>
      <c r="AB16" s="513" t="s">
        <v>125</v>
      </c>
    </row>
    <row r="17" spans="1:28" ht="45" customHeight="1">
      <c r="A17" s="650"/>
      <c r="B17" s="653"/>
      <c r="C17" s="658"/>
      <c r="D17" s="659"/>
      <c r="E17" s="659"/>
      <c r="F17" s="660"/>
      <c r="G17" s="661" t="s">
        <v>9</v>
      </c>
      <c r="H17" s="661"/>
      <c r="I17" s="661"/>
      <c r="J17" s="661"/>
      <c r="K17" s="661" t="s">
        <v>10</v>
      </c>
      <c r="L17" s="661"/>
      <c r="M17" s="661"/>
      <c r="N17" s="661"/>
      <c r="O17" s="661" t="s">
        <v>11</v>
      </c>
      <c r="P17" s="661"/>
      <c r="Q17" s="661"/>
      <c r="R17" s="661"/>
      <c r="S17" s="661" t="s">
        <v>12</v>
      </c>
      <c r="T17" s="661"/>
      <c r="U17" s="661"/>
      <c r="V17" s="661"/>
      <c r="W17" s="661" t="s">
        <v>13</v>
      </c>
      <c r="X17" s="661"/>
      <c r="Y17" s="661"/>
      <c r="Z17" s="661"/>
      <c r="AA17" s="513" t="s">
        <v>124</v>
      </c>
      <c r="AB17" s="513" t="s">
        <v>125</v>
      </c>
    </row>
    <row r="18" spans="1:28" ht="96" customHeight="1">
      <c r="A18" s="651"/>
      <c r="B18" s="654"/>
      <c r="C18" s="218" t="s">
        <v>773</v>
      </c>
      <c r="D18" s="218" t="s">
        <v>32</v>
      </c>
      <c r="E18" s="218" t="s">
        <v>33</v>
      </c>
      <c r="F18" s="218" t="s">
        <v>774</v>
      </c>
      <c r="G18" s="218" t="s">
        <v>34</v>
      </c>
      <c r="H18" s="218" t="s">
        <v>32</v>
      </c>
      <c r="I18" s="218" t="s">
        <v>33</v>
      </c>
      <c r="J18" s="218" t="s">
        <v>19</v>
      </c>
      <c r="K18" s="218" t="s">
        <v>34</v>
      </c>
      <c r="L18" s="218" t="s">
        <v>32</v>
      </c>
      <c r="M18" s="218" t="s">
        <v>33</v>
      </c>
      <c r="N18" s="218" t="s">
        <v>19</v>
      </c>
      <c r="O18" s="218" t="s">
        <v>34</v>
      </c>
      <c r="P18" s="218" t="s">
        <v>32</v>
      </c>
      <c r="Q18" s="218" t="s">
        <v>33</v>
      </c>
      <c r="R18" s="218" t="s">
        <v>19</v>
      </c>
      <c r="S18" s="218" t="s">
        <v>34</v>
      </c>
      <c r="T18" s="218" t="s">
        <v>32</v>
      </c>
      <c r="U18" s="218" t="s">
        <v>33</v>
      </c>
      <c r="V18" s="218" t="s">
        <v>19</v>
      </c>
      <c r="W18" s="218" t="s">
        <v>34</v>
      </c>
      <c r="X18" s="218" t="s">
        <v>32</v>
      </c>
      <c r="Y18" s="218" t="s">
        <v>33</v>
      </c>
      <c r="Z18" s="218" t="s">
        <v>19</v>
      </c>
      <c r="AA18" s="513" t="s">
        <v>124</v>
      </c>
      <c r="AB18" s="513" t="s">
        <v>125</v>
      </c>
    </row>
    <row r="19" spans="1:28" ht="51">
      <c r="A19" s="49">
        <v>1</v>
      </c>
      <c r="B19" s="49" t="s">
        <v>379</v>
      </c>
      <c r="C19" s="167">
        <v>100000</v>
      </c>
      <c r="D19" s="167">
        <v>200000</v>
      </c>
      <c r="E19" s="167">
        <v>300</v>
      </c>
      <c r="F19" s="167">
        <v>400</v>
      </c>
      <c r="G19" s="167">
        <v>300000</v>
      </c>
      <c r="H19" s="167">
        <v>330000</v>
      </c>
      <c r="I19" s="167">
        <v>500</v>
      </c>
      <c r="J19" s="167">
        <v>500</v>
      </c>
      <c r="K19" s="167">
        <v>300000</v>
      </c>
      <c r="L19" s="167">
        <v>330000</v>
      </c>
      <c r="M19" s="167">
        <v>500</v>
      </c>
      <c r="N19" s="167">
        <v>500</v>
      </c>
      <c r="O19" s="167">
        <v>780000</v>
      </c>
      <c r="P19" s="167">
        <v>810000</v>
      </c>
      <c r="Q19" s="167">
        <v>600</v>
      </c>
      <c r="R19" s="167">
        <v>600</v>
      </c>
      <c r="S19" s="167">
        <v>300000</v>
      </c>
      <c r="T19" s="167">
        <v>330000</v>
      </c>
      <c r="U19" s="167">
        <v>500</v>
      </c>
      <c r="V19" s="167">
        <v>500</v>
      </c>
      <c r="W19" s="167">
        <v>300000</v>
      </c>
      <c r="X19" s="167">
        <v>330000</v>
      </c>
      <c r="Y19" s="167">
        <v>500</v>
      </c>
      <c r="Z19" s="167">
        <v>500</v>
      </c>
      <c r="AA19" s="460">
        <f>C19/W19</f>
        <v>0.33333333333333331</v>
      </c>
      <c r="AB19" s="460">
        <f>W19/X19</f>
        <v>0.90909090909090906</v>
      </c>
    </row>
    <row r="20" spans="1:28" ht="45.75" customHeight="1">
      <c r="A20" s="393"/>
      <c r="B20" s="393"/>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212" t="s">
        <v>123</v>
      </c>
      <c r="AA20" s="461">
        <f>AVERAGE(AA19)</f>
        <v>0.33333333333333331</v>
      </c>
      <c r="AB20" s="461">
        <f>AVERAGE(AB19)</f>
        <v>0.90909090909090906</v>
      </c>
    </row>
    <row r="21" spans="1:28">
      <c r="A21" s="9"/>
      <c r="B21" s="9" t="s">
        <v>40</v>
      </c>
    </row>
    <row r="23" spans="1:28" ht="31.5" customHeight="1">
      <c r="A23" s="168" t="s">
        <v>41</v>
      </c>
      <c r="B23" s="509" t="s">
        <v>42</v>
      </c>
      <c r="C23" s="509"/>
      <c r="D23" s="509"/>
      <c r="E23" s="509"/>
      <c r="F23" s="509"/>
      <c r="G23" s="509"/>
      <c r="H23" s="509"/>
      <c r="I23" s="509"/>
      <c r="J23" s="509"/>
      <c r="K23" s="509"/>
      <c r="L23" s="509"/>
      <c r="M23" s="509"/>
      <c r="N23" s="509"/>
      <c r="O23" s="509"/>
      <c r="P23" s="509"/>
      <c r="Q23" s="509"/>
      <c r="R23" s="509"/>
    </row>
    <row r="24" spans="1:28" ht="31.5" customHeight="1">
      <c r="A24" s="168" t="s">
        <v>43</v>
      </c>
      <c r="B24" s="509" t="s">
        <v>44</v>
      </c>
      <c r="C24" s="509"/>
      <c r="D24" s="509"/>
      <c r="E24" s="509"/>
      <c r="F24" s="509"/>
      <c r="G24" s="509"/>
      <c r="H24" s="509"/>
      <c r="I24" s="509"/>
      <c r="J24" s="509"/>
      <c r="K24" s="509"/>
      <c r="L24" s="509"/>
      <c r="M24" s="509"/>
      <c r="N24" s="509"/>
      <c r="O24" s="509"/>
      <c r="P24" s="509"/>
      <c r="Q24" s="509"/>
      <c r="R24" s="509"/>
    </row>
    <row r="25" spans="1:28" ht="31.5" customHeight="1">
      <c r="B25" s="509" t="s">
        <v>164</v>
      </c>
      <c r="C25" s="509"/>
      <c r="D25" s="509"/>
      <c r="E25" s="509"/>
      <c r="F25" s="509"/>
      <c r="G25" s="509"/>
      <c r="H25" s="509"/>
      <c r="I25" s="509"/>
      <c r="J25" s="509"/>
      <c r="K25" s="509"/>
      <c r="L25" s="509"/>
      <c r="M25" s="509"/>
      <c r="N25" s="509"/>
      <c r="O25" s="509"/>
      <c r="P25" s="509"/>
      <c r="Q25" s="509"/>
      <c r="R25" s="509"/>
    </row>
    <row r="26" spans="1:28" ht="31.5" customHeight="1">
      <c r="B26" s="509" t="s">
        <v>165</v>
      </c>
      <c r="C26" s="509"/>
      <c r="D26" s="509"/>
      <c r="E26" s="509"/>
      <c r="F26" s="509"/>
      <c r="G26" s="509"/>
      <c r="H26" s="509"/>
      <c r="I26" s="509"/>
      <c r="J26" s="509"/>
      <c r="K26" s="509"/>
      <c r="L26" s="509"/>
      <c r="M26" s="509"/>
      <c r="N26" s="509"/>
      <c r="O26" s="509"/>
      <c r="P26" s="509"/>
      <c r="Q26" s="509"/>
      <c r="R26" s="509"/>
    </row>
    <row r="27" spans="1:28" ht="31.5" customHeight="1">
      <c r="B27" s="509" t="s">
        <v>166</v>
      </c>
      <c r="C27" s="509"/>
      <c r="D27" s="509"/>
      <c r="E27" s="509"/>
      <c r="F27" s="509"/>
      <c r="G27" s="509"/>
      <c r="H27" s="509"/>
      <c r="I27" s="509"/>
      <c r="J27" s="509"/>
      <c r="K27" s="509"/>
      <c r="L27" s="509"/>
      <c r="M27" s="509"/>
      <c r="N27" s="509"/>
      <c r="O27" s="509"/>
      <c r="P27" s="509"/>
      <c r="Q27" s="509"/>
      <c r="R27" s="509"/>
    </row>
    <row r="28" spans="1:28" ht="31.5" customHeight="1">
      <c r="B28" s="509" t="s">
        <v>167</v>
      </c>
      <c r="C28" s="509"/>
      <c r="D28" s="509"/>
      <c r="E28" s="509"/>
      <c r="F28" s="509"/>
      <c r="G28" s="509"/>
      <c r="H28" s="509"/>
      <c r="I28" s="509"/>
      <c r="J28" s="509"/>
      <c r="K28" s="509"/>
      <c r="L28" s="509"/>
      <c r="M28" s="509"/>
      <c r="N28" s="509"/>
      <c r="O28" s="509"/>
      <c r="P28" s="509"/>
      <c r="Q28" s="509"/>
      <c r="R28" s="509"/>
    </row>
    <row r="29" spans="1:28" ht="73.5" customHeight="1">
      <c r="B29" s="509" t="s">
        <v>168</v>
      </c>
      <c r="C29" s="509"/>
      <c r="D29" s="509"/>
      <c r="E29" s="509"/>
      <c r="F29" s="509"/>
      <c r="G29" s="509"/>
      <c r="H29" s="509"/>
      <c r="I29" s="509"/>
      <c r="J29" s="509"/>
      <c r="K29" s="509"/>
      <c r="L29" s="509"/>
      <c r="M29" s="509"/>
      <c r="N29" s="509"/>
      <c r="O29" s="509"/>
      <c r="P29" s="509"/>
      <c r="Q29" s="509"/>
      <c r="R29" s="509"/>
    </row>
    <row r="30" spans="1:28" ht="39" customHeight="1">
      <c r="B30" s="509" t="s">
        <v>169</v>
      </c>
      <c r="C30" s="509"/>
      <c r="D30" s="509"/>
      <c r="E30" s="509"/>
      <c r="F30" s="509"/>
      <c r="G30" s="509"/>
      <c r="H30" s="509"/>
      <c r="I30" s="509"/>
      <c r="J30" s="509"/>
      <c r="K30" s="509"/>
      <c r="L30" s="509"/>
      <c r="M30" s="509"/>
      <c r="N30" s="509"/>
      <c r="O30" s="509"/>
      <c r="P30" s="509"/>
      <c r="Q30" s="509"/>
      <c r="R30" s="509"/>
    </row>
    <row r="31" spans="1:28">
      <c r="B31" s="169"/>
    </row>
    <row r="32" spans="1:28">
      <c r="B32" s="169"/>
    </row>
    <row r="34" spans="2:2">
      <c r="B34" s="169"/>
    </row>
  </sheetData>
  <mergeCells count="35">
    <mergeCell ref="B26:R26"/>
    <mergeCell ref="B27:R27"/>
    <mergeCell ref="B28:R28"/>
    <mergeCell ref="B29:R29"/>
    <mergeCell ref="B30:R30"/>
    <mergeCell ref="B25:R25"/>
    <mergeCell ref="C14:AB14"/>
    <mergeCell ref="A15:Z15"/>
    <mergeCell ref="A16:A18"/>
    <mergeCell ref="B16:B18"/>
    <mergeCell ref="C16:F17"/>
    <mergeCell ref="G16:Z16"/>
    <mergeCell ref="AA16:AA18"/>
    <mergeCell ref="AB16:AB18"/>
    <mergeCell ref="G17:J17"/>
    <mergeCell ref="K17:N17"/>
    <mergeCell ref="O17:R17"/>
    <mergeCell ref="S17:V17"/>
    <mergeCell ref="W17:Z17"/>
    <mergeCell ref="B23:R23"/>
    <mergeCell ref="B24:R24"/>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B31"/>
  <sheetViews>
    <sheetView workbookViewId="0">
      <selection activeCell="B25" sqref="B24:R25"/>
    </sheetView>
  </sheetViews>
  <sheetFormatPr defaultRowHeight="15"/>
  <cols>
    <col min="1" max="1" width="5" customWidth="1"/>
    <col min="2" max="2" width="15.85546875" customWidth="1"/>
    <col min="3" max="6" width="7.7109375" customWidth="1"/>
    <col min="7" max="10" width="7" customWidth="1"/>
    <col min="11" max="11" width="8.5703125" customWidth="1"/>
    <col min="12" max="14" width="7" customWidth="1"/>
    <col min="15" max="15" width="7.7109375" customWidth="1"/>
    <col min="16" max="18" width="7" customWidth="1"/>
    <col min="19" max="19" width="7.42578125" customWidth="1"/>
    <col min="20" max="22" width="7" customWidth="1"/>
    <col min="23" max="23" width="7.42578125" customWidth="1"/>
    <col min="24" max="25" width="7" customWidth="1"/>
    <col min="26" max="26" width="7.85546875" customWidth="1"/>
    <col min="257" max="257" width="5" customWidth="1"/>
    <col min="258" max="258" width="15.85546875" customWidth="1"/>
    <col min="259" max="262" width="7.7109375" customWidth="1"/>
    <col min="263" max="266" width="7" customWidth="1"/>
    <col min="267" max="267" width="8.5703125" customWidth="1"/>
    <col min="268" max="270" width="7" customWidth="1"/>
    <col min="271" max="271" width="7.7109375" customWidth="1"/>
    <col min="272" max="274" width="7" customWidth="1"/>
    <col min="275" max="275" width="7.42578125" customWidth="1"/>
    <col min="276" max="278" width="7" customWidth="1"/>
    <col min="279" max="279" width="7.42578125" customWidth="1"/>
    <col min="280" max="281" width="7" customWidth="1"/>
    <col min="282" max="282" width="7.85546875" customWidth="1"/>
    <col min="513" max="513" width="5" customWidth="1"/>
    <col min="514" max="514" width="15.85546875" customWidth="1"/>
    <col min="515" max="518" width="7.7109375" customWidth="1"/>
    <col min="519" max="522" width="7" customWidth="1"/>
    <col min="523" max="523" width="8.5703125" customWidth="1"/>
    <col min="524" max="526" width="7" customWidth="1"/>
    <col min="527" max="527" width="7.7109375" customWidth="1"/>
    <col min="528" max="530" width="7" customWidth="1"/>
    <col min="531" max="531" width="7.42578125" customWidth="1"/>
    <col min="532" max="534" width="7" customWidth="1"/>
    <col min="535" max="535" width="7.42578125" customWidth="1"/>
    <col min="536" max="537" width="7" customWidth="1"/>
    <col min="538" max="538" width="7.85546875" customWidth="1"/>
    <col min="769" max="769" width="5" customWidth="1"/>
    <col min="770" max="770" width="15.85546875" customWidth="1"/>
    <col min="771" max="774" width="7.7109375" customWidth="1"/>
    <col min="775" max="778" width="7" customWidth="1"/>
    <col min="779" max="779" width="8.5703125" customWidth="1"/>
    <col min="780" max="782" width="7" customWidth="1"/>
    <col min="783" max="783" width="7.7109375" customWidth="1"/>
    <col min="784" max="786" width="7" customWidth="1"/>
    <col min="787" max="787" width="7.42578125" customWidth="1"/>
    <col min="788" max="790" width="7" customWidth="1"/>
    <col min="791" max="791" width="7.42578125" customWidth="1"/>
    <col min="792" max="793" width="7" customWidth="1"/>
    <col min="794" max="794" width="7.85546875" customWidth="1"/>
    <col min="1025" max="1025" width="5" customWidth="1"/>
    <col min="1026" max="1026" width="15.85546875" customWidth="1"/>
    <col min="1027" max="1030" width="7.7109375" customWidth="1"/>
    <col min="1031" max="1034" width="7" customWidth="1"/>
    <col min="1035" max="1035" width="8.5703125" customWidth="1"/>
    <col min="1036" max="1038" width="7" customWidth="1"/>
    <col min="1039" max="1039" width="7.7109375" customWidth="1"/>
    <col min="1040" max="1042" width="7" customWidth="1"/>
    <col min="1043" max="1043" width="7.42578125" customWidth="1"/>
    <col min="1044" max="1046" width="7" customWidth="1"/>
    <col min="1047" max="1047" width="7.42578125" customWidth="1"/>
    <col min="1048" max="1049" width="7" customWidth="1"/>
    <col min="1050" max="1050" width="7.85546875" customWidth="1"/>
    <col min="1281" max="1281" width="5" customWidth="1"/>
    <col min="1282" max="1282" width="15.85546875" customWidth="1"/>
    <col min="1283" max="1286" width="7.7109375" customWidth="1"/>
    <col min="1287" max="1290" width="7" customWidth="1"/>
    <col min="1291" max="1291" width="8.5703125" customWidth="1"/>
    <col min="1292" max="1294" width="7" customWidth="1"/>
    <col min="1295" max="1295" width="7.7109375" customWidth="1"/>
    <col min="1296" max="1298" width="7" customWidth="1"/>
    <col min="1299" max="1299" width="7.42578125" customWidth="1"/>
    <col min="1300" max="1302" width="7" customWidth="1"/>
    <col min="1303" max="1303" width="7.42578125" customWidth="1"/>
    <col min="1304" max="1305" width="7" customWidth="1"/>
    <col min="1306" max="1306" width="7.85546875" customWidth="1"/>
    <col min="1537" max="1537" width="5" customWidth="1"/>
    <col min="1538" max="1538" width="15.85546875" customWidth="1"/>
    <col min="1539" max="1542" width="7.7109375" customWidth="1"/>
    <col min="1543" max="1546" width="7" customWidth="1"/>
    <col min="1547" max="1547" width="8.5703125" customWidth="1"/>
    <col min="1548" max="1550" width="7" customWidth="1"/>
    <col min="1551" max="1551" width="7.7109375" customWidth="1"/>
    <col min="1552" max="1554" width="7" customWidth="1"/>
    <col min="1555" max="1555" width="7.42578125" customWidth="1"/>
    <col min="1556" max="1558" width="7" customWidth="1"/>
    <col min="1559" max="1559" width="7.42578125" customWidth="1"/>
    <col min="1560" max="1561" width="7" customWidth="1"/>
    <col min="1562" max="1562" width="7.85546875" customWidth="1"/>
    <col min="1793" max="1793" width="5" customWidth="1"/>
    <col min="1794" max="1794" width="15.85546875" customWidth="1"/>
    <col min="1795" max="1798" width="7.7109375" customWidth="1"/>
    <col min="1799" max="1802" width="7" customWidth="1"/>
    <col min="1803" max="1803" width="8.5703125" customWidth="1"/>
    <col min="1804" max="1806" width="7" customWidth="1"/>
    <col min="1807" max="1807" width="7.7109375" customWidth="1"/>
    <col min="1808" max="1810" width="7" customWidth="1"/>
    <col min="1811" max="1811" width="7.42578125" customWidth="1"/>
    <col min="1812" max="1814" width="7" customWidth="1"/>
    <col min="1815" max="1815" width="7.42578125" customWidth="1"/>
    <col min="1816" max="1817" width="7" customWidth="1"/>
    <col min="1818" max="1818" width="7.85546875" customWidth="1"/>
    <col min="2049" max="2049" width="5" customWidth="1"/>
    <col min="2050" max="2050" width="15.85546875" customWidth="1"/>
    <col min="2051" max="2054" width="7.7109375" customWidth="1"/>
    <col min="2055" max="2058" width="7" customWidth="1"/>
    <col min="2059" max="2059" width="8.5703125" customWidth="1"/>
    <col min="2060" max="2062" width="7" customWidth="1"/>
    <col min="2063" max="2063" width="7.7109375" customWidth="1"/>
    <col min="2064" max="2066" width="7" customWidth="1"/>
    <col min="2067" max="2067" width="7.42578125" customWidth="1"/>
    <col min="2068" max="2070" width="7" customWidth="1"/>
    <col min="2071" max="2071" width="7.42578125" customWidth="1"/>
    <col min="2072" max="2073" width="7" customWidth="1"/>
    <col min="2074" max="2074" width="7.85546875" customWidth="1"/>
    <col min="2305" max="2305" width="5" customWidth="1"/>
    <col min="2306" max="2306" width="15.85546875" customWidth="1"/>
    <col min="2307" max="2310" width="7.7109375" customWidth="1"/>
    <col min="2311" max="2314" width="7" customWidth="1"/>
    <col min="2315" max="2315" width="8.5703125" customWidth="1"/>
    <col min="2316" max="2318" width="7" customWidth="1"/>
    <col min="2319" max="2319" width="7.7109375" customWidth="1"/>
    <col min="2320" max="2322" width="7" customWidth="1"/>
    <col min="2323" max="2323" width="7.42578125" customWidth="1"/>
    <col min="2324" max="2326" width="7" customWidth="1"/>
    <col min="2327" max="2327" width="7.42578125" customWidth="1"/>
    <col min="2328" max="2329" width="7" customWidth="1"/>
    <col min="2330" max="2330" width="7.85546875" customWidth="1"/>
    <col min="2561" max="2561" width="5" customWidth="1"/>
    <col min="2562" max="2562" width="15.85546875" customWidth="1"/>
    <col min="2563" max="2566" width="7.7109375" customWidth="1"/>
    <col min="2567" max="2570" width="7" customWidth="1"/>
    <col min="2571" max="2571" width="8.5703125" customWidth="1"/>
    <col min="2572" max="2574" width="7" customWidth="1"/>
    <col min="2575" max="2575" width="7.7109375" customWidth="1"/>
    <col min="2576" max="2578" width="7" customWidth="1"/>
    <col min="2579" max="2579" width="7.42578125" customWidth="1"/>
    <col min="2580" max="2582" width="7" customWidth="1"/>
    <col min="2583" max="2583" width="7.42578125" customWidth="1"/>
    <col min="2584" max="2585" width="7" customWidth="1"/>
    <col min="2586" max="2586" width="7.85546875" customWidth="1"/>
    <col min="2817" max="2817" width="5" customWidth="1"/>
    <col min="2818" max="2818" width="15.85546875" customWidth="1"/>
    <col min="2819" max="2822" width="7.7109375" customWidth="1"/>
    <col min="2823" max="2826" width="7" customWidth="1"/>
    <col min="2827" max="2827" width="8.5703125" customWidth="1"/>
    <col min="2828" max="2830" width="7" customWidth="1"/>
    <col min="2831" max="2831" width="7.7109375" customWidth="1"/>
    <col min="2832" max="2834" width="7" customWidth="1"/>
    <col min="2835" max="2835" width="7.42578125" customWidth="1"/>
    <col min="2836" max="2838" width="7" customWidth="1"/>
    <col min="2839" max="2839" width="7.42578125" customWidth="1"/>
    <col min="2840" max="2841" width="7" customWidth="1"/>
    <col min="2842" max="2842" width="7.85546875" customWidth="1"/>
    <col min="3073" max="3073" width="5" customWidth="1"/>
    <col min="3074" max="3074" width="15.85546875" customWidth="1"/>
    <col min="3075" max="3078" width="7.7109375" customWidth="1"/>
    <col min="3079" max="3082" width="7" customWidth="1"/>
    <col min="3083" max="3083" width="8.5703125" customWidth="1"/>
    <col min="3084" max="3086" width="7" customWidth="1"/>
    <col min="3087" max="3087" width="7.7109375" customWidth="1"/>
    <col min="3088" max="3090" width="7" customWidth="1"/>
    <col min="3091" max="3091" width="7.42578125" customWidth="1"/>
    <col min="3092" max="3094" width="7" customWidth="1"/>
    <col min="3095" max="3095" width="7.42578125" customWidth="1"/>
    <col min="3096" max="3097" width="7" customWidth="1"/>
    <col min="3098" max="3098" width="7.85546875" customWidth="1"/>
    <col min="3329" max="3329" width="5" customWidth="1"/>
    <col min="3330" max="3330" width="15.85546875" customWidth="1"/>
    <col min="3331" max="3334" width="7.7109375" customWidth="1"/>
    <col min="3335" max="3338" width="7" customWidth="1"/>
    <col min="3339" max="3339" width="8.5703125" customWidth="1"/>
    <col min="3340" max="3342" width="7" customWidth="1"/>
    <col min="3343" max="3343" width="7.7109375" customWidth="1"/>
    <col min="3344" max="3346" width="7" customWidth="1"/>
    <col min="3347" max="3347" width="7.42578125" customWidth="1"/>
    <col min="3348" max="3350" width="7" customWidth="1"/>
    <col min="3351" max="3351" width="7.42578125" customWidth="1"/>
    <col min="3352" max="3353" width="7" customWidth="1"/>
    <col min="3354" max="3354" width="7.85546875" customWidth="1"/>
    <col min="3585" max="3585" width="5" customWidth="1"/>
    <col min="3586" max="3586" width="15.85546875" customWidth="1"/>
    <col min="3587" max="3590" width="7.7109375" customWidth="1"/>
    <col min="3591" max="3594" width="7" customWidth="1"/>
    <col min="3595" max="3595" width="8.5703125" customWidth="1"/>
    <col min="3596" max="3598" width="7" customWidth="1"/>
    <col min="3599" max="3599" width="7.7109375" customWidth="1"/>
    <col min="3600" max="3602" width="7" customWidth="1"/>
    <col min="3603" max="3603" width="7.42578125" customWidth="1"/>
    <col min="3604" max="3606" width="7" customWidth="1"/>
    <col min="3607" max="3607" width="7.42578125" customWidth="1"/>
    <col min="3608" max="3609" width="7" customWidth="1"/>
    <col min="3610" max="3610" width="7.85546875" customWidth="1"/>
    <col min="3841" max="3841" width="5" customWidth="1"/>
    <col min="3842" max="3842" width="15.85546875" customWidth="1"/>
    <col min="3843" max="3846" width="7.7109375" customWidth="1"/>
    <col min="3847" max="3850" width="7" customWidth="1"/>
    <col min="3851" max="3851" width="8.5703125" customWidth="1"/>
    <col min="3852" max="3854" width="7" customWidth="1"/>
    <col min="3855" max="3855" width="7.7109375" customWidth="1"/>
    <col min="3856" max="3858" width="7" customWidth="1"/>
    <col min="3859" max="3859" width="7.42578125" customWidth="1"/>
    <col min="3860" max="3862" width="7" customWidth="1"/>
    <col min="3863" max="3863" width="7.42578125" customWidth="1"/>
    <col min="3864" max="3865" width="7" customWidth="1"/>
    <col min="3866" max="3866" width="7.85546875" customWidth="1"/>
    <col min="4097" max="4097" width="5" customWidth="1"/>
    <col min="4098" max="4098" width="15.85546875" customWidth="1"/>
    <col min="4099" max="4102" width="7.7109375" customWidth="1"/>
    <col min="4103" max="4106" width="7" customWidth="1"/>
    <col min="4107" max="4107" width="8.5703125" customWidth="1"/>
    <col min="4108" max="4110" width="7" customWidth="1"/>
    <col min="4111" max="4111" width="7.7109375" customWidth="1"/>
    <col min="4112" max="4114" width="7" customWidth="1"/>
    <col min="4115" max="4115" width="7.42578125" customWidth="1"/>
    <col min="4116" max="4118" width="7" customWidth="1"/>
    <col min="4119" max="4119" width="7.42578125" customWidth="1"/>
    <col min="4120" max="4121" width="7" customWidth="1"/>
    <col min="4122" max="4122" width="7.85546875" customWidth="1"/>
    <col min="4353" max="4353" width="5" customWidth="1"/>
    <col min="4354" max="4354" width="15.85546875" customWidth="1"/>
    <col min="4355" max="4358" width="7.7109375" customWidth="1"/>
    <col min="4359" max="4362" width="7" customWidth="1"/>
    <col min="4363" max="4363" width="8.5703125" customWidth="1"/>
    <col min="4364" max="4366" width="7" customWidth="1"/>
    <col min="4367" max="4367" width="7.7109375" customWidth="1"/>
    <col min="4368" max="4370" width="7" customWidth="1"/>
    <col min="4371" max="4371" width="7.42578125" customWidth="1"/>
    <col min="4372" max="4374" width="7" customWidth="1"/>
    <col min="4375" max="4375" width="7.42578125" customWidth="1"/>
    <col min="4376" max="4377" width="7" customWidth="1"/>
    <col min="4378" max="4378" width="7.85546875" customWidth="1"/>
    <col min="4609" max="4609" width="5" customWidth="1"/>
    <col min="4610" max="4610" width="15.85546875" customWidth="1"/>
    <col min="4611" max="4614" width="7.7109375" customWidth="1"/>
    <col min="4615" max="4618" width="7" customWidth="1"/>
    <col min="4619" max="4619" width="8.5703125" customWidth="1"/>
    <col min="4620" max="4622" width="7" customWidth="1"/>
    <col min="4623" max="4623" width="7.7109375" customWidth="1"/>
    <col min="4624" max="4626" width="7" customWidth="1"/>
    <col min="4627" max="4627" width="7.42578125" customWidth="1"/>
    <col min="4628" max="4630" width="7" customWidth="1"/>
    <col min="4631" max="4631" width="7.42578125" customWidth="1"/>
    <col min="4632" max="4633" width="7" customWidth="1"/>
    <col min="4634" max="4634" width="7.85546875" customWidth="1"/>
    <col min="4865" max="4865" width="5" customWidth="1"/>
    <col min="4866" max="4866" width="15.85546875" customWidth="1"/>
    <col min="4867" max="4870" width="7.7109375" customWidth="1"/>
    <col min="4871" max="4874" width="7" customWidth="1"/>
    <col min="4875" max="4875" width="8.5703125" customWidth="1"/>
    <col min="4876" max="4878" width="7" customWidth="1"/>
    <col min="4879" max="4879" width="7.7109375" customWidth="1"/>
    <col min="4880" max="4882" width="7" customWidth="1"/>
    <col min="4883" max="4883" width="7.42578125" customWidth="1"/>
    <col min="4884" max="4886" width="7" customWidth="1"/>
    <col min="4887" max="4887" width="7.42578125" customWidth="1"/>
    <col min="4888" max="4889" width="7" customWidth="1"/>
    <col min="4890" max="4890" width="7.85546875" customWidth="1"/>
    <col min="5121" max="5121" width="5" customWidth="1"/>
    <col min="5122" max="5122" width="15.85546875" customWidth="1"/>
    <col min="5123" max="5126" width="7.7109375" customWidth="1"/>
    <col min="5127" max="5130" width="7" customWidth="1"/>
    <col min="5131" max="5131" width="8.5703125" customWidth="1"/>
    <col min="5132" max="5134" width="7" customWidth="1"/>
    <col min="5135" max="5135" width="7.7109375" customWidth="1"/>
    <col min="5136" max="5138" width="7" customWidth="1"/>
    <col min="5139" max="5139" width="7.42578125" customWidth="1"/>
    <col min="5140" max="5142" width="7" customWidth="1"/>
    <col min="5143" max="5143" width="7.42578125" customWidth="1"/>
    <col min="5144" max="5145" width="7" customWidth="1"/>
    <col min="5146" max="5146" width="7.85546875" customWidth="1"/>
    <col min="5377" max="5377" width="5" customWidth="1"/>
    <col min="5378" max="5378" width="15.85546875" customWidth="1"/>
    <col min="5379" max="5382" width="7.7109375" customWidth="1"/>
    <col min="5383" max="5386" width="7" customWidth="1"/>
    <col min="5387" max="5387" width="8.5703125" customWidth="1"/>
    <col min="5388" max="5390" width="7" customWidth="1"/>
    <col min="5391" max="5391" width="7.7109375" customWidth="1"/>
    <col min="5392" max="5394" width="7" customWidth="1"/>
    <col min="5395" max="5395" width="7.42578125" customWidth="1"/>
    <col min="5396" max="5398" width="7" customWidth="1"/>
    <col min="5399" max="5399" width="7.42578125" customWidth="1"/>
    <col min="5400" max="5401" width="7" customWidth="1"/>
    <col min="5402" max="5402" width="7.85546875" customWidth="1"/>
    <col min="5633" max="5633" width="5" customWidth="1"/>
    <col min="5634" max="5634" width="15.85546875" customWidth="1"/>
    <col min="5635" max="5638" width="7.7109375" customWidth="1"/>
    <col min="5639" max="5642" width="7" customWidth="1"/>
    <col min="5643" max="5643" width="8.5703125" customWidth="1"/>
    <col min="5644" max="5646" width="7" customWidth="1"/>
    <col min="5647" max="5647" width="7.7109375" customWidth="1"/>
    <col min="5648" max="5650" width="7" customWidth="1"/>
    <col min="5651" max="5651" width="7.42578125" customWidth="1"/>
    <col min="5652" max="5654" width="7" customWidth="1"/>
    <col min="5655" max="5655" width="7.42578125" customWidth="1"/>
    <col min="5656" max="5657" width="7" customWidth="1"/>
    <col min="5658" max="5658" width="7.85546875" customWidth="1"/>
    <col min="5889" max="5889" width="5" customWidth="1"/>
    <col min="5890" max="5890" width="15.85546875" customWidth="1"/>
    <col min="5891" max="5894" width="7.7109375" customWidth="1"/>
    <col min="5895" max="5898" width="7" customWidth="1"/>
    <col min="5899" max="5899" width="8.5703125" customWidth="1"/>
    <col min="5900" max="5902" width="7" customWidth="1"/>
    <col min="5903" max="5903" width="7.7109375" customWidth="1"/>
    <col min="5904" max="5906" width="7" customWidth="1"/>
    <col min="5907" max="5907" width="7.42578125" customWidth="1"/>
    <col min="5908" max="5910" width="7" customWidth="1"/>
    <col min="5911" max="5911" width="7.42578125" customWidth="1"/>
    <col min="5912" max="5913" width="7" customWidth="1"/>
    <col min="5914" max="5914" width="7.85546875" customWidth="1"/>
    <col min="6145" max="6145" width="5" customWidth="1"/>
    <col min="6146" max="6146" width="15.85546875" customWidth="1"/>
    <col min="6147" max="6150" width="7.7109375" customWidth="1"/>
    <col min="6151" max="6154" width="7" customWidth="1"/>
    <col min="6155" max="6155" width="8.5703125" customWidth="1"/>
    <col min="6156" max="6158" width="7" customWidth="1"/>
    <col min="6159" max="6159" width="7.7109375" customWidth="1"/>
    <col min="6160" max="6162" width="7" customWidth="1"/>
    <col min="6163" max="6163" width="7.42578125" customWidth="1"/>
    <col min="6164" max="6166" width="7" customWidth="1"/>
    <col min="6167" max="6167" width="7.42578125" customWidth="1"/>
    <col min="6168" max="6169" width="7" customWidth="1"/>
    <col min="6170" max="6170" width="7.85546875" customWidth="1"/>
    <col min="6401" max="6401" width="5" customWidth="1"/>
    <col min="6402" max="6402" width="15.85546875" customWidth="1"/>
    <col min="6403" max="6406" width="7.7109375" customWidth="1"/>
    <col min="6407" max="6410" width="7" customWidth="1"/>
    <col min="6411" max="6411" width="8.5703125" customWidth="1"/>
    <col min="6412" max="6414" width="7" customWidth="1"/>
    <col min="6415" max="6415" width="7.7109375" customWidth="1"/>
    <col min="6416" max="6418" width="7" customWidth="1"/>
    <col min="6419" max="6419" width="7.42578125" customWidth="1"/>
    <col min="6420" max="6422" width="7" customWidth="1"/>
    <col min="6423" max="6423" width="7.42578125" customWidth="1"/>
    <col min="6424" max="6425" width="7" customWidth="1"/>
    <col min="6426" max="6426" width="7.85546875" customWidth="1"/>
    <col min="6657" max="6657" width="5" customWidth="1"/>
    <col min="6658" max="6658" width="15.85546875" customWidth="1"/>
    <col min="6659" max="6662" width="7.7109375" customWidth="1"/>
    <col min="6663" max="6666" width="7" customWidth="1"/>
    <col min="6667" max="6667" width="8.5703125" customWidth="1"/>
    <col min="6668" max="6670" width="7" customWidth="1"/>
    <col min="6671" max="6671" width="7.7109375" customWidth="1"/>
    <col min="6672" max="6674" width="7" customWidth="1"/>
    <col min="6675" max="6675" width="7.42578125" customWidth="1"/>
    <col min="6676" max="6678" width="7" customWidth="1"/>
    <col min="6679" max="6679" width="7.42578125" customWidth="1"/>
    <col min="6680" max="6681" width="7" customWidth="1"/>
    <col min="6682" max="6682" width="7.85546875" customWidth="1"/>
    <col min="6913" max="6913" width="5" customWidth="1"/>
    <col min="6914" max="6914" width="15.85546875" customWidth="1"/>
    <col min="6915" max="6918" width="7.7109375" customWidth="1"/>
    <col min="6919" max="6922" width="7" customWidth="1"/>
    <col min="6923" max="6923" width="8.5703125" customWidth="1"/>
    <col min="6924" max="6926" width="7" customWidth="1"/>
    <col min="6927" max="6927" width="7.7109375" customWidth="1"/>
    <col min="6928" max="6930" width="7" customWidth="1"/>
    <col min="6931" max="6931" width="7.42578125" customWidth="1"/>
    <col min="6932" max="6934" width="7" customWidth="1"/>
    <col min="6935" max="6935" width="7.42578125" customWidth="1"/>
    <col min="6936" max="6937" width="7" customWidth="1"/>
    <col min="6938" max="6938" width="7.85546875" customWidth="1"/>
    <col min="7169" max="7169" width="5" customWidth="1"/>
    <col min="7170" max="7170" width="15.85546875" customWidth="1"/>
    <col min="7171" max="7174" width="7.7109375" customWidth="1"/>
    <col min="7175" max="7178" width="7" customWidth="1"/>
    <col min="7179" max="7179" width="8.5703125" customWidth="1"/>
    <col min="7180" max="7182" width="7" customWidth="1"/>
    <col min="7183" max="7183" width="7.7109375" customWidth="1"/>
    <col min="7184" max="7186" width="7" customWidth="1"/>
    <col min="7187" max="7187" width="7.42578125" customWidth="1"/>
    <col min="7188" max="7190" width="7" customWidth="1"/>
    <col min="7191" max="7191" width="7.42578125" customWidth="1"/>
    <col min="7192" max="7193" width="7" customWidth="1"/>
    <col min="7194" max="7194" width="7.85546875" customWidth="1"/>
    <col min="7425" max="7425" width="5" customWidth="1"/>
    <col min="7426" max="7426" width="15.85546875" customWidth="1"/>
    <col min="7427" max="7430" width="7.7109375" customWidth="1"/>
    <col min="7431" max="7434" width="7" customWidth="1"/>
    <col min="7435" max="7435" width="8.5703125" customWidth="1"/>
    <col min="7436" max="7438" width="7" customWidth="1"/>
    <col min="7439" max="7439" width="7.7109375" customWidth="1"/>
    <col min="7440" max="7442" width="7" customWidth="1"/>
    <col min="7443" max="7443" width="7.42578125" customWidth="1"/>
    <col min="7444" max="7446" width="7" customWidth="1"/>
    <col min="7447" max="7447" width="7.42578125" customWidth="1"/>
    <col min="7448" max="7449" width="7" customWidth="1"/>
    <col min="7450" max="7450" width="7.85546875" customWidth="1"/>
    <col min="7681" max="7681" width="5" customWidth="1"/>
    <col min="7682" max="7682" width="15.85546875" customWidth="1"/>
    <col min="7683" max="7686" width="7.7109375" customWidth="1"/>
    <col min="7687" max="7690" width="7" customWidth="1"/>
    <col min="7691" max="7691" width="8.5703125" customWidth="1"/>
    <col min="7692" max="7694" width="7" customWidth="1"/>
    <col min="7695" max="7695" width="7.7109375" customWidth="1"/>
    <col min="7696" max="7698" width="7" customWidth="1"/>
    <col min="7699" max="7699" width="7.42578125" customWidth="1"/>
    <col min="7700" max="7702" width="7" customWidth="1"/>
    <col min="7703" max="7703" width="7.42578125" customWidth="1"/>
    <col min="7704" max="7705" width="7" customWidth="1"/>
    <col min="7706" max="7706" width="7.85546875" customWidth="1"/>
    <col min="7937" max="7937" width="5" customWidth="1"/>
    <col min="7938" max="7938" width="15.85546875" customWidth="1"/>
    <col min="7939" max="7942" width="7.7109375" customWidth="1"/>
    <col min="7943" max="7946" width="7" customWidth="1"/>
    <col min="7947" max="7947" width="8.5703125" customWidth="1"/>
    <col min="7948" max="7950" width="7" customWidth="1"/>
    <col min="7951" max="7951" width="7.7109375" customWidth="1"/>
    <col min="7952" max="7954" width="7" customWidth="1"/>
    <col min="7955" max="7955" width="7.42578125" customWidth="1"/>
    <col min="7956" max="7958" width="7" customWidth="1"/>
    <col min="7959" max="7959" width="7.42578125" customWidth="1"/>
    <col min="7960" max="7961" width="7" customWidth="1"/>
    <col min="7962" max="7962" width="7.85546875" customWidth="1"/>
    <col min="8193" max="8193" width="5" customWidth="1"/>
    <col min="8194" max="8194" width="15.85546875" customWidth="1"/>
    <col min="8195" max="8198" width="7.7109375" customWidth="1"/>
    <col min="8199" max="8202" width="7" customWidth="1"/>
    <col min="8203" max="8203" width="8.5703125" customWidth="1"/>
    <col min="8204" max="8206" width="7" customWidth="1"/>
    <col min="8207" max="8207" width="7.7109375" customWidth="1"/>
    <col min="8208" max="8210" width="7" customWidth="1"/>
    <col min="8211" max="8211" width="7.42578125" customWidth="1"/>
    <col min="8212" max="8214" width="7" customWidth="1"/>
    <col min="8215" max="8215" width="7.42578125" customWidth="1"/>
    <col min="8216" max="8217" width="7" customWidth="1"/>
    <col min="8218" max="8218" width="7.85546875" customWidth="1"/>
    <col min="8449" max="8449" width="5" customWidth="1"/>
    <col min="8450" max="8450" width="15.85546875" customWidth="1"/>
    <col min="8451" max="8454" width="7.7109375" customWidth="1"/>
    <col min="8455" max="8458" width="7" customWidth="1"/>
    <col min="8459" max="8459" width="8.5703125" customWidth="1"/>
    <col min="8460" max="8462" width="7" customWidth="1"/>
    <col min="8463" max="8463" width="7.7109375" customWidth="1"/>
    <col min="8464" max="8466" width="7" customWidth="1"/>
    <col min="8467" max="8467" width="7.42578125" customWidth="1"/>
    <col min="8468" max="8470" width="7" customWidth="1"/>
    <col min="8471" max="8471" width="7.42578125" customWidth="1"/>
    <col min="8472" max="8473" width="7" customWidth="1"/>
    <col min="8474" max="8474" width="7.85546875" customWidth="1"/>
    <col min="8705" max="8705" width="5" customWidth="1"/>
    <col min="8706" max="8706" width="15.85546875" customWidth="1"/>
    <col min="8707" max="8710" width="7.7109375" customWidth="1"/>
    <col min="8711" max="8714" width="7" customWidth="1"/>
    <col min="8715" max="8715" width="8.5703125" customWidth="1"/>
    <col min="8716" max="8718" width="7" customWidth="1"/>
    <col min="8719" max="8719" width="7.7109375" customWidth="1"/>
    <col min="8720" max="8722" width="7" customWidth="1"/>
    <col min="8723" max="8723" width="7.42578125" customWidth="1"/>
    <col min="8724" max="8726" width="7" customWidth="1"/>
    <col min="8727" max="8727" width="7.42578125" customWidth="1"/>
    <col min="8728" max="8729" width="7" customWidth="1"/>
    <col min="8730" max="8730" width="7.85546875" customWidth="1"/>
    <col min="8961" max="8961" width="5" customWidth="1"/>
    <col min="8962" max="8962" width="15.85546875" customWidth="1"/>
    <col min="8963" max="8966" width="7.7109375" customWidth="1"/>
    <col min="8967" max="8970" width="7" customWidth="1"/>
    <col min="8971" max="8971" width="8.5703125" customWidth="1"/>
    <col min="8972" max="8974" width="7" customWidth="1"/>
    <col min="8975" max="8975" width="7.7109375" customWidth="1"/>
    <col min="8976" max="8978" width="7" customWidth="1"/>
    <col min="8979" max="8979" width="7.42578125" customWidth="1"/>
    <col min="8980" max="8982" width="7" customWidth="1"/>
    <col min="8983" max="8983" width="7.42578125" customWidth="1"/>
    <col min="8984" max="8985" width="7" customWidth="1"/>
    <col min="8986" max="8986" width="7.85546875" customWidth="1"/>
    <col min="9217" max="9217" width="5" customWidth="1"/>
    <col min="9218" max="9218" width="15.85546875" customWidth="1"/>
    <col min="9219" max="9222" width="7.7109375" customWidth="1"/>
    <col min="9223" max="9226" width="7" customWidth="1"/>
    <col min="9227" max="9227" width="8.5703125" customWidth="1"/>
    <col min="9228" max="9230" width="7" customWidth="1"/>
    <col min="9231" max="9231" width="7.7109375" customWidth="1"/>
    <col min="9232" max="9234" width="7" customWidth="1"/>
    <col min="9235" max="9235" width="7.42578125" customWidth="1"/>
    <col min="9236" max="9238" width="7" customWidth="1"/>
    <col min="9239" max="9239" width="7.42578125" customWidth="1"/>
    <col min="9240" max="9241" width="7" customWidth="1"/>
    <col min="9242" max="9242" width="7.85546875" customWidth="1"/>
    <col min="9473" max="9473" width="5" customWidth="1"/>
    <col min="9474" max="9474" width="15.85546875" customWidth="1"/>
    <col min="9475" max="9478" width="7.7109375" customWidth="1"/>
    <col min="9479" max="9482" width="7" customWidth="1"/>
    <col min="9483" max="9483" width="8.5703125" customWidth="1"/>
    <col min="9484" max="9486" width="7" customWidth="1"/>
    <col min="9487" max="9487" width="7.7109375" customWidth="1"/>
    <col min="9488" max="9490" width="7" customWidth="1"/>
    <col min="9491" max="9491" width="7.42578125" customWidth="1"/>
    <col min="9492" max="9494" width="7" customWidth="1"/>
    <col min="9495" max="9495" width="7.42578125" customWidth="1"/>
    <col min="9496" max="9497" width="7" customWidth="1"/>
    <col min="9498" max="9498" width="7.85546875" customWidth="1"/>
    <col min="9729" max="9729" width="5" customWidth="1"/>
    <col min="9730" max="9730" width="15.85546875" customWidth="1"/>
    <col min="9731" max="9734" width="7.7109375" customWidth="1"/>
    <col min="9735" max="9738" width="7" customWidth="1"/>
    <col min="9739" max="9739" width="8.5703125" customWidth="1"/>
    <col min="9740" max="9742" width="7" customWidth="1"/>
    <col min="9743" max="9743" width="7.7109375" customWidth="1"/>
    <col min="9744" max="9746" width="7" customWidth="1"/>
    <col min="9747" max="9747" width="7.42578125" customWidth="1"/>
    <col min="9748" max="9750" width="7" customWidth="1"/>
    <col min="9751" max="9751" width="7.42578125" customWidth="1"/>
    <col min="9752" max="9753" width="7" customWidth="1"/>
    <col min="9754" max="9754" width="7.85546875" customWidth="1"/>
    <col min="9985" max="9985" width="5" customWidth="1"/>
    <col min="9986" max="9986" width="15.85546875" customWidth="1"/>
    <col min="9987" max="9990" width="7.7109375" customWidth="1"/>
    <col min="9991" max="9994" width="7" customWidth="1"/>
    <col min="9995" max="9995" width="8.5703125" customWidth="1"/>
    <col min="9996" max="9998" width="7" customWidth="1"/>
    <col min="9999" max="9999" width="7.7109375" customWidth="1"/>
    <col min="10000" max="10002" width="7" customWidth="1"/>
    <col min="10003" max="10003" width="7.42578125" customWidth="1"/>
    <col min="10004" max="10006" width="7" customWidth="1"/>
    <col min="10007" max="10007" width="7.42578125" customWidth="1"/>
    <col min="10008" max="10009" width="7" customWidth="1"/>
    <col min="10010" max="10010" width="7.85546875" customWidth="1"/>
    <col min="10241" max="10241" width="5" customWidth="1"/>
    <col min="10242" max="10242" width="15.85546875" customWidth="1"/>
    <col min="10243" max="10246" width="7.7109375" customWidth="1"/>
    <col min="10247" max="10250" width="7" customWidth="1"/>
    <col min="10251" max="10251" width="8.5703125" customWidth="1"/>
    <col min="10252" max="10254" width="7" customWidth="1"/>
    <col min="10255" max="10255" width="7.7109375" customWidth="1"/>
    <col min="10256" max="10258" width="7" customWidth="1"/>
    <col min="10259" max="10259" width="7.42578125" customWidth="1"/>
    <col min="10260" max="10262" width="7" customWidth="1"/>
    <col min="10263" max="10263" width="7.42578125" customWidth="1"/>
    <col min="10264" max="10265" width="7" customWidth="1"/>
    <col min="10266" max="10266" width="7.85546875" customWidth="1"/>
    <col min="10497" max="10497" width="5" customWidth="1"/>
    <col min="10498" max="10498" width="15.85546875" customWidth="1"/>
    <col min="10499" max="10502" width="7.7109375" customWidth="1"/>
    <col min="10503" max="10506" width="7" customWidth="1"/>
    <col min="10507" max="10507" width="8.5703125" customWidth="1"/>
    <col min="10508" max="10510" width="7" customWidth="1"/>
    <col min="10511" max="10511" width="7.7109375" customWidth="1"/>
    <col min="10512" max="10514" width="7" customWidth="1"/>
    <col min="10515" max="10515" width="7.42578125" customWidth="1"/>
    <col min="10516" max="10518" width="7" customWidth="1"/>
    <col min="10519" max="10519" width="7.42578125" customWidth="1"/>
    <col min="10520" max="10521" width="7" customWidth="1"/>
    <col min="10522" max="10522" width="7.85546875" customWidth="1"/>
    <col min="10753" max="10753" width="5" customWidth="1"/>
    <col min="10754" max="10754" width="15.85546875" customWidth="1"/>
    <col min="10755" max="10758" width="7.7109375" customWidth="1"/>
    <col min="10759" max="10762" width="7" customWidth="1"/>
    <col min="10763" max="10763" width="8.5703125" customWidth="1"/>
    <col min="10764" max="10766" width="7" customWidth="1"/>
    <col min="10767" max="10767" width="7.7109375" customWidth="1"/>
    <col min="10768" max="10770" width="7" customWidth="1"/>
    <col min="10771" max="10771" width="7.42578125" customWidth="1"/>
    <col min="10772" max="10774" width="7" customWidth="1"/>
    <col min="10775" max="10775" width="7.42578125" customWidth="1"/>
    <col min="10776" max="10777" width="7" customWidth="1"/>
    <col min="10778" max="10778" width="7.85546875" customWidth="1"/>
    <col min="11009" max="11009" width="5" customWidth="1"/>
    <col min="11010" max="11010" width="15.85546875" customWidth="1"/>
    <col min="11011" max="11014" width="7.7109375" customWidth="1"/>
    <col min="11015" max="11018" width="7" customWidth="1"/>
    <col min="11019" max="11019" width="8.5703125" customWidth="1"/>
    <col min="11020" max="11022" width="7" customWidth="1"/>
    <col min="11023" max="11023" width="7.7109375" customWidth="1"/>
    <col min="11024" max="11026" width="7" customWidth="1"/>
    <col min="11027" max="11027" width="7.42578125" customWidth="1"/>
    <col min="11028" max="11030" width="7" customWidth="1"/>
    <col min="11031" max="11031" width="7.42578125" customWidth="1"/>
    <col min="11032" max="11033" width="7" customWidth="1"/>
    <col min="11034" max="11034" width="7.85546875" customWidth="1"/>
    <col min="11265" max="11265" width="5" customWidth="1"/>
    <col min="11266" max="11266" width="15.85546875" customWidth="1"/>
    <col min="11267" max="11270" width="7.7109375" customWidth="1"/>
    <col min="11271" max="11274" width="7" customWidth="1"/>
    <col min="11275" max="11275" width="8.5703125" customWidth="1"/>
    <col min="11276" max="11278" width="7" customWidth="1"/>
    <col min="11279" max="11279" width="7.7109375" customWidth="1"/>
    <col min="11280" max="11282" width="7" customWidth="1"/>
    <col min="11283" max="11283" width="7.42578125" customWidth="1"/>
    <col min="11284" max="11286" width="7" customWidth="1"/>
    <col min="11287" max="11287" width="7.42578125" customWidth="1"/>
    <col min="11288" max="11289" width="7" customWidth="1"/>
    <col min="11290" max="11290" width="7.85546875" customWidth="1"/>
    <col min="11521" max="11521" width="5" customWidth="1"/>
    <col min="11522" max="11522" width="15.85546875" customWidth="1"/>
    <col min="11523" max="11526" width="7.7109375" customWidth="1"/>
    <col min="11527" max="11530" width="7" customWidth="1"/>
    <col min="11531" max="11531" width="8.5703125" customWidth="1"/>
    <col min="11532" max="11534" width="7" customWidth="1"/>
    <col min="11535" max="11535" width="7.7109375" customWidth="1"/>
    <col min="11536" max="11538" width="7" customWidth="1"/>
    <col min="11539" max="11539" width="7.42578125" customWidth="1"/>
    <col min="11540" max="11542" width="7" customWidth="1"/>
    <col min="11543" max="11543" width="7.42578125" customWidth="1"/>
    <col min="11544" max="11545" width="7" customWidth="1"/>
    <col min="11546" max="11546" width="7.85546875" customWidth="1"/>
    <col min="11777" max="11777" width="5" customWidth="1"/>
    <col min="11778" max="11778" width="15.85546875" customWidth="1"/>
    <col min="11779" max="11782" width="7.7109375" customWidth="1"/>
    <col min="11783" max="11786" width="7" customWidth="1"/>
    <col min="11787" max="11787" width="8.5703125" customWidth="1"/>
    <col min="11788" max="11790" width="7" customWidth="1"/>
    <col min="11791" max="11791" width="7.7109375" customWidth="1"/>
    <col min="11792" max="11794" width="7" customWidth="1"/>
    <col min="11795" max="11795" width="7.42578125" customWidth="1"/>
    <col min="11796" max="11798" width="7" customWidth="1"/>
    <col min="11799" max="11799" width="7.42578125" customWidth="1"/>
    <col min="11800" max="11801" width="7" customWidth="1"/>
    <col min="11802" max="11802" width="7.85546875" customWidth="1"/>
    <col min="12033" max="12033" width="5" customWidth="1"/>
    <col min="12034" max="12034" width="15.85546875" customWidth="1"/>
    <col min="12035" max="12038" width="7.7109375" customWidth="1"/>
    <col min="12039" max="12042" width="7" customWidth="1"/>
    <col min="12043" max="12043" width="8.5703125" customWidth="1"/>
    <col min="12044" max="12046" width="7" customWidth="1"/>
    <col min="12047" max="12047" width="7.7109375" customWidth="1"/>
    <col min="12048" max="12050" width="7" customWidth="1"/>
    <col min="12051" max="12051" width="7.42578125" customWidth="1"/>
    <col min="12052" max="12054" width="7" customWidth="1"/>
    <col min="12055" max="12055" width="7.42578125" customWidth="1"/>
    <col min="12056" max="12057" width="7" customWidth="1"/>
    <col min="12058" max="12058" width="7.85546875" customWidth="1"/>
    <col min="12289" max="12289" width="5" customWidth="1"/>
    <col min="12290" max="12290" width="15.85546875" customWidth="1"/>
    <col min="12291" max="12294" width="7.7109375" customWidth="1"/>
    <col min="12295" max="12298" width="7" customWidth="1"/>
    <col min="12299" max="12299" width="8.5703125" customWidth="1"/>
    <col min="12300" max="12302" width="7" customWidth="1"/>
    <col min="12303" max="12303" width="7.7109375" customWidth="1"/>
    <col min="12304" max="12306" width="7" customWidth="1"/>
    <col min="12307" max="12307" width="7.42578125" customWidth="1"/>
    <col min="12308" max="12310" width="7" customWidth="1"/>
    <col min="12311" max="12311" width="7.42578125" customWidth="1"/>
    <col min="12312" max="12313" width="7" customWidth="1"/>
    <col min="12314" max="12314" width="7.85546875" customWidth="1"/>
    <col min="12545" max="12545" width="5" customWidth="1"/>
    <col min="12546" max="12546" width="15.85546875" customWidth="1"/>
    <col min="12547" max="12550" width="7.7109375" customWidth="1"/>
    <col min="12551" max="12554" width="7" customWidth="1"/>
    <col min="12555" max="12555" width="8.5703125" customWidth="1"/>
    <col min="12556" max="12558" width="7" customWidth="1"/>
    <col min="12559" max="12559" width="7.7109375" customWidth="1"/>
    <col min="12560" max="12562" width="7" customWidth="1"/>
    <col min="12563" max="12563" width="7.42578125" customWidth="1"/>
    <col min="12564" max="12566" width="7" customWidth="1"/>
    <col min="12567" max="12567" width="7.42578125" customWidth="1"/>
    <col min="12568" max="12569" width="7" customWidth="1"/>
    <col min="12570" max="12570" width="7.85546875" customWidth="1"/>
    <col min="12801" max="12801" width="5" customWidth="1"/>
    <col min="12802" max="12802" width="15.85546875" customWidth="1"/>
    <col min="12803" max="12806" width="7.7109375" customWidth="1"/>
    <col min="12807" max="12810" width="7" customWidth="1"/>
    <col min="12811" max="12811" width="8.5703125" customWidth="1"/>
    <col min="12812" max="12814" width="7" customWidth="1"/>
    <col min="12815" max="12815" width="7.7109375" customWidth="1"/>
    <col min="12816" max="12818" width="7" customWidth="1"/>
    <col min="12819" max="12819" width="7.42578125" customWidth="1"/>
    <col min="12820" max="12822" width="7" customWidth="1"/>
    <col min="12823" max="12823" width="7.42578125" customWidth="1"/>
    <col min="12824" max="12825" width="7" customWidth="1"/>
    <col min="12826" max="12826" width="7.85546875" customWidth="1"/>
    <col min="13057" max="13057" width="5" customWidth="1"/>
    <col min="13058" max="13058" width="15.85546875" customWidth="1"/>
    <col min="13059" max="13062" width="7.7109375" customWidth="1"/>
    <col min="13063" max="13066" width="7" customWidth="1"/>
    <col min="13067" max="13067" width="8.5703125" customWidth="1"/>
    <col min="13068" max="13070" width="7" customWidth="1"/>
    <col min="13071" max="13071" width="7.7109375" customWidth="1"/>
    <col min="13072" max="13074" width="7" customWidth="1"/>
    <col min="13075" max="13075" width="7.42578125" customWidth="1"/>
    <col min="13076" max="13078" width="7" customWidth="1"/>
    <col min="13079" max="13079" width="7.42578125" customWidth="1"/>
    <col min="13080" max="13081" width="7" customWidth="1"/>
    <col min="13082" max="13082" width="7.85546875" customWidth="1"/>
    <col min="13313" max="13313" width="5" customWidth="1"/>
    <col min="13314" max="13314" width="15.85546875" customWidth="1"/>
    <col min="13315" max="13318" width="7.7109375" customWidth="1"/>
    <col min="13319" max="13322" width="7" customWidth="1"/>
    <col min="13323" max="13323" width="8.5703125" customWidth="1"/>
    <col min="13324" max="13326" width="7" customWidth="1"/>
    <col min="13327" max="13327" width="7.7109375" customWidth="1"/>
    <col min="13328" max="13330" width="7" customWidth="1"/>
    <col min="13331" max="13331" width="7.42578125" customWidth="1"/>
    <col min="13332" max="13334" width="7" customWidth="1"/>
    <col min="13335" max="13335" width="7.42578125" customWidth="1"/>
    <col min="13336" max="13337" width="7" customWidth="1"/>
    <col min="13338" max="13338" width="7.85546875" customWidth="1"/>
    <col min="13569" max="13569" width="5" customWidth="1"/>
    <col min="13570" max="13570" width="15.85546875" customWidth="1"/>
    <col min="13571" max="13574" width="7.7109375" customWidth="1"/>
    <col min="13575" max="13578" width="7" customWidth="1"/>
    <col min="13579" max="13579" width="8.5703125" customWidth="1"/>
    <col min="13580" max="13582" width="7" customWidth="1"/>
    <col min="13583" max="13583" width="7.7109375" customWidth="1"/>
    <col min="13584" max="13586" width="7" customWidth="1"/>
    <col min="13587" max="13587" width="7.42578125" customWidth="1"/>
    <col min="13588" max="13590" width="7" customWidth="1"/>
    <col min="13591" max="13591" width="7.42578125" customWidth="1"/>
    <col min="13592" max="13593" width="7" customWidth="1"/>
    <col min="13594" max="13594" width="7.85546875" customWidth="1"/>
    <col min="13825" max="13825" width="5" customWidth="1"/>
    <col min="13826" max="13826" width="15.85546875" customWidth="1"/>
    <col min="13827" max="13830" width="7.7109375" customWidth="1"/>
    <col min="13831" max="13834" width="7" customWidth="1"/>
    <col min="13835" max="13835" width="8.5703125" customWidth="1"/>
    <col min="13836" max="13838" width="7" customWidth="1"/>
    <col min="13839" max="13839" width="7.7109375" customWidth="1"/>
    <col min="13840" max="13842" width="7" customWidth="1"/>
    <col min="13843" max="13843" width="7.42578125" customWidth="1"/>
    <col min="13844" max="13846" width="7" customWidth="1"/>
    <col min="13847" max="13847" width="7.42578125" customWidth="1"/>
    <col min="13848" max="13849" width="7" customWidth="1"/>
    <col min="13850" max="13850" width="7.85546875" customWidth="1"/>
    <col min="14081" max="14081" width="5" customWidth="1"/>
    <col min="14082" max="14082" width="15.85546875" customWidth="1"/>
    <col min="14083" max="14086" width="7.7109375" customWidth="1"/>
    <col min="14087" max="14090" width="7" customWidth="1"/>
    <col min="14091" max="14091" width="8.5703125" customWidth="1"/>
    <col min="14092" max="14094" width="7" customWidth="1"/>
    <col min="14095" max="14095" width="7.7109375" customWidth="1"/>
    <col min="14096" max="14098" width="7" customWidth="1"/>
    <col min="14099" max="14099" width="7.42578125" customWidth="1"/>
    <col min="14100" max="14102" width="7" customWidth="1"/>
    <col min="14103" max="14103" width="7.42578125" customWidth="1"/>
    <col min="14104" max="14105" width="7" customWidth="1"/>
    <col min="14106" max="14106" width="7.85546875" customWidth="1"/>
    <col min="14337" max="14337" width="5" customWidth="1"/>
    <col min="14338" max="14338" width="15.85546875" customWidth="1"/>
    <col min="14339" max="14342" width="7.7109375" customWidth="1"/>
    <col min="14343" max="14346" width="7" customWidth="1"/>
    <col min="14347" max="14347" width="8.5703125" customWidth="1"/>
    <col min="14348" max="14350" width="7" customWidth="1"/>
    <col min="14351" max="14351" width="7.7109375" customWidth="1"/>
    <col min="14352" max="14354" width="7" customWidth="1"/>
    <col min="14355" max="14355" width="7.42578125" customWidth="1"/>
    <col min="14356" max="14358" width="7" customWidth="1"/>
    <col min="14359" max="14359" width="7.42578125" customWidth="1"/>
    <col min="14360" max="14361" width="7" customWidth="1"/>
    <col min="14362" max="14362" width="7.85546875" customWidth="1"/>
    <col min="14593" max="14593" width="5" customWidth="1"/>
    <col min="14594" max="14594" width="15.85546875" customWidth="1"/>
    <col min="14595" max="14598" width="7.7109375" customWidth="1"/>
    <col min="14599" max="14602" width="7" customWidth="1"/>
    <col min="14603" max="14603" width="8.5703125" customWidth="1"/>
    <col min="14604" max="14606" width="7" customWidth="1"/>
    <col min="14607" max="14607" width="7.7109375" customWidth="1"/>
    <col min="14608" max="14610" width="7" customWidth="1"/>
    <col min="14611" max="14611" width="7.42578125" customWidth="1"/>
    <col min="14612" max="14614" width="7" customWidth="1"/>
    <col min="14615" max="14615" width="7.42578125" customWidth="1"/>
    <col min="14616" max="14617" width="7" customWidth="1"/>
    <col min="14618" max="14618" width="7.85546875" customWidth="1"/>
    <col min="14849" max="14849" width="5" customWidth="1"/>
    <col min="14850" max="14850" width="15.85546875" customWidth="1"/>
    <col min="14851" max="14854" width="7.7109375" customWidth="1"/>
    <col min="14855" max="14858" width="7" customWidth="1"/>
    <col min="14859" max="14859" width="8.5703125" customWidth="1"/>
    <col min="14860" max="14862" width="7" customWidth="1"/>
    <col min="14863" max="14863" width="7.7109375" customWidth="1"/>
    <col min="14864" max="14866" width="7" customWidth="1"/>
    <col min="14867" max="14867" width="7.42578125" customWidth="1"/>
    <col min="14868" max="14870" width="7" customWidth="1"/>
    <col min="14871" max="14871" width="7.42578125" customWidth="1"/>
    <col min="14872" max="14873" width="7" customWidth="1"/>
    <col min="14874" max="14874" width="7.85546875" customWidth="1"/>
    <col min="15105" max="15105" width="5" customWidth="1"/>
    <col min="15106" max="15106" width="15.85546875" customWidth="1"/>
    <col min="15107" max="15110" width="7.7109375" customWidth="1"/>
    <col min="15111" max="15114" width="7" customWidth="1"/>
    <col min="15115" max="15115" width="8.5703125" customWidth="1"/>
    <col min="15116" max="15118" width="7" customWidth="1"/>
    <col min="15119" max="15119" width="7.7109375" customWidth="1"/>
    <col min="15120" max="15122" width="7" customWidth="1"/>
    <col min="15123" max="15123" width="7.42578125" customWidth="1"/>
    <col min="15124" max="15126" width="7" customWidth="1"/>
    <col min="15127" max="15127" width="7.42578125" customWidth="1"/>
    <col min="15128" max="15129" width="7" customWidth="1"/>
    <col min="15130" max="15130" width="7.85546875" customWidth="1"/>
    <col min="15361" max="15361" width="5" customWidth="1"/>
    <col min="15362" max="15362" width="15.85546875" customWidth="1"/>
    <col min="15363" max="15366" width="7.7109375" customWidth="1"/>
    <col min="15367" max="15370" width="7" customWidth="1"/>
    <col min="15371" max="15371" width="8.5703125" customWidth="1"/>
    <col min="15372" max="15374" width="7" customWidth="1"/>
    <col min="15375" max="15375" width="7.7109375" customWidth="1"/>
    <col min="15376" max="15378" width="7" customWidth="1"/>
    <col min="15379" max="15379" width="7.42578125" customWidth="1"/>
    <col min="15380" max="15382" width="7" customWidth="1"/>
    <col min="15383" max="15383" width="7.42578125" customWidth="1"/>
    <col min="15384" max="15385" width="7" customWidth="1"/>
    <col min="15386" max="15386" width="7.85546875" customWidth="1"/>
    <col min="15617" max="15617" width="5" customWidth="1"/>
    <col min="15618" max="15618" width="15.85546875" customWidth="1"/>
    <col min="15619" max="15622" width="7.7109375" customWidth="1"/>
    <col min="15623" max="15626" width="7" customWidth="1"/>
    <col min="15627" max="15627" width="8.5703125" customWidth="1"/>
    <col min="15628" max="15630" width="7" customWidth="1"/>
    <col min="15631" max="15631" width="7.7109375" customWidth="1"/>
    <col min="15632" max="15634" width="7" customWidth="1"/>
    <col min="15635" max="15635" width="7.42578125" customWidth="1"/>
    <col min="15636" max="15638" width="7" customWidth="1"/>
    <col min="15639" max="15639" width="7.42578125" customWidth="1"/>
    <col min="15640" max="15641" width="7" customWidth="1"/>
    <col min="15642" max="15642" width="7.85546875" customWidth="1"/>
    <col min="15873" max="15873" width="5" customWidth="1"/>
    <col min="15874" max="15874" width="15.85546875" customWidth="1"/>
    <col min="15875" max="15878" width="7.7109375" customWidth="1"/>
    <col min="15879" max="15882" width="7" customWidth="1"/>
    <col min="15883" max="15883" width="8.5703125" customWidth="1"/>
    <col min="15884" max="15886" width="7" customWidth="1"/>
    <col min="15887" max="15887" width="7.7109375" customWidth="1"/>
    <col min="15888" max="15890" width="7" customWidth="1"/>
    <col min="15891" max="15891" width="7.42578125" customWidth="1"/>
    <col min="15892" max="15894" width="7" customWidth="1"/>
    <col min="15895" max="15895" width="7.42578125" customWidth="1"/>
    <col min="15896" max="15897" width="7" customWidth="1"/>
    <col min="15898" max="15898" width="7.85546875" customWidth="1"/>
    <col min="16129" max="16129" width="5" customWidth="1"/>
    <col min="16130" max="16130" width="15.85546875" customWidth="1"/>
    <col min="16131" max="16134" width="7.7109375" customWidth="1"/>
    <col min="16135" max="16138" width="7" customWidth="1"/>
    <col min="16139" max="16139" width="8.5703125" customWidth="1"/>
    <col min="16140" max="16142" width="7" customWidth="1"/>
    <col min="16143" max="16143" width="7.7109375" customWidth="1"/>
    <col min="16144" max="16146" width="7" customWidth="1"/>
    <col min="16147" max="16147" width="7.42578125" customWidth="1"/>
    <col min="16148" max="16150" width="7" customWidth="1"/>
    <col min="16151" max="16151" width="7.42578125" customWidth="1"/>
    <col min="16152" max="16153" width="7" customWidth="1"/>
    <col min="16154" max="16154" width="7.85546875" customWidth="1"/>
  </cols>
  <sheetData>
    <row r="1" spans="1:28" s="1" customFormat="1" ht="38.25" customHeight="1">
      <c r="A1" s="529" t="s">
        <v>0</v>
      </c>
      <c r="B1" s="529"/>
      <c r="C1" s="529"/>
      <c r="D1" s="529"/>
      <c r="E1" s="529"/>
      <c r="F1" s="530" t="s">
        <v>1</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8</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27"/>
      <c r="AB4" s="511"/>
    </row>
    <row r="5" spans="1:28" ht="75.75" customHeight="1">
      <c r="A5" s="517"/>
      <c r="B5" s="520"/>
      <c r="C5" s="5" t="s">
        <v>14</v>
      </c>
      <c r="D5" s="5" t="s">
        <v>15</v>
      </c>
      <c r="E5" s="5" t="s">
        <v>16</v>
      </c>
      <c r="F5" s="5" t="s">
        <v>17</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28"/>
      <c r="AB5" s="512"/>
    </row>
    <row r="6" spans="1:28" ht="102">
      <c r="A6" s="6" t="s">
        <v>20</v>
      </c>
      <c r="B6" s="6" t="s">
        <v>21</v>
      </c>
      <c r="C6" s="6">
        <v>0</v>
      </c>
      <c r="D6" s="6">
        <v>0</v>
      </c>
      <c r="E6" s="6">
        <v>0</v>
      </c>
      <c r="F6" s="6">
        <v>0</v>
      </c>
      <c r="G6" s="6">
        <v>500</v>
      </c>
      <c r="H6" s="6">
        <v>500</v>
      </c>
      <c r="I6" s="6">
        <v>450</v>
      </c>
      <c r="J6" s="6">
        <v>450</v>
      </c>
      <c r="K6" s="6">
        <v>600</v>
      </c>
      <c r="L6" s="6">
        <v>600</v>
      </c>
      <c r="M6" s="6">
        <v>500</v>
      </c>
      <c r="N6" s="6">
        <v>500</v>
      </c>
      <c r="O6" s="6">
        <v>600</v>
      </c>
      <c r="P6" s="6">
        <v>600</v>
      </c>
      <c r="Q6" s="6">
        <v>500</v>
      </c>
      <c r="R6" s="6">
        <v>500</v>
      </c>
      <c r="S6" s="6">
        <v>600</v>
      </c>
      <c r="T6" s="6">
        <v>600</v>
      </c>
      <c r="U6" s="6">
        <v>500</v>
      </c>
      <c r="V6" s="6">
        <v>500</v>
      </c>
      <c r="W6" s="6">
        <v>600</v>
      </c>
      <c r="X6" s="6">
        <v>600</v>
      </c>
      <c r="Y6" s="6">
        <v>500</v>
      </c>
      <c r="Z6" s="6">
        <v>500</v>
      </c>
      <c r="AA6" s="431">
        <f>C6/W6</f>
        <v>0</v>
      </c>
      <c r="AB6" s="431">
        <f>W6/X6</f>
        <v>1</v>
      </c>
    </row>
    <row r="7" spans="1:28" ht="25.5">
      <c r="A7" s="6" t="s">
        <v>22</v>
      </c>
      <c r="B7" s="6" t="s">
        <v>23</v>
      </c>
      <c r="C7" s="6">
        <v>0</v>
      </c>
      <c r="D7" s="6">
        <v>0</v>
      </c>
      <c r="E7" s="6">
        <v>0</v>
      </c>
      <c r="F7" s="6">
        <v>0</v>
      </c>
      <c r="G7" s="6">
        <v>0</v>
      </c>
      <c r="H7" s="6">
        <v>0</v>
      </c>
      <c r="I7" s="6">
        <v>0</v>
      </c>
      <c r="J7" s="6">
        <v>0</v>
      </c>
      <c r="K7" s="6">
        <v>650</v>
      </c>
      <c r="L7" s="6">
        <v>650</v>
      </c>
      <c r="M7" s="6">
        <v>650</v>
      </c>
      <c r="N7" s="6">
        <v>650</v>
      </c>
      <c r="O7" s="6">
        <v>1300</v>
      </c>
      <c r="P7" s="6">
        <v>1300</v>
      </c>
      <c r="Q7" s="6">
        <v>1300</v>
      </c>
      <c r="R7" s="6">
        <v>1300</v>
      </c>
      <c r="S7" s="6">
        <v>1300</v>
      </c>
      <c r="T7" s="6">
        <v>1300</v>
      </c>
      <c r="U7" s="6">
        <v>1300</v>
      </c>
      <c r="V7" s="6">
        <v>1300</v>
      </c>
      <c r="W7" s="6">
        <v>1300</v>
      </c>
      <c r="X7" s="6">
        <v>1300</v>
      </c>
      <c r="Y7" s="6">
        <v>1300</v>
      </c>
      <c r="Z7" s="6">
        <v>1300</v>
      </c>
      <c r="AA7" s="431">
        <f>C7/W7</f>
        <v>0</v>
      </c>
      <c r="AB7" s="431">
        <f>W7/X7</f>
        <v>1</v>
      </c>
    </row>
    <row r="8" spans="1:28" ht="25.5">
      <c r="A8" s="7"/>
      <c r="B8" s="7"/>
      <c r="C8" s="7"/>
      <c r="D8" s="7"/>
      <c r="E8" s="7"/>
      <c r="F8" s="7"/>
      <c r="G8" s="7"/>
      <c r="H8" s="7"/>
      <c r="I8" s="7"/>
      <c r="J8" s="7"/>
      <c r="K8" s="7"/>
      <c r="L8" s="7"/>
      <c r="M8" s="7"/>
      <c r="N8" s="7"/>
      <c r="O8" s="7"/>
      <c r="P8" s="7"/>
      <c r="Q8" s="7"/>
      <c r="R8" s="7"/>
      <c r="S8" s="7"/>
      <c r="T8" s="7"/>
      <c r="U8" s="7"/>
      <c r="V8" s="7"/>
      <c r="W8" s="7"/>
      <c r="X8" s="7"/>
      <c r="Y8" s="7"/>
      <c r="Z8" s="6" t="s">
        <v>24</v>
      </c>
      <c r="AA8" s="431">
        <f>AVERAGE(AA6:AA7)</f>
        <v>0</v>
      </c>
      <c r="AB8" s="431">
        <f>AVERAGE(AB6:AB7)</f>
        <v>1</v>
      </c>
    </row>
    <row r="10" spans="1:28" ht="23.25">
      <c r="A10" s="514" t="s">
        <v>25</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row>
    <row r="11" spans="1:28" ht="45.75" customHeight="1">
      <c r="A11" s="515" t="s">
        <v>3</v>
      </c>
      <c r="B11" s="518" t="s">
        <v>26</v>
      </c>
      <c r="C11" s="521" t="s">
        <v>27</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510" t="s">
        <v>29</v>
      </c>
      <c r="AB11" s="510" t="s">
        <v>30</v>
      </c>
    </row>
    <row r="12" spans="1:28"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511"/>
      <c r="AB12" s="511"/>
    </row>
    <row r="13" spans="1:28" ht="78.75" customHeight="1">
      <c r="A13" s="517"/>
      <c r="B13" s="520"/>
      <c r="C13" s="5" t="s">
        <v>31</v>
      </c>
      <c r="D13" s="5" t="s">
        <v>32</v>
      </c>
      <c r="E13" s="5" t="s">
        <v>33</v>
      </c>
      <c r="F13" s="5" t="s">
        <v>17</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512"/>
      <c r="AB13" s="512"/>
    </row>
    <row r="14" spans="1:28" ht="25.5">
      <c r="A14" s="6" t="s">
        <v>20</v>
      </c>
      <c r="B14" s="6" t="s">
        <v>35</v>
      </c>
      <c r="C14" s="6"/>
      <c r="D14" s="6"/>
      <c r="E14" s="6"/>
      <c r="F14" s="6"/>
      <c r="G14" s="6"/>
      <c r="H14" s="6"/>
      <c r="I14" s="6"/>
      <c r="J14" s="6"/>
      <c r="K14" s="6"/>
      <c r="L14" s="6"/>
      <c r="M14" s="6"/>
      <c r="N14" s="6"/>
      <c r="O14" s="6"/>
      <c r="P14" s="6"/>
      <c r="Q14" s="6"/>
      <c r="R14" s="6"/>
      <c r="S14" s="6"/>
      <c r="T14" s="6"/>
      <c r="U14" s="6"/>
      <c r="V14" s="6"/>
      <c r="W14" s="6"/>
      <c r="X14" s="6"/>
      <c r="Y14" s="6"/>
      <c r="Z14" s="6"/>
      <c r="AA14" s="6"/>
      <c r="AB14" s="6"/>
    </row>
    <row r="15" spans="1:28" ht="25.5">
      <c r="A15" s="6" t="s">
        <v>36</v>
      </c>
      <c r="B15" s="6" t="s">
        <v>37</v>
      </c>
      <c r="C15" s="6">
        <v>0</v>
      </c>
      <c r="D15" s="6">
        <v>0</v>
      </c>
      <c r="E15" s="6">
        <v>0</v>
      </c>
      <c r="F15" s="6">
        <v>0</v>
      </c>
      <c r="G15" s="6">
        <v>20000</v>
      </c>
      <c r="H15" s="6">
        <v>20000</v>
      </c>
      <c r="I15" s="6">
        <v>2000</v>
      </c>
      <c r="J15" s="6">
        <v>2000</v>
      </c>
      <c r="K15" s="8">
        <v>200000</v>
      </c>
      <c r="L15" s="6">
        <v>200000</v>
      </c>
      <c r="M15" s="6">
        <v>2200</v>
      </c>
      <c r="N15" s="6">
        <v>2200</v>
      </c>
      <c r="O15" s="8">
        <v>200000</v>
      </c>
      <c r="P15" s="6">
        <v>200000</v>
      </c>
      <c r="Q15" s="6">
        <v>2200</v>
      </c>
      <c r="R15" s="6">
        <v>2200</v>
      </c>
      <c r="S15" s="8">
        <v>200000</v>
      </c>
      <c r="T15" s="6">
        <v>200000</v>
      </c>
      <c r="U15" s="6">
        <v>2200</v>
      </c>
      <c r="V15" s="6">
        <v>2200</v>
      </c>
      <c r="W15" s="8">
        <v>200000</v>
      </c>
      <c r="X15" s="6">
        <v>200000</v>
      </c>
      <c r="Y15" s="6">
        <v>2200</v>
      </c>
      <c r="Z15" s="6">
        <v>2200</v>
      </c>
      <c r="AA15" s="431">
        <f>C15/W15</f>
        <v>0</v>
      </c>
      <c r="AB15" s="431">
        <f>W15/X15</f>
        <v>1</v>
      </c>
    </row>
    <row r="16" spans="1:28" ht="25.5">
      <c r="A16" s="6" t="s">
        <v>38</v>
      </c>
      <c r="B16" s="6" t="s">
        <v>39</v>
      </c>
      <c r="C16" s="6">
        <v>0</v>
      </c>
      <c r="D16" s="6">
        <v>0</v>
      </c>
      <c r="E16" s="6">
        <v>0</v>
      </c>
      <c r="F16" s="6">
        <v>0</v>
      </c>
      <c r="G16" s="6">
        <v>5000</v>
      </c>
      <c r="H16" s="6">
        <v>5000</v>
      </c>
      <c r="I16" s="6">
        <v>2000</v>
      </c>
      <c r="J16" s="6">
        <v>2000</v>
      </c>
      <c r="K16" s="8">
        <v>10000</v>
      </c>
      <c r="L16" s="8">
        <v>10000</v>
      </c>
      <c r="M16" s="6">
        <v>2200</v>
      </c>
      <c r="N16" s="6">
        <v>2200</v>
      </c>
      <c r="O16" s="8">
        <v>10000</v>
      </c>
      <c r="P16" s="8">
        <v>10000</v>
      </c>
      <c r="Q16" s="6">
        <v>2200</v>
      </c>
      <c r="R16" s="6">
        <v>2200</v>
      </c>
      <c r="S16" s="8">
        <v>10000</v>
      </c>
      <c r="T16" s="8">
        <v>10000</v>
      </c>
      <c r="U16" s="6">
        <v>2200</v>
      </c>
      <c r="V16" s="6">
        <v>2200</v>
      </c>
      <c r="W16" s="8">
        <v>10000</v>
      </c>
      <c r="X16" s="8">
        <v>10000</v>
      </c>
      <c r="Y16" s="6">
        <v>2200</v>
      </c>
      <c r="Z16" s="6">
        <v>2200</v>
      </c>
      <c r="AA16" s="431">
        <f>C16/W16</f>
        <v>0</v>
      </c>
      <c r="AB16" s="431">
        <f>W16/X16</f>
        <v>1</v>
      </c>
    </row>
    <row r="17" spans="1:28" ht="25.5">
      <c r="Z17" s="6" t="s">
        <v>24</v>
      </c>
      <c r="AA17" s="431">
        <f>AVERAGE(AA15:AA16)</f>
        <v>0</v>
      </c>
      <c r="AB17" s="431">
        <f>AVERAGE(AB15:AB16)</f>
        <v>1</v>
      </c>
    </row>
    <row r="18" spans="1:28">
      <c r="A18" s="9"/>
      <c r="B18" s="9" t="s">
        <v>40</v>
      </c>
    </row>
    <row r="20" spans="1:28" ht="31.5" customHeight="1">
      <c r="A20" s="10" t="s">
        <v>41</v>
      </c>
      <c r="B20" s="509" t="s">
        <v>42</v>
      </c>
      <c r="C20" s="509"/>
      <c r="D20" s="509"/>
      <c r="E20" s="509"/>
      <c r="F20" s="509"/>
      <c r="G20" s="509"/>
      <c r="H20" s="509"/>
      <c r="I20" s="509"/>
      <c r="J20" s="509"/>
      <c r="K20" s="509"/>
      <c r="L20" s="509"/>
      <c r="M20" s="509"/>
      <c r="N20" s="509"/>
      <c r="O20" s="509"/>
      <c r="P20" s="509"/>
      <c r="Q20" s="509"/>
      <c r="R20" s="509"/>
    </row>
    <row r="21" spans="1:28" ht="31.5" customHeight="1">
      <c r="A21" s="10" t="s">
        <v>43</v>
      </c>
      <c r="B21" s="509" t="s">
        <v>44</v>
      </c>
      <c r="C21" s="509"/>
      <c r="D21" s="509"/>
      <c r="E21" s="509"/>
      <c r="F21" s="509"/>
      <c r="G21" s="509"/>
      <c r="H21" s="509"/>
      <c r="I21" s="509"/>
      <c r="J21" s="509"/>
      <c r="K21" s="509"/>
      <c r="L21" s="509"/>
      <c r="M21" s="509"/>
      <c r="N21" s="509"/>
      <c r="O21" s="509"/>
      <c r="P21" s="509"/>
      <c r="Q21" s="509"/>
      <c r="R21" s="509"/>
    </row>
    <row r="22" spans="1:28" ht="31.5" customHeight="1">
      <c r="B22" s="509" t="s">
        <v>45</v>
      </c>
      <c r="C22" s="509"/>
      <c r="D22" s="509"/>
      <c r="E22" s="509"/>
      <c r="F22" s="509"/>
      <c r="G22" s="509"/>
      <c r="H22" s="509"/>
      <c r="I22" s="509"/>
      <c r="J22" s="509"/>
      <c r="K22" s="509"/>
      <c r="L22" s="509"/>
      <c r="M22" s="509"/>
      <c r="N22" s="509"/>
      <c r="O22" s="509"/>
      <c r="P22" s="509"/>
      <c r="Q22" s="509"/>
      <c r="R22" s="509"/>
    </row>
    <row r="23" spans="1:28" ht="31.5" customHeight="1">
      <c r="B23" s="509" t="s">
        <v>46</v>
      </c>
      <c r="C23" s="509"/>
      <c r="D23" s="509"/>
      <c r="E23" s="509"/>
      <c r="F23" s="509"/>
      <c r="G23" s="509"/>
      <c r="H23" s="509"/>
      <c r="I23" s="509"/>
      <c r="J23" s="509"/>
      <c r="K23" s="509"/>
      <c r="L23" s="509"/>
      <c r="M23" s="509"/>
      <c r="N23" s="509"/>
      <c r="O23" s="509"/>
      <c r="P23" s="509"/>
      <c r="Q23" s="509"/>
      <c r="R23" s="509"/>
    </row>
    <row r="24" spans="1:28" ht="31.5" customHeight="1">
      <c r="B24" s="509" t="s">
        <v>47</v>
      </c>
      <c r="C24" s="509"/>
      <c r="D24" s="509"/>
      <c r="E24" s="509"/>
      <c r="F24" s="509"/>
      <c r="G24" s="509"/>
      <c r="H24" s="509"/>
      <c r="I24" s="509"/>
      <c r="J24" s="509"/>
      <c r="K24" s="509"/>
      <c r="L24" s="509"/>
      <c r="M24" s="509"/>
      <c r="N24" s="509"/>
      <c r="O24" s="509"/>
      <c r="P24" s="509"/>
      <c r="Q24" s="509"/>
      <c r="R24" s="509"/>
    </row>
    <row r="25" spans="1:28" ht="31.5" customHeight="1">
      <c r="B25" s="509" t="s">
        <v>48</v>
      </c>
      <c r="C25" s="509"/>
      <c r="D25" s="509"/>
      <c r="E25" s="509"/>
      <c r="F25" s="509"/>
      <c r="G25" s="509"/>
      <c r="H25" s="509"/>
      <c r="I25" s="509"/>
      <c r="J25" s="509"/>
      <c r="K25" s="509"/>
      <c r="L25" s="509"/>
      <c r="M25" s="509"/>
      <c r="N25" s="509"/>
      <c r="O25" s="509"/>
      <c r="P25" s="509"/>
      <c r="Q25" s="509"/>
      <c r="R25" s="509"/>
    </row>
    <row r="26" spans="1:28" ht="73.5" customHeight="1">
      <c r="B26" s="509" t="s">
        <v>49</v>
      </c>
      <c r="C26" s="509"/>
      <c r="D26" s="509"/>
      <c r="E26" s="509"/>
      <c r="F26" s="509"/>
      <c r="G26" s="509"/>
      <c r="H26" s="509"/>
      <c r="I26" s="509"/>
      <c r="J26" s="509"/>
      <c r="K26" s="509"/>
      <c r="L26" s="509"/>
      <c r="M26" s="509"/>
      <c r="N26" s="509"/>
      <c r="O26" s="509"/>
      <c r="P26" s="509"/>
      <c r="Q26" s="509"/>
      <c r="R26" s="509"/>
    </row>
    <row r="27" spans="1:28" ht="39" customHeight="1">
      <c r="B27" s="509" t="s">
        <v>50</v>
      </c>
      <c r="C27" s="509"/>
      <c r="D27" s="509"/>
      <c r="E27" s="509"/>
      <c r="F27" s="509"/>
      <c r="G27" s="509"/>
      <c r="H27" s="509"/>
      <c r="I27" s="509"/>
      <c r="J27" s="509"/>
      <c r="K27" s="509"/>
      <c r="L27" s="509"/>
      <c r="M27" s="509"/>
      <c r="N27" s="509"/>
      <c r="O27" s="509"/>
      <c r="P27" s="509"/>
      <c r="Q27" s="509"/>
      <c r="R27" s="509"/>
    </row>
    <row r="28" spans="1:28">
      <c r="B28" s="11"/>
    </row>
    <row r="29" spans="1:28">
      <c r="B29" s="11"/>
    </row>
    <row r="31" spans="1:28">
      <c r="B31" s="11"/>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0:Z10"/>
    <mergeCell ref="A11:A13"/>
    <mergeCell ref="B11:B13"/>
    <mergeCell ref="C11:F12"/>
    <mergeCell ref="G11:Z11"/>
    <mergeCell ref="AB11:AB13"/>
    <mergeCell ref="G12:J12"/>
    <mergeCell ref="K12:N12"/>
    <mergeCell ref="O12:R12"/>
    <mergeCell ref="S12:V12"/>
    <mergeCell ref="W12:Z12"/>
    <mergeCell ref="AA11:AA13"/>
    <mergeCell ref="B26:R26"/>
    <mergeCell ref="B27:R27"/>
    <mergeCell ref="B20:R20"/>
    <mergeCell ref="B21:R21"/>
    <mergeCell ref="B22:R22"/>
    <mergeCell ref="B23:R23"/>
    <mergeCell ref="B24:R24"/>
    <mergeCell ref="B25:R25"/>
  </mergeCells>
  <pageMargins left="0.70866141732283472" right="0.70866141732283472" top="0.74803149606299213" bottom="0.31496062992125984" header="0.31496062992125984" footer="0.31496062992125984"/>
  <pageSetup paperSize="9" scale="50" orientation="landscape" r:id="rId1"/>
</worksheet>
</file>

<file path=xl/worksheets/sheet20.xml><?xml version="1.0" encoding="utf-8"?>
<worksheet xmlns="http://schemas.openxmlformats.org/spreadsheetml/2006/main" xmlns:r="http://schemas.openxmlformats.org/officeDocument/2006/relationships">
  <dimension ref="A1:AD32"/>
  <sheetViews>
    <sheetView topLeftCell="K1" workbookViewId="0">
      <selection activeCell="B25" sqref="B24:R25"/>
    </sheetView>
  </sheetViews>
  <sheetFormatPr defaultRowHeight="15"/>
  <cols>
    <col min="1" max="1" width="5" style="36" customWidth="1"/>
    <col min="2" max="2" width="15.85546875" style="36" customWidth="1"/>
    <col min="3" max="6" width="7.7109375" style="36" customWidth="1"/>
    <col min="7" max="7" width="7.28515625" style="36" customWidth="1"/>
    <col min="8" max="8" width="8.5703125" style="36" customWidth="1"/>
    <col min="9" max="10" width="7" style="36" customWidth="1"/>
    <col min="11" max="11" width="8.140625" style="36" customWidth="1"/>
    <col min="12" max="12" width="9" style="36" customWidth="1"/>
    <col min="13" max="14" width="7" style="36" customWidth="1"/>
    <col min="15" max="15" width="9.140625" style="36" customWidth="1"/>
    <col min="16" max="16" width="8.5703125" style="36" customWidth="1"/>
    <col min="17" max="18" width="7" style="36" customWidth="1"/>
    <col min="19" max="19" width="8.7109375" style="36" customWidth="1"/>
    <col min="20" max="20" width="8.85546875" style="36" customWidth="1"/>
    <col min="21" max="22" width="7" style="36" customWidth="1"/>
    <col min="23" max="23" width="9.28515625" style="36" customWidth="1"/>
    <col min="24" max="24" width="9.140625" style="36" customWidth="1"/>
    <col min="25" max="26" width="7" style="36" customWidth="1"/>
    <col min="27" max="256" width="9.140625" style="36"/>
    <col min="257" max="257" width="5" style="36" customWidth="1"/>
    <col min="258" max="258" width="15.85546875" style="36" customWidth="1"/>
    <col min="259" max="262" width="7.7109375" style="36" customWidth="1"/>
    <col min="263" max="263" width="7.28515625" style="36" customWidth="1"/>
    <col min="264" max="282" width="7" style="36" customWidth="1"/>
    <col min="283" max="512" width="9.140625" style="36"/>
    <col min="513" max="513" width="5" style="36" customWidth="1"/>
    <col min="514" max="514" width="15.85546875" style="36" customWidth="1"/>
    <col min="515" max="518" width="7.7109375" style="36" customWidth="1"/>
    <col min="519" max="519" width="7.28515625" style="36" customWidth="1"/>
    <col min="520" max="538" width="7" style="36" customWidth="1"/>
    <col min="539" max="768" width="9.140625" style="36"/>
    <col min="769" max="769" width="5" style="36" customWidth="1"/>
    <col min="770" max="770" width="15.85546875" style="36" customWidth="1"/>
    <col min="771" max="774" width="7.7109375" style="36" customWidth="1"/>
    <col min="775" max="775" width="7.28515625" style="36" customWidth="1"/>
    <col min="776" max="794" width="7" style="36" customWidth="1"/>
    <col min="795" max="1024" width="9.140625" style="36"/>
    <col min="1025" max="1025" width="5" style="36" customWidth="1"/>
    <col min="1026" max="1026" width="15.85546875" style="36" customWidth="1"/>
    <col min="1027" max="1030" width="7.7109375" style="36" customWidth="1"/>
    <col min="1031" max="1031" width="7.28515625" style="36" customWidth="1"/>
    <col min="1032" max="1050" width="7" style="36" customWidth="1"/>
    <col min="1051" max="1280" width="9.140625" style="36"/>
    <col min="1281" max="1281" width="5" style="36" customWidth="1"/>
    <col min="1282" max="1282" width="15.85546875" style="36" customWidth="1"/>
    <col min="1283" max="1286" width="7.7109375" style="36" customWidth="1"/>
    <col min="1287" max="1287" width="7.28515625" style="36" customWidth="1"/>
    <col min="1288" max="1306" width="7" style="36" customWidth="1"/>
    <col min="1307" max="1536" width="9.140625" style="36"/>
    <col min="1537" max="1537" width="5" style="36" customWidth="1"/>
    <col min="1538" max="1538" width="15.85546875" style="36" customWidth="1"/>
    <col min="1539" max="1542" width="7.7109375" style="36" customWidth="1"/>
    <col min="1543" max="1543" width="7.28515625" style="36" customWidth="1"/>
    <col min="1544" max="1562" width="7" style="36" customWidth="1"/>
    <col min="1563" max="1792" width="9.140625" style="36"/>
    <col min="1793" max="1793" width="5" style="36" customWidth="1"/>
    <col min="1794" max="1794" width="15.85546875" style="36" customWidth="1"/>
    <col min="1795" max="1798" width="7.7109375" style="36" customWidth="1"/>
    <col min="1799" max="1799" width="7.28515625" style="36" customWidth="1"/>
    <col min="1800" max="1818" width="7" style="36" customWidth="1"/>
    <col min="1819" max="2048" width="9.140625" style="36"/>
    <col min="2049" max="2049" width="5" style="36" customWidth="1"/>
    <col min="2050" max="2050" width="15.85546875" style="36" customWidth="1"/>
    <col min="2051" max="2054" width="7.7109375" style="36" customWidth="1"/>
    <col min="2055" max="2055" width="7.28515625" style="36" customWidth="1"/>
    <col min="2056" max="2074" width="7" style="36" customWidth="1"/>
    <col min="2075" max="2304" width="9.140625" style="36"/>
    <col min="2305" max="2305" width="5" style="36" customWidth="1"/>
    <col min="2306" max="2306" width="15.85546875" style="36" customWidth="1"/>
    <col min="2307" max="2310" width="7.7109375" style="36" customWidth="1"/>
    <col min="2311" max="2311" width="7.28515625" style="36" customWidth="1"/>
    <col min="2312" max="2330" width="7" style="36" customWidth="1"/>
    <col min="2331" max="2560" width="9.140625" style="36"/>
    <col min="2561" max="2561" width="5" style="36" customWidth="1"/>
    <col min="2562" max="2562" width="15.85546875" style="36" customWidth="1"/>
    <col min="2563" max="2566" width="7.7109375" style="36" customWidth="1"/>
    <col min="2567" max="2567" width="7.28515625" style="36" customWidth="1"/>
    <col min="2568" max="2586" width="7" style="36" customWidth="1"/>
    <col min="2587" max="2816" width="9.140625" style="36"/>
    <col min="2817" max="2817" width="5" style="36" customWidth="1"/>
    <col min="2818" max="2818" width="15.85546875" style="36" customWidth="1"/>
    <col min="2819" max="2822" width="7.7109375" style="36" customWidth="1"/>
    <col min="2823" max="2823" width="7.28515625" style="36" customWidth="1"/>
    <col min="2824" max="2842" width="7" style="36" customWidth="1"/>
    <col min="2843" max="3072" width="9.140625" style="36"/>
    <col min="3073" max="3073" width="5" style="36" customWidth="1"/>
    <col min="3074" max="3074" width="15.85546875" style="36" customWidth="1"/>
    <col min="3075" max="3078" width="7.7109375" style="36" customWidth="1"/>
    <col min="3079" max="3079" width="7.28515625" style="36" customWidth="1"/>
    <col min="3080" max="3098" width="7" style="36" customWidth="1"/>
    <col min="3099" max="3328" width="9.140625" style="36"/>
    <col min="3329" max="3329" width="5" style="36" customWidth="1"/>
    <col min="3330" max="3330" width="15.85546875" style="36" customWidth="1"/>
    <col min="3331" max="3334" width="7.7109375" style="36" customWidth="1"/>
    <col min="3335" max="3335" width="7.28515625" style="36" customWidth="1"/>
    <col min="3336" max="3354" width="7" style="36" customWidth="1"/>
    <col min="3355" max="3584" width="9.140625" style="36"/>
    <col min="3585" max="3585" width="5" style="36" customWidth="1"/>
    <col min="3586" max="3586" width="15.85546875" style="36" customWidth="1"/>
    <col min="3587" max="3590" width="7.7109375" style="36" customWidth="1"/>
    <col min="3591" max="3591" width="7.28515625" style="36" customWidth="1"/>
    <col min="3592" max="3610" width="7" style="36" customWidth="1"/>
    <col min="3611" max="3840" width="9.140625" style="36"/>
    <col min="3841" max="3841" width="5" style="36" customWidth="1"/>
    <col min="3842" max="3842" width="15.85546875" style="36" customWidth="1"/>
    <col min="3843" max="3846" width="7.7109375" style="36" customWidth="1"/>
    <col min="3847" max="3847" width="7.28515625" style="36" customWidth="1"/>
    <col min="3848" max="3866" width="7" style="36" customWidth="1"/>
    <col min="3867" max="4096" width="9.140625" style="36"/>
    <col min="4097" max="4097" width="5" style="36" customWidth="1"/>
    <col min="4098" max="4098" width="15.85546875" style="36" customWidth="1"/>
    <col min="4099" max="4102" width="7.7109375" style="36" customWidth="1"/>
    <col min="4103" max="4103" width="7.28515625" style="36" customWidth="1"/>
    <col min="4104" max="4122" width="7" style="36" customWidth="1"/>
    <col min="4123" max="4352" width="9.140625" style="36"/>
    <col min="4353" max="4353" width="5" style="36" customWidth="1"/>
    <col min="4354" max="4354" width="15.85546875" style="36" customWidth="1"/>
    <col min="4355" max="4358" width="7.7109375" style="36" customWidth="1"/>
    <col min="4359" max="4359" width="7.28515625" style="36" customWidth="1"/>
    <col min="4360" max="4378" width="7" style="36" customWidth="1"/>
    <col min="4379" max="4608" width="9.140625" style="36"/>
    <col min="4609" max="4609" width="5" style="36" customWidth="1"/>
    <col min="4610" max="4610" width="15.85546875" style="36" customWidth="1"/>
    <col min="4611" max="4614" width="7.7109375" style="36" customWidth="1"/>
    <col min="4615" max="4615" width="7.28515625" style="36" customWidth="1"/>
    <col min="4616" max="4634" width="7" style="36" customWidth="1"/>
    <col min="4635" max="4864" width="9.140625" style="36"/>
    <col min="4865" max="4865" width="5" style="36" customWidth="1"/>
    <col min="4866" max="4866" width="15.85546875" style="36" customWidth="1"/>
    <col min="4867" max="4870" width="7.7109375" style="36" customWidth="1"/>
    <col min="4871" max="4871" width="7.28515625" style="36" customWidth="1"/>
    <col min="4872" max="4890" width="7" style="36" customWidth="1"/>
    <col min="4891" max="5120" width="9.140625" style="36"/>
    <col min="5121" max="5121" width="5" style="36" customWidth="1"/>
    <col min="5122" max="5122" width="15.85546875" style="36" customWidth="1"/>
    <col min="5123" max="5126" width="7.7109375" style="36" customWidth="1"/>
    <col min="5127" max="5127" width="7.28515625" style="36" customWidth="1"/>
    <col min="5128" max="5146" width="7" style="36" customWidth="1"/>
    <col min="5147" max="5376" width="9.140625" style="36"/>
    <col min="5377" max="5377" width="5" style="36" customWidth="1"/>
    <col min="5378" max="5378" width="15.85546875" style="36" customWidth="1"/>
    <col min="5379" max="5382" width="7.7109375" style="36" customWidth="1"/>
    <col min="5383" max="5383" width="7.28515625" style="36" customWidth="1"/>
    <col min="5384" max="5402" width="7" style="36" customWidth="1"/>
    <col min="5403" max="5632" width="9.140625" style="36"/>
    <col min="5633" max="5633" width="5" style="36" customWidth="1"/>
    <col min="5634" max="5634" width="15.85546875" style="36" customWidth="1"/>
    <col min="5635" max="5638" width="7.7109375" style="36" customWidth="1"/>
    <col min="5639" max="5639" width="7.28515625" style="36" customWidth="1"/>
    <col min="5640" max="5658" width="7" style="36" customWidth="1"/>
    <col min="5659" max="5888" width="9.140625" style="36"/>
    <col min="5889" max="5889" width="5" style="36" customWidth="1"/>
    <col min="5890" max="5890" width="15.85546875" style="36" customWidth="1"/>
    <col min="5891" max="5894" width="7.7109375" style="36" customWidth="1"/>
    <col min="5895" max="5895" width="7.28515625" style="36" customWidth="1"/>
    <col min="5896" max="5914" width="7" style="36" customWidth="1"/>
    <col min="5915" max="6144" width="9.140625" style="36"/>
    <col min="6145" max="6145" width="5" style="36" customWidth="1"/>
    <col min="6146" max="6146" width="15.85546875" style="36" customWidth="1"/>
    <col min="6147" max="6150" width="7.7109375" style="36" customWidth="1"/>
    <col min="6151" max="6151" width="7.28515625" style="36" customWidth="1"/>
    <col min="6152" max="6170" width="7" style="36" customWidth="1"/>
    <col min="6171" max="6400" width="9.140625" style="36"/>
    <col min="6401" max="6401" width="5" style="36" customWidth="1"/>
    <col min="6402" max="6402" width="15.85546875" style="36" customWidth="1"/>
    <col min="6403" max="6406" width="7.7109375" style="36" customWidth="1"/>
    <col min="6407" max="6407" width="7.28515625" style="36" customWidth="1"/>
    <col min="6408" max="6426" width="7" style="36" customWidth="1"/>
    <col min="6427" max="6656" width="9.140625" style="36"/>
    <col min="6657" max="6657" width="5" style="36" customWidth="1"/>
    <col min="6658" max="6658" width="15.85546875" style="36" customWidth="1"/>
    <col min="6659" max="6662" width="7.7109375" style="36" customWidth="1"/>
    <col min="6663" max="6663" width="7.28515625" style="36" customWidth="1"/>
    <col min="6664" max="6682" width="7" style="36" customWidth="1"/>
    <col min="6683" max="6912" width="9.140625" style="36"/>
    <col min="6913" max="6913" width="5" style="36" customWidth="1"/>
    <col min="6914" max="6914" width="15.85546875" style="36" customWidth="1"/>
    <col min="6915" max="6918" width="7.7109375" style="36" customWidth="1"/>
    <col min="6919" max="6919" width="7.28515625" style="36" customWidth="1"/>
    <col min="6920" max="6938" width="7" style="36" customWidth="1"/>
    <col min="6939" max="7168" width="9.140625" style="36"/>
    <col min="7169" max="7169" width="5" style="36" customWidth="1"/>
    <col min="7170" max="7170" width="15.85546875" style="36" customWidth="1"/>
    <col min="7171" max="7174" width="7.7109375" style="36" customWidth="1"/>
    <col min="7175" max="7175" width="7.28515625" style="36" customWidth="1"/>
    <col min="7176" max="7194" width="7" style="36" customWidth="1"/>
    <col min="7195" max="7424" width="9.140625" style="36"/>
    <col min="7425" max="7425" width="5" style="36" customWidth="1"/>
    <col min="7426" max="7426" width="15.85546875" style="36" customWidth="1"/>
    <col min="7427" max="7430" width="7.7109375" style="36" customWidth="1"/>
    <col min="7431" max="7431" width="7.28515625" style="36" customWidth="1"/>
    <col min="7432" max="7450" width="7" style="36" customWidth="1"/>
    <col min="7451" max="7680" width="9.140625" style="36"/>
    <col min="7681" max="7681" width="5" style="36" customWidth="1"/>
    <col min="7682" max="7682" width="15.85546875" style="36" customWidth="1"/>
    <col min="7683" max="7686" width="7.7109375" style="36" customWidth="1"/>
    <col min="7687" max="7687" width="7.28515625" style="36" customWidth="1"/>
    <col min="7688" max="7706" width="7" style="36" customWidth="1"/>
    <col min="7707" max="7936" width="9.140625" style="36"/>
    <col min="7937" max="7937" width="5" style="36" customWidth="1"/>
    <col min="7938" max="7938" width="15.85546875" style="36" customWidth="1"/>
    <col min="7939" max="7942" width="7.7109375" style="36" customWidth="1"/>
    <col min="7943" max="7943" width="7.28515625" style="36" customWidth="1"/>
    <col min="7944" max="7962" width="7" style="36" customWidth="1"/>
    <col min="7963" max="8192" width="9.140625" style="36"/>
    <col min="8193" max="8193" width="5" style="36" customWidth="1"/>
    <col min="8194" max="8194" width="15.85546875" style="36" customWidth="1"/>
    <col min="8195" max="8198" width="7.7109375" style="36" customWidth="1"/>
    <col min="8199" max="8199" width="7.28515625" style="36" customWidth="1"/>
    <col min="8200" max="8218" width="7" style="36" customWidth="1"/>
    <col min="8219" max="8448" width="9.140625" style="36"/>
    <col min="8449" max="8449" width="5" style="36" customWidth="1"/>
    <col min="8450" max="8450" width="15.85546875" style="36" customWidth="1"/>
    <col min="8451" max="8454" width="7.7109375" style="36" customWidth="1"/>
    <col min="8455" max="8455" width="7.28515625" style="36" customWidth="1"/>
    <col min="8456" max="8474" width="7" style="36" customWidth="1"/>
    <col min="8475" max="8704" width="9.140625" style="36"/>
    <col min="8705" max="8705" width="5" style="36" customWidth="1"/>
    <col min="8706" max="8706" width="15.85546875" style="36" customWidth="1"/>
    <col min="8707" max="8710" width="7.7109375" style="36" customWidth="1"/>
    <col min="8711" max="8711" width="7.28515625" style="36" customWidth="1"/>
    <col min="8712" max="8730" width="7" style="36" customWidth="1"/>
    <col min="8731" max="8960" width="9.140625" style="36"/>
    <col min="8961" max="8961" width="5" style="36" customWidth="1"/>
    <col min="8962" max="8962" width="15.85546875" style="36" customWidth="1"/>
    <col min="8963" max="8966" width="7.7109375" style="36" customWidth="1"/>
    <col min="8967" max="8967" width="7.28515625" style="36" customWidth="1"/>
    <col min="8968" max="8986" width="7" style="36" customWidth="1"/>
    <col min="8987" max="9216" width="9.140625" style="36"/>
    <col min="9217" max="9217" width="5" style="36" customWidth="1"/>
    <col min="9218" max="9218" width="15.85546875" style="36" customWidth="1"/>
    <col min="9219" max="9222" width="7.7109375" style="36" customWidth="1"/>
    <col min="9223" max="9223" width="7.28515625" style="36" customWidth="1"/>
    <col min="9224" max="9242" width="7" style="36" customWidth="1"/>
    <col min="9243" max="9472" width="9.140625" style="36"/>
    <col min="9473" max="9473" width="5" style="36" customWidth="1"/>
    <col min="9474" max="9474" width="15.85546875" style="36" customWidth="1"/>
    <col min="9475" max="9478" width="7.7109375" style="36" customWidth="1"/>
    <col min="9479" max="9479" width="7.28515625" style="36" customWidth="1"/>
    <col min="9480" max="9498" width="7" style="36" customWidth="1"/>
    <col min="9499" max="9728" width="9.140625" style="36"/>
    <col min="9729" max="9729" width="5" style="36" customWidth="1"/>
    <col min="9730" max="9730" width="15.85546875" style="36" customWidth="1"/>
    <col min="9731" max="9734" width="7.7109375" style="36" customWidth="1"/>
    <col min="9735" max="9735" width="7.28515625" style="36" customWidth="1"/>
    <col min="9736" max="9754" width="7" style="36" customWidth="1"/>
    <col min="9755" max="9984" width="9.140625" style="36"/>
    <col min="9985" max="9985" width="5" style="36" customWidth="1"/>
    <col min="9986" max="9986" width="15.85546875" style="36" customWidth="1"/>
    <col min="9987" max="9990" width="7.7109375" style="36" customWidth="1"/>
    <col min="9991" max="9991" width="7.28515625" style="36" customWidth="1"/>
    <col min="9992" max="10010" width="7" style="36" customWidth="1"/>
    <col min="10011" max="10240" width="9.140625" style="36"/>
    <col min="10241" max="10241" width="5" style="36" customWidth="1"/>
    <col min="10242" max="10242" width="15.85546875" style="36" customWidth="1"/>
    <col min="10243" max="10246" width="7.7109375" style="36" customWidth="1"/>
    <col min="10247" max="10247" width="7.28515625" style="36" customWidth="1"/>
    <col min="10248" max="10266" width="7" style="36" customWidth="1"/>
    <col min="10267" max="10496" width="9.140625" style="36"/>
    <col min="10497" max="10497" width="5" style="36" customWidth="1"/>
    <col min="10498" max="10498" width="15.85546875" style="36" customWidth="1"/>
    <col min="10499" max="10502" width="7.7109375" style="36" customWidth="1"/>
    <col min="10503" max="10503" width="7.28515625" style="36" customWidth="1"/>
    <col min="10504" max="10522" width="7" style="36" customWidth="1"/>
    <col min="10523" max="10752" width="9.140625" style="36"/>
    <col min="10753" max="10753" width="5" style="36" customWidth="1"/>
    <col min="10754" max="10754" width="15.85546875" style="36" customWidth="1"/>
    <col min="10755" max="10758" width="7.7109375" style="36" customWidth="1"/>
    <col min="10759" max="10759" width="7.28515625" style="36" customWidth="1"/>
    <col min="10760" max="10778" width="7" style="36" customWidth="1"/>
    <col min="10779" max="11008" width="9.140625" style="36"/>
    <col min="11009" max="11009" width="5" style="36" customWidth="1"/>
    <col min="11010" max="11010" width="15.85546875" style="36" customWidth="1"/>
    <col min="11011" max="11014" width="7.7109375" style="36" customWidth="1"/>
    <col min="11015" max="11015" width="7.28515625" style="36" customWidth="1"/>
    <col min="11016" max="11034" width="7" style="36" customWidth="1"/>
    <col min="11035" max="11264" width="9.140625" style="36"/>
    <col min="11265" max="11265" width="5" style="36" customWidth="1"/>
    <col min="11266" max="11266" width="15.85546875" style="36" customWidth="1"/>
    <col min="11267" max="11270" width="7.7109375" style="36" customWidth="1"/>
    <col min="11271" max="11271" width="7.28515625" style="36" customWidth="1"/>
    <col min="11272" max="11290" width="7" style="36" customWidth="1"/>
    <col min="11291" max="11520" width="9.140625" style="36"/>
    <col min="11521" max="11521" width="5" style="36" customWidth="1"/>
    <col min="11522" max="11522" width="15.85546875" style="36" customWidth="1"/>
    <col min="11523" max="11526" width="7.7109375" style="36" customWidth="1"/>
    <col min="11527" max="11527" width="7.28515625" style="36" customWidth="1"/>
    <col min="11528" max="11546" width="7" style="36" customWidth="1"/>
    <col min="11547" max="11776" width="9.140625" style="36"/>
    <col min="11777" max="11777" width="5" style="36" customWidth="1"/>
    <col min="11778" max="11778" width="15.85546875" style="36" customWidth="1"/>
    <col min="11779" max="11782" width="7.7109375" style="36" customWidth="1"/>
    <col min="11783" max="11783" width="7.28515625" style="36" customWidth="1"/>
    <col min="11784" max="11802" width="7" style="36" customWidth="1"/>
    <col min="11803" max="12032" width="9.140625" style="36"/>
    <col min="12033" max="12033" width="5" style="36" customWidth="1"/>
    <col min="12034" max="12034" width="15.85546875" style="36" customWidth="1"/>
    <col min="12035" max="12038" width="7.7109375" style="36" customWidth="1"/>
    <col min="12039" max="12039" width="7.28515625" style="36" customWidth="1"/>
    <col min="12040" max="12058" width="7" style="36" customWidth="1"/>
    <col min="12059" max="12288" width="9.140625" style="36"/>
    <col min="12289" max="12289" width="5" style="36" customWidth="1"/>
    <col min="12290" max="12290" width="15.85546875" style="36" customWidth="1"/>
    <col min="12291" max="12294" width="7.7109375" style="36" customWidth="1"/>
    <col min="12295" max="12295" width="7.28515625" style="36" customWidth="1"/>
    <col min="12296" max="12314" width="7" style="36" customWidth="1"/>
    <col min="12315" max="12544" width="9.140625" style="36"/>
    <col min="12545" max="12545" width="5" style="36" customWidth="1"/>
    <col min="12546" max="12546" width="15.85546875" style="36" customWidth="1"/>
    <col min="12547" max="12550" width="7.7109375" style="36" customWidth="1"/>
    <col min="12551" max="12551" width="7.28515625" style="36" customWidth="1"/>
    <col min="12552" max="12570" width="7" style="36" customWidth="1"/>
    <col min="12571" max="12800" width="9.140625" style="36"/>
    <col min="12801" max="12801" width="5" style="36" customWidth="1"/>
    <col min="12802" max="12802" width="15.85546875" style="36" customWidth="1"/>
    <col min="12803" max="12806" width="7.7109375" style="36" customWidth="1"/>
    <col min="12807" max="12807" width="7.28515625" style="36" customWidth="1"/>
    <col min="12808" max="12826" width="7" style="36" customWidth="1"/>
    <col min="12827" max="13056" width="9.140625" style="36"/>
    <col min="13057" max="13057" width="5" style="36" customWidth="1"/>
    <col min="13058" max="13058" width="15.85546875" style="36" customWidth="1"/>
    <col min="13059" max="13062" width="7.7109375" style="36" customWidth="1"/>
    <col min="13063" max="13063" width="7.28515625" style="36" customWidth="1"/>
    <col min="13064" max="13082" width="7" style="36" customWidth="1"/>
    <col min="13083" max="13312" width="9.140625" style="36"/>
    <col min="13313" max="13313" width="5" style="36" customWidth="1"/>
    <col min="13314" max="13314" width="15.85546875" style="36" customWidth="1"/>
    <col min="13315" max="13318" width="7.7109375" style="36" customWidth="1"/>
    <col min="13319" max="13319" width="7.28515625" style="36" customWidth="1"/>
    <col min="13320" max="13338" width="7" style="36" customWidth="1"/>
    <col min="13339" max="13568" width="9.140625" style="36"/>
    <col min="13569" max="13569" width="5" style="36" customWidth="1"/>
    <col min="13570" max="13570" width="15.85546875" style="36" customWidth="1"/>
    <col min="13571" max="13574" width="7.7109375" style="36" customWidth="1"/>
    <col min="13575" max="13575" width="7.28515625" style="36" customWidth="1"/>
    <col min="13576" max="13594" width="7" style="36" customWidth="1"/>
    <col min="13595" max="13824" width="9.140625" style="36"/>
    <col min="13825" max="13825" width="5" style="36" customWidth="1"/>
    <col min="13826" max="13826" width="15.85546875" style="36" customWidth="1"/>
    <col min="13827" max="13830" width="7.7109375" style="36" customWidth="1"/>
    <col min="13831" max="13831" width="7.28515625" style="36" customWidth="1"/>
    <col min="13832" max="13850" width="7" style="36" customWidth="1"/>
    <col min="13851" max="14080" width="9.140625" style="36"/>
    <col min="14081" max="14081" width="5" style="36" customWidth="1"/>
    <col min="14082" max="14082" width="15.85546875" style="36" customWidth="1"/>
    <col min="14083" max="14086" width="7.7109375" style="36" customWidth="1"/>
    <col min="14087" max="14087" width="7.28515625" style="36" customWidth="1"/>
    <col min="14088" max="14106" width="7" style="36" customWidth="1"/>
    <col min="14107" max="14336" width="9.140625" style="36"/>
    <col min="14337" max="14337" width="5" style="36" customWidth="1"/>
    <col min="14338" max="14338" width="15.85546875" style="36" customWidth="1"/>
    <col min="14339" max="14342" width="7.7109375" style="36" customWidth="1"/>
    <col min="14343" max="14343" width="7.28515625" style="36" customWidth="1"/>
    <col min="14344" max="14362" width="7" style="36" customWidth="1"/>
    <col min="14363" max="14592" width="9.140625" style="36"/>
    <col min="14593" max="14593" width="5" style="36" customWidth="1"/>
    <col min="14594" max="14594" width="15.85546875" style="36" customWidth="1"/>
    <col min="14595" max="14598" width="7.7109375" style="36" customWidth="1"/>
    <col min="14599" max="14599" width="7.28515625" style="36" customWidth="1"/>
    <col min="14600" max="14618" width="7" style="36" customWidth="1"/>
    <col min="14619" max="14848" width="9.140625" style="36"/>
    <col min="14849" max="14849" width="5" style="36" customWidth="1"/>
    <col min="14850" max="14850" width="15.85546875" style="36" customWidth="1"/>
    <col min="14851" max="14854" width="7.7109375" style="36" customWidth="1"/>
    <col min="14855" max="14855" width="7.28515625" style="36" customWidth="1"/>
    <col min="14856" max="14874" width="7" style="36" customWidth="1"/>
    <col min="14875" max="15104" width="9.140625" style="36"/>
    <col min="15105" max="15105" width="5" style="36" customWidth="1"/>
    <col min="15106" max="15106" width="15.85546875" style="36" customWidth="1"/>
    <col min="15107" max="15110" width="7.7109375" style="36" customWidth="1"/>
    <col min="15111" max="15111" width="7.28515625" style="36" customWidth="1"/>
    <col min="15112" max="15130" width="7" style="36" customWidth="1"/>
    <col min="15131" max="15360" width="9.140625" style="36"/>
    <col min="15361" max="15361" width="5" style="36" customWidth="1"/>
    <col min="15362" max="15362" width="15.85546875" style="36" customWidth="1"/>
    <col min="15363" max="15366" width="7.7109375" style="36" customWidth="1"/>
    <col min="15367" max="15367" width="7.28515625" style="36" customWidth="1"/>
    <col min="15368" max="15386" width="7" style="36" customWidth="1"/>
    <col min="15387" max="15616" width="9.140625" style="36"/>
    <col min="15617" max="15617" width="5" style="36" customWidth="1"/>
    <col min="15618" max="15618" width="15.85546875" style="36" customWidth="1"/>
    <col min="15619" max="15622" width="7.7109375" style="36" customWidth="1"/>
    <col min="15623" max="15623" width="7.28515625" style="36" customWidth="1"/>
    <col min="15624" max="15642" width="7" style="36" customWidth="1"/>
    <col min="15643" max="15872" width="9.140625" style="36"/>
    <col min="15873" max="15873" width="5" style="36" customWidth="1"/>
    <col min="15874" max="15874" width="15.85546875" style="36" customWidth="1"/>
    <col min="15875" max="15878" width="7.7109375" style="36" customWidth="1"/>
    <col min="15879" max="15879" width="7.28515625" style="36" customWidth="1"/>
    <col min="15880" max="15898" width="7" style="36" customWidth="1"/>
    <col min="15899" max="16128" width="9.140625" style="36"/>
    <col min="16129" max="16129" width="5" style="36" customWidth="1"/>
    <col min="16130" max="16130" width="15.85546875" style="36" customWidth="1"/>
    <col min="16131" max="16134" width="7.7109375" style="36" customWidth="1"/>
    <col min="16135" max="16135" width="7.28515625" style="36" customWidth="1"/>
    <col min="16136" max="16154" width="7" style="36" customWidth="1"/>
    <col min="16155" max="16384" width="9.140625" style="36"/>
  </cols>
  <sheetData>
    <row r="1" spans="1:30" s="34" customFormat="1" ht="60.75" customHeight="1">
      <c r="A1" s="575" t="s">
        <v>0</v>
      </c>
      <c r="B1" s="575"/>
      <c r="C1" s="575"/>
      <c r="D1" s="575"/>
      <c r="E1" s="575"/>
      <c r="F1" s="608" t="s">
        <v>380</v>
      </c>
      <c r="G1" s="608"/>
      <c r="H1" s="608"/>
      <c r="I1" s="608"/>
      <c r="J1" s="608"/>
      <c r="K1" s="608"/>
      <c r="L1" s="608"/>
      <c r="M1" s="608"/>
      <c r="N1" s="608"/>
      <c r="O1" s="608"/>
      <c r="P1" s="608"/>
      <c r="Q1" s="608"/>
      <c r="R1" s="608"/>
    </row>
    <row r="2" spans="1:30" ht="31.5" customHeight="1">
      <c r="A2" s="665" t="s">
        <v>2</v>
      </c>
      <c r="B2" s="665"/>
      <c r="C2" s="665"/>
      <c r="D2" s="665"/>
      <c r="E2" s="665"/>
      <c r="F2" s="665"/>
      <c r="G2" s="665"/>
      <c r="H2" s="665"/>
      <c r="I2" s="665"/>
      <c r="J2" s="665"/>
      <c r="K2" s="665"/>
      <c r="L2" s="665"/>
      <c r="M2" s="665"/>
      <c r="N2" s="665"/>
      <c r="O2" s="665"/>
      <c r="P2" s="665"/>
      <c r="Q2" s="665"/>
      <c r="R2" s="665"/>
      <c r="S2" s="665"/>
      <c r="T2" s="665"/>
      <c r="U2" s="665"/>
      <c r="V2" s="665"/>
      <c r="W2" s="665"/>
      <c r="X2" s="665"/>
      <c r="Y2" s="665"/>
      <c r="Z2" s="665"/>
    </row>
    <row r="3" spans="1:30" ht="44.25" customHeight="1">
      <c r="A3" s="515" t="s">
        <v>3</v>
      </c>
      <c r="B3" s="518" t="s">
        <v>52</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120</v>
      </c>
    </row>
    <row r="4" spans="1:30"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30" ht="75.75" customHeight="1">
      <c r="A5" s="517"/>
      <c r="B5" s="520"/>
      <c r="C5" s="5" t="s">
        <v>14</v>
      </c>
      <c r="D5" s="5" t="s">
        <v>15</v>
      </c>
      <c r="E5" s="5" t="s">
        <v>16</v>
      </c>
      <c r="F5" s="5" t="s">
        <v>17</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3"/>
      <c r="AB5" s="513"/>
    </row>
    <row r="6" spans="1:30" s="170" customFormat="1" ht="101.25" customHeight="1">
      <c r="A6" s="46" t="s">
        <v>20</v>
      </c>
      <c r="B6" s="46" t="s">
        <v>381</v>
      </c>
      <c r="C6" s="46">
        <v>0</v>
      </c>
      <c r="D6" s="330">
        <v>0</v>
      </c>
      <c r="E6" s="46">
        <v>0</v>
      </c>
      <c r="F6" s="46">
        <v>0</v>
      </c>
      <c r="G6" s="330">
        <v>1500</v>
      </c>
      <c r="H6" s="330">
        <v>11500</v>
      </c>
      <c r="I6" s="330">
        <v>1500</v>
      </c>
      <c r="J6" s="330">
        <v>11500</v>
      </c>
      <c r="K6" s="330">
        <v>2500</v>
      </c>
      <c r="L6" s="330">
        <v>11500</v>
      </c>
      <c r="M6" s="330">
        <v>2500</v>
      </c>
      <c r="N6" s="330">
        <v>11500</v>
      </c>
      <c r="O6" s="330">
        <v>5000</v>
      </c>
      <c r="P6" s="330">
        <v>12000</v>
      </c>
      <c r="Q6" s="330">
        <v>5000</v>
      </c>
      <c r="R6" s="330">
        <v>12000</v>
      </c>
      <c r="S6" s="330">
        <v>6000</v>
      </c>
      <c r="T6" s="330">
        <v>12000</v>
      </c>
      <c r="U6" s="330">
        <v>6000</v>
      </c>
      <c r="V6" s="330">
        <v>12000</v>
      </c>
      <c r="W6" s="330">
        <v>8000</v>
      </c>
      <c r="X6" s="330">
        <v>13000</v>
      </c>
      <c r="Y6" s="330">
        <v>8000</v>
      </c>
      <c r="Z6" s="330">
        <v>13000</v>
      </c>
      <c r="AA6" s="412">
        <f t="shared" ref="AA6" si="0">C6/W6</f>
        <v>0</v>
      </c>
      <c r="AB6" s="412">
        <f t="shared" ref="AB6" si="1">W6/X6</f>
        <v>0.61538461538461542</v>
      </c>
    </row>
    <row r="7" spans="1:30" ht="51.75">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12" t="s">
        <v>123</v>
      </c>
      <c r="AA7" s="413">
        <f>AVERAGE(AA4:AA6)</f>
        <v>0</v>
      </c>
      <c r="AB7" s="413">
        <f>AVERAGE(AB4:AB6)</f>
        <v>0.61538461538461542</v>
      </c>
    </row>
    <row r="8" spans="1:30" ht="22.5">
      <c r="A8" s="665" t="s">
        <v>356</v>
      </c>
      <c r="B8" s="665"/>
      <c r="C8" s="665"/>
      <c r="D8" s="665"/>
      <c r="E8" s="665"/>
      <c r="F8" s="665"/>
      <c r="G8" s="665"/>
      <c r="H8" s="665"/>
      <c r="I8" s="665"/>
      <c r="J8" s="665"/>
      <c r="K8" s="665"/>
      <c r="L8" s="665"/>
      <c r="M8" s="665"/>
      <c r="N8" s="665"/>
      <c r="O8" s="665"/>
      <c r="P8" s="665"/>
      <c r="Q8" s="665"/>
      <c r="R8" s="665"/>
      <c r="S8" s="665"/>
      <c r="T8" s="665"/>
      <c r="U8" s="665"/>
      <c r="V8" s="665"/>
      <c r="W8" s="665"/>
      <c r="X8" s="665"/>
      <c r="Y8" s="665"/>
      <c r="Z8" s="665"/>
      <c r="AA8" s="462"/>
      <c r="AB8" s="462"/>
    </row>
    <row r="9" spans="1:30" ht="45.75" customHeight="1">
      <c r="A9" s="515" t="s">
        <v>3</v>
      </c>
      <c r="B9" s="518" t="s">
        <v>26</v>
      </c>
      <c r="C9" s="521" t="s">
        <v>27</v>
      </c>
      <c r="D9" s="522"/>
      <c r="E9" s="522"/>
      <c r="F9" s="523"/>
      <c r="G9" s="513" t="s">
        <v>28</v>
      </c>
      <c r="H9" s="513"/>
      <c r="I9" s="513"/>
      <c r="J9" s="513"/>
      <c r="K9" s="513"/>
      <c r="L9" s="513"/>
      <c r="M9" s="513"/>
      <c r="N9" s="513"/>
      <c r="O9" s="513"/>
      <c r="P9" s="513"/>
      <c r="Q9" s="513"/>
      <c r="R9" s="513"/>
      <c r="S9" s="513"/>
      <c r="T9" s="513"/>
      <c r="U9" s="513"/>
      <c r="V9" s="513"/>
      <c r="W9" s="513"/>
      <c r="X9" s="513"/>
      <c r="Y9" s="513"/>
      <c r="Z9" s="513"/>
      <c r="AA9" s="513" t="s">
        <v>124</v>
      </c>
      <c r="AB9" s="513" t="s">
        <v>125</v>
      </c>
    </row>
    <row r="10" spans="1:30" ht="45" customHeight="1">
      <c r="A10" s="516"/>
      <c r="B10" s="519"/>
      <c r="C10" s="524"/>
      <c r="D10" s="525"/>
      <c r="E10" s="525"/>
      <c r="F10" s="526"/>
      <c r="G10" s="513" t="s">
        <v>9</v>
      </c>
      <c r="H10" s="513"/>
      <c r="I10" s="513"/>
      <c r="J10" s="513"/>
      <c r="K10" s="513" t="s">
        <v>10</v>
      </c>
      <c r="L10" s="513"/>
      <c r="M10" s="513"/>
      <c r="N10" s="513"/>
      <c r="O10" s="513" t="s">
        <v>11</v>
      </c>
      <c r="P10" s="513"/>
      <c r="Q10" s="513"/>
      <c r="R10" s="513"/>
      <c r="S10" s="513" t="s">
        <v>12</v>
      </c>
      <c r="T10" s="513"/>
      <c r="U10" s="513"/>
      <c r="V10" s="513"/>
      <c r="W10" s="513" t="s">
        <v>13</v>
      </c>
      <c r="X10" s="513"/>
      <c r="Y10" s="513"/>
      <c r="Z10" s="513"/>
      <c r="AA10" s="513" t="s">
        <v>124</v>
      </c>
      <c r="AB10" s="513" t="s">
        <v>125</v>
      </c>
    </row>
    <row r="11" spans="1:30" ht="78.75" customHeight="1">
      <c r="A11" s="517"/>
      <c r="B11" s="520"/>
      <c r="C11" s="5" t="s">
        <v>31</v>
      </c>
      <c r="D11" s="5" t="s">
        <v>32</v>
      </c>
      <c r="E11" s="5" t="s">
        <v>33</v>
      </c>
      <c r="F11" s="5" t="s">
        <v>17</v>
      </c>
      <c r="G11" s="5" t="s">
        <v>34</v>
      </c>
      <c r="H11" s="5" t="s">
        <v>32</v>
      </c>
      <c r="I11" s="5" t="s">
        <v>33</v>
      </c>
      <c r="J11" s="5" t="s">
        <v>19</v>
      </c>
      <c r="K11" s="5" t="s">
        <v>34</v>
      </c>
      <c r="L11" s="5" t="s">
        <v>32</v>
      </c>
      <c r="M11" s="5" t="s">
        <v>33</v>
      </c>
      <c r="N11" s="5" t="s">
        <v>19</v>
      </c>
      <c r="O11" s="5" t="s">
        <v>34</v>
      </c>
      <c r="P11" s="5" t="s">
        <v>32</v>
      </c>
      <c r="Q11" s="5" t="s">
        <v>33</v>
      </c>
      <c r="R11" s="5" t="s">
        <v>19</v>
      </c>
      <c r="S11" s="5" t="s">
        <v>34</v>
      </c>
      <c r="T11" s="5" t="s">
        <v>32</v>
      </c>
      <c r="U11" s="5" t="s">
        <v>33</v>
      </c>
      <c r="V11" s="5" t="s">
        <v>19</v>
      </c>
      <c r="W11" s="5" t="s">
        <v>34</v>
      </c>
      <c r="X11" s="5" t="s">
        <v>32</v>
      </c>
      <c r="Y11" s="5" t="s">
        <v>33</v>
      </c>
      <c r="Z11" s="5" t="s">
        <v>19</v>
      </c>
      <c r="AA11" s="513" t="s">
        <v>124</v>
      </c>
      <c r="AB11" s="513" t="s">
        <v>125</v>
      </c>
    </row>
    <row r="12" spans="1:30" s="171" customFormat="1" ht="121.5" customHeight="1">
      <c r="A12" s="331" t="s">
        <v>20</v>
      </c>
      <c r="B12" s="331" t="s">
        <v>756</v>
      </c>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3"/>
      <c r="AA12" s="463"/>
      <c r="AB12" s="463"/>
    </row>
    <row r="13" spans="1:30" s="171" customFormat="1" ht="100.5" customHeight="1">
      <c r="A13" s="331" t="s">
        <v>36</v>
      </c>
      <c r="B13" s="46" t="s">
        <v>382</v>
      </c>
      <c r="C13" s="332">
        <v>0</v>
      </c>
      <c r="D13" s="332">
        <v>0</v>
      </c>
      <c r="E13" s="332">
        <v>0</v>
      </c>
      <c r="F13" s="332">
        <v>0</v>
      </c>
      <c r="G13" s="334">
        <v>980</v>
      </c>
      <c r="H13" s="334">
        <v>980</v>
      </c>
      <c r="I13" s="334">
        <v>123</v>
      </c>
      <c r="J13" s="334">
        <v>123</v>
      </c>
      <c r="K13" s="334">
        <v>980</v>
      </c>
      <c r="L13" s="334">
        <v>980</v>
      </c>
      <c r="M13" s="334">
        <v>123</v>
      </c>
      <c r="N13" s="334">
        <v>123</v>
      </c>
      <c r="O13" s="334">
        <v>1050</v>
      </c>
      <c r="P13" s="334">
        <v>1050</v>
      </c>
      <c r="Q13" s="334">
        <v>126</v>
      </c>
      <c r="R13" s="334">
        <v>126</v>
      </c>
      <c r="S13" s="334">
        <v>1050</v>
      </c>
      <c r="T13" s="334">
        <v>1050</v>
      </c>
      <c r="U13" s="334">
        <v>126</v>
      </c>
      <c r="V13" s="334">
        <v>126</v>
      </c>
      <c r="W13" s="334">
        <v>1050</v>
      </c>
      <c r="X13" s="334">
        <v>1050</v>
      </c>
      <c r="Y13" s="334">
        <v>126</v>
      </c>
      <c r="Z13" s="335">
        <v>126</v>
      </c>
      <c r="AA13" s="412">
        <f>C13/W13</f>
        <v>0</v>
      </c>
      <c r="AB13" s="412">
        <f>W13/X13</f>
        <v>1</v>
      </c>
      <c r="AD13" s="172"/>
    </row>
    <row r="14" spans="1:30" s="171" customFormat="1" ht="159.75" customHeight="1">
      <c r="A14" s="331" t="s">
        <v>38</v>
      </c>
      <c r="B14" s="336" t="s">
        <v>757</v>
      </c>
      <c r="C14" s="332">
        <v>0</v>
      </c>
      <c r="D14" s="332">
        <v>0</v>
      </c>
      <c r="E14" s="332">
        <v>0</v>
      </c>
      <c r="F14" s="332">
        <v>0</v>
      </c>
      <c r="G14" s="334">
        <v>8610</v>
      </c>
      <c r="H14" s="334">
        <v>8610</v>
      </c>
      <c r="I14" s="334">
        <v>123</v>
      </c>
      <c r="J14" s="334">
        <v>123</v>
      </c>
      <c r="K14" s="334">
        <v>8610</v>
      </c>
      <c r="L14" s="334">
        <v>8610</v>
      </c>
      <c r="M14" s="334">
        <v>123</v>
      </c>
      <c r="N14" s="334">
        <v>123</v>
      </c>
      <c r="O14" s="334">
        <v>8820</v>
      </c>
      <c r="P14" s="334">
        <v>8820</v>
      </c>
      <c r="Q14" s="334">
        <v>126</v>
      </c>
      <c r="R14" s="334">
        <v>126</v>
      </c>
      <c r="S14" s="334">
        <v>8820</v>
      </c>
      <c r="T14" s="334">
        <v>8820</v>
      </c>
      <c r="U14" s="334">
        <v>126</v>
      </c>
      <c r="V14" s="334">
        <v>126</v>
      </c>
      <c r="W14" s="334">
        <v>8820</v>
      </c>
      <c r="X14" s="334">
        <v>8820</v>
      </c>
      <c r="Y14" s="334">
        <v>126</v>
      </c>
      <c r="Z14" s="335">
        <v>126</v>
      </c>
      <c r="AA14" s="412">
        <f t="shared" ref="AA14:AA15" si="2">C14/W14</f>
        <v>0</v>
      </c>
      <c r="AB14" s="412">
        <f t="shared" ref="AB14:AB15" si="3">W14/X14</f>
        <v>1</v>
      </c>
    </row>
    <row r="15" spans="1:30" s="171" customFormat="1" ht="108.75" customHeight="1">
      <c r="A15" s="331" t="s">
        <v>73</v>
      </c>
      <c r="B15" s="331" t="s">
        <v>383</v>
      </c>
      <c r="C15" s="332">
        <v>0</v>
      </c>
      <c r="D15" s="332">
        <v>0</v>
      </c>
      <c r="E15" s="332">
        <v>0</v>
      </c>
      <c r="F15" s="332">
        <v>0</v>
      </c>
      <c r="G15" s="334">
        <v>104000</v>
      </c>
      <c r="H15" s="334">
        <v>104000</v>
      </c>
      <c r="I15" s="334">
        <v>1500</v>
      </c>
      <c r="J15" s="334">
        <v>2000</v>
      </c>
      <c r="K15" s="334">
        <v>119000</v>
      </c>
      <c r="L15" s="334">
        <v>119000</v>
      </c>
      <c r="M15" s="334">
        <v>1700</v>
      </c>
      <c r="N15" s="334">
        <v>2200</v>
      </c>
      <c r="O15" s="334">
        <v>140000</v>
      </c>
      <c r="P15" s="334">
        <v>140000</v>
      </c>
      <c r="Q15" s="334">
        <v>2000</v>
      </c>
      <c r="R15" s="334">
        <v>2200</v>
      </c>
      <c r="S15" s="334">
        <v>140000</v>
      </c>
      <c r="T15" s="334">
        <v>140000</v>
      </c>
      <c r="U15" s="334">
        <v>2000</v>
      </c>
      <c r="V15" s="334">
        <v>2200</v>
      </c>
      <c r="W15" s="334">
        <v>175000</v>
      </c>
      <c r="X15" s="334">
        <v>175000</v>
      </c>
      <c r="Y15" s="334">
        <v>2500</v>
      </c>
      <c r="Z15" s="335">
        <v>2700</v>
      </c>
      <c r="AA15" s="412">
        <f t="shared" si="2"/>
        <v>0</v>
      </c>
      <c r="AB15" s="412">
        <f t="shared" si="3"/>
        <v>1</v>
      </c>
    </row>
    <row r="16" spans="1:30" ht="51.75">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12" t="s">
        <v>123</v>
      </c>
      <c r="AA16" s="413">
        <f>AVERAGE(AA13:AA15)</f>
        <v>0</v>
      </c>
      <c r="AB16" s="413">
        <f>AVERAGE(AB13:AB15)</f>
        <v>1</v>
      </c>
    </row>
    <row r="17" spans="1:28">
      <c r="A17" s="9"/>
      <c r="B17" s="9" t="s">
        <v>40</v>
      </c>
      <c r="AA17" s="462"/>
      <c r="AB17" s="462"/>
    </row>
    <row r="19" spans="1:28" ht="31.5" customHeight="1">
      <c r="A19" s="173" t="s">
        <v>41</v>
      </c>
      <c r="B19" s="509" t="s">
        <v>42</v>
      </c>
      <c r="C19" s="509"/>
      <c r="D19" s="509"/>
      <c r="E19" s="509"/>
      <c r="F19" s="509"/>
      <c r="G19" s="509"/>
      <c r="H19" s="509"/>
      <c r="I19" s="509"/>
      <c r="J19" s="509"/>
      <c r="K19" s="509"/>
      <c r="L19" s="509"/>
      <c r="M19" s="509"/>
      <c r="N19" s="509"/>
      <c r="O19" s="509"/>
      <c r="P19" s="509"/>
      <c r="Q19" s="509"/>
      <c r="R19" s="509"/>
    </row>
    <row r="20" spans="1:28" ht="31.5" customHeight="1">
      <c r="A20" s="173" t="s">
        <v>43</v>
      </c>
      <c r="B20" s="509" t="s">
        <v>44</v>
      </c>
      <c r="C20" s="509"/>
      <c r="D20" s="509"/>
      <c r="E20" s="509"/>
      <c r="F20" s="509"/>
      <c r="G20" s="509"/>
      <c r="H20" s="509"/>
      <c r="I20" s="509"/>
      <c r="J20" s="509"/>
      <c r="K20" s="509"/>
      <c r="L20" s="509"/>
      <c r="M20" s="509"/>
      <c r="N20" s="509"/>
      <c r="O20" s="509"/>
      <c r="P20" s="509"/>
      <c r="Q20" s="509"/>
      <c r="R20" s="509"/>
    </row>
    <row r="21" spans="1:28" ht="31.5" customHeight="1">
      <c r="B21" s="509" t="s">
        <v>45</v>
      </c>
      <c r="C21" s="509"/>
      <c r="D21" s="509"/>
      <c r="E21" s="509"/>
      <c r="F21" s="509"/>
      <c r="G21" s="509"/>
      <c r="H21" s="509"/>
      <c r="I21" s="509"/>
      <c r="J21" s="509"/>
      <c r="K21" s="509"/>
      <c r="L21" s="509"/>
      <c r="M21" s="509"/>
      <c r="N21" s="509"/>
      <c r="O21" s="509"/>
      <c r="P21" s="509"/>
      <c r="Q21" s="509"/>
      <c r="R21" s="509"/>
    </row>
    <row r="22" spans="1:28" ht="31.5" customHeight="1">
      <c r="B22" s="509" t="s">
        <v>46</v>
      </c>
      <c r="C22" s="509"/>
      <c r="D22" s="509"/>
      <c r="E22" s="509"/>
      <c r="F22" s="509"/>
      <c r="G22" s="509"/>
      <c r="H22" s="509"/>
      <c r="I22" s="509"/>
      <c r="J22" s="509"/>
      <c r="K22" s="509"/>
      <c r="L22" s="509"/>
      <c r="M22" s="509"/>
      <c r="N22" s="509"/>
      <c r="O22" s="509"/>
      <c r="P22" s="509"/>
      <c r="Q22" s="509"/>
      <c r="R22" s="509"/>
    </row>
    <row r="23" spans="1:28" ht="31.5" customHeight="1">
      <c r="B23" s="509" t="s">
        <v>47</v>
      </c>
      <c r="C23" s="509"/>
      <c r="D23" s="509"/>
      <c r="E23" s="509"/>
      <c r="F23" s="509"/>
      <c r="G23" s="509"/>
      <c r="H23" s="509"/>
      <c r="I23" s="509"/>
      <c r="J23" s="509"/>
      <c r="K23" s="509"/>
      <c r="L23" s="509"/>
      <c r="M23" s="509"/>
      <c r="N23" s="509"/>
      <c r="O23" s="509"/>
      <c r="P23" s="509"/>
      <c r="Q23" s="509"/>
      <c r="R23" s="509"/>
    </row>
    <row r="24" spans="1:28" ht="31.5" customHeight="1">
      <c r="B24" s="509" t="s">
        <v>48</v>
      </c>
      <c r="C24" s="509"/>
      <c r="D24" s="509"/>
      <c r="E24" s="509"/>
      <c r="F24" s="509"/>
      <c r="G24" s="509"/>
      <c r="H24" s="509"/>
      <c r="I24" s="509"/>
      <c r="J24" s="509"/>
      <c r="K24" s="509"/>
      <c r="L24" s="509"/>
      <c r="M24" s="509"/>
      <c r="N24" s="509"/>
      <c r="O24" s="509"/>
      <c r="P24" s="509"/>
      <c r="Q24" s="509"/>
      <c r="R24" s="509"/>
    </row>
    <row r="25" spans="1:28" ht="73.5" customHeight="1">
      <c r="B25" s="509" t="s">
        <v>49</v>
      </c>
      <c r="C25" s="509"/>
      <c r="D25" s="509"/>
      <c r="E25" s="509"/>
      <c r="F25" s="509"/>
      <c r="G25" s="509"/>
      <c r="H25" s="509"/>
      <c r="I25" s="509"/>
      <c r="J25" s="509"/>
      <c r="K25" s="509"/>
      <c r="L25" s="509"/>
      <c r="M25" s="509"/>
      <c r="N25" s="509"/>
      <c r="O25" s="509"/>
      <c r="P25" s="509"/>
      <c r="Q25" s="509"/>
      <c r="R25" s="509"/>
    </row>
    <row r="26" spans="1:28" ht="39" customHeight="1">
      <c r="B26" s="509" t="s">
        <v>50</v>
      </c>
      <c r="C26" s="509"/>
      <c r="D26" s="509"/>
      <c r="E26" s="509"/>
      <c r="F26" s="509"/>
      <c r="G26" s="509"/>
      <c r="H26" s="509"/>
      <c r="I26" s="509"/>
      <c r="J26" s="509"/>
      <c r="K26" s="509"/>
      <c r="L26" s="509"/>
      <c r="M26" s="509"/>
      <c r="N26" s="509"/>
      <c r="O26" s="509"/>
      <c r="P26" s="509"/>
      <c r="Q26" s="509"/>
      <c r="R26" s="509"/>
    </row>
    <row r="27" spans="1:28" ht="24" customHeight="1">
      <c r="B27" s="509" t="s">
        <v>384</v>
      </c>
      <c r="C27" s="509"/>
      <c r="D27" s="509"/>
      <c r="E27" s="509"/>
      <c r="F27" s="509"/>
      <c r="G27" s="509"/>
      <c r="H27" s="509"/>
      <c r="I27" s="509"/>
      <c r="J27" s="509"/>
      <c r="K27" s="509"/>
      <c r="L27" s="509"/>
      <c r="M27" s="509"/>
      <c r="N27" s="509"/>
      <c r="O27" s="509"/>
      <c r="P27" s="509"/>
      <c r="Q27" s="509"/>
      <c r="R27" s="509"/>
    </row>
    <row r="28" spans="1:28" ht="36.75" customHeight="1">
      <c r="B28" s="509" t="s">
        <v>385</v>
      </c>
      <c r="C28" s="509"/>
      <c r="D28" s="509"/>
      <c r="E28" s="509"/>
      <c r="F28" s="509"/>
      <c r="G28" s="509"/>
      <c r="H28" s="509"/>
      <c r="I28" s="509"/>
      <c r="J28" s="509"/>
      <c r="K28" s="509"/>
      <c r="L28" s="509"/>
      <c r="M28" s="509"/>
      <c r="N28" s="509"/>
      <c r="O28" s="509"/>
      <c r="P28" s="509"/>
      <c r="Q28" s="509"/>
      <c r="R28" s="509"/>
    </row>
    <row r="29" spans="1:28" s="175" customFormat="1" ht="40.5" customHeight="1">
      <c r="A29" s="174" t="s">
        <v>386</v>
      </c>
      <c r="B29" s="666" t="s">
        <v>387</v>
      </c>
      <c r="C29" s="666"/>
      <c r="D29" s="666"/>
      <c r="E29" s="666"/>
      <c r="F29" s="666"/>
      <c r="G29" s="666"/>
      <c r="H29" s="666"/>
      <c r="I29" s="666"/>
      <c r="J29" s="666"/>
      <c r="K29" s="666"/>
      <c r="L29" s="666"/>
      <c r="M29" s="666"/>
      <c r="N29" s="666"/>
      <c r="O29" s="666"/>
      <c r="P29" s="666"/>
      <c r="Q29" s="666"/>
      <c r="R29" s="666"/>
    </row>
    <row r="30" spans="1:28" s="176" customFormat="1" ht="12.75"/>
    <row r="31" spans="1:28" s="176" customFormat="1" ht="12.75"/>
    <row r="32" spans="1:28" s="176" customFormat="1" ht="12.75"/>
  </sheetData>
  <mergeCells count="37">
    <mergeCell ref="B25:R25"/>
    <mergeCell ref="B26:R26"/>
    <mergeCell ref="B27:R27"/>
    <mergeCell ref="B28:R28"/>
    <mergeCell ref="B29:R29"/>
    <mergeCell ref="B24:R24"/>
    <mergeCell ref="AB9:AB11"/>
    <mergeCell ref="G10:J10"/>
    <mergeCell ref="K10:N10"/>
    <mergeCell ref="O10:R10"/>
    <mergeCell ref="S10:V10"/>
    <mergeCell ref="W10:Z10"/>
    <mergeCell ref="AA9:AA11"/>
    <mergeCell ref="B19:R19"/>
    <mergeCell ref="B20:R20"/>
    <mergeCell ref="B21:R21"/>
    <mergeCell ref="B22:R22"/>
    <mergeCell ref="B23:R23"/>
    <mergeCell ref="A8:Z8"/>
    <mergeCell ref="A9:A11"/>
    <mergeCell ref="B9:B11"/>
    <mergeCell ref="C9:F10"/>
    <mergeCell ref="G9:Z9"/>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dimension ref="A1:AB41"/>
  <sheetViews>
    <sheetView topLeftCell="S1" workbookViewId="0">
      <selection activeCell="B25" sqref="B24:R25"/>
    </sheetView>
  </sheetViews>
  <sheetFormatPr defaultRowHeight="15"/>
  <cols>
    <col min="1" max="1" width="5" customWidth="1"/>
    <col min="2" max="2" width="26" customWidth="1"/>
    <col min="3" max="6" width="7.7109375" customWidth="1"/>
    <col min="7" max="25" width="7" customWidth="1"/>
    <col min="26" max="26" width="7.5703125" customWidth="1"/>
    <col min="257" max="257" width="5" customWidth="1"/>
    <col min="258" max="258" width="26" customWidth="1"/>
    <col min="259" max="262" width="7.7109375" customWidth="1"/>
    <col min="263" max="282" width="7" customWidth="1"/>
    <col min="513" max="513" width="5" customWidth="1"/>
    <col min="514" max="514" width="26" customWidth="1"/>
    <col min="515" max="518" width="7.7109375" customWidth="1"/>
    <col min="519" max="538" width="7" customWidth="1"/>
    <col min="769" max="769" width="5" customWidth="1"/>
    <col min="770" max="770" width="26" customWidth="1"/>
    <col min="771" max="774" width="7.7109375" customWidth="1"/>
    <col min="775" max="794" width="7" customWidth="1"/>
    <col min="1025" max="1025" width="5" customWidth="1"/>
    <col min="1026" max="1026" width="26" customWidth="1"/>
    <col min="1027" max="1030" width="7.7109375" customWidth="1"/>
    <col min="1031" max="1050" width="7" customWidth="1"/>
    <col min="1281" max="1281" width="5" customWidth="1"/>
    <col min="1282" max="1282" width="26" customWidth="1"/>
    <col min="1283" max="1286" width="7.7109375" customWidth="1"/>
    <col min="1287" max="1306" width="7" customWidth="1"/>
    <col min="1537" max="1537" width="5" customWidth="1"/>
    <col min="1538" max="1538" width="26" customWidth="1"/>
    <col min="1539" max="1542" width="7.7109375" customWidth="1"/>
    <col min="1543" max="1562" width="7" customWidth="1"/>
    <col min="1793" max="1793" width="5" customWidth="1"/>
    <col min="1794" max="1794" width="26" customWidth="1"/>
    <col min="1795" max="1798" width="7.7109375" customWidth="1"/>
    <col min="1799" max="1818" width="7" customWidth="1"/>
    <col min="2049" max="2049" width="5" customWidth="1"/>
    <col min="2050" max="2050" width="26" customWidth="1"/>
    <col min="2051" max="2054" width="7.7109375" customWidth="1"/>
    <col min="2055" max="2074" width="7" customWidth="1"/>
    <col min="2305" max="2305" width="5" customWidth="1"/>
    <col min="2306" max="2306" width="26" customWidth="1"/>
    <col min="2307" max="2310" width="7.7109375" customWidth="1"/>
    <col min="2311" max="2330" width="7" customWidth="1"/>
    <col min="2561" max="2561" width="5" customWidth="1"/>
    <col min="2562" max="2562" width="26" customWidth="1"/>
    <col min="2563" max="2566" width="7.7109375" customWidth="1"/>
    <col min="2567" max="2586" width="7" customWidth="1"/>
    <col min="2817" max="2817" width="5" customWidth="1"/>
    <col min="2818" max="2818" width="26" customWidth="1"/>
    <col min="2819" max="2822" width="7.7109375" customWidth="1"/>
    <col min="2823" max="2842" width="7" customWidth="1"/>
    <col min="3073" max="3073" width="5" customWidth="1"/>
    <col min="3074" max="3074" width="26" customWidth="1"/>
    <col min="3075" max="3078" width="7.7109375" customWidth="1"/>
    <col min="3079" max="3098" width="7" customWidth="1"/>
    <col min="3329" max="3329" width="5" customWidth="1"/>
    <col min="3330" max="3330" width="26" customWidth="1"/>
    <col min="3331" max="3334" width="7.7109375" customWidth="1"/>
    <col min="3335" max="3354" width="7" customWidth="1"/>
    <col min="3585" max="3585" width="5" customWidth="1"/>
    <col min="3586" max="3586" width="26" customWidth="1"/>
    <col min="3587" max="3590" width="7.7109375" customWidth="1"/>
    <col min="3591" max="3610" width="7" customWidth="1"/>
    <col min="3841" max="3841" width="5" customWidth="1"/>
    <col min="3842" max="3842" width="26" customWidth="1"/>
    <col min="3843" max="3846" width="7.7109375" customWidth="1"/>
    <col min="3847" max="3866" width="7" customWidth="1"/>
    <col min="4097" max="4097" width="5" customWidth="1"/>
    <col min="4098" max="4098" width="26" customWidth="1"/>
    <col min="4099" max="4102" width="7.7109375" customWidth="1"/>
    <col min="4103" max="4122" width="7" customWidth="1"/>
    <col min="4353" max="4353" width="5" customWidth="1"/>
    <col min="4354" max="4354" width="26" customWidth="1"/>
    <col min="4355" max="4358" width="7.7109375" customWidth="1"/>
    <col min="4359" max="4378" width="7" customWidth="1"/>
    <col min="4609" max="4609" width="5" customWidth="1"/>
    <col min="4610" max="4610" width="26" customWidth="1"/>
    <col min="4611" max="4614" width="7.7109375" customWidth="1"/>
    <col min="4615" max="4634" width="7" customWidth="1"/>
    <col min="4865" max="4865" width="5" customWidth="1"/>
    <col min="4866" max="4866" width="26" customWidth="1"/>
    <col min="4867" max="4870" width="7.7109375" customWidth="1"/>
    <col min="4871" max="4890" width="7" customWidth="1"/>
    <col min="5121" max="5121" width="5" customWidth="1"/>
    <col min="5122" max="5122" width="26" customWidth="1"/>
    <col min="5123" max="5126" width="7.7109375" customWidth="1"/>
    <col min="5127" max="5146" width="7" customWidth="1"/>
    <col min="5377" max="5377" width="5" customWidth="1"/>
    <col min="5378" max="5378" width="26" customWidth="1"/>
    <col min="5379" max="5382" width="7.7109375" customWidth="1"/>
    <col min="5383" max="5402" width="7" customWidth="1"/>
    <col min="5633" max="5633" width="5" customWidth="1"/>
    <col min="5634" max="5634" width="26" customWidth="1"/>
    <col min="5635" max="5638" width="7.7109375" customWidth="1"/>
    <col min="5639" max="5658" width="7" customWidth="1"/>
    <col min="5889" max="5889" width="5" customWidth="1"/>
    <col min="5890" max="5890" width="26" customWidth="1"/>
    <col min="5891" max="5894" width="7.7109375" customWidth="1"/>
    <col min="5895" max="5914" width="7" customWidth="1"/>
    <col min="6145" max="6145" width="5" customWidth="1"/>
    <col min="6146" max="6146" width="26" customWidth="1"/>
    <col min="6147" max="6150" width="7.7109375" customWidth="1"/>
    <col min="6151" max="6170" width="7" customWidth="1"/>
    <col min="6401" max="6401" width="5" customWidth="1"/>
    <col min="6402" max="6402" width="26" customWidth="1"/>
    <col min="6403" max="6406" width="7.7109375" customWidth="1"/>
    <col min="6407" max="6426" width="7" customWidth="1"/>
    <col min="6657" max="6657" width="5" customWidth="1"/>
    <col min="6658" max="6658" width="26" customWidth="1"/>
    <col min="6659" max="6662" width="7.7109375" customWidth="1"/>
    <col min="6663" max="6682" width="7" customWidth="1"/>
    <col min="6913" max="6913" width="5" customWidth="1"/>
    <col min="6914" max="6914" width="26" customWidth="1"/>
    <col min="6915" max="6918" width="7.7109375" customWidth="1"/>
    <col min="6919" max="6938" width="7" customWidth="1"/>
    <col min="7169" max="7169" width="5" customWidth="1"/>
    <col min="7170" max="7170" width="26" customWidth="1"/>
    <col min="7171" max="7174" width="7.7109375" customWidth="1"/>
    <col min="7175" max="7194" width="7" customWidth="1"/>
    <col min="7425" max="7425" width="5" customWidth="1"/>
    <col min="7426" max="7426" width="26" customWidth="1"/>
    <col min="7427" max="7430" width="7.7109375" customWidth="1"/>
    <col min="7431" max="7450" width="7" customWidth="1"/>
    <col min="7681" max="7681" width="5" customWidth="1"/>
    <col min="7682" max="7682" width="26" customWidth="1"/>
    <col min="7683" max="7686" width="7.7109375" customWidth="1"/>
    <col min="7687" max="7706" width="7" customWidth="1"/>
    <col min="7937" max="7937" width="5" customWidth="1"/>
    <col min="7938" max="7938" width="26" customWidth="1"/>
    <col min="7939" max="7942" width="7.7109375" customWidth="1"/>
    <col min="7943" max="7962" width="7" customWidth="1"/>
    <col min="8193" max="8193" width="5" customWidth="1"/>
    <col min="8194" max="8194" width="26" customWidth="1"/>
    <col min="8195" max="8198" width="7.7109375" customWidth="1"/>
    <col min="8199" max="8218" width="7" customWidth="1"/>
    <col min="8449" max="8449" width="5" customWidth="1"/>
    <col min="8450" max="8450" width="26" customWidth="1"/>
    <col min="8451" max="8454" width="7.7109375" customWidth="1"/>
    <col min="8455" max="8474" width="7" customWidth="1"/>
    <col min="8705" max="8705" width="5" customWidth="1"/>
    <col min="8706" max="8706" width="26" customWidth="1"/>
    <col min="8707" max="8710" width="7.7109375" customWidth="1"/>
    <col min="8711" max="8730" width="7" customWidth="1"/>
    <col min="8961" max="8961" width="5" customWidth="1"/>
    <col min="8962" max="8962" width="26" customWidth="1"/>
    <col min="8963" max="8966" width="7.7109375" customWidth="1"/>
    <col min="8967" max="8986" width="7" customWidth="1"/>
    <col min="9217" max="9217" width="5" customWidth="1"/>
    <col min="9218" max="9218" width="26" customWidth="1"/>
    <col min="9219" max="9222" width="7.7109375" customWidth="1"/>
    <col min="9223" max="9242" width="7" customWidth="1"/>
    <col min="9473" max="9473" width="5" customWidth="1"/>
    <col min="9474" max="9474" width="26" customWidth="1"/>
    <col min="9475" max="9478" width="7.7109375" customWidth="1"/>
    <col min="9479" max="9498" width="7" customWidth="1"/>
    <col min="9729" max="9729" width="5" customWidth="1"/>
    <col min="9730" max="9730" width="26" customWidth="1"/>
    <col min="9731" max="9734" width="7.7109375" customWidth="1"/>
    <col min="9735" max="9754" width="7" customWidth="1"/>
    <col min="9985" max="9985" width="5" customWidth="1"/>
    <col min="9986" max="9986" width="26" customWidth="1"/>
    <col min="9987" max="9990" width="7.7109375" customWidth="1"/>
    <col min="9991" max="10010" width="7" customWidth="1"/>
    <col min="10241" max="10241" width="5" customWidth="1"/>
    <col min="10242" max="10242" width="26" customWidth="1"/>
    <col min="10243" max="10246" width="7.7109375" customWidth="1"/>
    <col min="10247" max="10266" width="7" customWidth="1"/>
    <col min="10497" max="10497" width="5" customWidth="1"/>
    <col min="10498" max="10498" width="26" customWidth="1"/>
    <col min="10499" max="10502" width="7.7109375" customWidth="1"/>
    <col min="10503" max="10522" width="7" customWidth="1"/>
    <col min="10753" max="10753" width="5" customWidth="1"/>
    <col min="10754" max="10754" width="26" customWidth="1"/>
    <col min="10755" max="10758" width="7.7109375" customWidth="1"/>
    <col min="10759" max="10778" width="7" customWidth="1"/>
    <col min="11009" max="11009" width="5" customWidth="1"/>
    <col min="11010" max="11010" width="26" customWidth="1"/>
    <col min="11011" max="11014" width="7.7109375" customWidth="1"/>
    <col min="11015" max="11034" width="7" customWidth="1"/>
    <col min="11265" max="11265" width="5" customWidth="1"/>
    <col min="11266" max="11266" width="26" customWidth="1"/>
    <col min="11267" max="11270" width="7.7109375" customWidth="1"/>
    <col min="11271" max="11290" width="7" customWidth="1"/>
    <col min="11521" max="11521" width="5" customWidth="1"/>
    <col min="11522" max="11522" width="26" customWidth="1"/>
    <col min="11523" max="11526" width="7.7109375" customWidth="1"/>
    <col min="11527" max="11546" width="7" customWidth="1"/>
    <col min="11777" max="11777" width="5" customWidth="1"/>
    <col min="11778" max="11778" width="26" customWidth="1"/>
    <col min="11779" max="11782" width="7.7109375" customWidth="1"/>
    <col min="11783" max="11802" width="7" customWidth="1"/>
    <col min="12033" max="12033" width="5" customWidth="1"/>
    <col min="12034" max="12034" width="26" customWidth="1"/>
    <col min="12035" max="12038" width="7.7109375" customWidth="1"/>
    <col min="12039" max="12058" width="7" customWidth="1"/>
    <col min="12289" max="12289" width="5" customWidth="1"/>
    <col min="12290" max="12290" width="26" customWidth="1"/>
    <col min="12291" max="12294" width="7.7109375" customWidth="1"/>
    <col min="12295" max="12314" width="7" customWidth="1"/>
    <col min="12545" max="12545" width="5" customWidth="1"/>
    <col min="12546" max="12546" width="26" customWidth="1"/>
    <col min="12547" max="12550" width="7.7109375" customWidth="1"/>
    <col min="12551" max="12570" width="7" customWidth="1"/>
    <col min="12801" max="12801" width="5" customWidth="1"/>
    <col min="12802" max="12802" width="26" customWidth="1"/>
    <col min="12803" max="12806" width="7.7109375" customWidth="1"/>
    <col min="12807" max="12826" width="7" customWidth="1"/>
    <col min="13057" max="13057" width="5" customWidth="1"/>
    <col min="13058" max="13058" width="26" customWidth="1"/>
    <col min="13059" max="13062" width="7.7109375" customWidth="1"/>
    <col min="13063" max="13082" width="7" customWidth="1"/>
    <col min="13313" max="13313" width="5" customWidth="1"/>
    <col min="13314" max="13314" width="26" customWidth="1"/>
    <col min="13315" max="13318" width="7.7109375" customWidth="1"/>
    <col min="13319" max="13338" width="7" customWidth="1"/>
    <col min="13569" max="13569" width="5" customWidth="1"/>
    <col min="13570" max="13570" width="26" customWidth="1"/>
    <col min="13571" max="13574" width="7.7109375" customWidth="1"/>
    <col min="13575" max="13594" width="7" customWidth="1"/>
    <col min="13825" max="13825" width="5" customWidth="1"/>
    <col min="13826" max="13826" width="26" customWidth="1"/>
    <col min="13827" max="13830" width="7.7109375" customWidth="1"/>
    <col min="13831" max="13850" width="7" customWidth="1"/>
    <col min="14081" max="14081" width="5" customWidth="1"/>
    <col min="14082" max="14082" width="26" customWidth="1"/>
    <col min="14083" max="14086" width="7.7109375" customWidth="1"/>
    <col min="14087" max="14106" width="7" customWidth="1"/>
    <col min="14337" max="14337" width="5" customWidth="1"/>
    <col min="14338" max="14338" width="26" customWidth="1"/>
    <col min="14339" max="14342" width="7.7109375" customWidth="1"/>
    <col min="14343" max="14362" width="7" customWidth="1"/>
    <col min="14593" max="14593" width="5" customWidth="1"/>
    <col min="14594" max="14594" width="26" customWidth="1"/>
    <col min="14595" max="14598" width="7.7109375" customWidth="1"/>
    <col min="14599" max="14618" width="7" customWidth="1"/>
    <col min="14849" max="14849" width="5" customWidth="1"/>
    <col min="14850" max="14850" width="26" customWidth="1"/>
    <col min="14851" max="14854" width="7.7109375" customWidth="1"/>
    <col min="14855" max="14874" width="7" customWidth="1"/>
    <col min="15105" max="15105" width="5" customWidth="1"/>
    <col min="15106" max="15106" width="26" customWidth="1"/>
    <col min="15107" max="15110" width="7.7109375" customWidth="1"/>
    <col min="15111" max="15130" width="7" customWidth="1"/>
    <col min="15361" max="15361" width="5" customWidth="1"/>
    <col min="15362" max="15362" width="26" customWidth="1"/>
    <col min="15363" max="15366" width="7.7109375" customWidth="1"/>
    <col min="15367" max="15386" width="7" customWidth="1"/>
    <col min="15617" max="15617" width="5" customWidth="1"/>
    <col min="15618" max="15618" width="26" customWidth="1"/>
    <col min="15619" max="15622" width="7.7109375" customWidth="1"/>
    <col min="15623" max="15642" width="7" customWidth="1"/>
    <col min="15873" max="15873" width="5" customWidth="1"/>
    <col min="15874" max="15874" width="26" customWidth="1"/>
    <col min="15875" max="15878" width="7.7109375" customWidth="1"/>
    <col min="15879" max="15898" width="7" customWidth="1"/>
    <col min="16129" max="16129" width="5" customWidth="1"/>
    <col min="16130" max="16130" width="26" customWidth="1"/>
    <col min="16131" max="16134" width="7.7109375" customWidth="1"/>
    <col min="16135" max="16154" width="7" customWidth="1"/>
  </cols>
  <sheetData>
    <row r="1" spans="1:28" s="1" customFormat="1" ht="43.5" customHeight="1">
      <c r="A1" s="529" t="s">
        <v>0</v>
      </c>
      <c r="B1" s="529"/>
      <c r="C1" s="529"/>
      <c r="D1" s="529"/>
      <c r="E1" s="529"/>
      <c r="F1" s="530" t="s">
        <v>388</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81" t="s">
        <v>119</v>
      </c>
      <c r="AB3" s="584" t="s">
        <v>120</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82"/>
      <c r="AB4" s="584"/>
    </row>
    <row r="5" spans="1:28" ht="75.75" customHeight="1">
      <c r="A5" s="517"/>
      <c r="B5" s="520"/>
      <c r="C5" s="5" t="s">
        <v>14</v>
      </c>
      <c r="D5" s="5" t="s">
        <v>15</v>
      </c>
      <c r="E5" s="5" t="s">
        <v>16</v>
      </c>
      <c r="F5" s="5" t="s">
        <v>17</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83"/>
      <c r="AB5" s="584"/>
    </row>
    <row r="6" spans="1:28" ht="26.25" customHeight="1">
      <c r="A6" s="6" t="s">
        <v>20</v>
      </c>
      <c r="B6" s="6" t="s">
        <v>389</v>
      </c>
      <c r="C6" s="6">
        <v>0</v>
      </c>
      <c r="D6" s="8">
        <v>1206</v>
      </c>
      <c r="E6" s="6">
        <v>0</v>
      </c>
      <c r="F6" s="8">
        <v>1206</v>
      </c>
      <c r="G6" s="8">
        <v>240</v>
      </c>
      <c r="H6" s="8">
        <v>1220</v>
      </c>
      <c r="I6" s="8">
        <f>G6</f>
        <v>240</v>
      </c>
      <c r="J6" s="8">
        <v>1220</v>
      </c>
      <c r="K6" s="8">
        <v>480</v>
      </c>
      <c r="L6" s="8">
        <v>1250</v>
      </c>
      <c r="M6" s="8">
        <f t="shared" ref="M6:N9" si="0">K6</f>
        <v>480</v>
      </c>
      <c r="N6" s="8">
        <f t="shared" si="0"/>
        <v>1250</v>
      </c>
      <c r="O6" s="8">
        <v>650</v>
      </c>
      <c r="P6" s="8">
        <v>1300</v>
      </c>
      <c r="Q6" s="8">
        <f t="shared" ref="Q6:R9" si="1">O6</f>
        <v>650</v>
      </c>
      <c r="R6" s="8">
        <f t="shared" si="1"/>
        <v>1300</v>
      </c>
      <c r="S6" s="8">
        <v>720</v>
      </c>
      <c r="T6" s="8">
        <v>1320</v>
      </c>
      <c r="U6" s="8">
        <f t="shared" ref="U6:V10" si="2">S6</f>
        <v>720</v>
      </c>
      <c r="V6" s="8">
        <f t="shared" si="2"/>
        <v>1320</v>
      </c>
      <c r="W6" s="8">
        <v>800</v>
      </c>
      <c r="X6" s="8">
        <v>1350</v>
      </c>
      <c r="Y6" s="8">
        <f t="shared" ref="Y6:Z10" si="3">W6</f>
        <v>800</v>
      </c>
      <c r="Z6" s="8">
        <f t="shared" si="3"/>
        <v>1350</v>
      </c>
      <c r="AA6" s="337">
        <f>C6/W6</f>
        <v>0</v>
      </c>
      <c r="AB6" s="337">
        <f>W6/X6</f>
        <v>0.59259259259259256</v>
      </c>
    </row>
    <row r="7" spans="1:28" ht="38.25">
      <c r="A7" s="6" t="s">
        <v>22</v>
      </c>
      <c r="B7" s="6" t="s">
        <v>390</v>
      </c>
      <c r="C7" s="6">
        <v>0</v>
      </c>
      <c r="D7" s="8">
        <v>4000</v>
      </c>
      <c r="E7" s="6">
        <v>0</v>
      </c>
      <c r="F7" s="6">
        <v>4000</v>
      </c>
      <c r="G7" s="8">
        <v>800</v>
      </c>
      <c r="H7" s="8">
        <v>4000</v>
      </c>
      <c r="I7" s="8">
        <f>G7</f>
        <v>800</v>
      </c>
      <c r="J7" s="8">
        <f>$H$7</f>
        <v>4000</v>
      </c>
      <c r="K7" s="8">
        <v>1600</v>
      </c>
      <c r="L7" s="8">
        <v>4000</v>
      </c>
      <c r="M7" s="8">
        <f t="shared" si="0"/>
        <v>1600</v>
      </c>
      <c r="N7" s="8">
        <f t="shared" si="0"/>
        <v>4000</v>
      </c>
      <c r="O7" s="8">
        <v>2000</v>
      </c>
      <c r="P7" s="8">
        <v>4000</v>
      </c>
      <c r="Q7" s="8">
        <f t="shared" si="1"/>
        <v>2000</v>
      </c>
      <c r="R7" s="8">
        <f t="shared" si="1"/>
        <v>4000</v>
      </c>
      <c r="S7" s="8">
        <v>2200</v>
      </c>
      <c r="T7" s="8">
        <v>4000</v>
      </c>
      <c r="U7" s="8">
        <f t="shared" si="2"/>
        <v>2200</v>
      </c>
      <c r="V7" s="8">
        <f t="shared" si="2"/>
        <v>4000</v>
      </c>
      <c r="W7" s="8">
        <v>2400</v>
      </c>
      <c r="X7" s="8">
        <v>4000</v>
      </c>
      <c r="Y7" s="8">
        <f t="shared" si="3"/>
        <v>2400</v>
      </c>
      <c r="Z7" s="8">
        <f t="shared" si="3"/>
        <v>4000</v>
      </c>
      <c r="AA7" s="337">
        <f t="shared" ref="AA7:AA13" si="4">C7/W7</f>
        <v>0</v>
      </c>
      <c r="AB7" s="337">
        <f t="shared" ref="AB7:AB13" si="5">W7/X7</f>
        <v>0.6</v>
      </c>
    </row>
    <row r="8" spans="1:28" ht="25.5">
      <c r="A8" s="6" t="s">
        <v>61</v>
      </c>
      <c r="B8" s="6" t="s">
        <v>391</v>
      </c>
      <c r="C8" s="6">
        <v>0</v>
      </c>
      <c r="D8" s="129">
        <v>5207</v>
      </c>
      <c r="E8" s="6">
        <v>0</v>
      </c>
      <c r="F8" s="129">
        <v>5207</v>
      </c>
      <c r="G8" s="8">
        <v>1000</v>
      </c>
      <c r="H8" s="8">
        <v>5210</v>
      </c>
      <c r="I8" s="8">
        <f>G8</f>
        <v>1000</v>
      </c>
      <c r="J8" s="8">
        <f>H8</f>
        <v>5210</v>
      </c>
      <c r="K8" s="8">
        <v>2000</v>
      </c>
      <c r="L8" s="8">
        <f>H8</f>
        <v>5210</v>
      </c>
      <c r="M8" s="8">
        <f t="shared" si="0"/>
        <v>2000</v>
      </c>
      <c r="N8" s="8">
        <f t="shared" si="0"/>
        <v>5210</v>
      </c>
      <c r="O8" s="8">
        <v>2500</v>
      </c>
      <c r="P8" s="8">
        <f>L8</f>
        <v>5210</v>
      </c>
      <c r="Q8" s="8">
        <f t="shared" si="1"/>
        <v>2500</v>
      </c>
      <c r="R8" s="8">
        <f t="shared" si="1"/>
        <v>5210</v>
      </c>
      <c r="S8" s="8">
        <v>3000</v>
      </c>
      <c r="T8" s="8">
        <f>P8</f>
        <v>5210</v>
      </c>
      <c r="U8" s="8">
        <f t="shared" si="2"/>
        <v>3000</v>
      </c>
      <c r="V8" s="8">
        <f t="shared" si="2"/>
        <v>5210</v>
      </c>
      <c r="W8" s="8">
        <v>3500</v>
      </c>
      <c r="X8" s="8">
        <f>T8</f>
        <v>5210</v>
      </c>
      <c r="Y8" s="8">
        <f t="shared" si="3"/>
        <v>3500</v>
      </c>
      <c r="Z8" s="8">
        <f t="shared" si="3"/>
        <v>5210</v>
      </c>
      <c r="AA8" s="337">
        <f t="shared" si="4"/>
        <v>0</v>
      </c>
      <c r="AB8" s="337">
        <f t="shared" si="5"/>
        <v>0.67178502879078694</v>
      </c>
    </row>
    <row r="9" spans="1:28" ht="38.25">
      <c r="A9" s="6" t="s">
        <v>63</v>
      </c>
      <c r="B9" s="6" t="s">
        <v>392</v>
      </c>
      <c r="C9" s="6">
        <v>0</v>
      </c>
      <c r="D9" s="6">
        <v>0</v>
      </c>
      <c r="E9" s="6">
        <v>0</v>
      </c>
      <c r="F9" s="6">
        <v>0</v>
      </c>
      <c r="G9" s="8">
        <v>50</v>
      </c>
      <c r="H9" s="8">
        <v>50</v>
      </c>
      <c r="I9" s="8">
        <f>G9</f>
        <v>50</v>
      </c>
      <c r="J9" s="8">
        <f>H9</f>
        <v>50</v>
      </c>
      <c r="K9" s="8">
        <v>100</v>
      </c>
      <c r="L9" s="8">
        <v>100</v>
      </c>
      <c r="M9" s="8">
        <f t="shared" si="0"/>
        <v>100</v>
      </c>
      <c r="N9" s="8">
        <f t="shared" si="0"/>
        <v>100</v>
      </c>
      <c r="O9" s="8">
        <v>150</v>
      </c>
      <c r="P9" s="8">
        <v>150</v>
      </c>
      <c r="Q9" s="8">
        <f t="shared" si="1"/>
        <v>150</v>
      </c>
      <c r="R9" s="8">
        <f t="shared" si="1"/>
        <v>150</v>
      </c>
      <c r="S9" s="8">
        <v>200</v>
      </c>
      <c r="T9" s="8">
        <v>200</v>
      </c>
      <c r="U9" s="8">
        <f t="shared" si="2"/>
        <v>200</v>
      </c>
      <c r="V9" s="8">
        <f t="shared" si="2"/>
        <v>200</v>
      </c>
      <c r="W9" s="6">
        <v>250</v>
      </c>
      <c r="X9" s="6">
        <v>250</v>
      </c>
      <c r="Y9" s="8">
        <f t="shared" si="3"/>
        <v>250</v>
      </c>
      <c r="Z9" s="8">
        <f t="shared" si="3"/>
        <v>250</v>
      </c>
      <c r="AA9" s="337">
        <f t="shared" si="4"/>
        <v>0</v>
      </c>
      <c r="AB9" s="337">
        <f t="shared" si="5"/>
        <v>1</v>
      </c>
    </row>
    <row r="10" spans="1:28" ht="25.5">
      <c r="A10" s="6" t="s">
        <v>136</v>
      </c>
      <c r="B10" s="6" t="s">
        <v>393</v>
      </c>
      <c r="C10" s="49">
        <v>0</v>
      </c>
      <c r="D10" s="49">
        <v>0</v>
      </c>
      <c r="E10" s="49">
        <v>0</v>
      </c>
      <c r="F10" s="49">
        <v>3573</v>
      </c>
      <c r="G10" s="167">
        <f>F10/100*10</f>
        <v>357.29999999999995</v>
      </c>
      <c r="H10" s="8">
        <v>357.29999999999995</v>
      </c>
      <c r="I10" s="8">
        <f>G10</f>
        <v>357.29999999999995</v>
      </c>
      <c r="J10" s="49">
        <v>3573</v>
      </c>
      <c r="K10" s="132">
        <f>F10/100*20</f>
        <v>714.59999999999991</v>
      </c>
      <c r="L10" s="177">
        <v>714.59999999999991</v>
      </c>
      <c r="M10" s="8">
        <f>K10</f>
        <v>714.59999999999991</v>
      </c>
      <c r="N10" s="8">
        <v>3573</v>
      </c>
      <c r="O10" s="132">
        <f>F10/100*40</f>
        <v>1429.1999999999998</v>
      </c>
      <c r="P10" s="132">
        <v>1429.1999999999998</v>
      </c>
      <c r="Q10" s="8">
        <f>O10</f>
        <v>1429.1999999999998</v>
      </c>
      <c r="R10" s="8">
        <v>3573</v>
      </c>
      <c r="S10" s="132">
        <f>F10/100*50</f>
        <v>1786.4999999999998</v>
      </c>
      <c r="T10" s="132">
        <v>1786.4999999999998</v>
      </c>
      <c r="U10" s="8">
        <f t="shared" si="2"/>
        <v>1786.4999999999998</v>
      </c>
      <c r="V10" s="8">
        <v>3573</v>
      </c>
      <c r="W10" s="132">
        <f>F10/100*70</f>
        <v>2501.1</v>
      </c>
      <c r="X10" s="177">
        <v>2501</v>
      </c>
      <c r="Y10" s="8">
        <f t="shared" si="3"/>
        <v>2501.1</v>
      </c>
      <c r="Z10" s="8">
        <v>3573</v>
      </c>
      <c r="AA10" s="337">
        <f t="shared" si="4"/>
        <v>0</v>
      </c>
      <c r="AB10" s="337">
        <f t="shared" si="5"/>
        <v>1.0000399840063974</v>
      </c>
    </row>
    <row r="11" spans="1:28" ht="25.5">
      <c r="A11" s="6" t="s">
        <v>155</v>
      </c>
      <c r="B11" s="6" t="s">
        <v>394</v>
      </c>
      <c r="C11" s="6">
        <v>0</v>
      </c>
      <c r="D11" s="6">
        <v>0</v>
      </c>
      <c r="E11" s="6">
        <v>0</v>
      </c>
      <c r="F11" s="178">
        <v>304762</v>
      </c>
      <c r="G11" s="6">
        <v>1</v>
      </c>
      <c r="H11" s="8">
        <v>1</v>
      </c>
      <c r="I11" s="178">
        <f>J11/100*10</f>
        <v>35480</v>
      </c>
      <c r="J11" s="178">
        <v>354800</v>
      </c>
      <c r="K11" s="6">
        <v>1</v>
      </c>
      <c r="L11" s="6">
        <v>1</v>
      </c>
      <c r="M11" s="178">
        <f>N11/100*20</f>
        <v>80000</v>
      </c>
      <c r="N11" s="178">
        <v>400000</v>
      </c>
      <c r="O11" s="6">
        <v>1</v>
      </c>
      <c r="P11" s="6">
        <v>1</v>
      </c>
      <c r="Q11" s="178">
        <f>R11/100*30</f>
        <v>135000</v>
      </c>
      <c r="R11" s="178">
        <v>450000</v>
      </c>
      <c r="S11" s="6">
        <v>1</v>
      </c>
      <c r="T11" s="6">
        <v>1</v>
      </c>
      <c r="U11" s="178">
        <f>V11/100*35</f>
        <v>175000</v>
      </c>
      <c r="V11" s="178">
        <v>500000</v>
      </c>
      <c r="W11" s="6">
        <v>1</v>
      </c>
      <c r="X11" s="6">
        <v>1</v>
      </c>
      <c r="Y11" s="178">
        <f>Z11/100*40</f>
        <v>220000</v>
      </c>
      <c r="Z11" s="178">
        <v>550000</v>
      </c>
      <c r="AA11" s="337">
        <f t="shared" si="4"/>
        <v>0</v>
      </c>
      <c r="AB11" s="337">
        <f t="shared" si="5"/>
        <v>1</v>
      </c>
    </row>
    <row r="12" spans="1:28" ht="38.25">
      <c r="A12" s="6" t="s">
        <v>159</v>
      </c>
      <c r="B12" s="6" t="s">
        <v>395</v>
      </c>
      <c r="C12" s="6">
        <v>240</v>
      </c>
      <c r="D12" s="6">
        <v>480</v>
      </c>
      <c r="E12" s="6">
        <v>0</v>
      </c>
      <c r="F12" s="178">
        <v>304762</v>
      </c>
      <c r="G12" s="6">
        <v>250</v>
      </c>
      <c r="H12" s="8">
        <v>500</v>
      </c>
      <c r="I12" s="178">
        <f>J12/100*10</f>
        <v>35480</v>
      </c>
      <c r="J12" s="178">
        <v>354800</v>
      </c>
      <c r="K12" s="6">
        <v>300</v>
      </c>
      <c r="L12" s="6">
        <v>600</v>
      </c>
      <c r="M12" s="8">
        <f>N12/100*20</f>
        <v>80000</v>
      </c>
      <c r="N12" s="178">
        <v>400000</v>
      </c>
      <c r="O12" s="6">
        <v>400</v>
      </c>
      <c r="P12" s="6">
        <v>700</v>
      </c>
      <c r="Q12" s="178">
        <f>R12/100*30</f>
        <v>135000</v>
      </c>
      <c r="R12" s="178">
        <v>450000</v>
      </c>
      <c r="S12" s="6">
        <v>550</v>
      </c>
      <c r="T12" s="6">
        <v>800</v>
      </c>
      <c r="U12" s="178">
        <f>V12/100*35</f>
        <v>175000</v>
      </c>
      <c r="V12" s="178">
        <v>500000</v>
      </c>
      <c r="W12" s="6">
        <v>600</v>
      </c>
      <c r="X12" s="6">
        <v>800</v>
      </c>
      <c r="Y12" s="178">
        <f>Z12/100*40</f>
        <v>220000</v>
      </c>
      <c r="Z12" s="178">
        <v>550000</v>
      </c>
      <c r="AA12" s="337">
        <f t="shared" si="4"/>
        <v>0.4</v>
      </c>
      <c r="AB12" s="337">
        <f t="shared" si="5"/>
        <v>0.75</v>
      </c>
    </row>
    <row r="13" spans="1:28" ht="38.25">
      <c r="A13" s="6" t="s">
        <v>244</v>
      </c>
      <c r="B13" s="6" t="s">
        <v>396</v>
      </c>
      <c r="C13" s="6">
        <v>240</v>
      </c>
      <c r="D13" s="6">
        <v>480</v>
      </c>
      <c r="E13" s="6">
        <v>0</v>
      </c>
      <c r="F13" s="178">
        <v>304762</v>
      </c>
      <c r="G13" s="6">
        <v>250</v>
      </c>
      <c r="H13" s="8">
        <v>500</v>
      </c>
      <c r="I13" s="178">
        <f>J13/100*10</f>
        <v>35480</v>
      </c>
      <c r="J13" s="178">
        <v>354800</v>
      </c>
      <c r="K13" s="6">
        <v>300</v>
      </c>
      <c r="L13" s="6">
        <v>600</v>
      </c>
      <c r="M13" s="8">
        <f>N13/100*20</f>
        <v>80000</v>
      </c>
      <c r="N13" s="178">
        <v>400000</v>
      </c>
      <c r="O13" s="6">
        <v>400</v>
      </c>
      <c r="P13" s="6">
        <v>700</v>
      </c>
      <c r="Q13" s="178">
        <f>R13/100*30</f>
        <v>135000</v>
      </c>
      <c r="R13" s="178">
        <v>450000</v>
      </c>
      <c r="S13" s="6">
        <v>550</v>
      </c>
      <c r="T13" s="6">
        <v>800</v>
      </c>
      <c r="U13" s="178">
        <f>V13/100*35</f>
        <v>175000</v>
      </c>
      <c r="V13" s="178">
        <v>500000</v>
      </c>
      <c r="W13" s="6">
        <v>600</v>
      </c>
      <c r="X13" s="6">
        <v>800</v>
      </c>
      <c r="Y13" s="178">
        <f>Z13/100*40</f>
        <v>220000</v>
      </c>
      <c r="Z13" s="178">
        <v>550000</v>
      </c>
      <c r="AA13" s="337">
        <f t="shared" si="4"/>
        <v>0.4</v>
      </c>
      <c r="AB13" s="337">
        <f t="shared" si="5"/>
        <v>0.75</v>
      </c>
    </row>
    <row r="14" spans="1:28" ht="25.5">
      <c r="F14" s="51"/>
      <c r="Z14" s="278" t="s">
        <v>123</v>
      </c>
      <c r="AA14" s="338">
        <f>AVERAGE(AA6:AA13)</f>
        <v>0.1</v>
      </c>
      <c r="AB14" s="338">
        <f>AVERAGE(AB6:AB13)</f>
        <v>0.79555220067372212</v>
      </c>
    </row>
    <row r="15" spans="1:28">
      <c r="F15" s="51"/>
      <c r="Z15" s="157"/>
      <c r="AA15" s="157"/>
      <c r="AB15" s="157"/>
    </row>
    <row r="16" spans="1:28" ht="23.25">
      <c r="A16" s="514" t="s">
        <v>25</v>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row>
    <row r="17" spans="1:28" ht="45.75" customHeight="1">
      <c r="A17" s="515" t="s">
        <v>3</v>
      </c>
      <c r="B17" s="518" t="s">
        <v>26</v>
      </c>
      <c r="C17" s="521" t="s">
        <v>27</v>
      </c>
      <c r="D17" s="522"/>
      <c r="E17" s="522"/>
      <c r="F17" s="523"/>
      <c r="G17" s="513" t="s">
        <v>28</v>
      </c>
      <c r="H17" s="513"/>
      <c r="I17" s="513"/>
      <c r="J17" s="513"/>
      <c r="K17" s="513"/>
      <c r="L17" s="513"/>
      <c r="M17" s="513"/>
      <c r="N17" s="513"/>
      <c r="O17" s="513"/>
      <c r="P17" s="513"/>
      <c r="Q17" s="513"/>
      <c r="R17" s="513"/>
      <c r="S17" s="513"/>
      <c r="T17" s="513"/>
      <c r="U17" s="513"/>
      <c r="V17" s="513"/>
      <c r="W17" s="513"/>
      <c r="X17" s="513"/>
      <c r="Y17" s="513"/>
      <c r="Z17" s="513"/>
      <c r="AA17" s="581" t="s">
        <v>124</v>
      </c>
      <c r="AB17" s="581" t="s">
        <v>125</v>
      </c>
    </row>
    <row r="18" spans="1:28" ht="45" customHeight="1">
      <c r="A18" s="516"/>
      <c r="B18" s="519"/>
      <c r="C18" s="524"/>
      <c r="D18" s="525"/>
      <c r="E18" s="525"/>
      <c r="F18" s="526"/>
      <c r="G18" s="513" t="s">
        <v>9</v>
      </c>
      <c r="H18" s="513"/>
      <c r="I18" s="513"/>
      <c r="J18" s="513"/>
      <c r="K18" s="513" t="s">
        <v>10</v>
      </c>
      <c r="L18" s="513"/>
      <c r="M18" s="513"/>
      <c r="N18" s="513"/>
      <c r="O18" s="513" t="s">
        <v>11</v>
      </c>
      <c r="P18" s="513"/>
      <c r="Q18" s="513"/>
      <c r="R18" s="513"/>
      <c r="S18" s="513" t="s">
        <v>12</v>
      </c>
      <c r="T18" s="513"/>
      <c r="U18" s="513"/>
      <c r="V18" s="513"/>
      <c r="W18" s="513" t="s">
        <v>13</v>
      </c>
      <c r="X18" s="513"/>
      <c r="Y18" s="513"/>
      <c r="Z18" s="513"/>
      <c r="AA18" s="582"/>
      <c r="AB18" s="582"/>
    </row>
    <row r="19" spans="1:28" ht="78.75" customHeight="1">
      <c r="A19" s="517"/>
      <c r="B19" s="520"/>
      <c r="C19" s="5" t="s">
        <v>31</v>
      </c>
      <c r="D19" s="5" t="s">
        <v>32</v>
      </c>
      <c r="E19" s="5" t="s">
        <v>33</v>
      </c>
      <c r="F19" s="5" t="s">
        <v>17</v>
      </c>
      <c r="G19" s="5" t="s">
        <v>34</v>
      </c>
      <c r="H19" s="5" t="s">
        <v>32</v>
      </c>
      <c r="I19" s="5" t="s">
        <v>33</v>
      </c>
      <c r="J19" s="5" t="s">
        <v>19</v>
      </c>
      <c r="K19" s="5" t="s">
        <v>34</v>
      </c>
      <c r="L19" s="5" t="s">
        <v>32</v>
      </c>
      <c r="M19" s="5" t="s">
        <v>33</v>
      </c>
      <c r="N19" s="5" t="s">
        <v>19</v>
      </c>
      <c r="O19" s="5" t="s">
        <v>34</v>
      </c>
      <c r="P19" s="5" t="s">
        <v>32</v>
      </c>
      <c r="Q19" s="5" t="s">
        <v>33</v>
      </c>
      <c r="R19" s="5" t="s">
        <v>19</v>
      </c>
      <c r="S19" s="5" t="s">
        <v>34</v>
      </c>
      <c r="T19" s="5" t="s">
        <v>32</v>
      </c>
      <c r="U19" s="5" t="s">
        <v>33</v>
      </c>
      <c r="V19" s="5" t="s">
        <v>19</v>
      </c>
      <c r="W19" s="5" t="s">
        <v>34</v>
      </c>
      <c r="X19" s="5" t="s">
        <v>32</v>
      </c>
      <c r="Y19" s="5" t="s">
        <v>33</v>
      </c>
      <c r="Z19" s="5" t="s">
        <v>19</v>
      </c>
      <c r="AA19" s="583"/>
      <c r="AB19" s="583"/>
    </row>
    <row r="20" spans="1:28" ht="25.5">
      <c r="A20" s="6" t="s">
        <v>20</v>
      </c>
      <c r="B20" s="6" t="s">
        <v>397</v>
      </c>
      <c r="C20" s="6">
        <v>0</v>
      </c>
      <c r="D20" s="6">
        <v>0</v>
      </c>
      <c r="E20" s="6">
        <v>108</v>
      </c>
      <c r="F20" s="6">
        <v>208</v>
      </c>
      <c r="G20" s="6">
        <v>1</v>
      </c>
      <c r="H20" s="6">
        <v>1</v>
      </c>
      <c r="I20" s="6">
        <v>153</v>
      </c>
      <c r="J20" s="6">
        <v>218</v>
      </c>
      <c r="K20" s="6">
        <v>1</v>
      </c>
      <c r="L20" s="6">
        <v>1</v>
      </c>
      <c r="M20" s="6">
        <v>184</v>
      </c>
      <c r="N20" s="6">
        <v>218</v>
      </c>
      <c r="O20" s="6">
        <v>1</v>
      </c>
      <c r="P20" s="6">
        <v>1</v>
      </c>
      <c r="Q20" s="6">
        <v>190</v>
      </c>
      <c r="R20" s="6">
        <v>218</v>
      </c>
      <c r="S20" s="6">
        <v>1</v>
      </c>
      <c r="T20" s="6">
        <v>1</v>
      </c>
      <c r="U20" s="6">
        <v>190</v>
      </c>
      <c r="V20" s="6">
        <v>218</v>
      </c>
      <c r="W20" s="6">
        <v>1</v>
      </c>
      <c r="X20" s="6">
        <v>1</v>
      </c>
      <c r="Y20" s="6">
        <v>190</v>
      </c>
      <c r="Z20" s="6">
        <v>218</v>
      </c>
      <c r="AA20" s="339">
        <f t="shared" ref="AA20:AA25" si="6">C20/W20</f>
        <v>0</v>
      </c>
      <c r="AB20" s="339">
        <f t="shared" ref="AB20:AB25" si="7">W20/X20</f>
        <v>1</v>
      </c>
    </row>
    <row r="21" spans="1:28" ht="28.5">
      <c r="A21" s="6" t="s">
        <v>36</v>
      </c>
      <c r="B21" s="6" t="s">
        <v>398</v>
      </c>
      <c r="C21" s="6">
        <v>916</v>
      </c>
      <c r="D21" s="6">
        <v>8454</v>
      </c>
      <c r="E21" s="6">
        <v>92</v>
      </c>
      <c r="F21" s="6">
        <v>108</v>
      </c>
      <c r="G21" s="6">
        <v>3400</v>
      </c>
      <c r="H21" s="6">
        <v>8500</v>
      </c>
      <c r="I21" s="6">
        <v>96</v>
      </c>
      <c r="J21" s="6">
        <f>I20</f>
        <v>153</v>
      </c>
      <c r="K21" s="6">
        <v>4250</v>
      </c>
      <c r="L21" s="6">
        <v>8500</v>
      </c>
      <c r="M21" s="6">
        <v>105</v>
      </c>
      <c r="N21" s="6">
        <f>M20</f>
        <v>184</v>
      </c>
      <c r="O21" s="6">
        <v>5100</v>
      </c>
      <c r="P21" s="6">
        <v>8500</v>
      </c>
      <c r="Q21" s="6">
        <v>114</v>
      </c>
      <c r="R21" s="6">
        <f>Q20</f>
        <v>190</v>
      </c>
      <c r="S21" s="6">
        <v>6400</v>
      </c>
      <c r="T21" s="6">
        <v>8500</v>
      </c>
      <c r="U21" s="6">
        <v>124</v>
      </c>
      <c r="V21" s="6">
        <f>U20</f>
        <v>190</v>
      </c>
      <c r="W21" s="6">
        <v>7700</v>
      </c>
      <c r="X21" s="6">
        <v>8500</v>
      </c>
      <c r="Y21" s="6">
        <v>124</v>
      </c>
      <c r="Z21" s="6">
        <f>Y20</f>
        <v>190</v>
      </c>
      <c r="AA21" s="339">
        <f t="shared" si="6"/>
        <v>0.11896103896103896</v>
      </c>
      <c r="AB21" s="340">
        <f t="shared" si="7"/>
        <v>0.90588235294117647</v>
      </c>
    </row>
    <row r="22" spans="1:28" ht="25.5">
      <c r="A22" s="6" t="s">
        <v>38</v>
      </c>
      <c r="B22" s="6" t="s">
        <v>399</v>
      </c>
      <c r="C22" s="6">
        <v>0</v>
      </c>
      <c r="D22" s="6">
        <v>1</v>
      </c>
      <c r="E22" s="6">
        <v>108</v>
      </c>
      <c r="F22" s="6">
        <v>108</v>
      </c>
      <c r="G22" s="6">
        <v>1</v>
      </c>
      <c r="H22" s="6">
        <v>1</v>
      </c>
      <c r="I22" s="49">
        <v>153</v>
      </c>
      <c r="J22" s="49">
        <f>J21</f>
        <v>153</v>
      </c>
      <c r="K22" s="49">
        <v>1</v>
      </c>
      <c r="L22" s="49">
        <v>1</v>
      </c>
      <c r="M22" s="49">
        <v>184</v>
      </c>
      <c r="N22" s="49">
        <f>N21</f>
        <v>184</v>
      </c>
      <c r="O22" s="49">
        <v>1</v>
      </c>
      <c r="P22" s="49">
        <v>1</v>
      </c>
      <c r="Q22" s="49">
        <v>190</v>
      </c>
      <c r="R22" s="49">
        <f>R21</f>
        <v>190</v>
      </c>
      <c r="S22" s="49">
        <v>1</v>
      </c>
      <c r="T22" s="49">
        <v>1</v>
      </c>
      <c r="U22" s="49">
        <v>190</v>
      </c>
      <c r="V22" s="49">
        <f>V21</f>
        <v>190</v>
      </c>
      <c r="W22" s="6">
        <v>1</v>
      </c>
      <c r="X22" s="6">
        <v>1</v>
      </c>
      <c r="Y22" s="49">
        <v>190</v>
      </c>
      <c r="Z22" s="49">
        <f>Z21</f>
        <v>190</v>
      </c>
      <c r="AA22" s="339">
        <f t="shared" si="6"/>
        <v>0</v>
      </c>
      <c r="AB22" s="340">
        <f t="shared" si="7"/>
        <v>1</v>
      </c>
    </row>
    <row r="23" spans="1:28" ht="38.25">
      <c r="A23" s="6" t="s">
        <v>73</v>
      </c>
      <c r="B23" s="6" t="s">
        <v>400</v>
      </c>
      <c r="C23" s="6">
        <v>0</v>
      </c>
      <c r="D23" s="6">
        <v>598</v>
      </c>
      <c r="E23" s="6">
        <v>0</v>
      </c>
      <c r="F23" s="6">
        <v>108</v>
      </c>
      <c r="G23" s="6">
        <v>80</v>
      </c>
      <c r="H23" s="6">
        <v>450</v>
      </c>
      <c r="I23" s="6">
        <v>96</v>
      </c>
      <c r="J23" s="6">
        <v>153</v>
      </c>
      <c r="K23" s="6">
        <v>120</v>
      </c>
      <c r="L23" s="6">
        <v>430</v>
      </c>
      <c r="M23" s="6">
        <v>105</v>
      </c>
      <c r="N23" s="6">
        <v>184</v>
      </c>
      <c r="O23" s="6">
        <v>180</v>
      </c>
      <c r="P23" s="6">
        <v>400</v>
      </c>
      <c r="Q23" s="6">
        <v>114</v>
      </c>
      <c r="R23" s="6">
        <v>190</v>
      </c>
      <c r="S23" s="6">
        <v>200</v>
      </c>
      <c r="T23" s="6">
        <v>380</v>
      </c>
      <c r="U23" s="6">
        <v>124</v>
      </c>
      <c r="V23" s="6">
        <v>190</v>
      </c>
      <c r="W23" s="6">
        <v>230</v>
      </c>
      <c r="X23" s="6">
        <v>350</v>
      </c>
      <c r="Y23" s="6">
        <v>124</v>
      </c>
      <c r="Z23" s="6">
        <v>190</v>
      </c>
      <c r="AA23" s="339">
        <f t="shared" si="6"/>
        <v>0</v>
      </c>
      <c r="AB23" s="340">
        <f t="shared" si="7"/>
        <v>0.65714285714285714</v>
      </c>
    </row>
    <row r="24" spans="1:28" ht="25.5">
      <c r="A24" s="6" t="s">
        <v>75</v>
      </c>
      <c r="B24" s="6" t="s">
        <v>401</v>
      </c>
      <c r="C24" s="6">
        <v>0</v>
      </c>
      <c r="D24" s="6">
        <v>0</v>
      </c>
      <c r="E24" s="6">
        <v>92</v>
      </c>
      <c r="F24" s="6">
        <v>108</v>
      </c>
      <c r="G24" s="6">
        <v>3400</v>
      </c>
      <c r="H24" s="6">
        <v>8500</v>
      </c>
      <c r="I24" s="6">
        <v>96</v>
      </c>
      <c r="J24" s="6">
        <v>153</v>
      </c>
      <c r="K24" s="6">
        <v>4250</v>
      </c>
      <c r="L24" s="6">
        <v>8500</v>
      </c>
      <c r="M24" s="6">
        <v>105</v>
      </c>
      <c r="N24" s="6">
        <v>184</v>
      </c>
      <c r="O24" s="6">
        <v>5100</v>
      </c>
      <c r="P24" s="6">
        <v>8500</v>
      </c>
      <c r="Q24" s="6">
        <v>114</v>
      </c>
      <c r="R24" s="6">
        <v>190</v>
      </c>
      <c r="S24" s="6">
        <v>6400</v>
      </c>
      <c r="T24" s="6">
        <v>8500</v>
      </c>
      <c r="U24" s="6">
        <v>124</v>
      </c>
      <c r="V24" s="6">
        <v>190</v>
      </c>
      <c r="W24" s="6">
        <v>7700</v>
      </c>
      <c r="X24" s="6">
        <v>8500</v>
      </c>
      <c r="Y24" s="6">
        <v>124</v>
      </c>
      <c r="Z24" s="6">
        <v>190</v>
      </c>
      <c r="AA24" s="339">
        <f t="shared" si="6"/>
        <v>0</v>
      </c>
      <c r="AB24" s="340">
        <f t="shared" si="7"/>
        <v>0.90588235294117647</v>
      </c>
    </row>
    <row r="25" spans="1:28" ht="25.5">
      <c r="A25" s="6" t="s">
        <v>78</v>
      </c>
      <c r="B25" s="6" t="s">
        <v>402</v>
      </c>
      <c r="C25" s="6">
        <v>0</v>
      </c>
      <c r="D25" s="8">
        <v>0</v>
      </c>
      <c r="E25" s="6">
        <f>E20</f>
        <v>108</v>
      </c>
      <c r="F25" s="6">
        <f>F20</f>
        <v>208</v>
      </c>
      <c r="G25" s="8">
        <f>G6+G7+G8+G9+G10</f>
        <v>2447.3000000000002</v>
      </c>
      <c r="H25" s="8">
        <f>H6+H7+H8+H9+H10</f>
        <v>10837.3</v>
      </c>
      <c r="I25" s="6">
        <f>I20</f>
        <v>153</v>
      </c>
      <c r="J25" s="6">
        <f>J20</f>
        <v>218</v>
      </c>
      <c r="K25" s="8">
        <f>K6+K7+K8+K9+K10</f>
        <v>4894.6000000000004</v>
      </c>
      <c r="L25" s="8">
        <f>L6+L7+L8+L9+L10</f>
        <v>11274.6</v>
      </c>
      <c r="M25" s="6">
        <f>M20</f>
        <v>184</v>
      </c>
      <c r="N25" s="6">
        <f>N20</f>
        <v>218</v>
      </c>
      <c r="O25" s="8">
        <f>O6+O7+O8+O9+O10</f>
        <v>6729.2</v>
      </c>
      <c r="P25" s="8">
        <f>P6+P7+P8+P9+P10</f>
        <v>12089.2</v>
      </c>
      <c r="Q25" s="6">
        <f>Q20</f>
        <v>190</v>
      </c>
      <c r="R25" s="6">
        <f>R20</f>
        <v>218</v>
      </c>
      <c r="S25" s="8">
        <f>S6+S7+S8+S9+S10</f>
        <v>7906.5</v>
      </c>
      <c r="T25" s="8">
        <f>T6+T7+T8+T9+T10</f>
        <v>12516.5</v>
      </c>
      <c r="U25" s="6">
        <f>U20</f>
        <v>190</v>
      </c>
      <c r="V25" s="6">
        <f>V20</f>
        <v>218</v>
      </c>
      <c r="W25" s="8">
        <f>W6+W7+W8+W9+W10</f>
        <v>9451.1</v>
      </c>
      <c r="X25" s="8">
        <f>X6+X7+X8+X9+X10</f>
        <v>13311</v>
      </c>
      <c r="Y25" s="6">
        <f>Y20</f>
        <v>190</v>
      </c>
      <c r="Z25" s="6">
        <f>Z20</f>
        <v>218</v>
      </c>
      <c r="AA25" s="339">
        <f t="shared" si="6"/>
        <v>0</v>
      </c>
      <c r="AB25" s="340">
        <f t="shared" si="7"/>
        <v>0.7100217864923748</v>
      </c>
    </row>
    <row r="26" spans="1:28" ht="24">
      <c r="Z26" s="63" t="s">
        <v>123</v>
      </c>
      <c r="AA26" s="341">
        <f>AVERAGE(AA20:AA25)</f>
        <v>1.9826839826839828E-2</v>
      </c>
      <c r="AB26" s="341">
        <f>AVERAGE(AB20:AB25)</f>
        <v>0.86315489158626413</v>
      </c>
    </row>
    <row r="27" spans="1:28">
      <c r="A27" s="9"/>
      <c r="B27" s="9" t="s">
        <v>40</v>
      </c>
    </row>
    <row r="29" spans="1:28" ht="31.5" customHeight="1">
      <c r="A29" s="10" t="s">
        <v>41</v>
      </c>
      <c r="B29" s="509" t="s">
        <v>42</v>
      </c>
      <c r="C29" s="509"/>
      <c r="D29" s="509"/>
      <c r="E29" s="509"/>
      <c r="F29" s="509"/>
      <c r="G29" s="509"/>
      <c r="H29" s="509"/>
      <c r="I29" s="509"/>
      <c r="J29" s="509"/>
      <c r="K29" s="509"/>
      <c r="L29" s="509"/>
      <c r="M29" s="509"/>
      <c r="N29" s="509"/>
      <c r="O29" s="509"/>
      <c r="P29" s="509"/>
      <c r="Q29" s="509"/>
      <c r="R29" s="509"/>
    </row>
    <row r="30" spans="1:28" ht="31.5" customHeight="1">
      <c r="A30" s="10" t="s">
        <v>43</v>
      </c>
      <c r="B30" s="509" t="s">
        <v>44</v>
      </c>
      <c r="C30" s="509"/>
      <c r="D30" s="509"/>
      <c r="E30" s="509"/>
      <c r="F30" s="509"/>
      <c r="G30" s="509"/>
      <c r="H30" s="509"/>
      <c r="I30" s="509"/>
      <c r="J30" s="509"/>
      <c r="K30" s="509"/>
      <c r="L30" s="509"/>
      <c r="M30" s="509"/>
      <c r="N30" s="509"/>
      <c r="O30" s="509"/>
      <c r="P30" s="509"/>
      <c r="Q30" s="509"/>
      <c r="R30" s="509"/>
    </row>
    <row r="31" spans="1:28" ht="31.5" customHeight="1">
      <c r="B31" s="509" t="s">
        <v>45</v>
      </c>
      <c r="C31" s="509"/>
      <c r="D31" s="509"/>
      <c r="E31" s="509"/>
      <c r="F31" s="509"/>
      <c r="G31" s="509"/>
      <c r="H31" s="509"/>
      <c r="I31" s="509"/>
      <c r="J31" s="509"/>
      <c r="K31" s="509"/>
      <c r="L31" s="509"/>
      <c r="M31" s="509"/>
      <c r="N31" s="509"/>
      <c r="O31" s="509"/>
      <c r="P31" s="509"/>
      <c r="Q31" s="509"/>
      <c r="R31" s="509"/>
    </row>
    <row r="32" spans="1:28" ht="31.5" customHeight="1">
      <c r="B32" s="509" t="s">
        <v>46</v>
      </c>
      <c r="C32" s="509"/>
      <c r="D32" s="509"/>
      <c r="E32" s="509"/>
      <c r="F32" s="509"/>
      <c r="G32" s="509"/>
      <c r="H32" s="509"/>
      <c r="I32" s="509"/>
      <c r="J32" s="509"/>
      <c r="K32" s="509"/>
      <c r="L32" s="509"/>
      <c r="M32" s="509"/>
      <c r="N32" s="509"/>
      <c r="O32" s="509"/>
      <c r="P32" s="509"/>
      <c r="Q32" s="509"/>
      <c r="R32" s="509"/>
    </row>
    <row r="33" spans="2:18" ht="31.5" customHeight="1">
      <c r="B33" s="509" t="s">
        <v>47</v>
      </c>
      <c r="C33" s="509"/>
      <c r="D33" s="509"/>
      <c r="E33" s="509"/>
      <c r="F33" s="509"/>
      <c r="G33" s="509"/>
      <c r="H33" s="509"/>
      <c r="I33" s="509"/>
      <c r="J33" s="509"/>
      <c r="K33" s="509"/>
      <c r="L33" s="509"/>
      <c r="M33" s="509"/>
      <c r="N33" s="509"/>
      <c r="O33" s="509"/>
      <c r="P33" s="509"/>
      <c r="Q33" s="509"/>
      <c r="R33" s="509"/>
    </row>
    <row r="34" spans="2:18" ht="31.5" customHeight="1">
      <c r="B34" s="509" t="s">
        <v>48</v>
      </c>
      <c r="C34" s="509"/>
      <c r="D34" s="509"/>
      <c r="E34" s="509"/>
      <c r="F34" s="509"/>
      <c r="G34" s="509"/>
      <c r="H34" s="509"/>
      <c r="I34" s="509"/>
      <c r="J34" s="509"/>
      <c r="K34" s="509"/>
      <c r="L34" s="509"/>
      <c r="M34" s="509"/>
      <c r="N34" s="509"/>
      <c r="O34" s="509"/>
      <c r="P34" s="509"/>
      <c r="Q34" s="509"/>
      <c r="R34" s="509"/>
    </row>
    <row r="35" spans="2:18" ht="73.5" customHeight="1">
      <c r="B35" s="509" t="s">
        <v>49</v>
      </c>
      <c r="C35" s="509"/>
      <c r="D35" s="509"/>
      <c r="E35" s="509"/>
      <c r="F35" s="509"/>
      <c r="G35" s="509"/>
      <c r="H35" s="509"/>
      <c r="I35" s="509"/>
      <c r="J35" s="509"/>
      <c r="K35" s="509"/>
      <c r="L35" s="509"/>
      <c r="M35" s="509"/>
      <c r="N35" s="509"/>
      <c r="O35" s="509"/>
      <c r="P35" s="509"/>
      <c r="Q35" s="509"/>
      <c r="R35" s="509"/>
    </row>
    <row r="36" spans="2:18" ht="39" customHeight="1">
      <c r="B36" s="509" t="s">
        <v>50</v>
      </c>
      <c r="C36" s="509"/>
      <c r="D36" s="509"/>
      <c r="E36" s="509"/>
      <c r="F36" s="509"/>
      <c r="G36" s="509"/>
      <c r="H36" s="509"/>
      <c r="I36" s="509"/>
      <c r="J36" s="509"/>
      <c r="K36" s="509"/>
      <c r="L36" s="509"/>
      <c r="M36" s="509"/>
      <c r="N36" s="509"/>
      <c r="O36" s="509"/>
      <c r="P36" s="509"/>
      <c r="Q36" s="509"/>
      <c r="R36" s="509"/>
    </row>
    <row r="37" spans="2:18">
      <c r="B37" s="11"/>
    </row>
    <row r="38" spans="2:18">
      <c r="B38" s="11"/>
    </row>
    <row r="40" spans="2:18">
      <c r="B40" s="11"/>
    </row>
    <row r="41" spans="2:18">
      <c r="B41" s="11"/>
    </row>
  </sheetData>
  <mergeCells count="34">
    <mergeCell ref="B35:R35"/>
    <mergeCell ref="B36:R36"/>
    <mergeCell ref="B29:R29"/>
    <mergeCell ref="B30:R30"/>
    <mergeCell ref="B31:R31"/>
    <mergeCell ref="B32:R32"/>
    <mergeCell ref="B33:R33"/>
    <mergeCell ref="B34:R34"/>
    <mergeCell ref="AB17:AB19"/>
    <mergeCell ref="G18:J18"/>
    <mergeCell ref="K18:N18"/>
    <mergeCell ref="O18:R18"/>
    <mergeCell ref="S18:V18"/>
    <mergeCell ref="W18:Z18"/>
    <mergeCell ref="AA17:AA19"/>
    <mergeCell ref="A16:Z16"/>
    <mergeCell ref="A17:A19"/>
    <mergeCell ref="B17:B19"/>
    <mergeCell ref="C17:F18"/>
    <mergeCell ref="G17:Z17"/>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dimension ref="A1:AB33"/>
  <sheetViews>
    <sheetView topLeftCell="I1" workbookViewId="0">
      <selection activeCell="B25" sqref="B24:R25"/>
    </sheetView>
  </sheetViews>
  <sheetFormatPr defaultRowHeight="15"/>
  <cols>
    <col min="1" max="1" width="5" customWidth="1"/>
    <col min="2" max="2" width="19.140625" customWidth="1"/>
    <col min="3" max="6" width="7.7109375" customWidth="1"/>
    <col min="7" max="26" width="8.42578125" customWidth="1"/>
  </cols>
  <sheetData>
    <row r="1" spans="1:28" s="1" customFormat="1" ht="46.5" customHeight="1">
      <c r="A1" s="529" t="s">
        <v>0</v>
      </c>
      <c r="B1" s="529"/>
      <c r="C1" s="529"/>
      <c r="D1" s="529"/>
      <c r="E1" s="529"/>
      <c r="F1" s="530" t="s">
        <v>403</v>
      </c>
      <c r="G1" s="530"/>
      <c r="H1" s="530"/>
      <c r="I1" s="530"/>
      <c r="J1" s="530"/>
      <c r="K1" s="530"/>
      <c r="L1" s="530"/>
      <c r="M1" s="530"/>
      <c r="N1" s="530"/>
      <c r="O1" s="530"/>
      <c r="P1" s="530"/>
      <c r="Q1" s="530"/>
      <c r="R1" s="530"/>
    </row>
    <row r="2" spans="1:28" ht="27.7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52</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120</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28"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3"/>
      <c r="AB5" s="513"/>
    </row>
    <row r="6" spans="1:28" ht="51">
      <c r="A6" s="41" t="s">
        <v>20</v>
      </c>
      <c r="B6" s="6" t="s">
        <v>404</v>
      </c>
      <c r="C6" s="342">
        <v>0</v>
      </c>
      <c r="D6" s="342">
        <v>0</v>
      </c>
      <c r="E6" s="342">
        <v>0</v>
      </c>
      <c r="F6" s="342">
        <v>0</v>
      </c>
      <c r="G6" s="342">
        <v>5000</v>
      </c>
      <c r="H6" s="342">
        <v>5000</v>
      </c>
      <c r="I6" s="342">
        <v>5000</v>
      </c>
      <c r="J6" s="342">
        <v>5000</v>
      </c>
      <c r="K6" s="342">
        <v>10000</v>
      </c>
      <c r="L6" s="342">
        <v>10000</v>
      </c>
      <c r="M6" s="342">
        <v>10000</v>
      </c>
      <c r="N6" s="342">
        <v>10000</v>
      </c>
      <c r="O6" s="342">
        <v>20000</v>
      </c>
      <c r="P6" s="342">
        <v>20000</v>
      </c>
      <c r="Q6" s="342">
        <v>20000</v>
      </c>
      <c r="R6" s="342">
        <v>20000</v>
      </c>
      <c r="S6" s="342">
        <v>30000</v>
      </c>
      <c r="T6" s="342">
        <v>30000</v>
      </c>
      <c r="U6" s="342">
        <v>30000</v>
      </c>
      <c r="V6" s="342">
        <v>30000</v>
      </c>
      <c r="W6" s="342">
        <v>40000</v>
      </c>
      <c r="X6" s="342">
        <v>40000</v>
      </c>
      <c r="Y6" s="342">
        <v>40000</v>
      </c>
      <c r="Z6" s="342">
        <v>40000</v>
      </c>
      <c r="AA6" s="350">
        <f>C6/W6</f>
        <v>0</v>
      </c>
      <c r="AB6" s="350">
        <f>W6/X6</f>
        <v>1</v>
      </c>
    </row>
    <row r="7" spans="1:28" ht="26.25">
      <c r="A7" s="291"/>
      <c r="B7" s="291"/>
      <c r="C7" s="291"/>
      <c r="D7" s="291"/>
      <c r="E7" s="291"/>
      <c r="F7" s="291"/>
      <c r="G7" s="291"/>
      <c r="H7" s="291"/>
      <c r="I7" s="291"/>
      <c r="J7" s="291"/>
      <c r="K7" s="291"/>
      <c r="L7" s="291"/>
      <c r="M7" s="291"/>
      <c r="N7" s="291"/>
      <c r="O7" s="291"/>
      <c r="P7" s="291"/>
      <c r="Q7" s="291"/>
      <c r="R7" s="291"/>
      <c r="S7" s="291"/>
      <c r="T7" s="291"/>
      <c r="U7" s="291"/>
      <c r="V7" s="291"/>
      <c r="W7" s="291"/>
      <c r="X7" s="291"/>
      <c r="Y7" s="291"/>
      <c r="Z7" s="212" t="s">
        <v>123</v>
      </c>
      <c r="AA7" s="350">
        <f>AVERAGE(AA6)</f>
        <v>0</v>
      </c>
      <c r="AB7" s="350">
        <f>AVERAGE(AB6)</f>
        <v>1</v>
      </c>
    </row>
    <row r="8" spans="1:28" ht="23.25">
      <c r="A8" s="514" t="s">
        <v>25</v>
      </c>
      <c r="B8" s="514"/>
      <c r="C8" s="514"/>
      <c r="D8" s="514"/>
      <c r="E8" s="514"/>
      <c r="F8" s="514"/>
      <c r="G8" s="514"/>
      <c r="H8" s="514"/>
      <c r="I8" s="514"/>
      <c r="J8" s="514"/>
      <c r="K8" s="514"/>
      <c r="L8" s="514"/>
      <c r="M8" s="514"/>
      <c r="N8" s="514"/>
      <c r="O8" s="514"/>
      <c r="P8" s="514"/>
      <c r="Q8" s="514"/>
      <c r="R8" s="514"/>
      <c r="S8" s="514"/>
      <c r="T8" s="514"/>
      <c r="U8" s="514"/>
      <c r="V8" s="514"/>
      <c r="W8" s="514"/>
      <c r="X8" s="514"/>
      <c r="Y8" s="514"/>
      <c r="Z8" s="514"/>
    </row>
    <row r="9" spans="1:28" s="157" customFormat="1" ht="45.75" customHeight="1">
      <c r="A9" s="515" t="s">
        <v>3</v>
      </c>
      <c r="B9" s="518" t="s">
        <v>26</v>
      </c>
      <c r="C9" s="521" t="s">
        <v>139</v>
      </c>
      <c r="D9" s="522"/>
      <c r="E9" s="522"/>
      <c r="F9" s="523"/>
      <c r="G9" s="513" t="s">
        <v>28</v>
      </c>
      <c r="H9" s="513"/>
      <c r="I9" s="513"/>
      <c r="J9" s="513"/>
      <c r="K9" s="513"/>
      <c r="L9" s="513"/>
      <c r="M9" s="513"/>
      <c r="N9" s="513"/>
      <c r="O9" s="513"/>
      <c r="P9" s="513"/>
      <c r="Q9" s="513"/>
      <c r="R9" s="513"/>
      <c r="S9" s="513"/>
      <c r="T9" s="513"/>
      <c r="U9" s="513"/>
      <c r="V9" s="513"/>
      <c r="W9" s="513"/>
      <c r="X9" s="513"/>
      <c r="Y9" s="513"/>
      <c r="Z9" s="513"/>
      <c r="AA9" s="513" t="s">
        <v>124</v>
      </c>
      <c r="AB9" s="513" t="s">
        <v>125</v>
      </c>
    </row>
    <row r="10" spans="1:28" s="157" customFormat="1" ht="45" customHeight="1">
      <c r="A10" s="516"/>
      <c r="B10" s="519"/>
      <c r="C10" s="524"/>
      <c r="D10" s="525"/>
      <c r="E10" s="525"/>
      <c r="F10" s="526"/>
      <c r="G10" s="513" t="s">
        <v>9</v>
      </c>
      <c r="H10" s="513"/>
      <c r="I10" s="513"/>
      <c r="J10" s="513"/>
      <c r="K10" s="513" t="s">
        <v>10</v>
      </c>
      <c r="L10" s="513"/>
      <c r="M10" s="513"/>
      <c r="N10" s="513"/>
      <c r="O10" s="513" t="s">
        <v>11</v>
      </c>
      <c r="P10" s="513"/>
      <c r="Q10" s="513"/>
      <c r="R10" s="513"/>
      <c r="S10" s="513" t="s">
        <v>12</v>
      </c>
      <c r="T10" s="513"/>
      <c r="U10" s="513"/>
      <c r="V10" s="513"/>
      <c r="W10" s="513" t="s">
        <v>13</v>
      </c>
      <c r="X10" s="513"/>
      <c r="Y10" s="513"/>
      <c r="Z10" s="513"/>
      <c r="AA10" s="513" t="s">
        <v>124</v>
      </c>
      <c r="AB10" s="513" t="s">
        <v>125</v>
      </c>
    </row>
    <row r="11" spans="1:28" s="157" customFormat="1" ht="78.75" customHeight="1">
      <c r="A11" s="517"/>
      <c r="B11" s="520"/>
      <c r="C11" s="5" t="s">
        <v>140</v>
      </c>
      <c r="D11" s="5" t="s">
        <v>32</v>
      </c>
      <c r="E11" s="5" t="s">
        <v>33</v>
      </c>
      <c r="F11" s="5" t="s">
        <v>131</v>
      </c>
      <c r="G11" s="5" t="s">
        <v>34</v>
      </c>
      <c r="H11" s="5" t="s">
        <v>32</v>
      </c>
      <c r="I11" s="5" t="s">
        <v>33</v>
      </c>
      <c r="J11" s="5" t="s">
        <v>19</v>
      </c>
      <c r="K11" s="5" t="s">
        <v>34</v>
      </c>
      <c r="L11" s="5" t="s">
        <v>32</v>
      </c>
      <c r="M11" s="5" t="s">
        <v>33</v>
      </c>
      <c r="N11" s="5" t="s">
        <v>19</v>
      </c>
      <c r="O11" s="5" t="s">
        <v>34</v>
      </c>
      <c r="P11" s="5" t="s">
        <v>32</v>
      </c>
      <c r="Q11" s="5" t="s">
        <v>33</v>
      </c>
      <c r="R11" s="5" t="s">
        <v>19</v>
      </c>
      <c r="S11" s="5" t="s">
        <v>34</v>
      </c>
      <c r="T11" s="5" t="s">
        <v>32</v>
      </c>
      <c r="U11" s="5" t="s">
        <v>33</v>
      </c>
      <c r="V11" s="5" t="s">
        <v>19</v>
      </c>
      <c r="W11" s="5" t="s">
        <v>34</v>
      </c>
      <c r="X11" s="5" t="s">
        <v>32</v>
      </c>
      <c r="Y11" s="5" t="s">
        <v>33</v>
      </c>
      <c r="Z11" s="5" t="s">
        <v>19</v>
      </c>
      <c r="AA11" s="513" t="s">
        <v>124</v>
      </c>
      <c r="AB11" s="513" t="s">
        <v>125</v>
      </c>
    </row>
    <row r="12" spans="1:28" s="157" customFormat="1" ht="38.25">
      <c r="A12" s="343" t="s">
        <v>20</v>
      </c>
      <c r="B12" s="344" t="s">
        <v>405</v>
      </c>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19"/>
      <c r="AB12" s="319"/>
    </row>
    <row r="13" spans="1:28" s="157" customFormat="1" ht="38.25">
      <c r="A13" s="346" t="s">
        <v>36</v>
      </c>
      <c r="B13" s="6" t="s">
        <v>406</v>
      </c>
      <c r="C13" s="342">
        <v>0</v>
      </c>
      <c r="D13" s="342">
        <v>0</v>
      </c>
      <c r="E13" s="342">
        <v>0</v>
      </c>
      <c r="F13" s="342">
        <v>0</v>
      </c>
      <c r="G13" s="342">
        <v>1000000</v>
      </c>
      <c r="H13" s="342">
        <v>1000000</v>
      </c>
      <c r="I13" s="342">
        <v>1000000</v>
      </c>
      <c r="J13" s="342">
        <v>1000000</v>
      </c>
      <c r="K13" s="342">
        <v>2000000</v>
      </c>
      <c r="L13" s="342">
        <v>2000000</v>
      </c>
      <c r="M13" s="342">
        <v>2000000</v>
      </c>
      <c r="N13" s="342">
        <v>2000000</v>
      </c>
      <c r="O13" s="342">
        <v>5000000</v>
      </c>
      <c r="P13" s="342">
        <v>5000000</v>
      </c>
      <c r="Q13" s="342">
        <v>5000000</v>
      </c>
      <c r="R13" s="342">
        <v>5000000</v>
      </c>
      <c r="S13" s="342">
        <v>6000000</v>
      </c>
      <c r="T13" s="342">
        <v>6000000</v>
      </c>
      <c r="U13" s="342">
        <v>6000000</v>
      </c>
      <c r="V13" s="342">
        <v>7800000</v>
      </c>
      <c r="W13" s="342">
        <v>7800000</v>
      </c>
      <c r="X13" s="342">
        <v>7800000</v>
      </c>
      <c r="Y13" s="342">
        <v>7800000</v>
      </c>
      <c r="Z13" s="342">
        <v>7800000</v>
      </c>
      <c r="AA13" s="350">
        <f>C13/W13</f>
        <v>0</v>
      </c>
      <c r="AB13" s="350">
        <f>W13/X13</f>
        <v>1</v>
      </c>
    </row>
    <row r="14" spans="1:28" s="157" customFormat="1" ht="25.5">
      <c r="A14" s="346" t="s">
        <v>38</v>
      </c>
      <c r="B14" s="6" t="s">
        <v>407</v>
      </c>
      <c r="C14" s="342">
        <v>0</v>
      </c>
      <c r="D14" s="342">
        <v>0</v>
      </c>
      <c r="E14" s="342">
        <v>0</v>
      </c>
      <c r="F14" s="342">
        <v>0</v>
      </c>
      <c r="G14" s="342">
        <v>15</v>
      </c>
      <c r="H14" s="342">
        <v>15</v>
      </c>
      <c r="I14" s="342">
        <v>15</v>
      </c>
      <c r="J14" s="342">
        <v>15</v>
      </c>
      <c r="K14" s="342">
        <v>35</v>
      </c>
      <c r="L14" s="342">
        <v>35</v>
      </c>
      <c r="M14" s="342">
        <v>35</v>
      </c>
      <c r="N14" s="342">
        <v>35</v>
      </c>
      <c r="O14" s="342">
        <v>170</v>
      </c>
      <c r="P14" s="342">
        <v>170</v>
      </c>
      <c r="Q14" s="342">
        <v>170</v>
      </c>
      <c r="R14" s="342">
        <v>170</v>
      </c>
      <c r="S14" s="342">
        <v>200</v>
      </c>
      <c r="T14" s="342">
        <v>200</v>
      </c>
      <c r="U14" s="342">
        <v>200</v>
      </c>
      <c r="V14" s="342">
        <v>200</v>
      </c>
      <c r="W14" s="342">
        <v>250</v>
      </c>
      <c r="X14" s="342">
        <v>250</v>
      </c>
      <c r="Y14" s="342">
        <v>250</v>
      </c>
      <c r="Z14" s="342">
        <v>250</v>
      </c>
      <c r="AA14" s="350">
        <f>C14/W14</f>
        <v>0</v>
      </c>
      <c r="AB14" s="350">
        <f>W14/X14</f>
        <v>1</v>
      </c>
    </row>
    <row r="15" spans="1:28" s="157" customFormat="1" ht="82.5" customHeight="1">
      <c r="A15" s="343" t="s">
        <v>22</v>
      </c>
      <c r="B15" s="343" t="s">
        <v>408</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54"/>
      <c r="AB15" s="54"/>
    </row>
    <row r="16" spans="1:28" s="157" customFormat="1" ht="25.5">
      <c r="A16" s="346" t="s">
        <v>144</v>
      </c>
      <c r="B16" s="6" t="s">
        <v>409</v>
      </c>
      <c r="C16" s="342">
        <v>0</v>
      </c>
      <c r="D16" s="342">
        <v>0</v>
      </c>
      <c r="E16" s="342">
        <v>0</v>
      </c>
      <c r="F16" s="342">
        <v>0</v>
      </c>
      <c r="G16" s="347">
        <v>50000</v>
      </c>
      <c r="H16" s="347">
        <v>50000</v>
      </c>
      <c r="I16" s="347">
        <v>50000</v>
      </c>
      <c r="J16" s="347">
        <v>50000</v>
      </c>
      <c r="K16" s="347">
        <v>150000</v>
      </c>
      <c r="L16" s="347">
        <v>150000</v>
      </c>
      <c r="M16" s="347">
        <v>150000</v>
      </c>
      <c r="N16" s="347">
        <v>150000</v>
      </c>
      <c r="O16" s="347">
        <v>350000</v>
      </c>
      <c r="P16" s="347">
        <v>350000</v>
      </c>
      <c r="Q16" s="347">
        <v>350000</v>
      </c>
      <c r="R16" s="347">
        <v>350000</v>
      </c>
      <c r="S16" s="347">
        <v>500000</v>
      </c>
      <c r="T16" s="347">
        <v>500000</v>
      </c>
      <c r="U16" s="347">
        <v>500000</v>
      </c>
      <c r="V16" s="347">
        <v>500000</v>
      </c>
      <c r="W16" s="347">
        <v>600000</v>
      </c>
      <c r="X16" s="347">
        <v>600000</v>
      </c>
      <c r="Y16" s="347">
        <v>600000</v>
      </c>
      <c r="Z16" s="347">
        <v>600000</v>
      </c>
      <c r="AA16" s="350">
        <f>C16/W16</f>
        <v>0</v>
      </c>
      <c r="AB16" s="350">
        <f>W16/X16</f>
        <v>1</v>
      </c>
    </row>
    <row r="17" spans="1:28" s="157" customFormat="1" ht="51">
      <c r="A17" s="346" t="s">
        <v>318</v>
      </c>
      <c r="B17" s="6" t="s">
        <v>410</v>
      </c>
      <c r="C17" s="342">
        <v>0</v>
      </c>
      <c r="D17" s="342">
        <v>0</v>
      </c>
      <c r="E17" s="342">
        <v>0</v>
      </c>
      <c r="F17" s="342">
        <v>0</v>
      </c>
      <c r="G17" s="342">
        <v>5</v>
      </c>
      <c r="H17" s="342">
        <v>5</v>
      </c>
      <c r="I17" s="342">
        <v>5</v>
      </c>
      <c r="J17" s="342">
        <v>5</v>
      </c>
      <c r="K17" s="342">
        <v>15</v>
      </c>
      <c r="L17" s="342">
        <v>15</v>
      </c>
      <c r="M17" s="342">
        <v>15</v>
      </c>
      <c r="N17" s="342">
        <v>15</v>
      </c>
      <c r="O17" s="342">
        <v>35</v>
      </c>
      <c r="P17" s="342">
        <v>35</v>
      </c>
      <c r="Q17" s="342">
        <v>35</v>
      </c>
      <c r="R17" s="342">
        <v>35</v>
      </c>
      <c r="S17" s="342">
        <v>50</v>
      </c>
      <c r="T17" s="342">
        <v>50</v>
      </c>
      <c r="U17" s="342">
        <v>50</v>
      </c>
      <c r="V17" s="342">
        <v>50</v>
      </c>
      <c r="W17" s="342">
        <v>60</v>
      </c>
      <c r="X17" s="342">
        <v>60</v>
      </c>
      <c r="Y17" s="342">
        <v>60</v>
      </c>
      <c r="Z17" s="342">
        <v>60</v>
      </c>
      <c r="AA17" s="350">
        <f>C17/W17</f>
        <v>0</v>
      </c>
      <c r="AB17" s="350">
        <f>W17/X17</f>
        <v>1</v>
      </c>
    </row>
    <row r="18" spans="1:28" s="157" customFormat="1" ht="26.25">
      <c r="A18" s="7"/>
      <c r="B18" s="7"/>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212" t="s">
        <v>123</v>
      </c>
      <c r="AA18" s="413">
        <f>AVERAGE(AA13:AA14,AA16:AA17)</f>
        <v>0</v>
      </c>
      <c r="AB18" s="413">
        <f>AVERAGE(AB13:AB14,AB16:AB17)</f>
        <v>1</v>
      </c>
    </row>
    <row r="20" spans="1:28">
      <c r="A20" s="9"/>
      <c r="B20" s="9" t="s">
        <v>40</v>
      </c>
    </row>
    <row r="22" spans="1:28" ht="31.5" customHeight="1">
      <c r="A22" s="10" t="s">
        <v>41</v>
      </c>
      <c r="B22" s="509" t="s">
        <v>42</v>
      </c>
      <c r="C22" s="509"/>
      <c r="D22" s="509"/>
      <c r="E22" s="509"/>
      <c r="F22" s="509"/>
      <c r="G22" s="509"/>
      <c r="H22" s="509"/>
      <c r="I22" s="509"/>
      <c r="J22" s="509"/>
      <c r="K22" s="509"/>
      <c r="L22" s="509"/>
      <c r="M22" s="509"/>
      <c r="N22" s="509"/>
      <c r="O22" s="509"/>
      <c r="P22" s="509"/>
      <c r="Q22" s="509"/>
      <c r="R22" s="509"/>
    </row>
    <row r="23" spans="1:28" ht="31.5" customHeight="1">
      <c r="A23" s="10" t="s">
        <v>43</v>
      </c>
      <c r="B23" s="509" t="s">
        <v>44</v>
      </c>
      <c r="C23" s="509"/>
      <c r="D23" s="509"/>
      <c r="E23" s="509"/>
      <c r="F23" s="509"/>
      <c r="G23" s="509"/>
      <c r="H23" s="509"/>
      <c r="I23" s="509"/>
      <c r="J23" s="509"/>
      <c r="K23" s="509"/>
      <c r="L23" s="509"/>
      <c r="M23" s="509"/>
      <c r="N23" s="509"/>
      <c r="O23" s="509"/>
      <c r="P23" s="509"/>
      <c r="Q23" s="509"/>
      <c r="R23" s="509"/>
    </row>
    <row r="24" spans="1:28" ht="31.5" customHeight="1">
      <c r="B24" s="509" t="s">
        <v>164</v>
      </c>
      <c r="C24" s="509"/>
      <c r="D24" s="509"/>
      <c r="E24" s="509"/>
      <c r="F24" s="509"/>
      <c r="G24" s="509"/>
      <c r="H24" s="509"/>
      <c r="I24" s="509"/>
      <c r="J24" s="509"/>
      <c r="K24" s="509"/>
      <c r="L24" s="509"/>
      <c r="M24" s="509"/>
      <c r="N24" s="509"/>
      <c r="O24" s="509"/>
      <c r="P24" s="509"/>
      <c r="Q24" s="509"/>
      <c r="R24" s="509"/>
    </row>
    <row r="25" spans="1:28" ht="31.5" customHeight="1">
      <c r="B25" s="509" t="s">
        <v>165</v>
      </c>
      <c r="C25" s="509"/>
      <c r="D25" s="509"/>
      <c r="E25" s="509"/>
      <c r="F25" s="509"/>
      <c r="G25" s="509"/>
      <c r="H25" s="509"/>
      <c r="I25" s="509"/>
      <c r="J25" s="509"/>
      <c r="K25" s="509"/>
      <c r="L25" s="509"/>
      <c r="M25" s="509"/>
      <c r="N25" s="509"/>
      <c r="O25" s="509"/>
      <c r="P25" s="509"/>
      <c r="Q25" s="509"/>
      <c r="R25" s="509"/>
    </row>
    <row r="26" spans="1:28" ht="31.5" customHeight="1">
      <c r="B26" s="509" t="s">
        <v>166</v>
      </c>
      <c r="C26" s="509"/>
      <c r="D26" s="509"/>
      <c r="E26" s="509"/>
      <c r="F26" s="509"/>
      <c r="G26" s="509"/>
      <c r="H26" s="509"/>
      <c r="I26" s="509"/>
      <c r="J26" s="509"/>
      <c r="K26" s="509"/>
      <c r="L26" s="509"/>
      <c r="M26" s="509"/>
      <c r="N26" s="509"/>
      <c r="O26" s="509"/>
      <c r="P26" s="509"/>
      <c r="Q26" s="509"/>
      <c r="R26" s="509"/>
    </row>
    <row r="27" spans="1:28" ht="31.5" customHeight="1">
      <c r="B27" s="509" t="s">
        <v>167</v>
      </c>
      <c r="C27" s="509"/>
      <c r="D27" s="509"/>
      <c r="E27" s="509"/>
      <c r="F27" s="509"/>
      <c r="G27" s="509"/>
      <c r="H27" s="509"/>
      <c r="I27" s="509"/>
      <c r="J27" s="509"/>
      <c r="K27" s="509"/>
      <c r="L27" s="509"/>
      <c r="M27" s="509"/>
      <c r="N27" s="509"/>
      <c r="O27" s="509"/>
      <c r="P27" s="509"/>
      <c r="Q27" s="509"/>
      <c r="R27" s="509"/>
    </row>
    <row r="28" spans="1:28" ht="73.5" customHeight="1">
      <c r="B28" s="509" t="s">
        <v>168</v>
      </c>
      <c r="C28" s="509"/>
      <c r="D28" s="509"/>
      <c r="E28" s="509"/>
      <c r="F28" s="509"/>
      <c r="G28" s="509"/>
      <c r="H28" s="509"/>
      <c r="I28" s="509"/>
      <c r="J28" s="509"/>
      <c r="K28" s="509"/>
      <c r="L28" s="509"/>
      <c r="M28" s="509"/>
      <c r="N28" s="509"/>
      <c r="O28" s="509"/>
      <c r="P28" s="509"/>
      <c r="Q28" s="509"/>
      <c r="R28" s="509"/>
    </row>
    <row r="29" spans="1:28" ht="39" customHeight="1">
      <c r="B29" s="509" t="s">
        <v>169</v>
      </c>
      <c r="C29" s="509"/>
      <c r="D29" s="509"/>
      <c r="E29" s="509"/>
      <c r="F29" s="509"/>
      <c r="G29" s="509"/>
      <c r="H29" s="509"/>
      <c r="I29" s="509"/>
      <c r="J29" s="509"/>
      <c r="K29" s="509"/>
      <c r="L29" s="509"/>
      <c r="M29" s="509"/>
      <c r="N29" s="509"/>
      <c r="O29" s="509"/>
      <c r="P29" s="509"/>
      <c r="Q29" s="509"/>
      <c r="R29" s="509"/>
    </row>
    <row r="30" spans="1:28">
      <c r="B30" s="11"/>
    </row>
    <row r="31" spans="1:28">
      <c r="B31" s="11"/>
    </row>
    <row r="33" spans="2:2">
      <c r="B33" s="11"/>
    </row>
  </sheetData>
  <mergeCells count="34">
    <mergeCell ref="B28:R28"/>
    <mergeCell ref="B29:R29"/>
    <mergeCell ref="B22:R22"/>
    <mergeCell ref="B23:R23"/>
    <mergeCell ref="B24:R24"/>
    <mergeCell ref="B25:R25"/>
    <mergeCell ref="B26:R26"/>
    <mergeCell ref="B27:R27"/>
    <mergeCell ref="AB9:AB11"/>
    <mergeCell ref="G10:J10"/>
    <mergeCell ref="K10:N10"/>
    <mergeCell ref="O10:R10"/>
    <mergeCell ref="S10:V10"/>
    <mergeCell ref="W10:Z10"/>
    <mergeCell ref="AA9:AA11"/>
    <mergeCell ref="A8:Z8"/>
    <mergeCell ref="A9:A11"/>
    <mergeCell ref="B9:B11"/>
    <mergeCell ref="C9:F10"/>
    <mergeCell ref="G9:Z9"/>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AB37"/>
  <sheetViews>
    <sheetView topLeftCell="G19" workbookViewId="0">
      <selection activeCell="B25" sqref="B24:R25"/>
    </sheetView>
  </sheetViews>
  <sheetFormatPr defaultRowHeight="15"/>
  <cols>
    <col min="1" max="1" width="5" customWidth="1"/>
    <col min="2" max="2" width="15.85546875" customWidth="1"/>
    <col min="3" max="6" width="7.7109375" customWidth="1"/>
    <col min="7" max="7" width="7" customWidth="1"/>
    <col min="8" max="9" width="7.28515625" customWidth="1"/>
    <col min="10" max="10" width="7.42578125" customWidth="1"/>
    <col min="11" max="11" width="7" customWidth="1"/>
    <col min="12" max="12" width="7.85546875" customWidth="1"/>
    <col min="13" max="13" width="7.42578125" customWidth="1"/>
    <col min="14" max="14" width="7.28515625" customWidth="1"/>
    <col min="15" max="15" width="7" customWidth="1"/>
    <col min="16" max="18" width="7.42578125" customWidth="1"/>
    <col min="19" max="19" width="7" customWidth="1"/>
    <col min="20" max="20" width="7.42578125" customWidth="1"/>
    <col min="21" max="22" width="7.28515625" customWidth="1"/>
    <col min="23" max="23" width="7" customWidth="1"/>
    <col min="24" max="26" width="7.28515625" customWidth="1"/>
  </cols>
  <sheetData>
    <row r="1" spans="1:28" s="66" customFormat="1" ht="30" customHeight="1">
      <c r="A1" s="644" t="s">
        <v>0</v>
      </c>
      <c r="B1" s="644"/>
      <c r="C1" s="644"/>
      <c r="D1" s="644"/>
      <c r="E1" s="644"/>
      <c r="F1" s="667" t="s">
        <v>411</v>
      </c>
      <c r="G1" s="667"/>
      <c r="H1" s="667"/>
      <c r="I1" s="667"/>
      <c r="J1" s="667"/>
      <c r="K1" s="667"/>
      <c r="L1" s="667"/>
      <c r="M1" s="667"/>
      <c r="N1" s="667"/>
      <c r="O1" s="667"/>
      <c r="P1" s="667"/>
      <c r="Q1" s="667"/>
      <c r="R1" s="667"/>
      <c r="S1" s="667"/>
      <c r="T1" s="667"/>
      <c r="U1" s="667"/>
      <c r="V1" s="667"/>
      <c r="W1" s="667"/>
      <c r="X1" s="667"/>
      <c r="Y1" s="667"/>
      <c r="Z1" s="667"/>
    </row>
    <row r="2" spans="1:28" ht="31.5" customHeight="1">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8" ht="44.25" customHeight="1">
      <c r="A3" s="589" t="s">
        <v>3</v>
      </c>
      <c r="B3" s="592" t="s">
        <v>4</v>
      </c>
      <c r="C3" s="595" t="s">
        <v>5</v>
      </c>
      <c r="D3" s="596"/>
      <c r="E3" s="596"/>
      <c r="F3" s="597"/>
      <c r="G3" s="601" t="s">
        <v>6</v>
      </c>
      <c r="H3" s="601"/>
      <c r="I3" s="601"/>
      <c r="J3" s="601"/>
      <c r="K3" s="601"/>
      <c r="L3" s="601"/>
      <c r="M3" s="601"/>
      <c r="N3" s="601"/>
      <c r="O3" s="601"/>
      <c r="P3" s="601"/>
      <c r="Q3" s="601"/>
      <c r="R3" s="601"/>
      <c r="S3" s="601"/>
      <c r="T3" s="601"/>
      <c r="U3" s="601"/>
      <c r="V3" s="601"/>
      <c r="W3" s="601"/>
      <c r="X3" s="601"/>
      <c r="Y3" s="601"/>
      <c r="Z3" s="601"/>
      <c r="AA3" s="513" t="s">
        <v>119</v>
      </c>
      <c r="AB3" s="513" t="s">
        <v>120</v>
      </c>
    </row>
    <row r="4" spans="1:28" ht="44.25" customHeight="1">
      <c r="A4" s="590"/>
      <c r="B4" s="593"/>
      <c r="C4" s="598"/>
      <c r="D4" s="599"/>
      <c r="E4" s="599"/>
      <c r="F4" s="600"/>
      <c r="G4" s="601" t="s">
        <v>9</v>
      </c>
      <c r="H4" s="601"/>
      <c r="I4" s="601"/>
      <c r="J4" s="601"/>
      <c r="K4" s="601" t="s">
        <v>10</v>
      </c>
      <c r="L4" s="601"/>
      <c r="M4" s="601"/>
      <c r="N4" s="601"/>
      <c r="O4" s="601" t="s">
        <v>11</v>
      </c>
      <c r="P4" s="601"/>
      <c r="Q4" s="601"/>
      <c r="R4" s="601"/>
      <c r="S4" s="601" t="s">
        <v>12</v>
      </c>
      <c r="T4" s="601"/>
      <c r="U4" s="601"/>
      <c r="V4" s="601"/>
      <c r="W4" s="601" t="s">
        <v>13</v>
      </c>
      <c r="X4" s="601"/>
      <c r="Y4" s="601"/>
      <c r="Z4" s="601"/>
      <c r="AA4" s="513"/>
      <c r="AB4" s="513"/>
    </row>
    <row r="5" spans="1:28" ht="75.75" customHeight="1">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513"/>
      <c r="AB5" s="513"/>
    </row>
    <row r="6" spans="1:28" ht="25.5">
      <c r="A6" s="180" t="s">
        <v>20</v>
      </c>
      <c r="B6" s="69" t="s">
        <v>412</v>
      </c>
      <c r="C6" s="69">
        <v>0</v>
      </c>
      <c r="D6" s="69">
        <v>0</v>
      </c>
      <c r="E6" s="69">
        <v>0</v>
      </c>
      <c r="F6" s="69">
        <v>0</v>
      </c>
      <c r="G6" s="69">
        <f>G7+52</f>
        <v>130252</v>
      </c>
      <c r="H6" s="69">
        <f>H7+52</f>
        <v>130382</v>
      </c>
      <c r="I6" s="69">
        <f>I7+1</f>
        <v>27001</v>
      </c>
      <c r="J6" s="69">
        <f>J7+1</f>
        <v>27131</v>
      </c>
      <c r="K6" s="69">
        <v>200001</v>
      </c>
      <c r="L6" s="69">
        <v>200001</v>
      </c>
      <c r="M6" s="69">
        <v>40001</v>
      </c>
      <c r="N6" s="69">
        <v>40001</v>
      </c>
      <c r="O6" s="69">
        <v>300001</v>
      </c>
      <c r="P6" s="69">
        <v>300001</v>
      </c>
      <c r="Q6" s="69">
        <v>50001</v>
      </c>
      <c r="R6" s="69">
        <v>50001</v>
      </c>
      <c r="S6" s="69">
        <v>380001</v>
      </c>
      <c r="T6" s="69">
        <v>380001</v>
      </c>
      <c r="U6" s="69">
        <v>55001</v>
      </c>
      <c r="V6" s="69">
        <v>55001</v>
      </c>
      <c r="W6" s="69">
        <v>400001</v>
      </c>
      <c r="X6" s="69">
        <v>400001</v>
      </c>
      <c r="Y6" s="69">
        <v>60001</v>
      </c>
      <c r="Z6" s="69">
        <v>60001</v>
      </c>
      <c r="AA6" s="350">
        <f>C6/W6</f>
        <v>0</v>
      </c>
      <c r="AB6" s="350">
        <f>W6/X6</f>
        <v>1</v>
      </c>
    </row>
    <row r="7" spans="1:28" ht="25.5">
      <c r="A7" s="180" t="s">
        <v>22</v>
      </c>
      <c r="B7" s="69" t="s">
        <v>413</v>
      </c>
      <c r="C7" s="69">
        <v>41750</v>
      </c>
      <c r="D7" s="69">
        <f>41750+263</f>
        <v>42013</v>
      </c>
      <c r="E7" s="69">
        <v>5500</v>
      </c>
      <c r="F7" s="69">
        <f>5500+263</f>
        <v>5763</v>
      </c>
      <c r="G7" s="69">
        <f>130200</f>
        <v>130200</v>
      </c>
      <c r="H7" s="69">
        <v>130330</v>
      </c>
      <c r="I7" s="69">
        <v>27000</v>
      </c>
      <c r="J7" s="69">
        <f>I7+130</f>
        <v>27130</v>
      </c>
      <c r="K7" s="69">
        <v>200000</v>
      </c>
      <c r="L7" s="69">
        <v>200000</v>
      </c>
      <c r="M7" s="69">
        <v>40000</v>
      </c>
      <c r="N7" s="69">
        <v>40000</v>
      </c>
      <c r="O7" s="69">
        <v>300000</v>
      </c>
      <c r="P7" s="69">
        <v>300000</v>
      </c>
      <c r="Q7" s="69">
        <v>50000</v>
      </c>
      <c r="R7" s="69">
        <v>50000</v>
      </c>
      <c r="S7" s="69">
        <v>380000</v>
      </c>
      <c r="T7" s="69">
        <v>380000</v>
      </c>
      <c r="U7" s="69">
        <v>55000</v>
      </c>
      <c r="V7" s="69">
        <v>55000</v>
      </c>
      <c r="W7" s="69">
        <v>400000</v>
      </c>
      <c r="X7" s="69">
        <v>400000</v>
      </c>
      <c r="Y7" s="69">
        <v>60000</v>
      </c>
      <c r="Z7" s="69">
        <v>60000</v>
      </c>
      <c r="AA7" s="350">
        <f t="shared" ref="AA7:AA12" si="0">C7/W7</f>
        <v>0.104375</v>
      </c>
      <c r="AB7" s="350">
        <f t="shared" ref="AB7:AB12" si="1">W7/X7</f>
        <v>1</v>
      </c>
    </row>
    <row r="8" spans="1:28" ht="38.25">
      <c r="A8" s="180" t="s">
        <v>61</v>
      </c>
      <c r="B8" s="69" t="s">
        <v>414</v>
      </c>
      <c r="C8" s="181">
        <v>2700</v>
      </c>
      <c r="D8" s="181">
        <v>2700</v>
      </c>
      <c r="E8" s="181">
        <v>150</v>
      </c>
      <c r="F8" s="181">
        <v>150</v>
      </c>
      <c r="G8" s="181">
        <v>4500</v>
      </c>
      <c r="H8" s="181">
        <v>4500</v>
      </c>
      <c r="I8" s="181">
        <f>150*1.5</f>
        <v>225</v>
      </c>
      <c r="J8" s="181">
        <v>225</v>
      </c>
      <c r="K8" s="181">
        <v>6000</v>
      </c>
      <c r="L8" s="181">
        <f>6000</f>
        <v>6000</v>
      </c>
      <c r="M8" s="181">
        <v>300</v>
      </c>
      <c r="N8" s="181">
        <v>300</v>
      </c>
      <c r="O8" s="181">
        <v>7000</v>
      </c>
      <c r="P8" s="181">
        <v>7000</v>
      </c>
      <c r="Q8" s="181">
        <v>300</v>
      </c>
      <c r="R8" s="181">
        <v>300</v>
      </c>
      <c r="S8" s="181">
        <v>7000</v>
      </c>
      <c r="T8" s="181">
        <v>7000</v>
      </c>
      <c r="U8" s="181">
        <v>300</v>
      </c>
      <c r="V8" s="181">
        <v>300</v>
      </c>
      <c r="W8" s="181">
        <v>7000</v>
      </c>
      <c r="X8" s="181">
        <v>7000</v>
      </c>
      <c r="Y8" s="181">
        <v>300</v>
      </c>
      <c r="Z8" s="181">
        <v>300</v>
      </c>
      <c r="AA8" s="350">
        <f t="shared" si="0"/>
        <v>0.38571428571428573</v>
      </c>
      <c r="AB8" s="350">
        <f t="shared" si="1"/>
        <v>1</v>
      </c>
    </row>
    <row r="9" spans="1:28" ht="51">
      <c r="A9" s="180" t="s">
        <v>63</v>
      </c>
      <c r="B9" s="69" t="s">
        <v>415</v>
      </c>
      <c r="C9" s="69">
        <v>0</v>
      </c>
      <c r="D9" s="69">
        <v>13</v>
      </c>
      <c r="E9" s="69">
        <v>0</v>
      </c>
      <c r="F9" s="69">
        <v>7</v>
      </c>
      <c r="G9" s="69">
        <v>50</v>
      </c>
      <c r="H9" s="69">
        <v>55</v>
      </c>
      <c r="I9" s="69">
        <v>50</v>
      </c>
      <c r="J9" s="69">
        <v>55</v>
      </c>
      <c r="K9" s="69">
        <f>G9*1.2</f>
        <v>60</v>
      </c>
      <c r="L9" s="69">
        <v>62</v>
      </c>
      <c r="M9" s="69">
        <v>60</v>
      </c>
      <c r="N9" s="69">
        <v>62</v>
      </c>
      <c r="O9" s="69">
        <v>70</v>
      </c>
      <c r="P9" s="69">
        <v>70</v>
      </c>
      <c r="Q9" s="69">
        <v>70</v>
      </c>
      <c r="R9" s="69">
        <v>70</v>
      </c>
      <c r="S9" s="69">
        <v>80</v>
      </c>
      <c r="T9" s="69">
        <v>80</v>
      </c>
      <c r="U9" s="69">
        <v>80</v>
      </c>
      <c r="V9" s="69">
        <v>80</v>
      </c>
      <c r="W9" s="69">
        <v>90</v>
      </c>
      <c r="X9" s="69">
        <v>90</v>
      </c>
      <c r="Y9" s="69">
        <v>90</v>
      </c>
      <c r="Z9" s="69">
        <v>90</v>
      </c>
      <c r="AA9" s="350">
        <f t="shared" si="0"/>
        <v>0</v>
      </c>
      <c r="AB9" s="350">
        <f t="shared" si="1"/>
        <v>1</v>
      </c>
    </row>
    <row r="10" spans="1:28" ht="51">
      <c r="A10" s="180" t="s">
        <v>136</v>
      </c>
      <c r="B10" s="69" t="s">
        <v>416</v>
      </c>
      <c r="C10" s="69">
        <v>0</v>
      </c>
      <c r="D10" s="69">
        <v>186</v>
      </c>
      <c r="E10" s="69">
        <v>90</v>
      </c>
      <c r="F10" s="69">
        <v>90</v>
      </c>
      <c r="G10" s="69">
        <v>205</v>
      </c>
      <c r="H10" s="69">
        <v>205</v>
      </c>
      <c r="I10" s="69">
        <f>J10</f>
        <v>99.000000000000014</v>
      </c>
      <c r="J10" s="69">
        <f>F10*1.1</f>
        <v>99.000000000000014</v>
      </c>
      <c r="K10" s="69">
        <v>220</v>
      </c>
      <c r="L10" s="69">
        <v>220</v>
      </c>
      <c r="M10" s="69">
        <v>103</v>
      </c>
      <c r="N10" s="69">
        <v>103</v>
      </c>
      <c r="O10" s="69">
        <v>230</v>
      </c>
      <c r="P10" s="69">
        <v>230</v>
      </c>
      <c r="Q10" s="69">
        <v>108</v>
      </c>
      <c r="R10" s="69">
        <v>108</v>
      </c>
      <c r="S10" s="69">
        <v>240</v>
      </c>
      <c r="T10" s="69">
        <v>240</v>
      </c>
      <c r="U10" s="69">
        <v>113</v>
      </c>
      <c r="V10" s="69">
        <v>113</v>
      </c>
      <c r="W10" s="69">
        <v>250</v>
      </c>
      <c r="X10" s="69">
        <v>250</v>
      </c>
      <c r="Y10" s="69">
        <v>118</v>
      </c>
      <c r="Z10" s="69">
        <v>118</v>
      </c>
      <c r="AA10" s="350">
        <f t="shared" si="0"/>
        <v>0</v>
      </c>
      <c r="AB10" s="350">
        <f t="shared" si="1"/>
        <v>1</v>
      </c>
    </row>
    <row r="11" spans="1:28" ht="25.5">
      <c r="A11" s="180" t="s">
        <v>155</v>
      </c>
      <c r="B11" s="69" t="s">
        <v>417</v>
      </c>
      <c r="C11" s="69">
        <v>7500</v>
      </c>
      <c r="D11" s="69">
        <v>7500</v>
      </c>
      <c r="E11" s="69">
        <v>3660</v>
      </c>
      <c r="F11" s="69">
        <v>3660</v>
      </c>
      <c r="G11" s="69">
        <v>8250</v>
      </c>
      <c r="H11" s="69">
        <f>G11</f>
        <v>8250</v>
      </c>
      <c r="I11" s="69">
        <v>4030</v>
      </c>
      <c r="J11" s="69">
        <v>4030</v>
      </c>
      <c r="K11" s="69">
        <v>9100</v>
      </c>
      <c r="L11" s="69">
        <v>9100</v>
      </c>
      <c r="M11" s="69">
        <v>4400</v>
      </c>
      <c r="N11" s="69">
        <v>4400</v>
      </c>
      <c r="O11" s="69">
        <v>10000</v>
      </c>
      <c r="P11" s="69">
        <v>10000</v>
      </c>
      <c r="Q11" s="69">
        <v>4800</v>
      </c>
      <c r="R11" s="69">
        <v>4800</v>
      </c>
      <c r="S11" s="69">
        <v>11000</v>
      </c>
      <c r="T11" s="69">
        <f>11000</f>
        <v>11000</v>
      </c>
      <c r="U11" s="69">
        <v>5300</v>
      </c>
      <c r="V11" s="69">
        <v>5300</v>
      </c>
      <c r="W11" s="69">
        <v>12100</v>
      </c>
      <c r="X11" s="69">
        <v>12100</v>
      </c>
      <c r="Y11" s="69">
        <v>5850</v>
      </c>
      <c r="Z11" s="69">
        <v>5850</v>
      </c>
      <c r="AA11" s="350">
        <f t="shared" si="0"/>
        <v>0.6198347107438017</v>
      </c>
      <c r="AB11" s="350">
        <f t="shared" si="1"/>
        <v>1</v>
      </c>
    </row>
    <row r="12" spans="1:28" ht="25.5">
      <c r="A12" s="180" t="s">
        <v>159</v>
      </c>
      <c r="B12" s="69" t="s">
        <v>418</v>
      </c>
      <c r="C12" s="69">
        <f>30*20*52</f>
        <v>31200</v>
      </c>
      <c r="D12" s="69">
        <v>31200</v>
      </c>
      <c r="E12" s="69">
        <v>3500</v>
      </c>
      <c r="F12" s="69">
        <v>3500</v>
      </c>
      <c r="G12" s="69">
        <v>34300</v>
      </c>
      <c r="H12" s="69">
        <v>34300</v>
      </c>
      <c r="I12" s="69">
        <v>3850</v>
      </c>
      <c r="J12" s="69">
        <v>3850</v>
      </c>
      <c r="K12" s="69">
        <v>37800</v>
      </c>
      <c r="L12" s="69">
        <v>37800</v>
      </c>
      <c r="M12" s="69">
        <v>4250</v>
      </c>
      <c r="N12" s="69">
        <v>4250</v>
      </c>
      <c r="O12" s="69">
        <v>41600</v>
      </c>
      <c r="P12" s="69">
        <v>41600</v>
      </c>
      <c r="Q12" s="69">
        <v>4700</v>
      </c>
      <c r="R12" s="69">
        <v>4700</v>
      </c>
      <c r="S12" s="69">
        <v>45800</v>
      </c>
      <c r="T12" s="69">
        <v>45800</v>
      </c>
      <c r="U12" s="69">
        <v>5200</v>
      </c>
      <c r="V12" s="69">
        <v>5200</v>
      </c>
      <c r="W12" s="69">
        <v>50300</v>
      </c>
      <c r="X12" s="69">
        <v>50300</v>
      </c>
      <c r="Y12" s="69">
        <v>5700</v>
      </c>
      <c r="Z12" s="69">
        <v>5700</v>
      </c>
      <c r="AA12" s="350">
        <f t="shared" si="0"/>
        <v>0.62027833001988075</v>
      </c>
      <c r="AB12" s="350">
        <f t="shared" si="1"/>
        <v>1</v>
      </c>
    </row>
    <row r="13" spans="1:28" ht="51.75">
      <c r="A13" s="182"/>
      <c r="B13" s="74"/>
      <c r="C13" s="74"/>
      <c r="D13" s="74"/>
      <c r="E13" s="74"/>
      <c r="F13" s="74"/>
      <c r="G13" s="74"/>
      <c r="H13" s="74"/>
      <c r="I13" s="74"/>
      <c r="J13" s="74"/>
      <c r="K13" s="74"/>
      <c r="L13" s="74"/>
      <c r="M13" s="74"/>
      <c r="N13" s="74"/>
      <c r="O13" s="74"/>
      <c r="P13" s="74"/>
      <c r="Q13" s="74"/>
      <c r="R13" s="74"/>
      <c r="S13" s="74"/>
      <c r="T13" s="74"/>
      <c r="U13" s="74"/>
      <c r="V13" s="74"/>
      <c r="W13" s="74"/>
      <c r="X13" s="74"/>
      <c r="Y13" s="74"/>
      <c r="Z13" s="212" t="s">
        <v>123</v>
      </c>
      <c r="AA13" s="350">
        <f>AVERAGE(AA6:AA12)</f>
        <v>0.24717176092542401</v>
      </c>
      <c r="AB13" s="350">
        <f>AVERAGE(AB6:AB12)</f>
        <v>1</v>
      </c>
    </row>
    <row r="15" spans="1:28" ht="23.25">
      <c r="A15" s="588" t="s">
        <v>25</v>
      </c>
      <c r="B15" s="588"/>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row>
    <row r="16" spans="1:28" ht="45.75" customHeight="1">
      <c r="A16" s="589" t="s">
        <v>3</v>
      </c>
      <c r="B16" s="592" t="s">
        <v>26</v>
      </c>
      <c r="C16" s="595" t="s">
        <v>27</v>
      </c>
      <c r="D16" s="596"/>
      <c r="E16" s="596"/>
      <c r="F16" s="597"/>
      <c r="G16" s="601" t="s">
        <v>28</v>
      </c>
      <c r="H16" s="601"/>
      <c r="I16" s="601"/>
      <c r="J16" s="601"/>
      <c r="K16" s="601"/>
      <c r="L16" s="601"/>
      <c r="M16" s="601"/>
      <c r="N16" s="601"/>
      <c r="O16" s="601"/>
      <c r="P16" s="601"/>
      <c r="Q16" s="601"/>
      <c r="R16" s="601"/>
      <c r="S16" s="601"/>
      <c r="T16" s="601"/>
      <c r="U16" s="601"/>
      <c r="V16" s="601"/>
      <c r="W16" s="601"/>
      <c r="X16" s="601"/>
      <c r="Y16" s="601"/>
      <c r="Z16" s="601"/>
      <c r="AA16" s="513" t="s">
        <v>124</v>
      </c>
      <c r="AB16" s="513" t="s">
        <v>125</v>
      </c>
    </row>
    <row r="17" spans="1:28" ht="45" customHeight="1">
      <c r="A17" s="590"/>
      <c r="B17" s="593"/>
      <c r="C17" s="598"/>
      <c r="D17" s="599"/>
      <c r="E17" s="599"/>
      <c r="F17" s="600"/>
      <c r="G17" s="601" t="s">
        <v>9</v>
      </c>
      <c r="H17" s="601"/>
      <c r="I17" s="601"/>
      <c r="J17" s="601"/>
      <c r="K17" s="601" t="s">
        <v>10</v>
      </c>
      <c r="L17" s="601"/>
      <c r="M17" s="601"/>
      <c r="N17" s="601"/>
      <c r="O17" s="601" t="s">
        <v>11</v>
      </c>
      <c r="P17" s="601"/>
      <c r="Q17" s="601"/>
      <c r="R17" s="601"/>
      <c r="S17" s="601" t="s">
        <v>12</v>
      </c>
      <c r="T17" s="601"/>
      <c r="U17" s="601"/>
      <c r="V17" s="601"/>
      <c r="W17" s="601" t="s">
        <v>13</v>
      </c>
      <c r="X17" s="601"/>
      <c r="Y17" s="601"/>
      <c r="Z17" s="601"/>
      <c r="AA17" s="513" t="s">
        <v>124</v>
      </c>
      <c r="AB17" s="513" t="s">
        <v>125</v>
      </c>
    </row>
    <row r="18" spans="1:28" ht="78.75" customHeight="1">
      <c r="A18" s="591"/>
      <c r="B18" s="594"/>
      <c r="C18" s="68" t="s">
        <v>31</v>
      </c>
      <c r="D18" s="68" t="s">
        <v>32</v>
      </c>
      <c r="E18" s="68" t="s">
        <v>33</v>
      </c>
      <c r="F18" s="68" t="s">
        <v>17</v>
      </c>
      <c r="G18" s="68" t="s">
        <v>34</v>
      </c>
      <c r="H18" s="68" t="s">
        <v>32</v>
      </c>
      <c r="I18" s="68" t="s">
        <v>33</v>
      </c>
      <c r="J18" s="68" t="s">
        <v>19</v>
      </c>
      <c r="K18" s="68" t="s">
        <v>34</v>
      </c>
      <c r="L18" s="68" t="s">
        <v>32</v>
      </c>
      <c r="M18" s="68" t="s">
        <v>33</v>
      </c>
      <c r="N18" s="68" t="s">
        <v>19</v>
      </c>
      <c r="O18" s="68" t="s">
        <v>34</v>
      </c>
      <c r="P18" s="68" t="s">
        <v>32</v>
      </c>
      <c r="Q18" s="68" t="s">
        <v>33</v>
      </c>
      <c r="R18" s="68" t="s">
        <v>19</v>
      </c>
      <c r="S18" s="68" t="s">
        <v>34</v>
      </c>
      <c r="T18" s="68" t="s">
        <v>32</v>
      </c>
      <c r="U18" s="68" t="s">
        <v>33</v>
      </c>
      <c r="V18" s="68" t="s">
        <v>19</v>
      </c>
      <c r="W18" s="68" t="s">
        <v>34</v>
      </c>
      <c r="X18" s="68" t="s">
        <v>32</v>
      </c>
      <c r="Y18" s="68" t="s">
        <v>33</v>
      </c>
      <c r="Z18" s="68" t="s">
        <v>19</v>
      </c>
      <c r="AA18" s="513" t="s">
        <v>124</v>
      </c>
      <c r="AB18" s="513" t="s">
        <v>125</v>
      </c>
    </row>
    <row r="19" spans="1:28" ht="51">
      <c r="A19" s="69" t="s">
        <v>20</v>
      </c>
      <c r="B19" s="69" t="s">
        <v>419</v>
      </c>
      <c r="C19" s="69"/>
      <c r="D19" s="69"/>
      <c r="E19" s="69"/>
      <c r="F19" s="69"/>
      <c r="G19" s="69"/>
      <c r="H19" s="69"/>
      <c r="I19" s="69"/>
      <c r="J19" s="69"/>
      <c r="K19" s="69"/>
      <c r="L19" s="69"/>
      <c r="M19" s="69"/>
      <c r="N19" s="69"/>
      <c r="O19" s="69"/>
      <c r="P19" s="69"/>
      <c r="Q19" s="69"/>
      <c r="R19" s="69"/>
      <c r="S19" s="69"/>
      <c r="T19" s="69"/>
      <c r="U19" s="69"/>
      <c r="V19" s="69"/>
      <c r="W19" s="69"/>
      <c r="X19" s="69"/>
      <c r="Y19" s="69"/>
      <c r="Z19" s="69"/>
      <c r="AA19" s="183"/>
      <c r="AB19" s="183"/>
    </row>
    <row r="20" spans="1:28" ht="54">
      <c r="A20" s="69" t="s">
        <v>36</v>
      </c>
      <c r="B20" s="69" t="s">
        <v>420</v>
      </c>
      <c r="C20" s="69">
        <v>2000</v>
      </c>
      <c r="D20" s="69">
        <v>2200</v>
      </c>
      <c r="E20" s="69">
        <v>20</v>
      </c>
      <c r="F20" s="69">
        <v>353</v>
      </c>
      <c r="G20" s="69">
        <v>308000</v>
      </c>
      <c r="H20" s="69">
        <v>308000</v>
      </c>
      <c r="I20" s="69">
        <v>27500</v>
      </c>
      <c r="J20" s="69">
        <f>27630</f>
        <v>27630</v>
      </c>
      <c r="K20" s="69">
        <f>L20</f>
        <v>453183</v>
      </c>
      <c r="L20" s="69">
        <f>L6+L7+L8+L9+L10+L11+L12</f>
        <v>453183</v>
      </c>
      <c r="M20" s="69">
        <f>N20</f>
        <v>49115</v>
      </c>
      <c r="N20" s="69">
        <f>N7+N8+N9+N10+N11+N12</f>
        <v>49115</v>
      </c>
      <c r="O20" s="69">
        <f>P20</f>
        <v>658901</v>
      </c>
      <c r="P20" s="69">
        <f>P6+P7+P8+P9+P10+P11+P12</f>
        <v>658901</v>
      </c>
      <c r="Q20" s="69">
        <f>R20</f>
        <v>59978</v>
      </c>
      <c r="R20" s="69">
        <f>R7+R8+R9+R10+R11+R12</f>
        <v>59978</v>
      </c>
      <c r="S20" s="69">
        <f>T20</f>
        <v>824121</v>
      </c>
      <c r="T20" s="69">
        <f>T6+T7+T8+T9+T10+T11+T12</f>
        <v>824121</v>
      </c>
      <c r="U20" s="69">
        <f>V20</f>
        <v>65993</v>
      </c>
      <c r="V20" s="69">
        <f>V7+V8+V9+V10+V11+V12</f>
        <v>65993</v>
      </c>
      <c r="W20" s="69">
        <f>X20</f>
        <v>869741</v>
      </c>
      <c r="X20" s="69">
        <f>X6+X7+X8+X9+X10+X11+X12</f>
        <v>869741</v>
      </c>
      <c r="Y20" s="69">
        <f>Z20</f>
        <v>72058</v>
      </c>
      <c r="Z20" s="69">
        <f>Z7+Z8+Z9+Z10+Z11+Z12</f>
        <v>72058</v>
      </c>
      <c r="AA20" s="350">
        <f>C20/W20</f>
        <v>2.2995351489696358E-3</v>
      </c>
      <c r="AB20" s="350">
        <f>W20/X20</f>
        <v>1</v>
      </c>
    </row>
    <row r="21" spans="1:28" ht="63.75">
      <c r="A21" s="69" t="s">
        <v>38</v>
      </c>
      <c r="B21" s="69" t="s">
        <v>421</v>
      </c>
      <c r="C21" s="69">
        <f>C7+C8+C6+C9+C10+C11+C12</f>
        <v>83150</v>
      </c>
      <c r="D21" s="69">
        <f>D6+D7+D8+D9+D10+D11+D12</f>
        <v>83612</v>
      </c>
      <c r="E21" s="69">
        <f>E6+E7+E8+E9+E10+E11+E12-E20</f>
        <v>12880</v>
      </c>
      <c r="F21" s="69">
        <f>F6+F7+F8+F9+F10+F11+F12-F20</f>
        <v>12817</v>
      </c>
      <c r="G21" s="69">
        <f>G20</f>
        <v>308000</v>
      </c>
      <c r="H21" s="69">
        <f>H20</f>
        <v>308000</v>
      </c>
      <c r="I21" s="69">
        <f>I20</f>
        <v>27500</v>
      </c>
      <c r="J21" s="69">
        <f>I21</f>
        <v>27500</v>
      </c>
      <c r="K21" s="69">
        <f t="shared" ref="K21:Z21" si="2">K20</f>
        <v>453183</v>
      </c>
      <c r="L21" s="69">
        <f t="shared" si="2"/>
        <v>453183</v>
      </c>
      <c r="M21" s="69">
        <f t="shared" si="2"/>
        <v>49115</v>
      </c>
      <c r="N21" s="69">
        <f t="shared" si="2"/>
        <v>49115</v>
      </c>
      <c r="O21" s="69">
        <f t="shared" si="2"/>
        <v>658901</v>
      </c>
      <c r="P21" s="69">
        <f t="shared" si="2"/>
        <v>658901</v>
      </c>
      <c r="Q21" s="69">
        <f t="shared" si="2"/>
        <v>59978</v>
      </c>
      <c r="R21" s="69">
        <f t="shared" si="2"/>
        <v>59978</v>
      </c>
      <c r="S21" s="69">
        <f t="shared" si="2"/>
        <v>824121</v>
      </c>
      <c r="T21" s="69">
        <f t="shared" si="2"/>
        <v>824121</v>
      </c>
      <c r="U21" s="69">
        <f t="shared" si="2"/>
        <v>65993</v>
      </c>
      <c r="V21" s="69">
        <f t="shared" si="2"/>
        <v>65993</v>
      </c>
      <c r="W21" s="69">
        <f t="shared" si="2"/>
        <v>869741</v>
      </c>
      <c r="X21" s="69">
        <f t="shared" si="2"/>
        <v>869741</v>
      </c>
      <c r="Y21" s="69">
        <f t="shared" si="2"/>
        <v>72058</v>
      </c>
      <c r="Z21" s="69">
        <f t="shared" si="2"/>
        <v>72058</v>
      </c>
      <c r="AA21" s="350">
        <f t="shared" ref="AA21:AA23" si="3">C21/W21</f>
        <v>9.5603173818412601E-2</v>
      </c>
      <c r="AB21" s="350">
        <f t="shared" ref="AB21:AB23" si="4">W21/X21</f>
        <v>1</v>
      </c>
    </row>
    <row r="22" spans="1:28" ht="25.5">
      <c r="A22" s="69" t="s">
        <v>73</v>
      </c>
      <c r="B22" s="69" t="s">
        <v>422</v>
      </c>
      <c r="C22" s="181">
        <v>1200</v>
      </c>
      <c r="D22" s="181">
        <f>C22</f>
        <v>1200</v>
      </c>
      <c r="E22" s="181">
        <v>60</v>
      </c>
      <c r="F22" s="181">
        <v>60</v>
      </c>
      <c r="G22" s="69">
        <f>C22*1.01</f>
        <v>1212</v>
      </c>
      <c r="H22" s="69">
        <f>D22*1.01</f>
        <v>1212</v>
      </c>
      <c r="I22" s="69">
        <v>60</v>
      </c>
      <c r="J22" s="69">
        <v>60</v>
      </c>
      <c r="K22" s="69">
        <v>1224</v>
      </c>
      <c r="L22" s="69">
        <v>1224</v>
      </c>
      <c r="M22" s="69">
        <v>60</v>
      </c>
      <c r="N22" s="69">
        <v>60</v>
      </c>
      <c r="O22" s="69">
        <v>1236</v>
      </c>
      <c r="P22" s="69">
        <f>O22</f>
        <v>1236</v>
      </c>
      <c r="Q22" s="69">
        <v>60</v>
      </c>
      <c r="R22" s="69">
        <v>60</v>
      </c>
      <c r="S22" s="69">
        <v>1250</v>
      </c>
      <c r="T22" s="69">
        <f>S22</f>
        <v>1250</v>
      </c>
      <c r="U22" s="69">
        <v>60</v>
      </c>
      <c r="V22" s="69">
        <v>60</v>
      </c>
      <c r="W22" s="69">
        <v>1263</v>
      </c>
      <c r="X22" s="69">
        <f>W22</f>
        <v>1263</v>
      </c>
      <c r="Y22" s="69">
        <v>60</v>
      </c>
      <c r="Z22" s="69">
        <v>60</v>
      </c>
      <c r="AA22" s="350">
        <f t="shared" si="3"/>
        <v>0.95011876484560565</v>
      </c>
      <c r="AB22" s="350">
        <f t="shared" si="4"/>
        <v>1</v>
      </c>
    </row>
    <row r="23" spans="1:28" ht="35.25" customHeight="1">
      <c r="A23" s="69" t="s">
        <v>75</v>
      </c>
      <c r="B23" s="69" t="s">
        <v>423</v>
      </c>
      <c r="C23" s="181">
        <v>7300</v>
      </c>
      <c r="D23" s="181">
        <f>C23</f>
        <v>7300</v>
      </c>
      <c r="E23" s="181">
        <v>35</v>
      </c>
      <c r="F23" s="181">
        <v>35</v>
      </c>
      <c r="G23" s="69">
        <f>C23*1.01</f>
        <v>7373</v>
      </c>
      <c r="H23" s="69">
        <f>G23</f>
        <v>7373</v>
      </c>
      <c r="I23" s="69">
        <v>35</v>
      </c>
      <c r="J23" s="69">
        <v>35</v>
      </c>
      <c r="K23" s="69">
        <v>7446</v>
      </c>
      <c r="L23" s="69">
        <f>K23</f>
        <v>7446</v>
      </c>
      <c r="M23" s="69">
        <v>35</v>
      </c>
      <c r="N23" s="69">
        <v>35</v>
      </c>
      <c r="O23" s="69">
        <v>7520</v>
      </c>
      <c r="P23" s="69">
        <f>O23</f>
        <v>7520</v>
      </c>
      <c r="Q23" s="69">
        <v>35</v>
      </c>
      <c r="R23" s="69">
        <v>35</v>
      </c>
      <c r="S23" s="69">
        <v>7595</v>
      </c>
      <c r="T23" s="69">
        <f>S23</f>
        <v>7595</v>
      </c>
      <c r="U23" s="69">
        <v>35</v>
      </c>
      <c r="V23" s="69">
        <v>35</v>
      </c>
      <c r="W23" s="69">
        <f>S23*1.01</f>
        <v>7670.95</v>
      </c>
      <c r="X23" s="69">
        <f>W23</f>
        <v>7670.95</v>
      </c>
      <c r="Y23" s="69">
        <v>35</v>
      </c>
      <c r="Z23" s="69">
        <v>35</v>
      </c>
      <c r="AA23" s="350">
        <f t="shared" si="3"/>
        <v>0.95164223466454612</v>
      </c>
      <c r="AB23" s="350">
        <f t="shared" si="4"/>
        <v>1</v>
      </c>
    </row>
    <row r="24" spans="1:28" ht="51.75">
      <c r="Z24" s="212" t="s">
        <v>123</v>
      </c>
      <c r="AA24" s="464">
        <f>AVERAGE(AA20:AA23)</f>
        <v>0.49991592711938349</v>
      </c>
      <c r="AB24" s="464">
        <f>AVERAGE(AB20:AB23)</f>
        <v>1</v>
      </c>
    </row>
    <row r="25" spans="1:28">
      <c r="A25" s="77"/>
      <c r="B25" s="77" t="s">
        <v>40</v>
      </c>
    </row>
    <row r="27" spans="1:28" ht="31.5" customHeight="1">
      <c r="A27" s="10" t="s">
        <v>41</v>
      </c>
      <c r="B27" s="602" t="s">
        <v>42</v>
      </c>
      <c r="C27" s="602"/>
      <c r="D27" s="602"/>
      <c r="E27" s="602"/>
      <c r="F27" s="602"/>
      <c r="G27" s="602"/>
      <c r="H27" s="602"/>
      <c r="I27" s="602"/>
      <c r="J27" s="602"/>
      <c r="K27" s="602"/>
      <c r="L27" s="602"/>
      <c r="M27" s="602"/>
      <c r="N27" s="602"/>
      <c r="O27" s="602"/>
      <c r="P27" s="602"/>
      <c r="Q27" s="602"/>
      <c r="R27" s="602"/>
    </row>
    <row r="28" spans="1:28" ht="31.5" customHeight="1">
      <c r="A28" s="10" t="s">
        <v>43</v>
      </c>
      <c r="B28" s="602" t="s">
        <v>44</v>
      </c>
      <c r="C28" s="602"/>
      <c r="D28" s="602"/>
      <c r="E28" s="602"/>
      <c r="F28" s="602"/>
      <c r="G28" s="602"/>
      <c r="H28" s="602"/>
      <c r="I28" s="602"/>
      <c r="J28" s="602"/>
      <c r="K28" s="602"/>
      <c r="L28" s="602"/>
      <c r="M28" s="602"/>
      <c r="N28" s="602"/>
      <c r="O28" s="602"/>
      <c r="P28" s="602"/>
      <c r="Q28" s="602"/>
      <c r="R28" s="602"/>
    </row>
    <row r="29" spans="1:28" ht="31.5" customHeight="1">
      <c r="B29" s="602" t="s">
        <v>45</v>
      </c>
      <c r="C29" s="602"/>
      <c r="D29" s="602"/>
      <c r="E29" s="602"/>
      <c r="F29" s="602"/>
      <c r="G29" s="602"/>
      <c r="H29" s="602"/>
      <c r="I29" s="602"/>
      <c r="J29" s="602"/>
      <c r="K29" s="602"/>
      <c r="L29" s="602"/>
      <c r="M29" s="602"/>
      <c r="N29" s="602"/>
      <c r="O29" s="602"/>
      <c r="P29" s="602"/>
      <c r="Q29" s="602"/>
      <c r="R29" s="602"/>
    </row>
    <row r="30" spans="1:28" ht="31.5" customHeight="1">
      <c r="B30" s="602" t="s">
        <v>46</v>
      </c>
      <c r="C30" s="602"/>
      <c r="D30" s="602"/>
      <c r="E30" s="602"/>
      <c r="F30" s="602"/>
      <c r="G30" s="602"/>
      <c r="H30" s="602"/>
      <c r="I30" s="602"/>
      <c r="J30" s="602"/>
      <c r="K30" s="602"/>
      <c r="L30" s="602"/>
      <c r="M30" s="602"/>
      <c r="N30" s="602"/>
      <c r="O30" s="602"/>
      <c r="P30" s="602"/>
      <c r="Q30" s="602"/>
      <c r="R30" s="602"/>
    </row>
    <row r="31" spans="1:28" ht="31.5" customHeight="1">
      <c r="B31" s="602" t="s">
        <v>47</v>
      </c>
      <c r="C31" s="602"/>
      <c r="D31" s="602"/>
      <c r="E31" s="602"/>
      <c r="F31" s="602"/>
      <c r="G31" s="602"/>
      <c r="H31" s="602"/>
      <c r="I31" s="602"/>
      <c r="J31" s="602"/>
      <c r="K31" s="602"/>
      <c r="L31" s="602"/>
      <c r="M31" s="602"/>
      <c r="N31" s="602"/>
      <c r="O31" s="602"/>
      <c r="P31" s="602"/>
      <c r="Q31" s="602"/>
      <c r="R31" s="602"/>
    </row>
    <row r="32" spans="1:28" ht="31.5" customHeight="1">
      <c r="B32" s="602" t="s">
        <v>48</v>
      </c>
      <c r="C32" s="602"/>
      <c r="D32" s="602"/>
      <c r="E32" s="602"/>
      <c r="F32" s="602"/>
      <c r="G32" s="602"/>
      <c r="H32" s="602"/>
      <c r="I32" s="602"/>
      <c r="J32" s="602"/>
      <c r="K32" s="602"/>
      <c r="L32" s="602"/>
      <c r="M32" s="602"/>
      <c r="N32" s="602"/>
      <c r="O32" s="602"/>
      <c r="P32" s="602"/>
      <c r="Q32" s="602"/>
      <c r="R32" s="602"/>
    </row>
    <row r="33" spans="2:18" ht="73.5" customHeight="1">
      <c r="B33" s="602" t="s">
        <v>49</v>
      </c>
      <c r="C33" s="602"/>
      <c r="D33" s="602"/>
      <c r="E33" s="602"/>
      <c r="F33" s="602"/>
      <c r="G33" s="602"/>
      <c r="H33" s="602"/>
      <c r="I33" s="602"/>
      <c r="J33" s="602"/>
      <c r="K33" s="602"/>
      <c r="L33" s="602"/>
      <c r="M33" s="602"/>
      <c r="N33" s="602"/>
      <c r="O33" s="602"/>
      <c r="P33" s="602"/>
      <c r="Q33" s="602"/>
      <c r="R33" s="602"/>
    </row>
    <row r="34" spans="2:18" ht="39" customHeight="1">
      <c r="B34" s="602" t="s">
        <v>50</v>
      </c>
      <c r="C34" s="602"/>
      <c r="D34" s="602"/>
      <c r="E34" s="602"/>
      <c r="F34" s="602"/>
      <c r="G34" s="602"/>
      <c r="H34" s="602"/>
      <c r="I34" s="602"/>
      <c r="J34" s="602"/>
      <c r="K34" s="602"/>
      <c r="L34" s="602"/>
      <c r="M34" s="602"/>
      <c r="N34" s="602"/>
      <c r="O34" s="602"/>
      <c r="P34" s="602"/>
      <c r="Q34" s="602"/>
      <c r="R34" s="602"/>
    </row>
    <row r="35" spans="2:18">
      <c r="B35" s="602" t="s">
        <v>424</v>
      </c>
      <c r="C35" s="602"/>
      <c r="D35" s="602"/>
      <c r="E35" s="602"/>
      <c r="F35" s="602"/>
      <c r="G35" s="602"/>
      <c r="H35" s="602"/>
      <c r="I35" s="602"/>
      <c r="J35" s="602"/>
      <c r="K35" s="602"/>
      <c r="L35" s="602"/>
      <c r="M35" s="602"/>
      <c r="N35" s="602"/>
      <c r="O35" s="602"/>
      <c r="P35" s="602"/>
      <c r="Q35" s="602"/>
      <c r="R35" s="602"/>
    </row>
    <row r="37" spans="2:18">
      <c r="B37" s="78"/>
    </row>
  </sheetData>
  <mergeCells count="35">
    <mergeCell ref="B33:R33"/>
    <mergeCell ref="B34:R34"/>
    <mergeCell ref="B35:R35"/>
    <mergeCell ref="B27:R27"/>
    <mergeCell ref="B28:R28"/>
    <mergeCell ref="B29:R29"/>
    <mergeCell ref="B30:R30"/>
    <mergeCell ref="B31:R31"/>
    <mergeCell ref="B32:R32"/>
    <mergeCell ref="AB16:AB18"/>
    <mergeCell ref="G17:J17"/>
    <mergeCell ref="K17:N17"/>
    <mergeCell ref="O17:R17"/>
    <mergeCell ref="S17:V17"/>
    <mergeCell ref="W17:Z17"/>
    <mergeCell ref="AA16:AA18"/>
    <mergeCell ref="A15:Z15"/>
    <mergeCell ref="A16:A18"/>
    <mergeCell ref="B16:B18"/>
    <mergeCell ref="C16:F17"/>
    <mergeCell ref="G16:Z16"/>
    <mergeCell ref="AA3:AA5"/>
    <mergeCell ref="AB3:AB5"/>
    <mergeCell ref="G4:J4"/>
    <mergeCell ref="K4:N4"/>
    <mergeCell ref="O4:R4"/>
    <mergeCell ref="S4:V4"/>
    <mergeCell ref="W4:Z4"/>
    <mergeCell ref="A1:E1"/>
    <mergeCell ref="F1:Z1"/>
    <mergeCell ref="A2:Z2"/>
    <mergeCell ref="A3:A5"/>
    <mergeCell ref="B3:B5"/>
    <mergeCell ref="C3:F4"/>
    <mergeCell ref="G3:Z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AC38"/>
  <sheetViews>
    <sheetView topLeftCell="I1" workbookViewId="0">
      <selection activeCell="B25" sqref="B24:R25"/>
    </sheetView>
  </sheetViews>
  <sheetFormatPr defaultRowHeight="15"/>
  <cols>
    <col min="1" max="1" width="5" customWidth="1"/>
    <col min="2" max="2" width="17" customWidth="1"/>
    <col min="3" max="6" width="7.7109375" customWidth="1"/>
    <col min="7" max="7" width="8" customWidth="1"/>
    <col min="8" max="8" width="8.42578125" customWidth="1"/>
    <col min="9" max="11" width="7" customWidth="1"/>
    <col min="12" max="12" width="8.28515625" customWidth="1"/>
    <col min="13" max="15" width="7" customWidth="1"/>
    <col min="16" max="16" width="9" customWidth="1"/>
    <col min="17" max="19" width="7" customWidth="1"/>
    <col min="20" max="20" width="8.5703125" customWidth="1"/>
    <col min="21" max="23" width="7" customWidth="1"/>
    <col min="24" max="24" width="8.7109375" customWidth="1"/>
    <col min="25" max="25" width="7" customWidth="1"/>
    <col min="26" max="26" width="8.140625" customWidth="1"/>
    <col min="29" max="29" width="31.85546875" customWidth="1"/>
  </cols>
  <sheetData>
    <row r="1" spans="1:28" s="1" customFormat="1" ht="42.75" customHeight="1">
      <c r="A1" s="529" t="s">
        <v>0</v>
      </c>
      <c r="B1" s="529"/>
      <c r="C1" s="529"/>
      <c r="D1" s="529"/>
      <c r="E1" s="529"/>
      <c r="F1" s="579" t="s">
        <v>425</v>
      </c>
      <c r="G1" s="579"/>
      <c r="H1" s="579"/>
      <c r="I1" s="579"/>
      <c r="J1" s="579"/>
      <c r="K1" s="579"/>
      <c r="L1" s="579"/>
      <c r="M1" s="579"/>
      <c r="N1" s="579"/>
      <c r="O1" s="579"/>
      <c r="P1" s="579"/>
      <c r="Q1" s="579"/>
      <c r="R1" s="579"/>
    </row>
    <row r="2" spans="1:28" ht="24" customHeight="1">
      <c r="A2" s="580" t="s">
        <v>2</v>
      </c>
      <c r="B2" s="580"/>
      <c r="C2" s="580"/>
      <c r="D2" s="580"/>
      <c r="E2" s="580"/>
      <c r="F2" s="580"/>
      <c r="G2" s="580"/>
      <c r="H2" s="580"/>
      <c r="I2" s="580"/>
      <c r="J2" s="580"/>
      <c r="K2" s="580"/>
      <c r="L2" s="580"/>
      <c r="M2" s="580"/>
      <c r="N2" s="580"/>
      <c r="O2" s="580"/>
      <c r="P2" s="580"/>
      <c r="Q2" s="580"/>
      <c r="R2" s="580"/>
      <c r="S2" s="580"/>
      <c r="T2" s="580"/>
      <c r="U2" s="580"/>
      <c r="V2" s="580"/>
      <c r="W2" s="580"/>
      <c r="X2" s="580"/>
      <c r="Y2" s="580"/>
      <c r="Z2" s="580"/>
    </row>
    <row r="3" spans="1:28" s="353" customFormat="1" ht="37.5" customHeight="1">
      <c r="A3" s="515" t="s">
        <v>3</v>
      </c>
      <c r="B3" s="518" t="s">
        <v>52</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120</v>
      </c>
    </row>
    <row r="4" spans="1:28" s="353" customFormat="1" ht="37.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28" s="353" customFormat="1" ht="75.75" customHeight="1">
      <c r="A5" s="517"/>
      <c r="B5" s="520"/>
      <c r="C5" s="217" t="s">
        <v>14</v>
      </c>
      <c r="D5" s="217" t="s">
        <v>15</v>
      </c>
      <c r="E5" s="217" t="s">
        <v>758</v>
      </c>
      <c r="F5" s="217" t="s">
        <v>759</v>
      </c>
      <c r="G5" s="217" t="s">
        <v>14</v>
      </c>
      <c r="H5" s="217" t="s">
        <v>15</v>
      </c>
      <c r="I5" s="217" t="s">
        <v>18</v>
      </c>
      <c r="J5" s="217" t="s">
        <v>19</v>
      </c>
      <c r="K5" s="217" t="s">
        <v>14</v>
      </c>
      <c r="L5" s="217" t="s">
        <v>15</v>
      </c>
      <c r="M5" s="217" t="s">
        <v>18</v>
      </c>
      <c r="N5" s="217" t="s">
        <v>19</v>
      </c>
      <c r="O5" s="217" t="s">
        <v>14</v>
      </c>
      <c r="P5" s="217" t="s">
        <v>15</v>
      </c>
      <c r="Q5" s="217" t="s">
        <v>18</v>
      </c>
      <c r="R5" s="217" t="s">
        <v>19</v>
      </c>
      <c r="S5" s="217" t="s">
        <v>14</v>
      </c>
      <c r="T5" s="217" t="s">
        <v>15</v>
      </c>
      <c r="U5" s="217" t="s">
        <v>18</v>
      </c>
      <c r="V5" s="217" t="s">
        <v>19</v>
      </c>
      <c r="W5" s="217" t="s">
        <v>14</v>
      </c>
      <c r="X5" s="217" t="s">
        <v>15</v>
      </c>
      <c r="Y5" s="217" t="s">
        <v>18</v>
      </c>
      <c r="Z5" s="217" t="s">
        <v>19</v>
      </c>
      <c r="AA5" s="513"/>
      <c r="AB5" s="513"/>
    </row>
    <row r="6" spans="1:28" s="353" customFormat="1" ht="51">
      <c r="A6" s="6"/>
      <c r="B6" s="212" t="s">
        <v>426</v>
      </c>
      <c r="C6" s="46">
        <v>0</v>
      </c>
      <c r="D6" s="46">
        <v>0</v>
      </c>
      <c r="E6" s="46">
        <v>0</v>
      </c>
      <c r="F6" s="46">
        <v>0</v>
      </c>
      <c r="G6" s="46">
        <v>11340</v>
      </c>
      <c r="H6" s="46">
        <v>11340</v>
      </c>
      <c r="I6" s="46">
        <v>13608</v>
      </c>
      <c r="J6" s="46">
        <v>16329.599999999999</v>
      </c>
      <c r="K6" s="46">
        <v>16875</v>
      </c>
      <c r="L6" s="46">
        <v>16875</v>
      </c>
      <c r="M6" s="46">
        <v>20250</v>
      </c>
      <c r="N6" s="46">
        <v>24300</v>
      </c>
      <c r="O6" s="46">
        <v>22275</v>
      </c>
      <c r="P6" s="46">
        <v>22275</v>
      </c>
      <c r="Q6" s="46">
        <v>26730</v>
      </c>
      <c r="R6" s="46">
        <v>32076</v>
      </c>
      <c r="S6" s="46">
        <v>28350.000000000004</v>
      </c>
      <c r="T6" s="46">
        <v>28350.000000000004</v>
      </c>
      <c r="U6" s="46">
        <v>34020</v>
      </c>
      <c r="V6" s="46">
        <v>40824</v>
      </c>
      <c r="W6" s="46">
        <v>37125</v>
      </c>
      <c r="X6" s="46">
        <v>37125</v>
      </c>
      <c r="Y6" s="46">
        <v>44550</v>
      </c>
      <c r="Z6" s="46">
        <v>46406.25</v>
      </c>
      <c r="AA6" s="354">
        <f>C6/W6</f>
        <v>0</v>
      </c>
      <c r="AB6" s="354">
        <f>W6/X6</f>
        <v>1</v>
      </c>
    </row>
    <row r="7" spans="1:28" s="353" customFormat="1" ht="25.5">
      <c r="A7" s="6"/>
      <c r="B7" s="351" t="s">
        <v>427</v>
      </c>
      <c r="C7" s="46">
        <v>0</v>
      </c>
      <c r="D7" s="46">
        <v>0</v>
      </c>
      <c r="E7" s="46">
        <v>0</v>
      </c>
      <c r="F7" s="46">
        <v>0</v>
      </c>
      <c r="G7" s="46">
        <v>16800</v>
      </c>
      <c r="H7" s="46">
        <v>16800</v>
      </c>
      <c r="I7" s="46">
        <v>19320</v>
      </c>
      <c r="J7" s="46">
        <v>22218</v>
      </c>
      <c r="K7" s="46">
        <v>25000</v>
      </c>
      <c r="L7" s="46">
        <v>25000</v>
      </c>
      <c r="M7" s="46">
        <v>28749.999999999996</v>
      </c>
      <c r="N7" s="46">
        <v>33062.499999999993</v>
      </c>
      <c r="O7" s="46">
        <v>33000</v>
      </c>
      <c r="P7" s="46">
        <v>33000</v>
      </c>
      <c r="Q7" s="46">
        <v>37950</v>
      </c>
      <c r="R7" s="46">
        <v>43642.5</v>
      </c>
      <c r="S7" s="46">
        <v>42000</v>
      </c>
      <c r="T7" s="46">
        <v>42000</v>
      </c>
      <c r="U7" s="46">
        <v>48299.999999999993</v>
      </c>
      <c r="V7" s="46">
        <v>55544.999999999985</v>
      </c>
      <c r="W7" s="46">
        <v>55000</v>
      </c>
      <c r="X7" s="46">
        <v>55000</v>
      </c>
      <c r="Y7" s="46">
        <v>63249.999999999993</v>
      </c>
      <c r="Z7" s="46">
        <v>72737.499999999985</v>
      </c>
      <c r="AA7" s="354">
        <f t="shared" ref="AA7:AA14" si="0">C7/W7</f>
        <v>0</v>
      </c>
      <c r="AB7" s="354">
        <f t="shared" ref="AB7:AB14" si="1">W7/X7</f>
        <v>1</v>
      </c>
    </row>
    <row r="8" spans="1:28" s="353" customFormat="1" ht="76.5">
      <c r="A8" s="6"/>
      <c r="B8" s="6" t="s">
        <v>428</v>
      </c>
      <c r="C8" s="46">
        <v>0</v>
      </c>
      <c r="D8" s="46">
        <v>0</v>
      </c>
      <c r="E8" s="46">
        <v>0</v>
      </c>
      <c r="F8" s="46">
        <v>0</v>
      </c>
      <c r="G8" s="277">
        <v>4985.1632047477742</v>
      </c>
      <c r="H8" s="277">
        <v>4985.1632047477742</v>
      </c>
      <c r="I8" s="277">
        <v>5234.4213649851636</v>
      </c>
      <c r="J8" s="277">
        <v>5496.1424332344222</v>
      </c>
      <c r="K8" s="277">
        <v>7418.3976261127591</v>
      </c>
      <c r="L8" s="277">
        <v>7418.3976261127591</v>
      </c>
      <c r="M8" s="277">
        <v>7789.3175074183973</v>
      </c>
      <c r="N8" s="277">
        <v>8178.7833827893173</v>
      </c>
      <c r="O8" s="277">
        <v>9792.2848664688427</v>
      </c>
      <c r="P8" s="277">
        <v>9792.2848664688427</v>
      </c>
      <c r="Q8" s="277">
        <v>10281.899109792284</v>
      </c>
      <c r="R8" s="277">
        <v>10795.994065281899</v>
      </c>
      <c r="S8" s="277">
        <v>12462.908011869436</v>
      </c>
      <c r="T8" s="277">
        <v>12462.908011869436</v>
      </c>
      <c r="U8" s="277">
        <v>13086.053412462908</v>
      </c>
      <c r="V8" s="277">
        <v>13740.356083086055</v>
      </c>
      <c r="W8" s="277">
        <v>16320.474777448071</v>
      </c>
      <c r="X8" s="277">
        <v>16320.474777448071</v>
      </c>
      <c r="Y8" s="277">
        <v>17136.498516320476</v>
      </c>
      <c r="Z8" s="277">
        <v>17993.323442136501</v>
      </c>
      <c r="AA8" s="354">
        <f t="shared" si="0"/>
        <v>0</v>
      </c>
      <c r="AB8" s="354">
        <f t="shared" si="1"/>
        <v>1</v>
      </c>
    </row>
    <row r="9" spans="1:28" s="353" customFormat="1" ht="89.25">
      <c r="A9" s="6"/>
      <c r="B9" s="6" t="s">
        <v>429</v>
      </c>
      <c r="C9" s="46">
        <v>0</v>
      </c>
      <c r="D9" s="46">
        <v>0</v>
      </c>
      <c r="E9" s="46">
        <v>0</v>
      </c>
      <c r="F9" s="46">
        <v>0</v>
      </c>
      <c r="G9" s="46">
        <v>8000</v>
      </c>
      <c r="H9" s="46">
        <v>8000</v>
      </c>
      <c r="I9" s="46">
        <v>4500</v>
      </c>
      <c r="J9" s="46">
        <v>9000</v>
      </c>
      <c r="K9" s="46">
        <v>10000</v>
      </c>
      <c r="L9" s="46">
        <v>10000</v>
      </c>
      <c r="M9" s="46">
        <v>5700</v>
      </c>
      <c r="N9" s="46">
        <v>10400</v>
      </c>
      <c r="O9" s="46">
        <v>12000</v>
      </c>
      <c r="P9" s="46">
        <v>12000</v>
      </c>
      <c r="Q9" s="46">
        <v>6600</v>
      </c>
      <c r="R9" s="46">
        <v>11500</v>
      </c>
      <c r="S9" s="46">
        <v>14000</v>
      </c>
      <c r="T9" s="46">
        <v>14000</v>
      </c>
      <c r="U9" s="46">
        <v>7700</v>
      </c>
      <c r="V9" s="46">
        <v>13000</v>
      </c>
      <c r="W9" s="46">
        <v>15000</v>
      </c>
      <c r="X9" s="46">
        <v>15000</v>
      </c>
      <c r="Y9" s="46">
        <v>8500</v>
      </c>
      <c r="Z9" s="46">
        <v>16000</v>
      </c>
      <c r="AA9" s="354">
        <f t="shared" si="0"/>
        <v>0</v>
      </c>
      <c r="AB9" s="354">
        <f t="shared" si="1"/>
        <v>1</v>
      </c>
    </row>
    <row r="10" spans="1:28" s="353" customFormat="1" ht="51">
      <c r="A10" s="6"/>
      <c r="B10" s="6" t="s">
        <v>430</v>
      </c>
      <c r="C10" s="46">
        <v>0</v>
      </c>
      <c r="D10" s="46">
        <v>0</v>
      </c>
      <c r="E10" s="46">
        <v>0</v>
      </c>
      <c r="F10" s="46">
        <v>0</v>
      </c>
      <c r="G10" s="46">
        <v>2500</v>
      </c>
      <c r="H10" s="46">
        <v>2500</v>
      </c>
      <c r="I10" s="46">
        <v>2500</v>
      </c>
      <c r="J10" s="46">
        <v>2500</v>
      </c>
      <c r="K10" s="46">
        <v>5000</v>
      </c>
      <c r="L10" s="46">
        <v>5000</v>
      </c>
      <c r="M10" s="46">
        <v>5000</v>
      </c>
      <c r="N10" s="46">
        <v>5000</v>
      </c>
      <c r="O10" s="46">
        <v>10000</v>
      </c>
      <c r="P10" s="46">
        <v>10000</v>
      </c>
      <c r="Q10" s="46">
        <v>10000</v>
      </c>
      <c r="R10" s="46">
        <v>10000</v>
      </c>
      <c r="S10" s="46">
        <v>15000</v>
      </c>
      <c r="T10" s="46">
        <v>15000</v>
      </c>
      <c r="U10" s="46">
        <v>15000</v>
      </c>
      <c r="V10" s="46">
        <v>15000</v>
      </c>
      <c r="W10" s="46">
        <v>20000</v>
      </c>
      <c r="X10" s="46">
        <v>20000</v>
      </c>
      <c r="Y10" s="46">
        <v>20000</v>
      </c>
      <c r="Z10" s="46">
        <v>20000</v>
      </c>
      <c r="AA10" s="354">
        <f t="shared" si="0"/>
        <v>0</v>
      </c>
      <c r="AB10" s="354">
        <f t="shared" si="1"/>
        <v>1</v>
      </c>
    </row>
    <row r="11" spans="1:28" s="353" customFormat="1" ht="41.25" customHeight="1">
      <c r="A11" s="6"/>
      <c r="B11" s="6" t="s">
        <v>431</v>
      </c>
      <c r="C11" s="46">
        <v>0</v>
      </c>
      <c r="D11" s="46">
        <v>0</v>
      </c>
      <c r="E11" s="46">
        <v>0</v>
      </c>
      <c r="F11" s="46">
        <v>0</v>
      </c>
      <c r="G11" s="46">
        <v>30000</v>
      </c>
      <c r="H11" s="46">
        <v>50000</v>
      </c>
      <c r="I11" s="46">
        <v>34000</v>
      </c>
      <c r="J11" s="46">
        <v>40000</v>
      </c>
      <c r="K11" s="46">
        <v>35000</v>
      </c>
      <c r="L11" s="46">
        <v>52500</v>
      </c>
      <c r="M11" s="46">
        <v>40000</v>
      </c>
      <c r="N11" s="46">
        <v>45000</v>
      </c>
      <c r="O11" s="46">
        <v>40000</v>
      </c>
      <c r="P11" s="46">
        <v>62500</v>
      </c>
      <c r="Q11" s="46">
        <v>47500</v>
      </c>
      <c r="R11" s="46">
        <v>60000</v>
      </c>
      <c r="S11" s="46">
        <v>65000</v>
      </c>
      <c r="T11" s="46">
        <v>75000</v>
      </c>
      <c r="U11" s="46">
        <v>60000</v>
      </c>
      <c r="V11" s="46">
        <v>70000</v>
      </c>
      <c r="W11" s="46">
        <v>80000</v>
      </c>
      <c r="X11" s="46">
        <v>87500</v>
      </c>
      <c r="Y11" s="46">
        <v>72500</v>
      </c>
      <c r="Z11" s="46">
        <v>80000</v>
      </c>
      <c r="AA11" s="354">
        <f t="shared" si="0"/>
        <v>0</v>
      </c>
      <c r="AB11" s="354">
        <f t="shared" si="1"/>
        <v>0.91428571428571426</v>
      </c>
    </row>
    <row r="12" spans="1:28" s="353" customFormat="1" ht="64.5" customHeight="1">
      <c r="A12" s="6"/>
      <c r="B12" s="6" t="s">
        <v>432</v>
      </c>
      <c r="C12" s="46">
        <v>0</v>
      </c>
      <c r="D12" s="46">
        <v>0</v>
      </c>
      <c r="E12" s="46">
        <v>0</v>
      </c>
      <c r="F12" s="46">
        <v>0</v>
      </c>
      <c r="G12" s="46">
        <v>9000</v>
      </c>
      <c r="H12" s="46">
        <v>9000</v>
      </c>
      <c r="I12" s="46">
        <v>6120</v>
      </c>
      <c r="J12" s="46">
        <v>7200</v>
      </c>
      <c r="K12" s="46">
        <v>9450</v>
      </c>
      <c r="L12" s="46">
        <v>9450</v>
      </c>
      <c r="M12" s="46">
        <v>7200</v>
      </c>
      <c r="N12" s="46">
        <v>8100</v>
      </c>
      <c r="O12" s="46">
        <v>11250</v>
      </c>
      <c r="P12" s="46">
        <v>11250</v>
      </c>
      <c r="Q12" s="46">
        <v>8550</v>
      </c>
      <c r="R12" s="46">
        <v>10800</v>
      </c>
      <c r="S12" s="46">
        <v>13500</v>
      </c>
      <c r="T12" s="46">
        <v>13500</v>
      </c>
      <c r="U12" s="46">
        <v>10800</v>
      </c>
      <c r="V12" s="46">
        <v>12600</v>
      </c>
      <c r="W12" s="46">
        <v>15750</v>
      </c>
      <c r="X12" s="46">
        <v>15750</v>
      </c>
      <c r="Y12" s="46">
        <v>13050</v>
      </c>
      <c r="Z12" s="46">
        <v>14400</v>
      </c>
      <c r="AA12" s="354">
        <f t="shared" si="0"/>
        <v>0</v>
      </c>
      <c r="AB12" s="354">
        <f t="shared" si="1"/>
        <v>1</v>
      </c>
    </row>
    <row r="13" spans="1:28" s="353" customFormat="1" ht="63.75">
      <c r="A13" s="6"/>
      <c r="B13" s="6" t="s">
        <v>433</v>
      </c>
      <c r="C13" s="46">
        <v>0</v>
      </c>
      <c r="D13" s="46">
        <v>0</v>
      </c>
      <c r="E13" s="46">
        <v>0</v>
      </c>
      <c r="F13" s="46">
        <v>0</v>
      </c>
      <c r="G13" s="277">
        <v>14159.639999999998</v>
      </c>
      <c r="H13" s="277">
        <v>15103.615999999998</v>
      </c>
      <c r="I13" s="277">
        <v>15103.615999999998</v>
      </c>
      <c r="J13" s="277">
        <v>15103.615999999998</v>
      </c>
      <c r="K13" s="277">
        <v>16613.977599999998</v>
      </c>
      <c r="L13" s="277">
        <v>16613.977599999998</v>
      </c>
      <c r="M13" s="277">
        <v>16613.977599999998</v>
      </c>
      <c r="N13" s="277">
        <v>16613.977599999998</v>
      </c>
      <c r="O13" s="277">
        <v>18275.375360000002</v>
      </c>
      <c r="P13" s="277">
        <v>18275.375360000002</v>
      </c>
      <c r="Q13" s="277">
        <v>18275.375360000002</v>
      </c>
      <c r="R13" s="277">
        <v>18275.375360000002</v>
      </c>
      <c r="S13" s="277">
        <v>20102.912896000002</v>
      </c>
      <c r="T13" s="277">
        <v>20102.912896000002</v>
      </c>
      <c r="U13" s="277">
        <v>20102.912896000002</v>
      </c>
      <c r="V13" s="277">
        <v>20102.912896000002</v>
      </c>
      <c r="W13" s="277">
        <v>22113.204185600007</v>
      </c>
      <c r="X13" s="277">
        <v>22113.204185600007</v>
      </c>
      <c r="Y13" s="277">
        <v>22113.204185600007</v>
      </c>
      <c r="Z13" s="277">
        <v>22113.204185600007</v>
      </c>
      <c r="AA13" s="354">
        <f t="shared" si="0"/>
        <v>0</v>
      </c>
      <c r="AB13" s="354">
        <f t="shared" si="1"/>
        <v>1</v>
      </c>
    </row>
    <row r="14" spans="1:28" s="353" customFormat="1" ht="76.5">
      <c r="A14" s="6"/>
      <c r="B14" s="6" t="s">
        <v>434</v>
      </c>
      <c r="C14" s="46">
        <v>0</v>
      </c>
      <c r="D14" s="46">
        <v>0</v>
      </c>
      <c r="E14" s="46">
        <v>0</v>
      </c>
      <c r="F14" s="46">
        <v>0</v>
      </c>
      <c r="G14" s="46">
        <v>35000</v>
      </c>
      <c r="H14" s="46">
        <v>35000</v>
      </c>
      <c r="I14" s="46">
        <v>23800</v>
      </c>
      <c r="J14" s="46">
        <v>28000</v>
      </c>
      <c r="K14" s="46">
        <v>36750</v>
      </c>
      <c r="L14" s="46">
        <v>36750</v>
      </c>
      <c r="M14" s="46">
        <v>28000</v>
      </c>
      <c r="N14" s="46">
        <v>31499.999999999996</v>
      </c>
      <c r="O14" s="46">
        <v>43750</v>
      </c>
      <c r="P14" s="46">
        <v>43750</v>
      </c>
      <c r="Q14" s="46">
        <v>33250</v>
      </c>
      <c r="R14" s="46">
        <v>42000</v>
      </c>
      <c r="S14" s="46">
        <v>52500</v>
      </c>
      <c r="T14" s="46">
        <v>52500</v>
      </c>
      <c r="U14" s="46">
        <v>42000</v>
      </c>
      <c r="V14" s="46">
        <v>49000</v>
      </c>
      <c r="W14" s="46">
        <v>61249.999999999993</v>
      </c>
      <c r="X14" s="46">
        <v>61249.999999999993</v>
      </c>
      <c r="Y14" s="46">
        <v>50750</v>
      </c>
      <c r="Z14" s="46">
        <v>56000</v>
      </c>
      <c r="AA14" s="354">
        <f t="shared" si="0"/>
        <v>0</v>
      </c>
      <c r="AB14" s="354">
        <f t="shared" si="1"/>
        <v>1</v>
      </c>
    </row>
    <row r="15" spans="1:28" s="353" customFormat="1" ht="25.5">
      <c r="A15" s="6"/>
      <c r="B15" s="6"/>
      <c r="C15" s="6"/>
      <c r="D15" s="6"/>
      <c r="E15" s="6"/>
      <c r="F15" s="6"/>
      <c r="G15" s="46"/>
      <c r="H15" s="46"/>
      <c r="I15" s="46"/>
      <c r="J15" s="46"/>
      <c r="K15" s="46"/>
      <c r="L15" s="46"/>
      <c r="M15" s="46"/>
      <c r="N15" s="46"/>
      <c r="O15" s="46"/>
      <c r="P15" s="46"/>
      <c r="Q15" s="46"/>
      <c r="R15" s="46"/>
      <c r="S15" s="46"/>
      <c r="T15" s="46"/>
      <c r="U15" s="46"/>
      <c r="V15" s="46"/>
      <c r="W15" s="46"/>
      <c r="X15" s="46"/>
      <c r="Y15" s="46"/>
      <c r="Z15" s="212" t="s">
        <v>123</v>
      </c>
      <c r="AA15" s="355">
        <f>AVERAGE(AA6:AA14)</f>
        <v>0</v>
      </c>
      <c r="AB15" s="355">
        <f>AVERAGE(AB6:AB14)</f>
        <v>0.99047619047619051</v>
      </c>
    </row>
    <row r="16" spans="1:28" s="353" customFormat="1" ht="12.75"/>
    <row r="17" spans="1:29" s="353" customFormat="1" ht="12.75">
      <c r="A17" s="668" t="s">
        <v>25</v>
      </c>
      <c r="B17" s="668"/>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row>
    <row r="18" spans="1:29" s="353" customFormat="1" ht="45.75" customHeight="1">
      <c r="A18" s="515" t="s">
        <v>3</v>
      </c>
      <c r="B18" s="518" t="s">
        <v>26</v>
      </c>
      <c r="C18" s="521" t="s">
        <v>27</v>
      </c>
      <c r="D18" s="522"/>
      <c r="E18" s="522"/>
      <c r="F18" s="523"/>
      <c r="G18" s="513" t="s">
        <v>28</v>
      </c>
      <c r="H18" s="513"/>
      <c r="I18" s="513"/>
      <c r="J18" s="513"/>
      <c r="K18" s="513"/>
      <c r="L18" s="513"/>
      <c r="M18" s="513"/>
      <c r="N18" s="513"/>
      <c r="O18" s="513"/>
      <c r="P18" s="513"/>
      <c r="Q18" s="513"/>
      <c r="R18" s="513"/>
      <c r="S18" s="513"/>
      <c r="T18" s="513"/>
      <c r="U18" s="513"/>
      <c r="V18" s="513"/>
      <c r="W18" s="513"/>
      <c r="X18" s="513"/>
      <c r="Y18" s="513"/>
      <c r="Z18" s="513"/>
      <c r="AA18" s="513" t="s">
        <v>124</v>
      </c>
      <c r="AB18" s="513" t="s">
        <v>125</v>
      </c>
    </row>
    <row r="19" spans="1:29" s="353" customFormat="1" ht="45" customHeight="1">
      <c r="A19" s="516"/>
      <c r="B19" s="519"/>
      <c r="C19" s="524"/>
      <c r="D19" s="525"/>
      <c r="E19" s="525"/>
      <c r="F19" s="526"/>
      <c r="G19" s="513" t="s">
        <v>9</v>
      </c>
      <c r="H19" s="513"/>
      <c r="I19" s="513"/>
      <c r="J19" s="513"/>
      <c r="K19" s="513" t="s">
        <v>10</v>
      </c>
      <c r="L19" s="513"/>
      <c r="M19" s="513"/>
      <c r="N19" s="513"/>
      <c r="O19" s="513" t="s">
        <v>11</v>
      </c>
      <c r="P19" s="513"/>
      <c r="Q19" s="513"/>
      <c r="R19" s="513"/>
      <c r="S19" s="513" t="s">
        <v>12</v>
      </c>
      <c r="T19" s="513"/>
      <c r="U19" s="513"/>
      <c r="V19" s="513"/>
      <c r="W19" s="513" t="s">
        <v>13</v>
      </c>
      <c r="X19" s="513"/>
      <c r="Y19" s="513"/>
      <c r="Z19" s="513"/>
      <c r="AA19" s="513" t="s">
        <v>124</v>
      </c>
      <c r="AB19" s="513" t="s">
        <v>125</v>
      </c>
    </row>
    <row r="20" spans="1:29" s="353" customFormat="1" ht="78.75" customHeight="1">
      <c r="A20" s="517"/>
      <c r="B20" s="520"/>
      <c r="C20" s="217" t="s">
        <v>760</v>
      </c>
      <c r="D20" s="217" t="s">
        <v>32</v>
      </c>
      <c r="E20" s="217" t="s">
        <v>33</v>
      </c>
      <c r="F20" s="217" t="s">
        <v>759</v>
      </c>
      <c r="G20" s="217" t="s">
        <v>34</v>
      </c>
      <c r="H20" s="217" t="s">
        <v>32</v>
      </c>
      <c r="I20" s="217" t="s">
        <v>33</v>
      </c>
      <c r="J20" s="217" t="s">
        <v>19</v>
      </c>
      <c r="K20" s="217" t="s">
        <v>34</v>
      </c>
      <c r="L20" s="217" t="s">
        <v>32</v>
      </c>
      <c r="M20" s="217" t="s">
        <v>33</v>
      </c>
      <c r="N20" s="217" t="s">
        <v>19</v>
      </c>
      <c r="O20" s="217" t="s">
        <v>34</v>
      </c>
      <c r="P20" s="217" t="s">
        <v>32</v>
      </c>
      <c r="Q20" s="217" t="s">
        <v>33</v>
      </c>
      <c r="R20" s="217" t="s">
        <v>19</v>
      </c>
      <c r="S20" s="217" t="s">
        <v>34</v>
      </c>
      <c r="T20" s="217" t="s">
        <v>32</v>
      </c>
      <c r="U20" s="217" t="s">
        <v>33</v>
      </c>
      <c r="V20" s="217" t="s">
        <v>19</v>
      </c>
      <c r="W20" s="217" t="s">
        <v>34</v>
      </c>
      <c r="X20" s="217" t="s">
        <v>32</v>
      </c>
      <c r="Y20" s="217" t="s">
        <v>33</v>
      </c>
      <c r="Z20" s="217" t="s">
        <v>19</v>
      </c>
      <c r="AA20" s="513" t="s">
        <v>124</v>
      </c>
      <c r="AB20" s="513" t="s">
        <v>125</v>
      </c>
    </row>
    <row r="21" spans="1:29" s="353" customFormat="1" ht="38.25">
      <c r="A21" s="47"/>
      <c r="B21" s="47" t="s">
        <v>435</v>
      </c>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356"/>
      <c r="AB21" s="356"/>
    </row>
    <row r="22" spans="1:29" s="353" customFormat="1" ht="60.75" customHeight="1">
      <c r="A22" s="6"/>
      <c r="B22" s="6" t="s">
        <v>436</v>
      </c>
      <c r="C22" s="277">
        <v>1150</v>
      </c>
      <c r="D22" s="277">
        <v>2071</v>
      </c>
      <c r="E22" s="277">
        <v>129</v>
      </c>
      <c r="F22" s="277">
        <v>346</v>
      </c>
      <c r="G22" s="277">
        <v>1096.75</v>
      </c>
      <c r="H22" s="277">
        <v>2500</v>
      </c>
      <c r="I22" s="277">
        <v>160</v>
      </c>
      <c r="J22" s="277">
        <v>428</v>
      </c>
      <c r="K22" s="277">
        <v>1864.4749999999999</v>
      </c>
      <c r="L22" s="277">
        <v>4250</v>
      </c>
      <c r="M22" s="277">
        <v>190</v>
      </c>
      <c r="N22" s="277">
        <v>508</v>
      </c>
      <c r="O22" s="277">
        <v>2544.46</v>
      </c>
      <c r="P22" s="277">
        <v>5800</v>
      </c>
      <c r="Q22" s="277">
        <v>210</v>
      </c>
      <c r="R22" s="277">
        <v>563</v>
      </c>
      <c r="S22" s="277">
        <v>3356.0549999999998</v>
      </c>
      <c r="T22" s="277">
        <v>7650</v>
      </c>
      <c r="U22" s="277">
        <v>230</v>
      </c>
      <c r="V22" s="277">
        <v>615</v>
      </c>
      <c r="W22" s="277">
        <v>4437</v>
      </c>
      <c r="X22" s="277">
        <v>9860</v>
      </c>
      <c r="Y22" s="277">
        <v>260</v>
      </c>
      <c r="Z22" s="277">
        <v>710</v>
      </c>
      <c r="AA22" s="357">
        <f>C22/W22</f>
        <v>0.25918413342348434</v>
      </c>
      <c r="AB22" s="357">
        <f>W22/X22</f>
        <v>0.45</v>
      </c>
      <c r="AC22" s="358"/>
    </row>
    <row r="23" spans="1:29" s="353" customFormat="1" ht="25.5">
      <c r="A23" s="6"/>
      <c r="B23" s="6"/>
      <c r="C23" s="131"/>
      <c r="D23" s="131"/>
      <c r="E23" s="131"/>
      <c r="F23" s="131"/>
      <c r="G23" s="277"/>
      <c r="H23" s="277"/>
      <c r="I23" s="277"/>
      <c r="J23" s="277"/>
      <c r="K23" s="277"/>
      <c r="L23" s="277"/>
      <c r="M23" s="277"/>
      <c r="N23" s="277"/>
      <c r="O23" s="277"/>
      <c r="P23" s="277"/>
      <c r="Q23" s="277"/>
      <c r="R23" s="277"/>
      <c r="S23" s="277"/>
      <c r="T23" s="277"/>
      <c r="U23" s="277"/>
      <c r="V23" s="277"/>
      <c r="W23" s="277"/>
      <c r="X23" s="277"/>
      <c r="Y23" s="277"/>
      <c r="Z23" s="212" t="s">
        <v>123</v>
      </c>
      <c r="AA23" s="359">
        <f>AVERAGE(AA22)</f>
        <v>0.25918413342348434</v>
      </c>
      <c r="AB23" s="359">
        <f>AVERAGE(AB22)</f>
        <v>0.45</v>
      </c>
    </row>
    <row r="25" spans="1:29">
      <c r="A25" s="9"/>
      <c r="B25" s="9" t="s">
        <v>40</v>
      </c>
    </row>
    <row r="27" spans="1:29" ht="31.5" customHeight="1">
      <c r="A27" s="10" t="s">
        <v>41</v>
      </c>
      <c r="B27" s="509" t="s">
        <v>42</v>
      </c>
      <c r="C27" s="509"/>
      <c r="D27" s="509"/>
      <c r="E27" s="509"/>
      <c r="F27" s="509"/>
      <c r="G27" s="509"/>
      <c r="H27" s="509"/>
      <c r="I27" s="509"/>
      <c r="J27" s="509"/>
      <c r="K27" s="509"/>
      <c r="L27" s="509"/>
      <c r="M27" s="509"/>
      <c r="N27" s="509"/>
      <c r="O27" s="509"/>
      <c r="P27" s="509"/>
      <c r="Q27" s="509"/>
      <c r="R27" s="509"/>
    </row>
    <row r="28" spans="1:29" ht="31.5" customHeight="1">
      <c r="A28" s="10" t="s">
        <v>43</v>
      </c>
      <c r="B28" s="509" t="s">
        <v>44</v>
      </c>
      <c r="C28" s="509"/>
      <c r="D28" s="509"/>
      <c r="E28" s="509"/>
      <c r="F28" s="509"/>
      <c r="G28" s="509"/>
      <c r="H28" s="509"/>
      <c r="I28" s="509"/>
      <c r="J28" s="509"/>
      <c r="K28" s="509"/>
      <c r="L28" s="509"/>
      <c r="M28" s="509"/>
      <c r="N28" s="509"/>
      <c r="O28" s="509"/>
      <c r="P28" s="509"/>
      <c r="Q28" s="509"/>
      <c r="R28" s="509"/>
    </row>
    <row r="29" spans="1:29" ht="31.5" customHeight="1">
      <c r="B29" s="509" t="s">
        <v>45</v>
      </c>
      <c r="C29" s="509"/>
      <c r="D29" s="509"/>
      <c r="E29" s="509"/>
      <c r="F29" s="509"/>
      <c r="G29" s="509"/>
      <c r="H29" s="509"/>
      <c r="I29" s="509"/>
      <c r="J29" s="509"/>
      <c r="K29" s="509"/>
      <c r="L29" s="509"/>
      <c r="M29" s="509"/>
      <c r="N29" s="509"/>
      <c r="O29" s="509"/>
      <c r="P29" s="509"/>
      <c r="Q29" s="509"/>
      <c r="R29" s="509"/>
    </row>
    <row r="30" spans="1:29" ht="31.5" customHeight="1">
      <c r="B30" s="509" t="s">
        <v>46</v>
      </c>
      <c r="C30" s="509"/>
      <c r="D30" s="509"/>
      <c r="E30" s="509"/>
      <c r="F30" s="509"/>
      <c r="G30" s="509"/>
      <c r="H30" s="509"/>
      <c r="I30" s="509"/>
      <c r="J30" s="509"/>
      <c r="K30" s="509"/>
      <c r="L30" s="509"/>
      <c r="M30" s="509"/>
      <c r="N30" s="509"/>
      <c r="O30" s="509"/>
      <c r="P30" s="509"/>
      <c r="Q30" s="509"/>
      <c r="R30" s="509"/>
    </row>
    <row r="31" spans="1:29" ht="31.5" customHeight="1">
      <c r="B31" s="509" t="s">
        <v>47</v>
      </c>
      <c r="C31" s="509"/>
      <c r="D31" s="509"/>
      <c r="E31" s="509"/>
      <c r="F31" s="509"/>
      <c r="G31" s="509"/>
      <c r="H31" s="509"/>
      <c r="I31" s="509"/>
      <c r="J31" s="509"/>
      <c r="K31" s="509"/>
      <c r="L31" s="509"/>
      <c r="M31" s="509"/>
      <c r="N31" s="509"/>
      <c r="O31" s="509"/>
      <c r="P31" s="509"/>
      <c r="Q31" s="509"/>
      <c r="R31" s="509"/>
    </row>
    <row r="32" spans="1:29" ht="31.5" customHeight="1">
      <c r="B32" s="509" t="s">
        <v>48</v>
      </c>
      <c r="C32" s="509"/>
      <c r="D32" s="509"/>
      <c r="E32" s="509"/>
      <c r="F32" s="509"/>
      <c r="G32" s="509"/>
      <c r="H32" s="509"/>
      <c r="I32" s="509"/>
      <c r="J32" s="509"/>
      <c r="K32" s="509"/>
      <c r="L32" s="509"/>
      <c r="M32" s="509"/>
      <c r="N32" s="509"/>
      <c r="O32" s="509"/>
      <c r="P32" s="509"/>
      <c r="Q32" s="509"/>
      <c r="R32" s="509"/>
    </row>
    <row r="33" spans="2:18" ht="73.5" customHeight="1">
      <c r="B33" s="509" t="s">
        <v>49</v>
      </c>
      <c r="C33" s="509"/>
      <c r="D33" s="509"/>
      <c r="E33" s="509"/>
      <c r="F33" s="509"/>
      <c r="G33" s="509"/>
      <c r="H33" s="509"/>
      <c r="I33" s="509"/>
      <c r="J33" s="509"/>
      <c r="K33" s="509"/>
      <c r="L33" s="509"/>
      <c r="M33" s="509"/>
      <c r="N33" s="509"/>
      <c r="O33" s="509"/>
      <c r="P33" s="509"/>
      <c r="Q33" s="509"/>
      <c r="R33" s="509"/>
    </row>
    <row r="34" spans="2:18" ht="39" customHeight="1">
      <c r="B34" s="509" t="s">
        <v>50</v>
      </c>
      <c r="C34" s="509"/>
      <c r="D34" s="509"/>
      <c r="E34" s="509"/>
      <c r="F34" s="509"/>
      <c r="G34" s="509"/>
      <c r="H34" s="509"/>
      <c r="I34" s="509"/>
      <c r="J34" s="509"/>
      <c r="K34" s="509"/>
      <c r="L34" s="509"/>
      <c r="M34" s="509"/>
      <c r="N34" s="509"/>
      <c r="O34" s="509"/>
      <c r="P34" s="509"/>
      <c r="Q34" s="509"/>
      <c r="R34" s="509"/>
    </row>
    <row r="35" spans="2:18">
      <c r="B35" s="11"/>
    </row>
    <row r="36" spans="2:18">
      <c r="B36" s="11"/>
    </row>
    <row r="38" spans="2:18">
      <c r="B38" s="11"/>
    </row>
  </sheetData>
  <mergeCells count="34">
    <mergeCell ref="B33:R33"/>
    <mergeCell ref="B34:R34"/>
    <mergeCell ref="B27:R27"/>
    <mergeCell ref="B28:R28"/>
    <mergeCell ref="B29:R29"/>
    <mergeCell ref="B30:R30"/>
    <mergeCell ref="B31:R31"/>
    <mergeCell ref="B32:R32"/>
    <mergeCell ref="AB18:AB20"/>
    <mergeCell ref="G19:J19"/>
    <mergeCell ref="K19:N19"/>
    <mergeCell ref="O19:R19"/>
    <mergeCell ref="S19:V19"/>
    <mergeCell ref="W19:Z19"/>
    <mergeCell ref="AA18:AA20"/>
    <mergeCell ref="A17:Z17"/>
    <mergeCell ref="A18:A20"/>
    <mergeCell ref="B18:B20"/>
    <mergeCell ref="C18:F19"/>
    <mergeCell ref="G18:Z18"/>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BB35"/>
  <sheetViews>
    <sheetView topLeftCell="R3" workbookViewId="0">
      <selection activeCell="B25" sqref="B24:R25"/>
    </sheetView>
  </sheetViews>
  <sheetFormatPr defaultRowHeight="15"/>
  <cols>
    <col min="1" max="1" width="5" customWidth="1"/>
    <col min="2" max="2" width="15.85546875" customWidth="1"/>
    <col min="3" max="6" width="7.7109375" customWidth="1"/>
    <col min="7" max="25" width="7" customWidth="1"/>
    <col min="26" max="26" width="9.140625" customWidth="1"/>
  </cols>
  <sheetData>
    <row r="1" spans="1:54" s="1" customFormat="1" ht="30" customHeight="1">
      <c r="A1" s="529" t="s">
        <v>0</v>
      </c>
      <c r="B1" s="529"/>
      <c r="C1" s="529"/>
      <c r="D1" s="529"/>
      <c r="E1" s="529"/>
      <c r="F1" s="530" t="s">
        <v>437</v>
      </c>
      <c r="G1" s="530"/>
      <c r="H1" s="530"/>
      <c r="I1" s="530"/>
      <c r="J1" s="530"/>
      <c r="K1" s="530"/>
      <c r="L1" s="530"/>
      <c r="M1" s="530"/>
      <c r="N1" s="530"/>
      <c r="O1" s="530"/>
      <c r="P1" s="530"/>
      <c r="Q1" s="530"/>
      <c r="R1" s="530"/>
    </row>
    <row r="2" spans="1:54"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54"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0" t="s">
        <v>7</v>
      </c>
      <c r="AB3" s="510" t="s">
        <v>8</v>
      </c>
    </row>
    <row r="4" spans="1:54"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633"/>
      <c r="AB4" s="633"/>
    </row>
    <row r="5" spans="1:54" ht="129.75" customHeight="1">
      <c r="A5" s="517"/>
      <c r="B5" s="520"/>
      <c r="C5" s="5" t="s">
        <v>14</v>
      </c>
      <c r="D5" s="5" t="s">
        <v>15</v>
      </c>
      <c r="E5" s="5" t="s">
        <v>18</v>
      </c>
      <c r="F5" s="5" t="s">
        <v>19</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634"/>
      <c r="AB5" s="634"/>
    </row>
    <row r="6" spans="1:54" ht="63.75">
      <c r="A6" s="6" t="s">
        <v>20</v>
      </c>
      <c r="B6" s="6" t="s">
        <v>438</v>
      </c>
      <c r="C6" s="6">
        <v>0</v>
      </c>
      <c r="D6" s="6">
        <v>12000</v>
      </c>
      <c r="E6" s="6">
        <v>0</v>
      </c>
      <c r="F6" s="6">
        <v>12000</v>
      </c>
      <c r="G6" s="6">
        <v>1200</v>
      </c>
      <c r="H6" s="6">
        <v>12000</v>
      </c>
      <c r="I6" s="6">
        <v>1200</v>
      </c>
      <c r="J6" s="6">
        <v>12000</v>
      </c>
      <c r="K6" s="6">
        <v>1800</v>
      </c>
      <c r="L6" s="6">
        <v>12000</v>
      </c>
      <c r="M6" s="6">
        <v>1800</v>
      </c>
      <c r="N6" s="6">
        <v>12000</v>
      </c>
      <c r="O6" s="6">
        <v>2400</v>
      </c>
      <c r="P6" s="6">
        <v>12000</v>
      </c>
      <c r="Q6" s="6">
        <v>2400</v>
      </c>
      <c r="R6" s="6">
        <v>12000</v>
      </c>
      <c r="S6" s="6">
        <v>3000</v>
      </c>
      <c r="T6" s="6">
        <v>12000</v>
      </c>
      <c r="U6" s="6">
        <v>3000</v>
      </c>
      <c r="V6" s="6">
        <v>12000</v>
      </c>
      <c r="W6" s="6">
        <v>3600</v>
      </c>
      <c r="X6" s="6">
        <v>12000</v>
      </c>
      <c r="Y6" s="6">
        <v>3600</v>
      </c>
      <c r="Z6" s="6">
        <v>12000</v>
      </c>
      <c r="AA6" s="213">
        <f>C6/W6</f>
        <v>0</v>
      </c>
      <c r="AB6" s="213">
        <f>W6/X6</f>
        <v>0.3</v>
      </c>
    </row>
    <row r="7" spans="1:54" ht="51">
      <c r="A7" s="6" t="s">
        <v>22</v>
      </c>
      <c r="B7" s="6" t="s">
        <v>439</v>
      </c>
      <c r="C7" s="6">
        <v>0</v>
      </c>
      <c r="D7" s="6">
        <v>7000</v>
      </c>
      <c r="E7" s="6">
        <v>0</v>
      </c>
      <c r="F7" s="6">
        <v>7000</v>
      </c>
      <c r="G7" s="6">
        <v>700</v>
      </c>
      <c r="H7" s="6">
        <v>7000</v>
      </c>
      <c r="I7" s="6">
        <v>700</v>
      </c>
      <c r="J7" s="6">
        <v>7000</v>
      </c>
      <c r="K7" s="6">
        <v>1050</v>
      </c>
      <c r="L7" s="6">
        <v>7000</v>
      </c>
      <c r="M7" s="6">
        <v>1050</v>
      </c>
      <c r="N7" s="6">
        <v>7000</v>
      </c>
      <c r="O7" s="6">
        <v>1400</v>
      </c>
      <c r="P7" s="6">
        <v>7000</v>
      </c>
      <c r="Q7" s="6">
        <v>1400</v>
      </c>
      <c r="R7" s="6">
        <v>7000</v>
      </c>
      <c r="S7" s="6">
        <v>1750</v>
      </c>
      <c r="T7" s="6">
        <v>7000</v>
      </c>
      <c r="U7" s="6">
        <v>1750</v>
      </c>
      <c r="V7" s="6">
        <v>7000</v>
      </c>
      <c r="W7" s="6">
        <v>2100</v>
      </c>
      <c r="X7" s="6">
        <v>7000</v>
      </c>
      <c r="Y7" s="6">
        <v>2100</v>
      </c>
      <c r="Z7" s="6">
        <v>7000</v>
      </c>
      <c r="AA7" s="213">
        <f t="shared" ref="AA7:AA9" si="0">C7/W7</f>
        <v>0</v>
      </c>
      <c r="AB7" s="213">
        <f t="shared" ref="AB7:AB9" si="1">W7/X7</f>
        <v>0.3</v>
      </c>
    </row>
    <row r="8" spans="1:54" ht="63.75">
      <c r="A8" s="6" t="s">
        <v>61</v>
      </c>
      <c r="B8" s="6" t="s">
        <v>440</v>
      </c>
      <c r="C8" s="6">
        <v>0</v>
      </c>
      <c r="D8" s="6">
        <v>3000</v>
      </c>
      <c r="E8" s="6">
        <v>0</v>
      </c>
      <c r="F8" s="6">
        <v>3000</v>
      </c>
      <c r="G8" s="6">
        <v>300</v>
      </c>
      <c r="H8" s="6">
        <v>3000</v>
      </c>
      <c r="I8" s="6">
        <v>300</v>
      </c>
      <c r="J8" s="6">
        <v>3000</v>
      </c>
      <c r="K8" s="6">
        <v>450</v>
      </c>
      <c r="L8" s="6">
        <v>3000</v>
      </c>
      <c r="M8" s="6">
        <v>450</v>
      </c>
      <c r="N8" s="6">
        <v>3000</v>
      </c>
      <c r="O8" s="6">
        <v>600</v>
      </c>
      <c r="P8" s="6">
        <v>3000</v>
      </c>
      <c r="Q8" s="6">
        <v>600</v>
      </c>
      <c r="R8" s="6">
        <v>3000</v>
      </c>
      <c r="S8" s="6">
        <v>750</v>
      </c>
      <c r="T8" s="6">
        <v>3000</v>
      </c>
      <c r="U8" s="6">
        <v>750</v>
      </c>
      <c r="V8" s="6">
        <v>3000</v>
      </c>
      <c r="W8" s="6">
        <v>900</v>
      </c>
      <c r="X8" s="6">
        <v>3000</v>
      </c>
      <c r="Y8" s="6">
        <v>900</v>
      </c>
      <c r="Z8" s="6">
        <v>3000</v>
      </c>
      <c r="AA8" s="213">
        <f t="shared" si="0"/>
        <v>0</v>
      </c>
      <c r="AB8" s="213">
        <f t="shared" si="1"/>
        <v>0.3</v>
      </c>
    </row>
    <row r="9" spans="1:54" ht="41.25" customHeight="1">
      <c r="A9" s="80" t="s">
        <v>63</v>
      </c>
      <c r="B9" s="80" t="s">
        <v>441</v>
      </c>
      <c r="C9" s="80">
        <v>0</v>
      </c>
      <c r="D9" s="80">
        <v>0</v>
      </c>
      <c r="E9" s="80">
        <v>0</v>
      </c>
      <c r="F9" s="80">
        <v>0</v>
      </c>
      <c r="G9" s="80">
        <v>50</v>
      </c>
      <c r="H9" s="80">
        <v>500</v>
      </c>
      <c r="I9" s="80">
        <v>50</v>
      </c>
      <c r="J9" s="80">
        <v>500</v>
      </c>
      <c r="K9" s="80">
        <v>75</v>
      </c>
      <c r="L9" s="80">
        <v>500</v>
      </c>
      <c r="M9" s="80">
        <v>75</v>
      </c>
      <c r="N9" s="80">
        <v>500</v>
      </c>
      <c r="O9" s="80">
        <v>100</v>
      </c>
      <c r="P9" s="80">
        <v>500</v>
      </c>
      <c r="Q9" s="80">
        <v>100</v>
      </c>
      <c r="R9" s="80">
        <v>500</v>
      </c>
      <c r="S9" s="80">
        <v>125</v>
      </c>
      <c r="T9" s="80">
        <v>500</v>
      </c>
      <c r="U9" s="80">
        <v>125</v>
      </c>
      <c r="V9" s="80">
        <v>500</v>
      </c>
      <c r="W9" s="80">
        <v>150</v>
      </c>
      <c r="X9" s="80">
        <v>500</v>
      </c>
      <c r="Y9" s="80">
        <v>150</v>
      </c>
      <c r="Z9" s="80">
        <v>500</v>
      </c>
      <c r="AA9" s="213">
        <f t="shared" si="0"/>
        <v>0</v>
      </c>
      <c r="AB9" s="213">
        <f t="shared" si="1"/>
        <v>0.3</v>
      </c>
    </row>
    <row r="10" spans="1:54" s="87" customFormat="1" ht="75" customHeight="1">
      <c r="A10" s="49" t="s">
        <v>136</v>
      </c>
      <c r="B10" s="49" t="s">
        <v>442</v>
      </c>
      <c r="C10" s="177"/>
      <c r="D10" s="177"/>
      <c r="E10" s="177"/>
      <c r="F10" s="177"/>
      <c r="G10" s="177"/>
      <c r="H10" s="177"/>
      <c r="I10" s="187"/>
      <c r="J10" s="187"/>
      <c r="K10" s="177"/>
      <c r="L10" s="177"/>
      <c r="M10" s="187"/>
      <c r="N10" s="187"/>
      <c r="O10" s="177"/>
      <c r="P10" s="177"/>
      <c r="Q10" s="187"/>
      <c r="R10" s="187"/>
      <c r="S10" s="177"/>
      <c r="T10" s="177"/>
      <c r="U10" s="187"/>
      <c r="V10" s="187"/>
      <c r="W10" s="177"/>
      <c r="X10" s="177"/>
      <c r="Y10" s="187"/>
      <c r="Z10" s="167" t="s">
        <v>123</v>
      </c>
      <c r="AA10" s="213">
        <f>AVERAGE(AA6:AA9)</f>
        <v>0</v>
      </c>
      <c r="AB10" s="297">
        <f>AVERAGE(AB6:AB9)</f>
        <v>0.3</v>
      </c>
      <c r="AC10" s="81"/>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3"/>
    </row>
    <row r="11" spans="1:54" s="670" customFormat="1" ht="92.25" customHeight="1">
      <c r="A11" s="669" t="s">
        <v>443</v>
      </c>
      <c r="B11" s="669"/>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row>
    <row r="12" spans="1:54" ht="23.25">
      <c r="A12" s="514" t="s">
        <v>25</v>
      </c>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row>
    <row r="13" spans="1:54" ht="45.75" customHeight="1">
      <c r="A13" s="515" t="s">
        <v>3</v>
      </c>
      <c r="B13" s="518" t="s">
        <v>26</v>
      </c>
      <c r="C13" s="521" t="s">
        <v>444</v>
      </c>
      <c r="D13" s="522"/>
      <c r="E13" s="522"/>
      <c r="F13" s="523"/>
      <c r="G13" s="513" t="s">
        <v>28</v>
      </c>
      <c r="H13" s="513"/>
      <c r="I13" s="513"/>
      <c r="J13" s="513"/>
      <c r="K13" s="513"/>
      <c r="L13" s="513"/>
      <c r="M13" s="513"/>
      <c r="N13" s="513"/>
      <c r="O13" s="513"/>
      <c r="P13" s="513"/>
      <c r="Q13" s="513"/>
      <c r="R13" s="513"/>
      <c r="S13" s="513"/>
      <c r="T13" s="513"/>
      <c r="U13" s="513"/>
      <c r="V13" s="513"/>
      <c r="W13" s="513"/>
      <c r="X13" s="513"/>
      <c r="Y13" s="513"/>
      <c r="Z13" s="604"/>
      <c r="AA13" s="515" t="s">
        <v>29</v>
      </c>
      <c r="AB13" s="510" t="s">
        <v>30</v>
      </c>
    </row>
    <row r="14" spans="1:54" ht="45" customHeight="1">
      <c r="A14" s="516"/>
      <c r="B14" s="519"/>
      <c r="C14" s="524"/>
      <c r="D14" s="525"/>
      <c r="E14" s="525"/>
      <c r="F14" s="526"/>
      <c r="G14" s="513" t="s">
        <v>9</v>
      </c>
      <c r="H14" s="513"/>
      <c r="I14" s="513"/>
      <c r="J14" s="513"/>
      <c r="K14" s="513" t="s">
        <v>10</v>
      </c>
      <c r="L14" s="513"/>
      <c r="M14" s="513"/>
      <c r="N14" s="513"/>
      <c r="O14" s="513" t="s">
        <v>11</v>
      </c>
      <c r="P14" s="513"/>
      <c r="Q14" s="513"/>
      <c r="R14" s="513"/>
      <c r="S14" s="513" t="s">
        <v>12</v>
      </c>
      <c r="T14" s="513"/>
      <c r="U14" s="513"/>
      <c r="V14" s="513"/>
      <c r="W14" s="513" t="s">
        <v>13</v>
      </c>
      <c r="X14" s="513"/>
      <c r="Y14" s="513"/>
      <c r="Z14" s="604"/>
      <c r="AA14" s="516"/>
      <c r="AB14" s="633"/>
    </row>
    <row r="15" spans="1:54" ht="169.5" customHeight="1">
      <c r="A15" s="517"/>
      <c r="B15" s="520"/>
      <c r="C15" s="5" t="s">
        <v>34</v>
      </c>
      <c r="D15" s="5" t="s">
        <v>32</v>
      </c>
      <c r="E15" s="5" t="s">
        <v>33</v>
      </c>
      <c r="F15" s="5" t="s">
        <v>445</v>
      </c>
      <c r="G15" s="5" t="s">
        <v>34</v>
      </c>
      <c r="H15" s="5" t="s">
        <v>32</v>
      </c>
      <c r="I15" s="5" t="s">
        <v>33</v>
      </c>
      <c r="J15" s="5" t="s">
        <v>19</v>
      </c>
      <c r="K15" s="5" t="s">
        <v>34</v>
      </c>
      <c r="L15" s="5" t="s">
        <v>32</v>
      </c>
      <c r="M15" s="5" t="s">
        <v>33</v>
      </c>
      <c r="N15" s="5" t="s">
        <v>19</v>
      </c>
      <c r="O15" s="5" t="s">
        <v>34</v>
      </c>
      <c r="P15" s="5" t="s">
        <v>32</v>
      </c>
      <c r="Q15" s="5" t="s">
        <v>33</v>
      </c>
      <c r="R15" s="5" t="s">
        <v>19</v>
      </c>
      <c r="S15" s="5" t="s">
        <v>34</v>
      </c>
      <c r="T15" s="5" t="s">
        <v>32</v>
      </c>
      <c r="U15" s="5" t="s">
        <v>33</v>
      </c>
      <c r="V15" s="5" t="s">
        <v>19</v>
      </c>
      <c r="W15" s="5" t="s">
        <v>34</v>
      </c>
      <c r="X15" s="5" t="s">
        <v>32</v>
      </c>
      <c r="Y15" s="5" t="s">
        <v>33</v>
      </c>
      <c r="Z15" s="84" t="s">
        <v>19</v>
      </c>
      <c r="AA15" s="517"/>
      <c r="AB15" s="634"/>
    </row>
    <row r="16" spans="1:54" ht="63.75">
      <c r="A16" s="6" t="s">
        <v>20</v>
      </c>
      <c r="B16" s="6" t="s">
        <v>437</v>
      </c>
      <c r="C16" s="6"/>
      <c r="D16" s="6"/>
      <c r="E16" s="6"/>
      <c r="F16" s="6"/>
      <c r="G16" s="6"/>
      <c r="H16" s="6"/>
      <c r="I16" s="6"/>
      <c r="J16" s="6"/>
      <c r="K16" s="6"/>
      <c r="L16" s="6"/>
      <c r="M16" s="6"/>
      <c r="N16" s="6"/>
      <c r="O16" s="6"/>
      <c r="P16" s="6"/>
      <c r="Q16" s="6"/>
      <c r="R16" s="6"/>
      <c r="S16" s="6"/>
      <c r="T16" s="6"/>
      <c r="U16" s="6"/>
      <c r="V16" s="6"/>
      <c r="W16" s="6"/>
      <c r="X16" s="6"/>
      <c r="Y16" s="6"/>
      <c r="Z16" s="40"/>
      <c r="AA16" s="263"/>
      <c r="AB16" s="263"/>
    </row>
    <row r="17" spans="1:28" ht="25.5">
      <c r="A17" s="6" t="s">
        <v>36</v>
      </c>
      <c r="B17" s="6" t="s">
        <v>446</v>
      </c>
      <c r="C17" s="6">
        <v>0</v>
      </c>
      <c r="D17" s="6">
        <v>0</v>
      </c>
      <c r="E17" s="6">
        <v>0</v>
      </c>
      <c r="F17" s="6">
        <v>150</v>
      </c>
      <c r="G17" s="6">
        <v>60000</v>
      </c>
      <c r="H17" s="6">
        <v>60000</v>
      </c>
      <c r="I17" s="6">
        <v>150</v>
      </c>
      <c r="J17" s="6">
        <v>150</v>
      </c>
      <c r="K17" s="6">
        <v>60000</v>
      </c>
      <c r="L17" s="6">
        <v>60000</v>
      </c>
      <c r="M17" s="6">
        <v>150</v>
      </c>
      <c r="N17" s="80">
        <v>150</v>
      </c>
      <c r="O17" s="6">
        <v>60000</v>
      </c>
      <c r="P17" s="6">
        <v>60000</v>
      </c>
      <c r="Q17" s="6">
        <v>150</v>
      </c>
      <c r="R17" s="6">
        <v>150</v>
      </c>
      <c r="S17" s="6">
        <v>60000</v>
      </c>
      <c r="T17" s="6">
        <v>60000</v>
      </c>
      <c r="U17" s="6">
        <v>150</v>
      </c>
      <c r="V17" s="6">
        <v>150</v>
      </c>
      <c r="W17" s="6">
        <v>60000</v>
      </c>
      <c r="X17" s="6">
        <v>60000</v>
      </c>
      <c r="Y17" s="6">
        <v>150</v>
      </c>
      <c r="Z17" s="360">
        <v>150</v>
      </c>
      <c r="AA17" s="465">
        <f>C17/W17</f>
        <v>0</v>
      </c>
      <c r="AB17" s="465">
        <f>W17/X17</f>
        <v>1</v>
      </c>
    </row>
    <row r="18" spans="1:28" ht="51">
      <c r="A18" s="6" t="s">
        <v>38</v>
      </c>
      <c r="B18" s="6" t="s">
        <v>447</v>
      </c>
      <c r="C18" s="6">
        <v>0</v>
      </c>
      <c r="D18" s="6">
        <v>0</v>
      </c>
      <c r="E18" s="6">
        <v>0</v>
      </c>
      <c r="F18" s="6">
        <v>150</v>
      </c>
      <c r="G18" s="6">
        <v>15000</v>
      </c>
      <c r="H18" s="6">
        <v>15000</v>
      </c>
      <c r="I18" s="6">
        <v>150</v>
      </c>
      <c r="J18" s="6">
        <v>150</v>
      </c>
      <c r="K18" s="6">
        <v>15000</v>
      </c>
      <c r="L18" s="6">
        <v>60000</v>
      </c>
      <c r="M18" s="6">
        <v>150</v>
      </c>
      <c r="N18" s="6">
        <v>150</v>
      </c>
      <c r="O18" s="6">
        <v>15000</v>
      </c>
      <c r="P18" s="6">
        <v>15000</v>
      </c>
      <c r="Q18" s="6">
        <v>150</v>
      </c>
      <c r="R18" s="6">
        <v>150</v>
      </c>
      <c r="S18" s="6">
        <v>15000</v>
      </c>
      <c r="T18" s="6">
        <v>15000</v>
      </c>
      <c r="U18" s="6">
        <v>150</v>
      </c>
      <c r="V18" s="6">
        <v>150</v>
      </c>
      <c r="W18" s="6">
        <v>15000</v>
      </c>
      <c r="X18" s="6">
        <v>15000</v>
      </c>
      <c r="Y18" s="6">
        <v>150</v>
      </c>
      <c r="Z18" s="360">
        <v>150</v>
      </c>
      <c r="AA18" s="465">
        <f t="shared" ref="AA18:AA19" si="2">C18/W18</f>
        <v>0</v>
      </c>
      <c r="AB18" s="465">
        <f t="shared" ref="AB18:AB19" si="3">W18/X18</f>
        <v>1</v>
      </c>
    </row>
    <row r="19" spans="1:28" ht="79.5">
      <c r="A19" s="184" t="s">
        <v>73</v>
      </c>
      <c r="B19" s="6" t="s">
        <v>448</v>
      </c>
      <c r="C19" s="6">
        <v>0</v>
      </c>
      <c r="D19" s="6">
        <v>0</v>
      </c>
      <c r="E19" s="6">
        <v>0</v>
      </c>
      <c r="F19" s="6">
        <v>150</v>
      </c>
      <c r="G19" s="6">
        <v>20000</v>
      </c>
      <c r="H19" s="6">
        <v>22000</v>
      </c>
      <c r="I19" s="6">
        <v>150</v>
      </c>
      <c r="J19" s="6">
        <v>150</v>
      </c>
      <c r="K19" s="6">
        <v>20000</v>
      </c>
      <c r="L19" s="6">
        <v>22000</v>
      </c>
      <c r="M19" s="6">
        <v>150</v>
      </c>
      <c r="N19" s="6">
        <v>150</v>
      </c>
      <c r="O19" s="6">
        <v>20000</v>
      </c>
      <c r="P19" s="6">
        <v>22000</v>
      </c>
      <c r="Q19" s="6">
        <v>150</v>
      </c>
      <c r="R19" s="6">
        <v>150</v>
      </c>
      <c r="S19" s="6">
        <v>20000</v>
      </c>
      <c r="T19" s="6">
        <v>22000</v>
      </c>
      <c r="U19" s="6">
        <v>150</v>
      </c>
      <c r="V19" s="6">
        <v>150</v>
      </c>
      <c r="W19" s="6">
        <v>20000</v>
      </c>
      <c r="X19" s="6">
        <v>22000</v>
      </c>
      <c r="Y19" s="6">
        <v>150</v>
      </c>
      <c r="Z19" s="360">
        <v>150</v>
      </c>
      <c r="AA19" s="465">
        <f t="shared" si="2"/>
        <v>0</v>
      </c>
      <c r="AB19" s="465">
        <f t="shared" si="3"/>
        <v>0.90909090909090906</v>
      </c>
    </row>
    <row r="20" spans="1:28" ht="33" customHeight="1">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67" t="s">
        <v>123</v>
      </c>
      <c r="AA20" s="466">
        <f>AVERAGE(AA17:AA19)</f>
        <v>0</v>
      </c>
      <c r="AB20" s="466">
        <f>AVERAGE(AB17:AB19)</f>
        <v>0.96969696969696972</v>
      </c>
    </row>
    <row r="21" spans="1:28" ht="17.25">
      <c r="A21" s="185" t="s">
        <v>449</v>
      </c>
    </row>
    <row r="22" spans="1:28" s="671" customFormat="1" ht="24.75" customHeight="1">
      <c r="A22" s="671" t="s">
        <v>450</v>
      </c>
    </row>
    <row r="23" spans="1:28" s="672" customFormat="1"/>
    <row r="24" spans="1:28" ht="31.5" customHeight="1">
      <c r="A24" s="10"/>
      <c r="B24" s="509"/>
      <c r="C24" s="509"/>
      <c r="D24" s="509"/>
      <c r="E24" s="509"/>
      <c r="F24" s="509"/>
      <c r="G24" s="509"/>
      <c r="H24" s="509"/>
      <c r="I24" s="509"/>
      <c r="J24" s="509"/>
      <c r="K24" s="509"/>
      <c r="L24" s="509"/>
      <c r="M24" s="509"/>
      <c r="N24" s="509"/>
      <c r="O24" s="509"/>
      <c r="P24" s="509"/>
      <c r="Q24" s="509"/>
      <c r="R24" s="509"/>
    </row>
    <row r="25" spans="1:28" ht="31.5" customHeight="1">
      <c r="A25" s="10"/>
      <c r="B25" s="509"/>
      <c r="C25" s="509"/>
      <c r="D25" s="509"/>
      <c r="E25" s="509"/>
      <c r="F25" s="509"/>
      <c r="G25" s="509"/>
      <c r="H25" s="509"/>
      <c r="I25" s="509"/>
      <c r="J25" s="509"/>
      <c r="K25" s="509"/>
      <c r="L25" s="509"/>
      <c r="M25" s="509"/>
      <c r="N25" s="509"/>
      <c r="O25" s="509"/>
      <c r="P25" s="509"/>
      <c r="Q25" s="509"/>
      <c r="R25" s="509"/>
    </row>
    <row r="26" spans="1:28" ht="31.5" customHeight="1">
      <c r="B26" s="509"/>
      <c r="C26" s="509"/>
      <c r="D26" s="509"/>
      <c r="E26" s="509"/>
      <c r="F26" s="509"/>
      <c r="G26" s="509"/>
      <c r="H26" s="509"/>
      <c r="I26" s="509"/>
      <c r="J26" s="509"/>
      <c r="K26" s="509"/>
      <c r="L26" s="509"/>
      <c r="M26" s="509"/>
      <c r="N26" s="509"/>
      <c r="O26" s="509"/>
      <c r="P26" s="509"/>
      <c r="Q26" s="509"/>
      <c r="R26" s="509"/>
    </row>
    <row r="27" spans="1:28" ht="31.5" customHeight="1">
      <c r="B27" s="509"/>
      <c r="C27" s="509"/>
      <c r="D27" s="509"/>
      <c r="E27" s="509"/>
      <c r="F27" s="509"/>
      <c r="G27" s="509"/>
      <c r="H27" s="509"/>
      <c r="I27" s="509"/>
      <c r="J27" s="509"/>
      <c r="K27" s="509"/>
      <c r="L27" s="509"/>
      <c r="M27" s="509"/>
      <c r="N27" s="509"/>
      <c r="O27" s="509"/>
      <c r="P27" s="509"/>
      <c r="Q27" s="509"/>
      <c r="R27" s="509"/>
    </row>
    <row r="28" spans="1:28" ht="31.5" customHeight="1">
      <c r="B28" s="509"/>
      <c r="C28" s="509"/>
      <c r="D28" s="509"/>
      <c r="E28" s="509"/>
      <c r="F28" s="509"/>
      <c r="G28" s="509"/>
      <c r="H28" s="509"/>
      <c r="I28" s="509"/>
      <c r="J28" s="509"/>
      <c r="K28" s="509"/>
      <c r="L28" s="509"/>
      <c r="M28" s="509"/>
      <c r="N28" s="509"/>
      <c r="O28" s="509"/>
      <c r="P28" s="509"/>
      <c r="Q28" s="509"/>
      <c r="R28" s="509"/>
    </row>
    <row r="29" spans="1:28" ht="31.5" customHeight="1">
      <c r="B29" s="509"/>
      <c r="C29" s="509"/>
      <c r="D29" s="509"/>
      <c r="E29" s="509"/>
      <c r="F29" s="509"/>
      <c r="G29" s="509"/>
      <c r="H29" s="509"/>
      <c r="I29" s="509"/>
      <c r="J29" s="509"/>
      <c r="K29" s="509"/>
      <c r="L29" s="509"/>
      <c r="M29" s="509"/>
      <c r="N29" s="509"/>
      <c r="O29" s="509"/>
      <c r="P29" s="509"/>
      <c r="Q29" s="509"/>
      <c r="R29" s="509"/>
    </row>
    <row r="30" spans="1:28" ht="73.5" customHeight="1">
      <c r="B30" s="509"/>
      <c r="C30" s="509"/>
      <c r="D30" s="509"/>
      <c r="E30" s="509"/>
      <c r="F30" s="509"/>
      <c r="G30" s="509"/>
      <c r="H30" s="509"/>
      <c r="I30" s="509"/>
      <c r="J30" s="509"/>
      <c r="K30" s="509"/>
      <c r="L30" s="509"/>
      <c r="M30" s="509"/>
      <c r="N30" s="509"/>
      <c r="O30" s="509"/>
      <c r="P30" s="509"/>
      <c r="Q30" s="509"/>
      <c r="R30" s="509"/>
    </row>
    <row r="31" spans="1:28" ht="39" customHeight="1">
      <c r="B31" s="509"/>
      <c r="C31" s="509"/>
      <c r="D31" s="509"/>
      <c r="E31" s="509"/>
      <c r="F31" s="509"/>
      <c r="G31" s="509"/>
      <c r="H31" s="509"/>
      <c r="I31" s="509"/>
      <c r="J31" s="509"/>
      <c r="K31" s="509"/>
      <c r="L31" s="509"/>
      <c r="M31" s="509"/>
      <c r="N31" s="509"/>
      <c r="O31" s="509"/>
      <c r="P31" s="509"/>
      <c r="Q31" s="509"/>
      <c r="R31" s="509"/>
    </row>
    <row r="32" spans="1:28">
      <c r="B32" s="11"/>
    </row>
    <row r="33" spans="2:2">
      <c r="B33" s="11"/>
    </row>
    <row r="35" spans="2:2">
      <c r="B35" s="11"/>
    </row>
  </sheetData>
  <mergeCells count="37">
    <mergeCell ref="B31:R31"/>
    <mergeCell ref="B25:R25"/>
    <mergeCell ref="B26:R26"/>
    <mergeCell ref="B27:R27"/>
    <mergeCell ref="B28:R28"/>
    <mergeCell ref="B29:R29"/>
    <mergeCell ref="B30:R30"/>
    <mergeCell ref="B24:R24"/>
    <mergeCell ref="A11:XFD11"/>
    <mergeCell ref="A12:Z12"/>
    <mergeCell ref="A13:A15"/>
    <mergeCell ref="B13:B15"/>
    <mergeCell ref="C13:F14"/>
    <mergeCell ref="G13:Z13"/>
    <mergeCell ref="AA13:AA15"/>
    <mergeCell ref="AB13:AB15"/>
    <mergeCell ref="G14:J14"/>
    <mergeCell ref="K14:N14"/>
    <mergeCell ref="O14:R14"/>
    <mergeCell ref="S14:V14"/>
    <mergeCell ref="W14:Z14"/>
    <mergeCell ref="A22:XFD22"/>
    <mergeCell ref="A23:XFD23"/>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AB39"/>
  <sheetViews>
    <sheetView topLeftCell="K16" workbookViewId="0">
      <selection activeCell="B25" sqref="A24:Z27"/>
    </sheetView>
  </sheetViews>
  <sheetFormatPr defaultRowHeight="15"/>
  <cols>
    <col min="1" max="1" width="9.140625" style="186"/>
    <col min="2" max="2" width="18.28515625" style="186" customWidth="1"/>
    <col min="3" max="257" width="9.140625" style="186"/>
    <col min="258" max="258" width="18.28515625" style="186" customWidth="1"/>
    <col min="259" max="513" width="9.140625" style="186"/>
    <col min="514" max="514" width="18.28515625" style="186" customWidth="1"/>
    <col min="515" max="769" width="9.140625" style="186"/>
    <col min="770" max="770" width="18.28515625" style="186" customWidth="1"/>
    <col min="771" max="1025" width="9.140625" style="186"/>
    <col min="1026" max="1026" width="18.28515625" style="186" customWidth="1"/>
    <col min="1027" max="1281" width="9.140625" style="186"/>
    <col min="1282" max="1282" width="18.28515625" style="186" customWidth="1"/>
    <col min="1283" max="1537" width="9.140625" style="186"/>
    <col min="1538" max="1538" width="18.28515625" style="186" customWidth="1"/>
    <col min="1539" max="1793" width="9.140625" style="186"/>
    <col min="1794" max="1794" width="18.28515625" style="186" customWidth="1"/>
    <col min="1795" max="2049" width="9.140625" style="186"/>
    <col min="2050" max="2050" width="18.28515625" style="186" customWidth="1"/>
    <col min="2051" max="2305" width="9.140625" style="186"/>
    <col min="2306" max="2306" width="18.28515625" style="186" customWidth="1"/>
    <col min="2307" max="2561" width="9.140625" style="186"/>
    <col min="2562" max="2562" width="18.28515625" style="186" customWidth="1"/>
    <col min="2563" max="2817" width="9.140625" style="186"/>
    <col min="2818" max="2818" width="18.28515625" style="186" customWidth="1"/>
    <col min="2819" max="3073" width="9.140625" style="186"/>
    <col min="3074" max="3074" width="18.28515625" style="186" customWidth="1"/>
    <col min="3075" max="3329" width="9.140625" style="186"/>
    <col min="3330" max="3330" width="18.28515625" style="186" customWidth="1"/>
    <col min="3331" max="3585" width="9.140625" style="186"/>
    <col min="3586" max="3586" width="18.28515625" style="186" customWidth="1"/>
    <col min="3587" max="3841" width="9.140625" style="186"/>
    <col min="3842" max="3842" width="18.28515625" style="186" customWidth="1"/>
    <col min="3843" max="4097" width="9.140625" style="186"/>
    <col min="4098" max="4098" width="18.28515625" style="186" customWidth="1"/>
    <col min="4099" max="4353" width="9.140625" style="186"/>
    <col min="4354" max="4354" width="18.28515625" style="186" customWidth="1"/>
    <col min="4355" max="4609" width="9.140625" style="186"/>
    <col min="4610" max="4610" width="18.28515625" style="186" customWidth="1"/>
    <col min="4611" max="4865" width="9.140625" style="186"/>
    <col min="4866" max="4866" width="18.28515625" style="186" customWidth="1"/>
    <col min="4867" max="5121" width="9.140625" style="186"/>
    <col min="5122" max="5122" width="18.28515625" style="186" customWidth="1"/>
    <col min="5123" max="5377" width="9.140625" style="186"/>
    <col min="5378" max="5378" width="18.28515625" style="186" customWidth="1"/>
    <col min="5379" max="5633" width="9.140625" style="186"/>
    <col min="5634" max="5634" width="18.28515625" style="186" customWidth="1"/>
    <col min="5635" max="5889" width="9.140625" style="186"/>
    <col min="5890" max="5890" width="18.28515625" style="186" customWidth="1"/>
    <col min="5891" max="6145" width="9.140625" style="186"/>
    <col min="6146" max="6146" width="18.28515625" style="186" customWidth="1"/>
    <col min="6147" max="6401" width="9.140625" style="186"/>
    <col min="6402" max="6402" width="18.28515625" style="186" customWidth="1"/>
    <col min="6403" max="6657" width="9.140625" style="186"/>
    <col min="6658" max="6658" width="18.28515625" style="186" customWidth="1"/>
    <col min="6659" max="6913" width="9.140625" style="186"/>
    <col min="6914" max="6914" width="18.28515625" style="186" customWidth="1"/>
    <col min="6915" max="7169" width="9.140625" style="186"/>
    <col min="7170" max="7170" width="18.28515625" style="186" customWidth="1"/>
    <col min="7171" max="7425" width="9.140625" style="186"/>
    <col min="7426" max="7426" width="18.28515625" style="186" customWidth="1"/>
    <col min="7427" max="7681" width="9.140625" style="186"/>
    <col min="7682" max="7682" width="18.28515625" style="186" customWidth="1"/>
    <col min="7683" max="7937" width="9.140625" style="186"/>
    <col min="7938" max="7938" width="18.28515625" style="186" customWidth="1"/>
    <col min="7939" max="8193" width="9.140625" style="186"/>
    <col min="8194" max="8194" width="18.28515625" style="186" customWidth="1"/>
    <col min="8195" max="8449" width="9.140625" style="186"/>
    <col min="8450" max="8450" width="18.28515625" style="186" customWidth="1"/>
    <col min="8451" max="8705" width="9.140625" style="186"/>
    <col min="8706" max="8706" width="18.28515625" style="186" customWidth="1"/>
    <col min="8707" max="8961" width="9.140625" style="186"/>
    <col min="8962" max="8962" width="18.28515625" style="186" customWidth="1"/>
    <col min="8963" max="9217" width="9.140625" style="186"/>
    <col min="9218" max="9218" width="18.28515625" style="186" customWidth="1"/>
    <col min="9219" max="9473" width="9.140625" style="186"/>
    <col min="9474" max="9474" width="18.28515625" style="186" customWidth="1"/>
    <col min="9475" max="9729" width="9.140625" style="186"/>
    <col min="9730" max="9730" width="18.28515625" style="186" customWidth="1"/>
    <col min="9731" max="9985" width="9.140625" style="186"/>
    <col min="9986" max="9986" width="18.28515625" style="186" customWidth="1"/>
    <col min="9987" max="10241" width="9.140625" style="186"/>
    <col min="10242" max="10242" width="18.28515625" style="186" customWidth="1"/>
    <col min="10243" max="10497" width="9.140625" style="186"/>
    <col min="10498" max="10498" width="18.28515625" style="186" customWidth="1"/>
    <col min="10499" max="10753" width="9.140625" style="186"/>
    <col min="10754" max="10754" width="18.28515625" style="186" customWidth="1"/>
    <col min="10755" max="11009" width="9.140625" style="186"/>
    <col min="11010" max="11010" width="18.28515625" style="186" customWidth="1"/>
    <col min="11011" max="11265" width="9.140625" style="186"/>
    <col min="11266" max="11266" width="18.28515625" style="186" customWidth="1"/>
    <col min="11267" max="11521" width="9.140625" style="186"/>
    <col min="11522" max="11522" width="18.28515625" style="186" customWidth="1"/>
    <col min="11523" max="11777" width="9.140625" style="186"/>
    <col min="11778" max="11778" width="18.28515625" style="186" customWidth="1"/>
    <col min="11779" max="12033" width="9.140625" style="186"/>
    <col min="12034" max="12034" width="18.28515625" style="186" customWidth="1"/>
    <col min="12035" max="12289" width="9.140625" style="186"/>
    <col min="12290" max="12290" width="18.28515625" style="186" customWidth="1"/>
    <col min="12291" max="12545" width="9.140625" style="186"/>
    <col min="12546" max="12546" width="18.28515625" style="186" customWidth="1"/>
    <col min="12547" max="12801" width="9.140625" style="186"/>
    <col min="12802" max="12802" width="18.28515625" style="186" customWidth="1"/>
    <col min="12803" max="13057" width="9.140625" style="186"/>
    <col min="13058" max="13058" width="18.28515625" style="186" customWidth="1"/>
    <col min="13059" max="13313" width="9.140625" style="186"/>
    <col min="13314" max="13314" width="18.28515625" style="186" customWidth="1"/>
    <col min="13315" max="13569" width="9.140625" style="186"/>
    <col min="13570" max="13570" width="18.28515625" style="186" customWidth="1"/>
    <col min="13571" max="13825" width="9.140625" style="186"/>
    <col min="13826" max="13826" width="18.28515625" style="186" customWidth="1"/>
    <col min="13827" max="14081" width="9.140625" style="186"/>
    <col min="14082" max="14082" width="18.28515625" style="186" customWidth="1"/>
    <col min="14083" max="14337" width="9.140625" style="186"/>
    <col min="14338" max="14338" width="18.28515625" style="186" customWidth="1"/>
    <col min="14339" max="14593" width="9.140625" style="186"/>
    <col min="14594" max="14594" width="18.28515625" style="186" customWidth="1"/>
    <col min="14595" max="14849" width="9.140625" style="186"/>
    <col min="14850" max="14850" width="18.28515625" style="186" customWidth="1"/>
    <col min="14851" max="15105" width="9.140625" style="186"/>
    <col min="15106" max="15106" width="18.28515625" style="186" customWidth="1"/>
    <col min="15107" max="15361" width="9.140625" style="186"/>
    <col min="15362" max="15362" width="18.28515625" style="186" customWidth="1"/>
    <col min="15363" max="15617" width="9.140625" style="186"/>
    <col min="15618" max="15618" width="18.28515625" style="186" customWidth="1"/>
    <col min="15619" max="15873" width="9.140625" style="186"/>
    <col min="15874" max="15874" width="18.28515625" style="186" customWidth="1"/>
    <col min="15875" max="16129" width="9.140625" style="186"/>
    <col min="16130" max="16130" width="18.28515625" style="186" customWidth="1"/>
    <col min="16131" max="16384" width="9.140625" style="186"/>
  </cols>
  <sheetData>
    <row r="1" spans="1:28" ht="41.25" customHeight="1">
      <c r="A1" s="644" t="s">
        <v>0</v>
      </c>
      <c r="B1" s="644"/>
      <c r="C1" s="644"/>
      <c r="D1" s="644"/>
      <c r="E1" s="644"/>
      <c r="F1" s="673" t="s">
        <v>451</v>
      </c>
      <c r="G1" s="673"/>
      <c r="H1" s="673"/>
      <c r="I1" s="673"/>
      <c r="J1" s="673"/>
      <c r="K1" s="673"/>
      <c r="L1" s="673"/>
      <c r="M1" s="673"/>
      <c r="N1" s="673"/>
      <c r="O1" s="673"/>
      <c r="P1" s="673"/>
      <c r="Q1" s="673"/>
      <c r="R1" s="673"/>
      <c r="S1" s="66"/>
      <c r="T1" s="66"/>
      <c r="U1" s="66"/>
      <c r="V1" s="66"/>
      <c r="W1" s="66"/>
      <c r="X1" s="66"/>
      <c r="Y1" s="66"/>
      <c r="Z1" s="66"/>
    </row>
    <row r="2" spans="1:28" ht="23.25">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8">
      <c r="A3" s="589" t="s">
        <v>3</v>
      </c>
      <c r="B3" s="592" t="s">
        <v>4</v>
      </c>
      <c r="C3" s="595" t="s">
        <v>5</v>
      </c>
      <c r="D3" s="596"/>
      <c r="E3" s="596"/>
      <c r="F3" s="597"/>
      <c r="G3" s="601" t="s">
        <v>6</v>
      </c>
      <c r="H3" s="601"/>
      <c r="I3" s="601"/>
      <c r="J3" s="601"/>
      <c r="K3" s="601"/>
      <c r="L3" s="601"/>
      <c r="M3" s="601"/>
      <c r="N3" s="601"/>
      <c r="O3" s="601"/>
      <c r="P3" s="601"/>
      <c r="Q3" s="601"/>
      <c r="R3" s="601"/>
      <c r="S3" s="601"/>
      <c r="T3" s="601"/>
      <c r="U3" s="601"/>
      <c r="V3" s="601"/>
      <c r="W3" s="601"/>
      <c r="X3" s="601"/>
      <c r="Y3" s="601"/>
      <c r="Z3" s="601"/>
      <c r="AA3" s="557" t="s">
        <v>119</v>
      </c>
      <c r="AB3" s="574" t="s">
        <v>120</v>
      </c>
    </row>
    <row r="4" spans="1:28">
      <c r="A4" s="590"/>
      <c r="B4" s="593"/>
      <c r="C4" s="598"/>
      <c r="D4" s="599"/>
      <c r="E4" s="599"/>
      <c r="F4" s="600"/>
      <c r="G4" s="601" t="s">
        <v>452</v>
      </c>
      <c r="H4" s="601"/>
      <c r="I4" s="601"/>
      <c r="J4" s="601"/>
      <c r="K4" s="601" t="s">
        <v>453</v>
      </c>
      <c r="L4" s="601"/>
      <c r="M4" s="601"/>
      <c r="N4" s="601"/>
      <c r="O4" s="601" t="s">
        <v>454</v>
      </c>
      <c r="P4" s="601"/>
      <c r="Q4" s="601"/>
      <c r="R4" s="601"/>
      <c r="S4" s="601" t="s">
        <v>455</v>
      </c>
      <c r="T4" s="601"/>
      <c r="U4" s="601"/>
      <c r="V4" s="601"/>
      <c r="W4" s="601" t="s">
        <v>456</v>
      </c>
      <c r="X4" s="601"/>
      <c r="Y4" s="601"/>
      <c r="Z4" s="601"/>
      <c r="AA4" s="558"/>
      <c r="AB4" s="574"/>
    </row>
    <row r="5" spans="1:28" ht="62.25">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559"/>
      <c r="AB5" s="574"/>
    </row>
    <row r="6" spans="1:28" ht="42" customHeight="1">
      <c r="A6" s="87">
        <v>1</v>
      </c>
      <c r="B6" s="189" t="s">
        <v>457</v>
      </c>
      <c r="C6" s="190">
        <v>0</v>
      </c>
      <c r="D6" s="190">
        <v>0</v>
      </c>
      <c r="E6" s="190">
        <v>0</v>
      </c>
      <c r="F6" s="191">
        <v>6206</v>
      </c>
      <c r="G6" s="190">
        <v>621</v>
      </c>
      <c r="H6" s="190">
        <v>621</v>
      </c>
      <c r="I6" s="190">
        <v>621</v>
      </c>
      <c r="J6" s="191">
        <v>6206</v>
      </c>
      <c r="K6" s="190">
        <v>621</v>
      </c>
      <c r="L6" s="190">
        <v>621</v>
      </c>
      <c r="M6" s="190">
        <v>621</v>
      </c>
      <c r="N6" s="190">
        <v>6206</v>
      </c>
      <c r="O6" s="190">
        <v>931</v>
      </c>
      <c r="P6" s="190">
        <v>931</v>
      </c>
      <c r="Q6" s="190">
        <v>931</v>
      </c>
      <c r="R6" s="190">
        <v>6206</v>
      </c>
      <c r="S6" s="190">
        <v>931</v>
      </c>
      <c r="T6" s="190">
        <v>931</v>
      </c>
      <c r="U6" s="190">
        <v>931</v>
      </c>
      <c r="V6" s="190">
        <v>6206</v>
      </c>
      <c r="W6" s="190">
        <v>1862</v>
      </c>
      <c r="X6" s="190">
        <v>1862</v>
      </c>
      <c r="Y6" s="190">
        <v>1862</v>
      </c>
      <c r="Z6" s="190">
        <v>6206</v>
      </c>
      <c r="AA6" s="362">
        <f>C6/W6</f>
        <v>0</v>
      </c>
      <c r="AB6" s="362">
        <f>W6/X6</f>
        <v>1</v>
      </c>
    </row>
    <row r="7" spans="1:28" ht="28.5" customHeight="1">
      <c r="A7" s="87">
        <v>2</v>
      </c>
      <c r="B7" s="189" t="s">
        <v>458</v>
      </c>
      <c r="C7" s="190">
        <v>0</v>
      </c>
      <c r="D7" s="190">
        <v>0</v>
      </c>
      <c r="E7" s="190">
        <v>0</v>
      </c>
      <c r="F7" s="191">
        <v>508</v>
      </c>
      <c r="G7" s="190">
        <v>51</v>
      </c>
      <c r="H7" s="190">
        <v>51</v>
      </c>
      <c r="I7" s="190">
        <v>51</v>
      </c>
      <c r="J7" s="191">
        <v>508</v>
      </c>
      <c r="K7" s="190">
        <v>51</v>
      </c>
      <c r="L7" s="190">
        <v>51</v>
      </c>
      <c r="M7" s="190">
        <v>51</v>
      </c>
      <c r="N7" s="190">
        <v>508</v>
      </c>
      <c r="O7" s="190">
        <v>76</v>
      </c>
      <c r="P7" s="190">
        <v>76</v>
      </c>
      <c r="Q7" s="190">
        <v>76</v>
      </c>
      <c r="R7" s="190">
        <v>508</v>
      </c>
      <c r="S7" s="190">
        <v>76</v>
      </c>
      <c r="T7" s="190">
        <v>76</v>
      </c>
      <c r="U7" s="190">
        <v>76</v>
      </c>
      <c r="V7" s="190">
        <v>508</v>
      </c>
      <c r="W7" s="190">
        <v>152</v>
      </c>
      <c r="X7" s="190">
        <v>152</v>
      </c>
      <c r="Y7" s="190">
        <v>152</v>
      </c>
      <c r="Z7" s="190">
        <v>508</v>
      </c>
      <c r="AA7" s="362">
        <f>C7/W7</f>
        <v>0</v>
      </c>
      <c r="AB7" s="362">
        <f>W7/X7</f>
        <v>1</v>
      </c>
    </row>
    <row r="8" spans="1:28" ht="77.25">
      <c r="A8" s="87">
        <v>3</v>
      </c>
      <c r="B8" s="189" t="s">
        <v>459</v>
      </c>
      <c r="C8" s="190">
        <v>0</v>
      </c>
      <c r="D8" s="190">
        <v>0</v>
      </c>
      <c r="E8" s="190">
        <v>0</v>
      </c>
      <c r="F8" s="191">
        <v>4864</v>
      </c>
      <c r="G8" s="190">
        <v>486</v>
      </c>
      <c r="H8" s="190">
        <v>486</v>
      </c>
      <c r="I8" s="190">
        <v>486</v>
      </c>
      <c r="J8" s="191">
        <v>4864</v>
      </c>
      <c r="K8" s="190">
        <v>486</v>
      </c>
      <c r="L8" s="190">
        <v>486</v>
      </c>
      <c r="M8" s="190">
        <v>486</v>
      </c>
      <c r="N8" s="190">
        <v>4864</v>
      </c>
      <c r="O8" s="190">
        <v>730</v>
      </c>
      <c r="P8" s="190">
        <v>730</v>
      </c>
      <c r="Q8" s="190">
        <v>730</v>
      </c>
      <c r="R8" s="190">
        <v>4864</v>
      </c>
      <c r="S8" s="190">
        <v>730</v>
      </c>
      <c r="T8" s="190">
        <v>730</v>
      </c>
      <c r="U8" s="190">
        <v>730</v>
      </c>
      <c r="V8" s="190">
        <v>4864</v>
      </c>
      <c r="W8" s="190">
        <v>1459</v>
      </c>
      <c r="X8" s="190">
        <v>1459</v>
      </c>
      <c r="Y8" s="190">
        <v>1459</v>
      </c>
      <c r="Z8" s="190">
        <v>4864</v>
      </c>
      <c r="AA8" s="362">
        <f t="shared" ref="AA8:AA21" si="0">C8/W8</f>
        <v>0</v>
      </c>
      <c r="AB8" s="362">
        <f t="shared" ref="AB8:AB21" si="1">W8/X8</f>
        <v>1</v>
      </c>
    </row>
    <row r="9" spans="1:28" ht="51.75">
      <c r="A9" s="87">
        <v>4</v>
      </c>
      <c r="B9" s="189" t="s">
        <v>460</v>
      </c>
      <c r="C9" s="190">
        <v>0</v>
      </c>
      <c r="D9" s="190">
        <v>0</v>
      </c>
      <c r="E9" s="190">
        <v>0</v>
      </c>
      <c r="F9" s="191">
        <v>3955</v>
      </c>
      <c r="G9" s="190">
        <v>396</v>
      </c>
      <c r="H9" s="190">
        <v>396</v>
      </c>
      <c r="I9" s="190">
        <v>396</v>
      </c>
      <c r="J9" s="191">
        <v>3955</v>
      </c>
      <c r="K9" s="190">
        <v>396</v>
      </c>
      <c r="L9" s="190">
        <v>396</v>
      </c>
      <c r="M9" s="190">
        <v>396</v>
      </c>
      <c r="N9" s="190">
        <v>3955</v>
      </c>
      <c r="O9" s="190">
        <v>593</v>
      </c>
      <c r="P9" s="190">
        <v>593</v>
      </c>
      <c r="Q9" s="190">
        <v>593</v>
      </c>
      <c r="R9" s="190">
        <v>3955</v>
      </c>
      <c r="S9" s="190">
        <v>593</v>
      </c>
      <c r="T9" s="190">
        <v>593</v>
      </c>
      <c r="U9" s="190">
        <v>593</v>
      </c>
      <c r="V9" s="190">
        <v>3955</v>
      </c>
      <c r="W9" s="190">
        <v>1187</v>
      </c>
      <c r="X9" s="190">
        <v>1187</v>
      </c>
      <c r="Y9" s="190">
        <v>1187</v>
      </c>
      <c r="Z9" s="190">
        <v>3955</v>
      </c>
      <c r="AA9" s="362">
        <f t="shared" si="0"/>
        <v>0</v>
      </c>
      <c r="AB9" s="362">
        <f t="shared" si="1"/>
        <v>1</v>
      </c>
    </row>
    <row r="10" spans="1:28" ht="77.25">
      <c r="A10" s="87">
        <v>5</v>
      </c>
      <c r="B10" s="189" t="s">
        <v>461</v>
      </c>
      <c r="C10" s="190">
        <v>0</v>
      </c>
      <c r="D10" s="190">
        <v>0</v>
      </c>
      <c r="E10" s="190">
        <v>0</v>
      </c>
      <c r="F10" s="191">
        <v>593</v>
      </c>
      <c r="G10" s="190">
        <v>297</v>
      </c>
      <c r="H10" s="190">
        <v>297</v>
      </c>
      <c r="I10" s="190">
        <v>297</v>
      </c>
      <c r="J10" s="191">
        <v>593</v>
      </c>
      <c r="K10" s="190">
        <v>297</v>
      </c>
      <c r="L10" s="190">
        <v>297</v>
      </c>
      <c r="M10" s="190">
        <v>297</v>
      </c>
      <c r="N10" s="190">
        <v>593</v>
      </c>
      <c r="O10" s="190">
        <v>593</v>
      </c>
      <c r="P10" s="190">
        <v>593</v>
      </c>
      <c r="Q10" s="190">
        <v>593</v>
      </c>
      <c r="R10" s="190">
        <v>593</v>
      </c>
      <c r="S10" s="190">
        <v>593</v>
      </c>
      <c r="T10" s="190">
        <v>593</v>
      </c>
      <c r="U10" s="190">
        <v>593</v>
      </c>
      <c r="V10" s="190">
        <v>593</v>
      </c>
      <c r="W10" s="190">
        <v>593</v>
      </c>
      <c r="X10" s="190">
        <v>593</v>
      </c>
      <c r="Y10" s="190">
        <v>593</v>
      </c>
      <c r="Z10" s="190">
        <v>593</v>
      </c>
      <c r="AA10" s="362">
        <f t="shared" si="0"/>
        <v>0</v>
      </c>
      <c r="AB10" s="362">
        <f t="shared" si="1"/>
        <v>1</v>
      </c>
    </row>
    <row r="11" spans="1:28" ht="26.25">
      <c r="A11" s="87">
        <v>6</v>
      </c>
      <c r="B11" s="189" t="s">
        <v>462</v>
      </c>
      <c r="C11" s="190">
        <v>0</v>
      </c>
      <c r="D11" s="190">
        <v>0</v>
      </c>
      <c r="E11" s="190">
        <v>0</v>
      </c>
      <c r="F11" s="191">
        <v>58</v>
      </c>
      <c r="G11" s="190">
        <v>6</v>
      </c>
      <c r="H11" s="190">
        <v>6</v>
      </c>
      <c r="I11" s="190">
        <v>6</v>
      </c>
      <c r="J11" s="191">
        <v>58</v>
      </c>
      <c r="K11" s="190">
        <v>6</v>
      </c>
      <c r="L11" s="190">
        <v>6</v>
      </c>
      <c r="M11" s="190">
        <v>6</v>
      </c>
      <c r="N11" s="190">
        <v>58</v>
      </c>
      <c r="O11" s="190">
        <v>9</v>
      </c>
      <c r="P11" s="190">
        <v>9</v>
      </c>
      <c r="Q11" s="190">
        <v>9</v>
      </c>
      <c r="R11" s="190">
        <v>58</v>
      </c>
      <c r="S11" s="190">
        <v>9</v>
      </c>
      <c r="T11" s="190">
        <v>9</v>
      </c>
      <c r="U11" s="190">
        <v>9</v>
      </c>
      <c r="V11" s="190">
        <v>58</v>
      </c>
      <c r="W11" s="190">
        <v>17</v>
      </c>
      <c r="X11" s="190">
        <v>17</v>
      </c>
      <c r="Y11" s="190">
        <v>17</v>
      </c>
      <c r="Z11" s="190">
        <v>58</v>
      </c>
      <c r="AA11" s="362">
        <f t="shared" si="0"/>
        <v>0</v>
      </c>
      <c r="AB11" s="362">
        <f t="shared" si="1"/>
        <v>1</v>
      </c>
    </row>
    <row r="12" spans="1:28" ht="29.25" customHeight="1">
      <c r="A12" s="87">
        <v>7</v>
      </c>
      <c r="B12" s="189" t="s">
        <v>463</v>
      </c>
      <c r="C12" s="190">
        <v>0</v>
      </c>
      <c r="D12" s="190">
        <v>0</v>
      </c>
      <c r="E12" s="190">
        <v>0</v>
      </c>
      <c r="F12" s="191">
        <v>2365</v>
      </c>
      <c r="G12" s="190">
        <v>237</v>
      </c>
      <c r="H12" s="190">
        <v>237</v>
      </c>
      <c r="I12" s="190">
        <v>237</v>
      </c>
      <c r="J12" s="191">
        <v>2365</v>
      </c>
      <c r="K12" s="190">
        <v>237</v>
      </c>
      <c r="L12" s="190">
        <v>237</v>
      </c>
      <c r="M12" s="190">
        <v>237</v>
      </c>
      <c r="N12" s="190">
        <v>2365</v>
      </c>
      <c r="O12" s="190">
        <v>355</v>
      </c>
      <c r="P12" s="190">
        <v>355</v>
      </c>
      <c r="Q12" s="190">
        <v>355</v>
      </c>
      <c r="R12" s="190">
        <v>2365</v>
      </c>
      <c r="S12" s="190">
        <v>355</v>
      </c>
      <c r="T12" s="190">
        <v>355</v>
      </c>
      <c r="U12" s="190">
        <v>355</v>
      </c>
      <c r="V12" s="190">
        <v>2365</v>
      </c>
      <c r="W12" s="190">
        <v>710</v>
      </c>
      <c r="X12" s="190">
        <v>710</v>
      </c>
      <c r="Y12" s="190">
        <v>710</v>
      </c>
      <c r="Z12" s="190">
        <v>2365</v>
      </c>
      <c r="AA12" s="362">
        <f t="shared" si="0"/>
        <v>0</v>
      </c>
      <c r="AB12" s="362">
        <f t="shared" si="1"/>
        <v>1</v>
      </c>
    </row>
    <row r="13" spans="1:28" ht="39" customHeight="1">
      <c r="A13" s="87">
        <v>8</v>
      </c>
      <c r="B13" s="189" t="s">
        <v>464</v>
      </c>
      <c r="C13" s="190">
        <v>0</v>
      </c>
      <c r="D13" s="190">
        <v>0</v>
      </c>
      <c r="E13" s="190">
        <v>0</v>
      </c>
      <c r="F13" s="191">
        <v>1366</v>
      </c>
      <c r="G13" s="69">
        <v>137</v>
      </c>
      <c r="H13" s="69">
        <v>137</v>
      </c>
      <c r="I13" s="69">
        <v>137</v>
      </c>
      <c r="J13" s="191">
        <v>1366</v>
      </c>
      <c r="K13" s="69">
        <v>137</v>
      </c>
      <c r="L13" s="69">
        <v>137</v>
      </c>
      <c r="M13" s="69">
        <v>137</v>
      </c>
      <c r="N13" s="69">
        <v>1366</v>
      </c>
      <c r="O13" s="69">
        <v>205</v>
      </c>
      <c r="P13" s="69">
        <v>205</v>
      </c>
      <c r="Q13" s="69">
        <v>205</v>
      </c>
      <c r="R13" s="69">
        <v>1366</v>
      </c>
      <c r="S13" s="69">
        <v>205</v>
      </c>
      <c r="T13" s="69">
        <v>205</v>
      </c>
      <c r="U13" s="69">
        <v>205</v>
      </c>
      <c r="V13" s="69">
        <v>1366</v>
      </c>
      <c r="W13" s="69">
        <v>410</v>
      </c>
      <c r="X13" s="69">
        <v>410</v>
      </c>
      <c r="Y13" s="69">
        <v>410</v>
      </c>
      <c r="Z13" s="69">
        <v>1366</v>
      </c>
      <c r="AA13" s="362">
        <f t="shared" si="0"/>
        <v>0</v>
      </c>
      <c r="AB13" s="362">
        <f t="shared" si="1"/>
        <v>1</v>
      </c>
    </row>
    <row r="14" spans="1:28" ht="76.5" customHeight="1">
      <c r="A14" s="87">
        <v>9</v>
      </c>
      <c r="B14" s="189" t="s">
        <v>465</v>
      </c>
      <c r="C14" s="190">
        <v>0</v>
      </c>
      <c r="D14" s="190">
        <v>0</v>
      </c>
      <c r="E14" s="190">
        <v>0</v>
      </c>
      <c r="F14" s="191">
        <v>1143</v>
      </c>
      <c r="G14" s="69">
        <v>114</v>
      </c>
      <c r="H14" s="69">
        <v>114</v>
      </c>
      <c r="I14" s="69">
        <v>114</v>
      </c>
      <c r="J14" s="191">
        <v>1143</v>
      </c>
      <c r="K14" s="69">
        <v>114</v>
      </c>
      <c r="L14" s="69">
        <v>114</v>
      </c>
      <c r="M14" s="69">
        <v>114</v>
      </c>
      <c r="N14" s="69">
        <v>1143</v>
      </c>
      <c r="O14" s="69">
        <v>171</v>
      </c>
      <c r="P14" s="69">
        <v>171</v>
      </c>
      <c r="Q14" s="69">
        <v>171</v>
      </c>
      <c r="R14" s="69">
        <v>1143</v>
      </c>
      <c r="S14" s="69">
        <v>171</v>
      </c>
      <c r="T14" s="69">
        <v>171</v>
      </c>
      <c r="U14" s="69">
        <v>171</v>
      </c>
      <c r="V14" s="69">
        <v>1143</v>
      </c>
      <c r="W14" s="69">
        <v>343</v>
      </c>
      <c r="X14" s="69">
        <v>343</v>
      </c>
      <c r="Y14" s="69">
        <v>343</v>
      </c>
      <c r="Z14" s="69">
        <v>1143</v>
      </c>
      <c r="AA14" s="362">
        <f t="shared" si="0"/>
        <v>0</v>
      </c>
      <c r="AB14" s="362">
        <f t="shared" si="1"/>
        <v>1</v>
      </c>
    </row>
    <row r="15" spans="1:28" ht="76.5" customHeight="1">
      <c r="A15" s="87">
        <v>10</v>
      </c>
      <c r="B15" s="189" t="s">
        <v>466</v>
      </c>
      <c r="C15" s="190">
        <v>0</v>
      </c>
      <c r="D15" s="190">
        <v>0</v>
      </c>
      <c r="E15" s="190">
        <v>0</v>
      </c>
      <c r="F15" s="191">
        <v>500</v>
      </c>
      <c r="G15" s="69">
        <v>50</v>
      </c>
      <c r="H15" s="69">
        <v>50</v>
      </c>
      <c r="I15" s="69">
        <v>50</v>
      </c>
      <c r="J15" s="191">
        <v>500</v>
      </c>
      <c r="K15" s="69">
        <v>50</v>
      </c>
      <c r="L15" s="69">
        <v>50</v>
      </c>
      <c r="M15" s="69">
        <v>50</v>
      </c>
      <c r="N15" s="69">
        <v>500</v>
      </c>
      <c r="O15" s="69">
        <v>75</v>
      </c>
      <c r="P15" s="69">
        <v>75</v>
      </c>
      <c r="Q15" s="69">
        <v>75</v>
      </c>
      <c r="R15" s="69">
        <v>500</v>
      </c>
      <c r="S15" s="69">
        <v>75</v>
      </c>
      <c r="T15" s="69">
        <v>75</v>
      </c>
      <c r="U15" s="69">
        <v>75</v>
      </c>
      <c r="V15" s="69">
        <v>500</v>
      </c>
      <c r="W15" s="69">
        <v>150</v>
      </c>
      <c r="X15" s="69">
        <v>150</v>
      </c>
      <c r="Y15" s="69">
        <v>150</v>
      </c>
      <c r="Z15" s="69">
        <v>500</v>
      </c>
      <c r="AA15" s="362">
        <f t="shared" si="0"/>
        <v>0</v>
      </c>
      <c r="AB15" s="362">
        <f t="shared" si="1"/>
        <v>1</v>
      </c>
    </row>
    <row r="16" spans="1:28" ht="66" customHeight="1">
      <c r="A16" s="87">
        <v>11</v>
      </c>
      <c r="B16" s="189" t="s">
        <v>467</v>
      </c>
      <c r="C16" s="190">
        <v>0</v>
      </c>
      <c r="D16" s="190">
        <v>0</v>
      </c>
      <c r="E16" s="190">
        <v>0</v>
      </c>
      <c r="F16" s="191">
        <v>30</v>
      </c>
      <c r="G16" s="69">
        <v>15</v>
      </c>
      <c r="H16" s="69">
        <v>15</v>
      </c>
      <c r="I16" s="69">
        <v>15</v>
      </c>
      <c r="J16" s="191">
        <v>30</v>
      </c>
      <c r="K16" s="69">
        <v>15</v>
      </c>
      <c r="L16" s="69">
        <v>15</v>
      </c>
      <c r="M16" s="69">
        <v>15</v>
      </c>
      <c r="N16" s="69">
        <v>30</v>
      </c>
      <c r="O16" s="69">
        <v>30</v>
      </c>
      <c r="P16" s="69">
        <v>30</v>
      </c>
      <c r="Q16" s="69">
        <v>30</v>
      </c>
      <c r="R16" s="69">
        <v>30</v>
      </c>
      <c r="S16" s="69">
        <v>30</v>
      </c>
      <c r="T16" s="69">
        <v>30</v>
      </c>
      <c r="U16" s="69">
        <v>30</v>
      </c>
      <c r="V16" s="69">
        <v>30</v>
      </c>
      <c r="W16" s="69">
        <v>30</v>
      </c>
      <c r="X16" s="69">
        <v>30</v>
      </c>
      <c r="Y16" s="69">
        <v>30</v>
      </c>
      <c r="Z16" s="69">
        <v>30</v>
      </c>
      <c r="AA16" s="362">
        <f t="shared" si="0"/>
        <v>0</v>
      </c>
      <c r="AB16" s="362">
        <f t="shared" si="1"/>
        <v>1</v>
      </c>
    </row>
    <row r="17" spans="1:28" ht="64.5" customHeight="1">
      <c r="A17" s="87">
        <v>12</v>
      </c>
      <c r="B17" s="189" t="s">
        <v>468</v>
      </c>
      <c r="C17" s="190">
        <v>0</v>
      </c>
      <c r="D17" s="190">
        <v>0</v>
      </c>
      <c r="E17" s="190">
        <v>0</v>
      </c>
      <c r="F17" s="191">
        <v>100</v>
      </c>
      <c r="G17" s="69">
        <v>10</v>
      </c>
      <c r="H17" s="69">
        <v>10</v>
      </c>
      <c r="I17" s="69">
        <v>10</v>
      </c>
      <c r="J17" s="191">
        <v>100</v>
      </c>
      <c r="K17" s="69">
        <v>10</v>
      </c>
      <c r="L17" s="69">
        <v>10</v>
      </c>
      <c r="M17" s="69">
        <v>10</v>
      </c>
      <c r="N17" s="69">
        <v>100</v>
      </c>
      <c r="O17" s="69">
        <v>15</v>
      </c>
      <c r="P17" s="69">
        <v>15</v>
      </c>
      <c r="Q17" s="69">
        <v>15</v>
      </c>
      <c r="R17" s="69">
        <v>100</v>
      </c>
      <c r="S17" s="69">
        <v>15</v>
      </c>
      <c r="T17" s="69">
        <v>15</v>
      </c>
      <c r="U17" s="69">
        <v>15</v>
      </c>
      <c r="V17" s="69">
        <v>100</v>
      </c>
      <c r="W17" s="69">
        <v>30</v>
      </c>
      <c r="X17" s="69">
        <v>30</v>
      </c>
      <c r="Y17" s="69">
        <v>30</v>
      </c>
      <c r="Z17" s="69">
        <v>100</v>
      </c>
      <c r="AA17" s="362">
        <f t="shared" si="0"/>
        <v>0</v>
      </c>
      <c r="AB17" s="362">
        <f t="shared" si="1"/>
        <v>1</v>
      </c>
    </row>
    <row r="18" spans="1:28" ht="50.25" customHeight="1">
      <c r="A18" s="87">
        <v>13</v>
      </c>
      <c r="B18" s="189" t="s">
        <v>469</v>
      </c>
      <c r="C18" s="190">
        <v>0</v>
      </c>
      <c r="D18" s="190">
        <v>0</v>
      </c>
      <c r="E18" s="190">
        <v>0</v>
      </c>
      <c r="F18" s="191">
        <v>1366</v>
      </c>
      <c r="G18" s="69">
        <v>137</v>
      </c>
      <c r="H18" s="69">
        <v>137</v>
      </c>
      <c r="I18" s="69">
        <v>137</v>
      </c>
      <c r="J18" s="191">
        <v>1366</v>
      </c>
      <c r="K18" s="69">
        <v>137</v>
      </c>
      <c r="L18" s="69">
        <v>137</v>
      </c>
      <c r="M18" s="69">
        <v>137</v>
      </c>
      <c r="N18" s="69">
        <v>1366</v>
      </c>
      <c r="O18" s="69">
        <v>205</v>
      </c>
      <c r="P18" s="69">
        <v>205</v>
      </c>
      <c r="Q18" s="69">
        <v>205</v>
      </c>
      <c r="R18" s="69">
        <v>1366</v>
      </c>
      <c r="S18" s="69">
        <v>205</v>
      </c>
      <c r="T18" s="69">
        <v>205</v>
      </c>
      <c r="U18" s="69">
        <v>205</v>
      </c>
      <c r="V18" s="69">
        <v>1366</v>
      </c>
      <c r="W18" s="69">
        <v>410</v>
      </c>
      <c r="X18" s="69">
        <v>410</v>
      </c>
      <c r="Y18" s="69">
        <v>410</v>
      </c>
      <c r="Z18" s="69">
        <v>1366</v>
      </c>
      <c r="AA18" s="362">
        <f t="shared" si="0"/>
        <v>0</v>
      </c>
      <c r="AB18" s="362">
        <f t="shared" si="1"/>
        <v>1</v>
      </c>
    </row>
    <row r="19" spans="1:28" ht="40.5" customHeight="1">
      <c r="A19" s="87">
        <v>14</v>
      </c>
      <c r="B19" s="189" t="s">
        <v>470</v>
      </c>
      <c r="C19" s="190">
        <v>0</v>
      </c>
      <c r="D19" s="190">
        <v>0</v>
      </c>
      <c r="E19" s="190">
        <v>0</v>
      </c>
      <c r="F19" s="191">
        <v>609</v>
      </c>
      <c r="G19" s="69">
        <v>61</v>
      </c>
      <c r="H19" s="69">
        <v>61</v>
      </c>
      <c r="I19" s="69">
        <v>61</v>
      </c>
      <c r="J19" s="191">
        <v>609</v>
      </c>
      <c r="K19" s="69">
        <v>61</v>
      </c>
      <c r="L19" s="69">
        <v>61</v>
      </c>
      <c r="M19" s="69">
        <v>61</v>
      </c>
      <c r="N19" s="69">
        <v>609</v>
      </c>
      <c r="O19" s="69">
        <v>91</v>
      </c>
      <c r="P19" s="69">
        <v>91</v>
      </c>
      <c r="Q19" s="69">
        <v>91</v>
      </c>
      <c r="R19" s="69">
        <v>609</v>
      </c>
      <c r="S19" s="69">
        <v>91</v>
      </c>
      <c r="T19" s="69">
        <v>91</v>
      </c>
      <c r="U19" s="69">
        <v>91</v>
      </c>
      <c r="V19" s="69">
        <v>609</v>
      </c>
      <c r="W19" s="69">
        <v>183</v>
      </c>
      <c r="X19" s="69">
        <v>183</v>
      </c>
      <c r="Y19" s="69">
        <v>183</v>
      </c>
      <c r="Z19" s="69">
        <v>609</v>
      </c>
      <c r="AA19" s="362">
        <f t="shared" si="0"/>
        <v>0</v>
      </c>
      <c r="AB19" s="362">
        <f t="shared" si="1"/>
        <v>1</v>
      </c>
    </row>
    <row r="20" spans="1:28" ht="29.25" customHeight="1">
      <c r="A20" s="87">
        <v>15</v>
      </c>
      <c r="B20" s="189" t="s">
        <v>471</v>
      </c>
      <c r="C20" s="190">
        <v>0</v>
      </c>
      <c r="D20" s="190">
        <v>0</v>
      </c>
      <c r="E20" s="190">
        <v>0</v>
      </c>
      <c r="F20" s="191">
        <v>822</v>
      </c>
      <c r="G20" s="69">
        <v>82</v>
      </c>
      <c r="H20" s="69">
        <v>82</v>
      </c>
      <c r="I20" s="69">
        <v>82</v>
      </c>
      <c r="J20" s="191">
        <v>822</v>
      </c>
      <c r="K20" s="69">
        <v>82</v>
      </c>
      <c r="L20" s="69">
        <v>82</v>
      </c>
      <c r="M20" s="69">
        <v>82</v>
      </c>
      <c r="N20" s="69">
        <v>822</v>
      </c>
      <c r="O20" s="69">
        <v>123</v>
      </c>
      <c r="P20" s="69">
        <v>123</v>
      </c>
      <c r="Q20" s="69">
        <v>123</v>
      </c>
      <c r="R20" s="69">
        <v>822</v>
      </c>
      <c r="S20" s="69">
        <v>123</v>
      </c>
      <c r="T20" s="69">
        <v>123</v>
      </c>
      <c r="U20" s="69">
        <v>123</v>
      </c>
      <c r="V20" s="69">
        <v>822</v>
      </c>
      <c r="W20" s="69">
        <v>247</v>
      </c>
      <c r="X20" s="69">
        <v>247</v>
      </c>
      <c r="Y20" s="69">
        <v>247</v>
      </c>
      <c r="Z20" s="69">
        <v>822</v>
      </c>
      <c r="AA20" s="362">
        <f t="shared" si="0"/>
        <v>0</v>
      </c>
      <c r="AB20" s="362">
        <f t="shared" si="1"/>
        <v>1</v>
      </c>
    </row>
    <row r="21" spans="1:28" ht="59.25" customHeight="1">
      <c r="A21" s="87">
        <v>16</v>
      </c>
      <c r="B21" s="189" t="s">
        <v>472</v>
      </c>
      <c r="C21" s="190">
        <v>0</v>
      </c>
      <c r="D21" s="190">
        <v>0</v>
      </c>
      <c r="E21" s="190">
        <v>0</v>
      </c>
      <c r="F21" s="191">
        <v>2</v>
      </c>
      <c r="G21" s="192">
        <v>0</v>
      </c>
      <c r="H21" s="192">
        <v>0</v>
      </c>
      <c r="I21" s="192">
        <v>0</v>
      </c>
      <c r="J21" s="191">
        <v>2</v>
      </c>
      <c r="K21" s="192">
        <v>0</v>
      </c>
      <c r="L21" s="192">
        <v>0</v>
      </c>
      <c r="M21" s="192">
        <v>0</v>
      </c>
      <c r="N21" s="192">
        <v>2</v>
      </c>
      <c r="O21" s="192">
        <v>0</v>
      </c>
      <c r="P21" s="192">
        <v>0</v>
      </c>
      <c r="Q21" s="192">
        <v>0</v>
      </c>
      <c r="R21" s="192">
        <v>2</v>
      </c>
      <c r="S21" s="192">
        <v>0</v>
      </c>
      <c r="T21" s="192">
        <v>0</v>
      </c>
      <c r="U21" s="192">
        <v>0</v>
      </c>
      <c r="V21" s="192">
        <v>2</v>
      </c>
      <c r="W21" s="192">
        <v>1</v>
      </c>
      <c r="X21" s="192">
        <v>1</v>
      </c>
      <c r="Y21" s="192">
        <v>1</v>
      </c>
      <c r="Z21" s="192">
        <v>2</v>
      </c>
      <c r="AA21" s="362">
        <f t="shared" si="0"/>
        <v>0</v>
      </c>
      <c r="AB21" s="362">
        <f t="shared" si="1"/>
        <v>1</v>
      </c>
    </row>
    <row r="22" spans="1:28" ht="34.5" customHeight="1">
      <c r="A22" s="193"/>
      <c r="B22" s="194"/>
      <c r="C22" s="195"/>
      <c r="D22" s="195"/>
      <c r="E22" s="195"/>
      <c r="F22" s="196"/>
      <c r="G22" s="197"/>
      <c r="H22" s="197"/>
      <c r="I22" s="197"/>
      <c r="J22" s="196"/>
      <c r="K22" s="197"/>
      <c r="L22" s="197"/>
      <c r="M22" s="197"/>
      <c r="N22" s="197"/>
      <c r="O22" s="197"/>
      <c r="P22" s="197"/>
      <c r="Q22" s="197"/>
      <c r="R22" s="197"/>
      <c r="S22" s="197"/>
      <c r="T22" s="197"/>
      <c r="U22" s="197"/>
      <c r="V22" s="197"/>
      <c r="W22" s="197"/>
      <c r="X22" s="197"/>
      <c r="Y22" s="197"/>
      <c r="Z22" s="167" t="s">
        <v>123</v>
      </c>
      <c r="AA22" s="362">
        <f>AVERAGE(AA6:AA21)</f>
        <v>0</v>
      </c>
      <c r="AB22" s="362">
        <f>AVERAGE(AB6:AB21)</f>
        <v>1</v>
      </c>
    </row>
    <row r="23" spans="1:28">
      <c r="A23" s="193"/>
      <c r="B23" s="147" t="s">
        <v>473</v>
      </c>
      <c r="C23" s="198"/>
      <c r="D23" s="198"/>
      <c r="E23" s="198"/>
      <c r="F23" s="199"/>
      <c r="G23" s="200"/>
      <c r="H23" s="200"/>
      <c r="I23" s="200"/>
      <c r="J23" s="199"/>
      <c r="K23" s="200"/>
      <c r="L23" s="200"/>
      <c r="M23" s="200"/>
      <c r="N23" s="200"/>
      <c r="O23" s="200"/>
      <c r="P23" s="200"/>
      <c r="Q23" s="200"/>
      <c r="R23" s="200"/>
      <c r="S23" s="200"/>
      <c r="T23" s="200"/>
      <c r="U23" s="200"/>
      <c r="V23" s="200"/>
      <c r="W23" s="200"/>
      <c r="X23" s="200"/>
      <c r="Y23" s="200"/>
      <c r="Z23" s="200"/>
      <c r="AA23" s="361"/>
      <c r="AB23" s="361"/>
    </row>
    <row r="24" spans="1:28" ht="23.25">
      <c r="A24" s="588" t="s">
        <v>25</v>
      </c>
      <c r="B24" s="588"/>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361"/>
      <c r="AB24" s="361"/>
    </row>
    <row r="25" spans="1:28">
      <c r="A25" s="589" t="s">
        <v>3</v>
      </c>
      <c r="B25" s="592" t="s">
        <v>26</v>
      </c>
      <c r="C25" s="595" t="s">
        <v>27</v>
      </c>
      <c r="D25" s="596"/>
      <c r="E25" s="596"/>
      <c r="F25" s="597"/>
      <c r="G25" s="601" t="s">
        <v>28</v>
      </c>
      <c r="H25" s="601"/>
      <c r="I25" s="601"/>
      <c r="J25" s="601"/>
      <c r="K25" s="601"/>
      <c r="L25" s="601"/>
      <c r="M25" s="601"/>
      <c r="N25" s="601"/>
      <c r="O25" s="601"/>
      <c r="P25" s="601"/>
      <c r="Q25" s="601"/>
      <c r="R25" s="601"/>
      <c r="S25" s="601"/>
      <c r="T25" s="601"/>
      <c r="U25" s="601"/>
      <c r="V25" s="601"/>
      <c r="W25" s="601"/>
      <c r="X25" s="601"/>
      <c r="Y25" s="601"/>
      <c r="Z25" s="601"/>
      <c r="AA25" s="557" t="s">
        <v>124</v>
      </c>
      <c r="AB25" s="557" t="s">
        <v>125</v>
      </c>
    </row>
    <row r="26" spans="1:28">
      <c r="A26" s="590"/>
      <c r="B26" s="593"/>
      <c r="C26" s="598"/>
      <c r="D26" s="599"/>
      <c r="E26" s="599"/>
      <c r="F26" s="600"/>
      <c r="G26" s="601" t="s">
        <v>452</v>
      </c>
      <c r="H26" s="601"/>
      <c r="I26" s="601"/>
      <c r="J26" s="601"/>
      <c r="K26" s="601" t="s">
        <v>453</v>
      </c>
      <c r="L26" s="601"/>
      <c r="M26" s="601"/>
      <c r="N26" s="601"/>
      <c r="O26" s="601" t="s">
        <v>454</v>
      </c>
      <c r="P26" s="601"/>
      <c r="Q26" s="601"/>
      <c r="R26" s="601"/>
      <c r="S26" s="601" t="s">
        <v>455</v>
      </c>
      <c r="T26" s="601"/>
      <c r="U26" s="601"/>
      <c r="V26" s="601"/>
      <c r="W26" s="601" t="s">
        <v>456</v>
      </c>
      <c r="X26" s="601"/>
      <c r="Y26" s="601"/>
      <c r="Z26" s="601"/>
      <c r="AA26" s="558"/>
      <c r="AB26" s="558"/>
    </row>
    <row r="27" spans="1:28" ht="89.25" customHeight="1">
      <c r="A27" s="591"/>
      <c r="B27" s="594"/>
      <c r="C27" s="68" t="s">
        <v>31</v>
      </c>
      <c r="D27" s="68" t="s">
        <v>32</v>
      </c>
      <c r="E27" s="68" t="s">
        <v>33</v>
      </c>
      <c r="F27" s="68" t="s">
        <v>17</v>
      </c>
      <c r="G27" s="68" t="s">
        <v>34</v>
      </c>
      <c r="H27" s="68" t="s">
        <v>32</v>
      </c>
      <c r="I27" s="68" t="s">
        <v>33</v>
      </c>
      <c r="J27" s="68" t="s">
        <v>19</v>
      </c>
      <c r="K27" s="68" t="s">
        <v>34</v>
      </c>
      <c r="L27" s="68" t="s">
        <v>32</v>
      </c>
      <c r="M27" s="68" t="s">
        <v>33</v>
      </c>
      <c r="N27" s="68" t="s">
        <v>19</v>
      </c>
      <c r="O27" s="68" t="s">
        <v>34</v>
      </c>
      <c r="P27" s="68" t="s">
        <v>32</v>
      </c>
      <c r="Q27" s="68" t="s">
        <v>33</v>
      </c>
      <c r="R27" s="68" t="s">
        <v>19</v>
      </c>
      <c r="S27" s="68" t="s">
        <v>34</v>
      </c>
      <c r="T27" s="68" t="s">
        <v>32</v>
      </c>
      <c r="U27" s="68" t="s">
        <v>33</v>
      </c>
      <c r="V27" s="68" t="s">
        <v>19</v>
      </c>
      <c r="W27" s="68" t="s">
        <v>34</v>
      </c>
      <c r="X27" s="68" t="s">
        <v>32</v>
      </c>
      <c r="Y27" s="68" t="s">
        <v>33</v>
      </c>
      <c r="Z27" s="68" t="s">
        <v>19</v>
      </c>
      <c r="AA27" s="559"/>
      <c r="AB27" s="559"/>
    </row>
    <row r="28" spans="1:28" ht="25.5">
      <c r="A28" s="69" t="s">
        <v>20</v>
      </c>
      <c r="B28" s="69" t="s">
        <v>474</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row>
    <row r="29" spans="1:28" ht="25.5">
      <c r="A29" s="69" t="s">
        <v>36</v>
      </c>
      <c r="B29" s="201" t="s">
        <v>475</v>
      </c>
      <c r="C29" s="67">
        <v>0</v>
      </c>
      <c r="D29" s="67">
        <v>0</v>
      </c>
      <c r="E29" s="67">
        <v>0</v>
      </c>
      <c r="F29" s="69">
        <v>4800</v>
      </c>
      <c r="G29" s="202">
        <v>240</v>
      </c>
      <c r="H29" s="69">
        <v>4800</v>
      </c>
      <c r="I29" s="69">
        <v>155</v>
      </c>
      <c r="J29" s="69">
        <v>4800</v>
      </c>
      <c r="K29" s="69">
        <v>480</v>
      </c>
      <c r="L29" s="69">
        <v>4800</v>
      </c>
      <c r="M29" s="69">
        <v>155</v>
      </c>
      <c r="N29" s="69">
        <v>4800</v>
      </c>
      <c r="O29" s="69">
        <v>720</v>
      </c>
      <c r="P29" s="69">
        <v>4800</v>
      </c>
      <c r="Q29" s="69">
        <v>155</v>
      </c>
      <c r="R29" s="69">
        <v>4800</v>
      </c>
      <c r="S29" s="69">
        <v>960</v>
      </c>
      <c r="T29" s="69">
        <v>4800</v>
      </c>
      <c r="U29" s="69">
        <v>155</v>
      </c>
      <c r="V29" s="69">
        <v>4800</v>
      </c>
      <c r="W29" s="69">
        <v>1200</v>
      </c>
      <c r="X29" s="69">
        <v>4800</v>
      </c>
      <c r="Y29" s="69">
        <v>155</v>
      </c>
      <c r="Z29" s="69">
        <v>4800</v>
      </c>
      <c r="AA29" s="362">
        <f>C29/W29</f>
        <v>0</v>
      </c>
      <c r="AB29" s="362">
        <f>W29/X29</f>
        <v>0.25</v>
      </c>
    </row>
    <row r="30" spans="1:28" ht="25.5">
      <c r="B30" s="147" t="s">
        <v>476</v>
      </c>
      <c r="Z30" s="167" t="s">
        <v>123</v>
      </c>
      <c r="AA30" s="362">
        <f>AVERAGE(AA29)</f>
        <v>0</v>
      </c>
      <c r="AB30" s="362">
        <f>AVERAGE(AB29)</f>
        <v>0.25</v>
      </c>
    </row>
    <row r="31" spans="1:28">
      <c r="A31" s="77"/>
      <c r="B31" s="77" t="s">
        <v>477</v>
      </c>
    </row>
    <row r="32" spans="1:28">
      <c r="A32" s="10" t="s">
        <v>41</v>
      </c>
      <c r="B32" s="602" t="s">
        <v>42</v>
      </c>
      <c r="C32" s="602"/>
      <c r="D32" s="602"/>
      <c r="E32" s="602"/>
      <c r="F32" s="602"/>
      <c r="G32" s="602"/>
      <c r="H32" s="602"/>
      <c r="I32" s="602"/>
      <c r="J32" s="602"/>
      <c r="K32" s="602"/>
      <c r="L32" s="602"/>
      <c r="M32" s="602"/>
      <c r="N32" s="602"/>
      <c r="O32" s="602"/>
      <c r="P32" s="602"/>
      <c r="Q32" s="602"/>
      <c r="R32" s="602"/>
    </row>
    <row r="33" spans="1:18">
      <c r="A33" s="10" t="s">
        <v>43</v>
      </c>
      <c r="B33" s="602" t="s">
        <v>44</v>
      </c>
      <c r="C33" s="602"/>
      <c r="D33" s="602"/>
      <c r="E33" s="602"/>
      <c r="F33" s="602"/>
      <c r="G33" s="602"/>
      <c r="H33" s="602"/>
      <c r="I33" s="602"/>
      <c r="J33" s="602"/>
      <c r="K33" s="602"/>
      <c r="L33" s="602"/>
      <c r="M33" s="602"/>
      <c r="N33" s="602"/>
      <c r="O33" s="602"/>
      <c r="P33" s="602"/>
      <c r="Q33" s="602"/>
      <c r="R33" s="602"/>
    </row>
    <row r="34" spans="1:18">
      <c r="B34" s="602" t="s">
        <v>45</v>
      </c>
      <c r="C34" s="602"/>
      <c r="D34" s="602"/>
      <c r="E34" s="602"/>
      <c r="F34" s="602"/>
      <c r="G34" s="602"/>
      <c r="H34" s="602"/>
      <c r="I34" s="602"/>
      <c r="J34" s="602"/>
      <c r="K34" s="602"/>
      <c r="L34" s="602"/>
      <c r="M34" s="602"/>
      <c r="N34" s="602"/>
      <c r="O34" s="602"/>
      <c r="P34" s="602"/>
      <c r="Q34" s="602"/>
      <c r="R34" s="602"/>
    </row>
    <row r="35" spans="1:18">
      <c r="B35" s="602" t="s">
        <v>46</v>
      </c>
      <c r="C35" s="602"/>
      <c r="D35" s="602"/>
      <c r="E35" s="602"/>
      <c r="F35" s="602"/>
      <c r="G35" s="602"/>
      <c r="H35" s="602"/>
      <c r="I35" s="602"/>
      <c r="J35" s="602"/>
      <c r="K35" s="602"/>
      <c r="L35" s="602"/>
      <c r="M35" s="602"/>
      <c r="N35" s="602"/>
      <c r="O35" s="602"/>
      <c r="P35" s="602"/>
      <c r="Q35" s="602"/>
      <c r="R35" s="602"/>
    </row>
    <row r="36" spans="1:18">
      <c r="B36" s="602" t="s">
        <v>47</v>
      </c>
      <c r="C36" s="602"/>
      <c r="D36" s="602"/>
      <c r="E36" s="602"/>
      <c r="F36" s="602"/>
      <c r="G36" s="602"/>
      <c r="H36" s="602"/>
      <c r="I36" s="602"/>
      <c r="J36" s="602"/>
      <c r="K36" s="602"/>
      <c r="L36" s="602"/>
      <c r="M36" s="602"/>
      <c r="N36" s="602"/>
      <c r="O36" s="602"/>
      <c r="P36" s="602"/>
      <c r="Q36" s="602"/>
      <c r="R36" s="602"/>
    </row>
    <row r="37" spans="1:18">
      <c r="B37" s="602" t="s">
        <v>48</v>
      </c>
      <c r="C37" s="602"/>
      <c r="D37" s="602"/>
      <c r="E37" s="602"/>
      <c r="F37" s="602"/>
      <c r="G37" s="602"/>
      <c r="H37" s="602"/>
      <c r="I37" s="602"/>
      <c r="J37" s="602"/>
      <c r="K37" s="602"/>
      <c r="L37" s="602"/>
      <c r="M37" s="602"/>
      <c r="N37" s="602"/>
      <c r="O37" s="602"/>
      <c r="P37" s="602"/>
      <c r="Q37" s="602"/>
      <c r="R37" s="602"/>
    </row>
    <row r="38" spans="1:18">
      <c r="B38" s="602" t="s">
        <v>49</v>
      </c>
      <c r="C38" s="602"/>
      <c r="D38" s="602"/>
      <c r="E38" s="602"/>
      <c r="F38" s="602"/>
      <c r="G38" s="602"/>
      <c r="H38" s="602"/>
      <c r="I38" s="602"/>
      <c r="J38" s="602"/>
      <c r="K38" s="602"/>
      <c r="L38" s="602"/>
      <c r="M38" s="602"/>
      <c r="N38" s="602"/>
      <c r="O38" s="602"/>
      <c r="P38" s="602"/>
      <c r="Q38" s="602"/>
      <c r="R38" s="602"/>
    </row>
    <row r="39" spans="1:18">
      <c r="B39" s="602" t="s">
        <v>50</v>
      </c>
      <c r="C39" s="602"/>
      <c r="D39" s="602"/>
      <c r="E39" s="602"/>
      <c r="F39" s="602"/>
      <c r="G39" s="602"/>
      <c r="H39" s="602"/>
      <c r="I39" s="602"/>
      <c r="J39" s="602"/>
      <c r="K39" s="602"/>
      <c r="L39" s="602"/>
      <c r="M39" s="602"/>
      <c r="N39" s="602"/>
      <c r="O39" s="602"/>
      <c r="P39" s="602"/>
      <c r="Q39" s="602"/>
      <c r="R39" s="602"/>
    </row>
  </sheetData>
  <mergeCells count="34">
    <mergeCell ref="A24:Z24"/>
    <mergeCell ref="AA3:AA5"/>
    <mergeCell ref="AB3:AB5"/>
    <mergeCell ref="G4:J4"/>
    <mergeCell ref="K4:N4"/>
    <mergeCell ref="O4:R4"/>
    <mergeCell ref="S4:V4"/>
    <mergeCell ref="W4:Z4"/>
    <mergeCell ref="A1:E1"/>
    <mergeCell ref="F1:R1"/>
    <mergeCell ref="A2:Z2"/>
    <mergeCell ref="A3:A5"/>
    <mergeCell ref="B3:B5"/>
    <mergeCell ref="C3:F4"/>
    <mergeCell ref="G3:Z3"/>
    <mergeCell ref="A25:A27"/>
    <mergeCell ref="B25:B27"/>
    <mergeCell ref="C25:F26"/>
    <mergeCell ref="G25:Z25"/>
    <mergeCell ref="AA25:AA27"/>
    <mergeCell ref="AB25:AB27"/>
    <mergeCell ref="G26:J26"/>
    <mergeCell ref="K26:N26"/>
    <mergeCell ref="O26:R26"/>
    <mergeCell ref="S26:V26"/>
    <mergeCell ref="W26:Z26"/>
    <mergeCell ref="B37:R37"/>
    <mergeCell ref="B38:R38"/>
    <mergeCell ref="B39:R39"/>
    <mergeCell ref="B32:R32"/>
    <mergeCell ref="B33:R33"/>
    <mergeCell ref="B34:R34"/>
    <mergeCell ref="B35:R35"/>
    <mergeCell ref="B36:R3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AB37"/>
  <sheetViews>
    <sheetView topLeftCell="F1" workbookViewId="0">
      <selection activeCell="B25" sqref="B24:R25"/>
    </sheetView>
  </sheetViews>
  <sheetFormatPr defaultRowHeight="15"/>
  <cols>
    <col min="1" max="1" width="5" style="186" customWidth="1"/>
    <col min="2" max="2" width="15.85546875" style="186" customWidth="1"/>
    <col min="3" max="6" width="7.7109375" style="186" customWidth="1"/>
    <col min="7" max="26" width="7" style="186" customWidth="1"/>
    <col min="27" max="16384" width="9.140625" style="186"/>
  </cols>
  <sheetData>
    <row r="1" spans="1:28" s="1" customFormat="1" ht="37.5" customHeight="1">
      <c r="A1" s="529" t="s">
        <v>0</v>
      </c>
      <c r="B1" s="529"/>
      <c r="C1" s="529"/>
      <c r="D1" s="529"/>
      <c r="E1" s="529"/>
      <c r="F1" s="530" t="s">
        <v>478</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479</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6"/>
      <c r="AB4" s="633"/>
    </row>
    <row r="5" spans="1:28" ht="141"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7"/>
      <c r="AB5" s="634"/>
    </row>
    <row r="6" spans="1:28" ht="51">
      <c r="A6" s="6" t="s">
        <v>20</v>
      </c>
      <c r="B6" s="6" t="s">
        <v>480</v>
      </c>
      <c r="C6" s="6">
        <v>0</v>
      </c>
      <c r="D6" s="203">
        <v>27</v>
      </c>
      <c r="E6" s="6">
        <v>0</v>
      </c>
      <c r="F6" s="203">
        <v>27</v>
      </c>
      <c r="G6" s="6">
        <v>0</v>
      </c>
      <c r="H6" s="203">
        <v>25</v>
      </c>
      <c r="I6" s="6">
        <v>0</v>
      </c>
      <c r="J6" s="203">
        <v>25</v>
      </c>
      <c r="K6" s="6">
        <v>12</v>
      </c>
      <c r="L6" s="6">
        <v>25</v>
      </c>
      <c r="M6" s="6">
        <v>12</v>
      </c>
      <c r="N6" s="6">
        <v>25</v>
      </c>
      <c r="O6" s="6">
        <v>12</v>
      </c>
      <c r="P6" s="6">
        <v>25</v>
      </c>
      <c r="Q6" s="6">
        <v>12</v>
      </c>
      <c r="R6" s="6">
        <v>25</v>
      </c>
      <c r="S6" s="6">
        <v>12</v>
      </c>
      <c r="T6" s="6">
        <v>25</v>
      </c>
      <c r="U6" s="6">
        <v>12</v>
      </c>
      <c r="V6" s="6">
        <v>25</v>
      </c>
      <c r="W6" s="6">
        <v>12</v>
      </c>
      <c r="X6" s="6">
        <v>25</v>
      </c>
      <c r="Y6" s="6">
        <v>12</v>
      </c>
      <c r="Z6" s="6">
        <v>25</v>
      </c>
      <c r="AA6" s="213">
        <f>C6/W6</f>
        <v>0</v>
      </c>
      <c r="AB6" s="213">
        <f>W6/X6</f>
        <v>0.48</v>
      </c>
    </row>
    <row r="7" spans="1:28" ht="52.5" customHeight="1">
      <c r="A7" s="6" t="s">
        <v>22</v>
      </c>
      <c r="B7" s="6" t="s">
        <v>481</v>
      </c>
      <c r="C7" s="6">
        <v>0</v>
      </c>
      <c r="D7" s="203">
        <v>27</v>
      </c>
      <c r="E7" s="6">
        <v>0</v>
      </c>
      <c r="F7" s="203">
        <v>27</v>
      </c>
      <c r="G7" s="6">
        <v>0</v>
      </c>
      <c r="H7" s="203">
        <v>25</v>
      </c>
      <c r="I7" s="6">
        <v>0</v>
      </c>
      <c r="J7" s="203">
        <v>25</v>
      </c>
      <c r="K7" s="6">
        <v>12</v>
      </c>
      <c r="L7" s="6">
        <v>25</v>
      </c>
      <c r="M7" s="6">
        <v>12</v>
      </c>
      <c r="N7" s="6">
        <v>25</v>
      </c>
      <c r="O7" s="6">
        <v>12</v>
      </c>
      <c r="P7" s="6">
        <v>25</v>
      </c>
      <c r="Q7" s="6">
        <v>12</v>
      </c>
      <c r="R7" s="6">
        <v>25</v>
      </c>
      <c r="S7" s="6">
        <v>12</v>
      </c>
      <c r="T7" s="6">
        <v>25</v>
      </c>
      <c r="U7" s="6">
        <v>12</v>
      </c>
      <c r="V7" s="6">
        <v>25</v>
      </c>
      <c r="W7" s="6">
        <v>12</v>
      </c>
      <c r="X7" s="6">
        <v>25</v>
      </c>
      <c r="Y7" s="6">
        <v>12</v>
      </c>
      <c r="Z7" s="6">
        <v>25</v>
      </c>
      <c r="AA7" s="213">
        <f t="shared" ref="AA7:AA8" si="0">C7/W7</f>
        <v>0</v>
      </c>
      <c r="AB7" s="213">
        <f t="shared" ref="AB7:AB8" si="1">W7/X7</f>
        <v>0.48</v>
      </c>
    </row>
    <row r="8" spans="1:28" ht="51">
      <c r="A8" s="6" t="s">
        <v>61</v>
      </c>
      <c r="B8" s="6" t="s">
        <v>482</v>
      </c>
      <c r="C8" s="6">
        <v>0</v>
      </c>
      <c r="D8" s="6">
        <v>0</v>
      </c>
      <c r="E8" s="6">
        <v>0</v>
      </c>
      <c r="F8" s="6">
        <v>0</v>
      </c>
      <c r="G8" s="6">
        <v>117</v>
      </c>
      <c r="H8" s="6">
        <v>117</v>
      </c>
      <c r="I8" s="6">
        <v>134</v>
      </c>
      <c r="J8" s="6">
        <v>136</v>
      </c>
      <c r="K8" s="6">
        <v>100</v>
      </c>
      <c r="L8" s="6">
        <v>100</v>
      </c>
      <c r="M8" s="6">
        <f>I8+K8-20</f>
        <v>214</v>
      </c>
      <c r="N8" s="6">
        <f>M8+2</f>
        <v>216</v>
      </c>
      <c r="O8" s="6">
        <v>100</v>
      </c>
      <c r="P8" s="6">
        <v>100</v>
      </c>
      <c r="Q8" s="6">
        <f>M8+O8-20</f>
        <v>294</v>
      </c>
      <c r="R8" s="6">
        <f>Q8+2</f>
        <v>296</v>
      </c>
      <c r="S8" s="6">
        <v>100</v>
      </c>
      <c r="T8" s="6">
        <v>100</v>
      </c>
      <c r="U8" s="6">
        <f>Q8+S8-20</f>
        <v>374</v>
      </c>
      <c r="V8" s="6">
        <f>U8+2</f>
        <v>376</v>
      </c>
      <c r="W8" s="6">
        <v>100</v>
      </c>
      <c r="X8" s="6">
        <v>100</v>
      </c>
      <c r="Y8" s="6">
        <f>U8+W8-20</f>
        <v>454</v>
      </c>
      <c r="Z8" s="6">
        <f>Y8+2</f>
        <v>456</v>
      </c>
      <c r="AA8" s="213">
        <f t="shared" si="0"/>
        <v>0</v>
      </c>
      <c r="AB8" s="213">
        <f t="shared" si="1"/>
        <v>1</v>
      </c>
    </row>
    <row r="9" spans="1:28" ht="12.75" customHeight="1">
      <c r="Z9" s="204" t="s">
        <v>483</v>
      </c>
      <c r="AA9" s="213">
        <f>AVERAGE(AA6:AA8)</f>
        <v>0</v>
      </c>
      <c r="AB9" s="213">
        <f>AVERAGE(AB6:AB8)</f>
        <v>0.65333333333333332</v>
      </c>
    </row>
    <row r="10" spans="1:28" ht="23.25">
      <c r="A10" s="514" t="s">
        <v>25</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row>
    <row r="11" spans="1:28" ht="45.75" customHeight="1">
      <c r="A11" s="515" t="s">
        <v>3</v>
      </c>
      <c r="B11" s="518" t="s">
        <v>26</v>
      </c>
      <c r="C11" s="521" t="s">
        <v>139</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604"/>
      <c r="AA11" s="515" t="s">
        <v>29</v>
      </c>
      <c r="AB11" s="510" t="s">
        <v>30</v>
      </c>
    </row>
    <row r="12" spans="1:28"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604"/>
      <c r="AA12" s="516"/>
      <c r="AB12" s="633"/>
    </row>
    <row r="13" spans="1:28" ht="171.75" customHeight="1">
      <c r="A13" s="517"/>
      <c r="B13" s="520"/>
      <c r="C13" s="5" t="s">
        <v>140</v>
      </c>
      <c r="D13" s="5" t="s">
        <v>32</v>
      </c>
      <c r="E13" s="5" t="s">
        <v>33</v>
      </c>
      <c r="F13" s="5" t="s">
        <v>131</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84" t="s">
        <v>19</v>
      </c>
      <c r="AA13" s="517"/>
      <c r="AB13" s="634"/>
    </row>
    <row r="14" spans="1:28" ht="38.25">
      <c r="A14" s="47" t="s">
        <v>20</v>
      </c>
      <c r="B14" s="47" t="s">
        <v>484</v>
      </c>
      <c r="C14" s="47"/>
      <c r="D14" s="47"/>
      <c r="E14" s="47"/>
      <c r="F14" s="47"/>
      <c r="G14" s="47"/>
      <c r="H14" s="47"/>
      <c r="I14" s="47"/>
      <c r="J14" s="47"/>
      <c r="K14" s="47"/>
      <c r="L14" s="47"/>
      <c r="M14" s="47"/>
      <c r="N14" s="47"/>
      <c r="O14" s="47"/>
      <c r="P14" s="47"/>
      <c r="Q14" s="47"/>
      <c r="R14" s="47"/>
      <c r="S14" s="47"/>
      <c r="T14" s="47"/>
      <c r="U14" s="47"/>
      <c r="V14" s="47"/>
      <c r="W14" s="47"/>
      <c r="X14" s="47"/>
      <c r="Y14" s="47"/>
      <c r="Z14" s="205"/>
      <c r="AA14" s="87"/>
      <c r="AB14" s="87"/>
    </row>
    <row r="15" spans="1:28" ht="38.25">
      <c r="A15" s="6" t="s">
        <v>36</v>
      </c>
      <c r="B15" s="6" t="s">
        <v>485</v>
      </c>
      <c r="C15" s="6">
        <v>0</v>
      </c>
      <c r="D15" s="201">
        <v>23180</v>
      </c>
      <c r="E15" s="6">
        <v>0</v>
      </c>
      <c r="F15" s="201">
        <v>23180</v>
      </c>
      <c r="G15" s="201">
        <v>117</v>
      </c>
      <c r="H15" s="201">
        <v>14614</v>
      </c>
      <c r="I15" s="201">
        <v>134</v>
      </c>
      <c r="J15" s="201">
        <v>14614</v>
      </c>
      <c r="K15" s="201">
        <v>100</v>
      </c>
      <c r="L15" s="201">
        <v>19000</v>
      </c>
      <c r="M15" s="201">
        <v>214</v>
      </c>
      <c r="N15" s="201">
        <v>19000</v>
      </c>
      <c r="O15" s="201">
        <v>100</v>
      </c>
      <c r="P15" s="201">
        <v>19000</v>
      </c>
      <c r="Q15" s="201">
        <v>294</v>
      </c>
      <c r="R15" s="201">
        <v>19000</v>
      </c>
      <c r="S15" s="201">
        <v>100</v>
      </c>
      <c r="T15" s="201">
        <v>19000</v>
      </c>
      <c r="U15" s="201">
        <v>374</v>
      </c>
      <c r="V15" s="201">
        <v>19000</v>
      </c>
      <c r="W15" s="201">
        <v>100</v>
      </c>
      <c r="X15" s="201">
        <v>19000</v>
      </c>
      <c r="Y15" s="201">
        <v>454</v>
      </c>
      <c r="Z15" s="207">
        <v>19000</v>
      </c>
      <c r="AA15" s="363">
        <f>C15/W15</f>
        <v>0</v>
      </c>
      <c r="AB15" s="467">
        <f>W15/X15</f>
        <v>5.263157894736842E-3</v>
      </c>
    </row>
    <row r="16" spans="1:28" ht="107.25" customHeight="1">
      <c r="A16" s="6" t="s">
        <v>38</v>
      </c>
      <c r="B16" s="6" t="s">
        <v>486</v>
      </c>
      <c r="C16" s="6">
        <v>0</v>
      </c>
      <c r="D16" s="201">
        <v>54</v>
      </c>
      <c r="E16" s="6">
        <v>0</v>
      </c>
      <c r="F16" s="201">
        <v>54</v>
      </c>
      <c r="G16" s="201">
        <v>0</v>
      </c>
      <c r="H16" s="201">
        <v>52</v>
      </c>
      <c r="I16" s="201">
        <v>0</v>
      </c>
      <c r="J16" s="201">
        <v>52</v>
      </c>
      <c r="K16" s="201">
        <v>24</v>
      </c>
      <c r="L16" s="201">
        <v>50</v>
      </c>
      <c r="M16" s="201">
        <v>55</v>
      </c>
      <c r="N16" s="201">
        <v>50</v>
      </c>
      <c r="O16" s="201">
        <v>24</v>
      </c>
      <c r="P16" s="201">
        <v>50</v>
      </c>
      <c r="Q16" s="201">
        <v>55</v>
      </c>
      <c r="R16" s="201">
        <v>50</v>
      </c>
      <c r="S16" s="201">
        <v>24</v>
      </c>
      <c r="T16" s="201">
        <v>50</v>
      </c>
      <c r="U16" s="201">
        <v>50</v>
      </c>
      <c r="V16" s="201">
        <v>50</v>
      </c>
      <c r="W16" s="201">
        <v>24</v>
      </c>
      <c r="X16" s="201">
        <v>50</v>
      </c>
      <c r="Y16" s="201">
        <v>50</v>
      </c>
      <c r="Z16" s="207">
        <v>50</v>
      </c>
      <c r="AA16" s="363">
        <f>C16/W16</f>
        <v>0</v>
      </c>
      <c r="AB16" s="467">
        <f>W16/X16</f>
        <v>0.48</v>
      </c>
    </row>
    <row r="17" spans="1:28" ht="15" customHeight="1">
      <c r="A17" s="7"/>
      <c r="B17" s="7"/>
      <c r="C17" s="7"/>
      <c r="D17" s="208"/>
      <c r="E17" s="7"/>
      <c r="F17" s="208"/>
      <c r="G17" s="208"/>
      <c r="H17" s="208"/>
      <c r="I17" s="208"/>
      <c r="J17" s="208"/>
      <c r="K17" s="208"/>
      <c r="L17" s="208"/>
      <c r="M17" s="208"/>
      <c r="N17" s="208"/>
      <c r="O17" s="208"/>
      <c r="P17" s="208"/>
      <c r="Q17" s="208"/>
      <c r="R17" s="208"/>
      <c r="S17" s="208"/>
      <c r="T17" s="208"/>
      <c r="U17" s="208"/>
      <c r="V17" s="208"/>
      <c r="W17" s="208"/>
      <c r="X17" s="208"/>
      <c r="Y17" s="208"/>
      <c r="Z17" s="209"/>
      <c r="AA17" s="206"/>
      <c r="AB17" s="206"/>
    </row>
    <row r="18" spans="1:28">
      <c r="D18" s="210"/>
      <c r="F18" s="210"/>
      <c r="G18" s="210"/>
      <c r="H18" s="210"/>
      <c r="I18" s="210"/>
      <c r="J18" s="210"/>
      <c r="K18" s="210"/>
      <c r="L18" s="210"/>
      <c r="M18" s="210"/>
      <c r="N18" s="210"/>
      <c r="O18" s="210"/>
      <c r="P18" s="210"/>
      <c r="Q18" s="210"/>
      <c r="R18" s="210"/>
      <c r="S18" s="210"/>
      <c r="T18" s="210"/>
      <c r="U18" s="210"/>
      <c r="V18" s="210"/>
      <c r="W18" s="210"/>
      <c r="X18" s="210"/>
      <c r="Y18" s="210"/>
      <c r="Z18" s="210"/>
    </row>
    <row r="19" spans="1:28" ht="38.25">
      <c r="A19" s="47" t="s">
        <v>22</v>
      </c>
      <c r="B19" s="47" t="s">
        <v>487</v>
      </c>
      <c r="C19" s="47"/>
      <c r="D19" s="211"/>
      <c r="E19" s="47"/>
      <c r="F19" s="211"/>
      <c r="G19" s="211"/>
      <c r="H19" s="211"/>
      <c r="I19" s="211"/>
      <c r="J19" s="211"/>
      <c r="K19" s="211"/>
      <c r="L19" s="211"/>
      <c r="M19" s="211"/>
      <c r="N19" s="211"/>
      <c r="O19" s="211"/>
      <c r="P19" s="211"/>
      <c r="Q19" s="211"/>
      <c r="R19" s="211"/>
      <c r="S19" s="211"/>
      <c r="T19" s="211"/>
      <c r="U19" s="211"/>
      <c r="V19" s="211"/>
      <c r="W19" s="211"/>
      <c r="X19" s="211"/>
      <c r="Y19" s="211"/>
      <c r="Z19" s="211"/>
      <c r="AA19" s="87"/>
      <c r="AB19" s="87"/>
    </row>
    <row r="20" spans="1:28" ht="38.25">
      <c r="A20" s="6" t="s">
        <v>488</v>
      </c>
      <c r="B20" s="6" t="s">
        <v>489</v>
      </c>
      <c r="C20" s="6">
        <v>0</v>
      </c>
      <c r="D20" s="201">
        <v>3990</v>
      </c>
      <c r="E20" s="6">
        <v>0</v>
      </c>
      <c r="F20" s="201">
        <v>126</v>
      </c>
      <c r="G20" s="201">
        <v>4115</v>
      </c>
      <c r="H20" s="201">
        <v>8105</v>
      </c>
      <c r="I20" s="201">
        <v>136</v>
      </c>
      <c r="J20" s="201">
        <v>136</v>
      </c>
      <c r="K20" s="201">
        <v>4215</v>
      </c>
      <c r="L20" s="201">
        <v>8105</v>
      </c>
      <c r="M20" s="201">
        <v>136</v>
      </c>
      <c r="N20" s="201">
        <v>136</v>
      </c>
      <c r="O20" s="201">
        <v>4315</v>
      </c>
      <c r="P20" s="201">
        <v>8105</v>
      </c>
      <c r="Q20" s="201">
        <v>136</v>
      </c>
      <c r="R20" s="201">
        <v>136</v>
      </c>
      <c r="S20" s="201">
        <v>4415</v>
      </c>
      <c r="T20" s="201">
        <v>8105</v>
      </c>
      <c r="U20" s="201">
        <v>136</v>
      </c>
      <c r="V20" s="201">
        <v>136</v>
      </c>
      <c r="W20" s="201">
        <v>4515</v>
      </c>
      <c r="X20" s="201">
        <v>8105</v>
      </c>
      <c r="Y20" s="201">
        <v>136</v>
      </c>
      <c r="Z20" s="201">
        <v>136</v>
      </c>
      <c r="AA20" s="363">
        <f>C20/W20</f>
        <v>0</v>
      </c>
      <c r="AB20" s="363">
        <f>W20/X20</f>
        <v>0.55706354102405919</v>
      </c>
    </row>
    <row r="21" spans="1:28" ht="38.25">
      <c r="A21" s="6" t="s">
        <v>318</v>
      </c>
      <c r="B21" s="6" t="s">
        <v>490</v>
      </c>
      <c r="C21" s="6">
        <v>0</v>
      </c>
      <c r="D21" s="6">
        <v>1120</v>
      </c>
      <c r="E21" s="6">
        <v>0</v>
      </c>
      <c r="F21" s="201">
        <v>0</v>
      </c>
      <c r="G21" s="201">
        <v>6</v>
      </c>
      <c r="H21" s="201">
        <v>1120</v>
      </c>
      <c r="I21" s="201">
        <v>136</v>
      </c>
      <c r="J21" s="201">
        <v>136</v>
      </c>
      <c r="K21" s="201">
        <v>50</v>
      </c>
      <c r="L21" s="201">
        <v>1120</v>
      </c>
      <c r="M21" s="201">
        <v>136</v>
      </c>
      <c r="N21" s="201">
        <v>136</v>
      </c>
      <c r="O21" s="201">
        <v>100</v>
      </c>
      <c r="P21" s="201">
        <v>1120</v>
      </c>
      <c r="Q21" s="201">
        <v>136</v>
      </c>
      <c r="R21" s="201">
        <v>136</v>
      </c>
      <c r="S21" s="201">
        <v>150</v>
      </c>
      <c r="T21" s="201">
        <v>1120</v>
      </c>
      <c r="U21" s="201">
        <v>136</v>
      </c>
      <c r="V21" s="201">
        <v>136</v>
      </c>
      <c r="W21" s="201">
        <v>200</v>
      </c>
      <c r="X21" s="201">
        <v>1120</v>
      </c>
      <c r="Y21" s="201">
        <v>136</v>
      </c>
      <c r="Z21" s="201">
        <v>136</v>
      </c>
      <c r="AA21" s="363">
        <f t="shared" ref="AA21:AA22" si="2">C21/W21</f>
        <v>0</v>
      </c>
      <c r="AB21" s="363">
        <f t="shared" ref="AB21:AB22" si="3">W21/X21</f>
        <v>0.17857142857142858</v>
      </c>
    </row>
    <row r="22" spans="1:28" s="157" customFormat="1" ht="38.25">
      <c r="A22" s="6" t="s">
        <v>320</v>
      </c>
      <c r="B22" s="6" t="s">
        <v>491</v>
      </c>
      <c r="C22" s="6">
        <v>0</v>
      </c>
      <c r="D22" s="6">
        <v>14847</v>
      </c>
      <c r="E22" s="6">
        <v>0</v>
      </c>
      <c r="F22" s="201">
        <v>126</v>
      </c>
      <c r="G22" s="201">
        <v>1970</v>
      </c>
      <c r="H22" s="201">
        <v>14857</v>
      </c>
      <c r="I22" s="201">
        <v>136</v>
      </c>
      <c r="J22" s="201">
        <v>136</v>
      </c>
      <c r="K22" s="201">
        <f>G22+5</f>
        <v>1975</v>
      </c>
      <c r="L22" s="201">
        <f>H22+10</f>
        <v>14867</v>
      </c>
      <c r="M22" s="201">
        <v>136</v>
      </c>
      <c r="N22" s="201">
        <v>136</v>
      </c>
      <c r="O22" s="201">
        <f>K22+5</f>
        <v>1980</v>
      </c>
      <c r="P22" s="201">
        <f>L22+10</f>
        <v>14877</v>
      </c>
      <c r="Q22" s="201">
        <v>136</v>
      </c>
      <c r="R22" s="201">
        <v>136</v>
      </c>
      <c r="S22" s="201">
        <f>O22+5</f>
        <v>1985</v>
      </c>
      <c r="T22" s="201">
        <f>P22+10</f>
        <v>14887</v>
      </c>
      <c r="U22" s="201">
        <v>136</v>
      </c>
      <c r="V22" s="201">
        <v>136</v>
      </c>
      <c r="W22" s="201">
        <f>S22+5</f>
        <v>1990</v>
      </c>
      <c r="X22" s="201">
        <f>T22+10</f>
        <v>14897</v>
      </c>
      <c r="Y22" s="201">
        <v>136</v>
      </c>
      <c r="Z22" s="201">
        <v>136</v>
      </c>
      <c r="AA22" s="363">
        <f t="shared" si="2"/>
        <v>0</v>
      </c>
      <c r="AB22" s="363">
        <f t="shared" si="3"/>
        <v>0.13358394307578708</v>
      </c>
    </row>
    <row r="23" spans="1:28" ht="13.5" customHeight="1">
      <c r="Z23" s="204" t="s">
        <v>483</v>
      </c>
      <c r="AA23" s="363">
        <f>AVERAGE(AA15:AA16,AA20:AA22)</f>
        <v>0</v>
      </c>
      <c r="AB23" s="363">
        <f>AVERAGE(AB15:AB16,AB20:AB22)</f>
        <v>0.27089641411320231</v>
      </c>
    </row>
    <row r="24" spans="1:28">
      <c r="A24" s="9"/>
      <c r="B24" s="9" t="s">
        <v>40</v>
      </c>
    </row>
    <row r="26" spans="1:28" ht="31.5" customHeight="1">
      <c r="A26" s="10" t="s">
        <v>41</v>
      </c>
      <c r="B26" s="509" t="s">
        <v>42</v>
      </c>
      <c r="C26" s="509"/>
      <c r="D26" s="509"/>
      <c r="E26" s="509"/>
      <c r="F26" s="509"/>
      <c r="G26" s="509"/>
      <c r="H26" s="509"/>
      <c r="I26" s="509"/>
      <c r="J26" s="509"/>
      <c r="K26" s="509"/>
      <c r="L26" s="509"/>
      <c r="M26" s="509"/>
      <c r="N26" s="509"/>
      <c r="O26" s="509"/>
      <c r="P26" s="509"/>
      <c r="Q26" s="509"/>
      <c r="R26" s="509"/>
    </row>
    <row r="27" spans="1:28" ht="31.5" customHeight="1">
      <c r="A27" s="10" t="s">
        <v>43</v>
      </c>
      <c r="B27" s="509" t="s">
        <v>44</v>
      </c>
      <c r="C27" s="509"/>
      <c r="D27" s="509"/>
      <c r="E27" s="509"/>
      <c r="F27" s="509"/>
      <c r="G27" s="509"/>
      <c r="H27" s="509"/>
      <c r="I27" s="509"/>
      <c r="J27" s="509"/>
      <c r="K27" s="509"/>
      <c r="L27" s="509"/>
      <c r="M27" s="509"/>
      <c r="N27" s="509"/>
      <c r="O27" s="509"/>
      <c r="P27" s="509"/>
      <c r="Q27" s="509"/>
      <c r="R27" s="509"/>
    </row>
    <row r="28" spans="1:28" ht="31.5" customHeight="1">
      <c r="B28" s="509" t="s">
        <v>164</v>
      </c>
      <c r="C28" s="509"/>
      <c r="D28" s="509"/>
      <c r="E28" s="509"/>
      <c r="F28" s="509"/>
      <c r="G28" s="509"/>
      <c r="H28" s="509"/>
      <c r="I28" s="509"/>
      <c r="J28" s="509"/>
      <c r="K28" s="509"/>
      <c r="L28" s="509"/>
      <c r="M28" s="509"/>
      <c r="N28" s="509"/>
      <c r="O28" s="509"/>
      <c r="P28" s="509"/>
      <c r="Q28" s="509"/>
      <c r="R28" s="509"/>
    </row>
    <row r="29" spans="1:28" ht="31.5" customHeight="1">
      <c r="B29" s="509" t="s">
        <v>165</v>
      </c>
      <c r="C29" s="509"/>
      <c r="D29" s="509"/>
      <c r="E29" s="509"/>
      <c r="F29" s="509"/>
      <c r="G29" s="509"/>
      <c r="H29" s="509"/>
      <c r="I29" s="509"/>
      <c r="J29" s="509"/>
      <c r="K29" s="509"/>
      <c r="L29" s="509"/>
      <c r="M29" s="509"/>
      <c r="N29" s="509"/>
      <c r="O29" s="509"/>
      <c r="P29" s="509"/>
      <c r="Q29" s="509"/>
      <c r="R29" s="509"/>
    </row>
    <row r="30" spans="1:28" ht="31.5" customHeight="1">
      <c r="B30" s="509" t="s">
        <v>166</v>
      </c>
      <c r="C30" s="509"/>
      <c r="D30" s="509"/>
      <c r="E30" s="509"/>
      <c r="F30" s="509"/>
      <c r="G30" s="509"/>
      <c r="H30" s="509"/>
      <c r="I30" s="509"/>
      <c r="J30" s="509"/>
      <c r="K30" s="509"/>
      <c r="L30" s="509"/>
      <c r="M30" s="509"/>
      <c r="N30" s="509"/>
      <c r="O30" s="509"/>
      <c r="P30" s="509"/>
      <c r="Q30" s="509"/>
      <c r="R30" s="509"/>
    </row>
    <row r="31" spans="1:28" ht="31.5" customHeight="1">
      <c r="B31" s="509" t="s">
        <v>167</v>
      </c>
      <c r="C31" s="509"/>
      <c r="D31" s="509"/>
      <c r="E31" s="509"/>
      <c r="F31" s="509"/>
      <c r="G31" s="509"/>
      <c r="H31" s="509"/>
      <c r="I31" s="509"/>
      <c r="J31" s="509"/>
      <c r="K31" s="509"/>
      <c r="L31" s="509"/>
      <c r="M31" s="509"/>
      <c r="N31" s="509"/>
      <c r="O31" s="509"/>
      <c r="P31" s="509"/>
      <c r="Q31" s="509"/>
      <c r="R31" s="509"/>
    </row>
    <row r="32" spans="1:28" ht="73.5" customHeight="1">
      <c r="B32" s="509" t="s">
        <v>168</v>
      </c>
      <c r="C32" s="509"/>
      <c r="D32" s="509"/>
      <c r="E32" s="509"/>
      <c r="F32" s="509"/>
      <c r="G32" s="509"/>
      <c r="H32" s="509"/>
      <c r="I32" s="509"/>
      <c r="J32" s="509"/>
      <c r="K32" s="509"/>
      <c r="L32" s="509"/>
      <c r="M32" s="509"/>
      <c r="N32" s="509"/>
      <c r="O32" s="509"/>
      <c r="P32" s="509"/>
      <c r="Q32" s="509"/>
      <c r="R32" s="509"/>
    </row>
    <row r="33" spans="2:18" ht="39" customHeight="1">
      <c r="B33" s="509" t="s">
        <v>169</v>
      </c>
      <c r="C33" s="509"/>
      <c r="D33" s="509"/>
      <c r="E33" s="509"/>
      <c r="F33" s="509"/>
      <c r="G33" s="509"/>
      <c r="H33" s="509"/>
      <c r="I33" s="509"/>
      <c r="J33" s="509"/>
      <c r="K33" s="509"/>
      <c r="L33" s="509"/>
      <c r="M33" s="509"/>
      <c r="N33" s="509"/>
      <c r="O33" s="509"/>
      <c r="P33" s="509"/>
      <c r="Q33" s="509"/>
      <c r="R33" s="509"/>
    </row>
    <row r="34" spans="2:18">
      <c r="B34" s="11"/>
    </row>
    <row r="35" spans="2:18">
      <c r="B35" s="11"/>
    </row>
    <row r="37" spans="2:18">
      <c r="B37" s="11"/>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0:Z10"/>
    <mergeCell ref="A11:A13"/>
    <mergeCell ref="B11:B13"/>
    <mergeCell ref="C11:F12"/>
    <mergeCell ref="G11:Z11"/>
    <mergeCell ref="AB11:AB13"/>
    <mergeCell ref="G12:J12"/>
    <mergeCell ref="K12:N12"/>
    <mergeCell ref="O12:R12"/>
    <mergeCell ref="S12:V12"/>
    <mergeCell ref="W12:Z12"/>
    <mergeCell ref="AA11:AA13"/>
    <mergeCell ref="B32:R32"/>
    <mergeCell ref="B33:R33"/>
    <mergeCell ref="B26:R26"/>
    <mergeCell ref="B27:R27"/>
    <mergeCell ref="B28:R28"/>
    <mergeCell ref="B29:R29"/>
    <mergeCell ref="B30:R30"/>
    <mergeCell ref="B31:R31"/>
  </mergeCell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dimension ref="A1:AB35"/>
  <sheetViews>
    <sheetView topLeftCell="F1" workbookViewId="0">
      <selection activeCell="B25" sqref="B24:R25"/>
    </sheetView>
  </sheetViews>
  <sheetFormatPr defaultRowHeight="15"/>
  <cols>
    <col min="1" max="1" width="5" style="186" customWidth="1"/>
    <col min="2" max="2" width="45.5703125" style="186" bestFit="1" customWidth="1"/>
    <col min="3" max="6" width="7.7109375" style="186" customWidth="1"/>
    <col min="7" max="9" width="7" style="186" customWidth="1"/>
    <col min="10" max="10" width="7.7109375" style="186" customWidth="1"/>
    <col min="11" max="13" width="7" style="186" customWidth="1"/>
    <col min="14" max="14" width="8" style="186" bestFit="1" customWidth="1"/>
    <col min="15" max="17" width="7" style="186" customWidth="1"/>
    <col min="18" max="18" width="8" style="186" bestFit="1" customWidth="1"/>
    <col min="19" max="21" width="7" style="186" customWidth="1"/>
    <col min="22" max="22" width="8" style="186" bestFit="1" customWidth="1"/>
    <col min="23" max="25" width="7" style="186" customWidth="1"/>
    <col min="26" max="26" width="8" style="186" bestFit="1" customWidth="1"/>
    <col min="27" max="256" width="9.140625" style="186"/>
    <col min="257" max="257" width="5" style="186" customWidth="1"/>
    <col min="258" max="258" width="45.5703125" style="186" bestFit="1" customWidth="1"/>
    <col min="259" max="262" width="7.7109375" style="186" customWidth="1"/>
    <col min="263" max="265" width="7" style="186" customWidth="1"/>
    <col min="266" max="266" width="7.7109375" style="186" customWidth="1"/>
    <col min="267" max="269" width="7" style="186" customWidth="1"/>
    <col min="270" max="270" width="8" style="186" bestFit="1" customWidth="1"/>
    <col min="271" max="273" width="7" style="186" customWidth="1"/>
    <col min="274" max="274" width="8" style="186" bestFit="1" customWidth="1"/>
    <col min="275" max="277" width="7" style="186" customWidth="1"/>
    <col min="278" max="278" width="8" style="186" bestFit="1" customWidth="1"/>
    <col min="279" max="281" width="7" style="186" customWidth="1"/>
    <col min="282" max="282" width="8" style="186" bestFit="1" customWidth="1"/>
    <col min="283" max="512" width="9.140625" style="186"/>
    <col min="513" max="513" width="5" style="186" customWidth="1"/>
    <col min="514" max="514" width="45.5703125" style="186" bestFit="1" customWidth="1"/>
    <col min="515" max="518" width="7.7109375" style="186" customWidth="1"/>
    <col min="519" max="521" width="7" style="186" customWidth="1"/>
    <col min="522" max="522" width="7.7109375" style="186" customWidth="1"/>
    <col min="523" max="525" width="7" style="186" customWidth="1"/>
    <col min="526" max="526" width="8" style="186" bestFit="1" customWidth="1"/>
    <col min="527" max="529" width="7" style="186" customWidth="1"/>
    <col min="530" max="530" width="8" style="186" bestFit="1" customWidth="1"/>
    <col min="531" max="533" width="7" style="186" customWidth="1"/>
    <col min="534" max="534" width="8" style="186" bestFit="1" customWidth="1"/>
    <col min="535" max="537" width="7" style="186" customWidth="1"/>
    <col min="538" max="538" width="8" style="186" bestFit="1" customWidth="1"/>
    <col min="539" max="768" width="9.140625" style="186"/>
    <col min="769" max="769" width="5" style="186" customWidth="1"/>
    <col min="770" max="770" width="45.5703125" style="186" bestFit="1" customWidth="1"/>
    <col min="771" max="774" width="7.7109375" style="186" customWidth="1"/>
    <col min="775" max="777" width="7" style="186" customWidth="1"/>
    <col min="778" max="778" width="7.7109375" style="186" customWidth="1"/>
    <col min="779" max="781" width="7" style="186" customWidth="1"/>
    <col min="782" max="782" width="8" style="186" bestFit="1" customWidth="1"/>
    <col min="783" max="785" width="7" style="186" customWidth="1"/>
    <col min="786" max="786" width="8" style="186" bestFit="1" customWidth="1"/>
    <col min="787" max="789" width="7" style="186" customWidth="1"/>
    <col min="790" max="790" width="8" style="186" bestFit="1" customWidth="1"/>
    <col min="791" max="793" width="7" style="186" customWidth="1"/>
    <col min="794" max="794" width="8" style="186" bestFit="1" customWidth="1"/>
    <col min="795" max="1024" width="9.140625" style="186"/>
    <col min="1025" max="1025" width="5" style="186" customWidth="1"/>
    <col min="1026" max="1026" width="45.5703125" style="186" bestFit="1" customWidth="1"/>
    <col min="1027" max="1030" width="7.7109375" style="186" customWidth="1"/>
    <col min="1031" max="1033" width="7" style="186" customWidth="1"/>
    <col min="1034" max="1034" width="7.7109375" style="186" customWidth="1"/>
    <col min="1035" max="1037" width="7" style="186" customWidth="1"/>
    <col min="1038" max="1038" width="8" style="186" bestFit="1" customWidth="1"/>
    <col min="1039" max="1041" width="7" style="186" customWidth="1"/>
    <col min="1042" max="1042" width="8" style="186" bestFit="1" customWidth="1"/>
    <col min="1043" max="1045" width="7" style="186" customWidth="1"/>
    <col min="1046" max="1046" width="8" style="186" bestFit="1" customWidth="1"/>
    <col min="1047" max="1049" width="7" style="186" customWidth="1"/>
    <col min="1050" max="1050" width="8" style="186" bestFit="1" customWidth="1"/>
    <col min="1051" max="1280" width="9.140625" style="186"/>
    <col min="1281" max="1281" width="5" style="186" customWidth="1"/>
    <col min="1282" max="1282" width="45.5703125" style="186" bestFit="1" customWidth="1"/>
    <col min="1283" max="1286" width="7.7109375" style="186" customWidth="1"/>
    <col min="1287" max="1289" width="7" style="186" customWidth="1"/>
    <col min="1290" max="1290" width="7.7109375" style="186" customWidth="1"/>
    <col min="1291" max="1293" width="7" style="186" customWidth="1"/>
    <col min="1294" max="1294" width="8" style="186" bestFit="1" customWidth="1"/>
    <col min="1295" max="1297" width="7" style="186" customWidth="1"/>
    <col min="1298" max="1298" width="8" style="186" bestFit="1" customWidth="1"/>
    <col min="1299" max="1301" width="7" style="186" customWidth="1"/>
    <col min="1302" max="1302" width="8" style="186" bestFit="1" customWidth="1"/>
    <col min="1303" max="1305" width="7" style="186" customWidth="1"/>
    <col min="1306" max="1306" width="8" style="186" bestFit="1" customWidth="1"/>
    <col min="1307" max="1536" width="9.140625" style="186"/>
    <col min="1537" max="1537" width="5" style="186" customWidth="1"/>
    <col min="1538" max="1538" width="45.5703125" style="186" bestFit="1" customWidth="1"/>
    <col min="1539" max="1542" width="7.7109375" style="186" customWidth="1"/>
    <col min="1543" max="1545" width="7" style="186" customWidth="1"/>
    <col min="1546" max="1546" width="7.7109375" style="186" customWidth="1"/>
    <col min="1547" max="1549" width="7" style="186" customWidth="1"/>
    <col min="1550" max="1550" width="8" style="186" bestFit="1" customWidth="1"/>
    <col min="1551" max="1553" width="7" style="186" customWidth="1"/>
    <col min="1554" max="1554" width="8" style="186" bestFit="1" customWidth="1"/>
    <col min="1555" max="1557" width="7" style="186" customWidth="1"/>
    <col min="1558" max="1558" width="8" style="186" bestFit="1" customWidth="1"/>
    <col min="1559" max="1561" width="7" style="186" customWidth="1"/>
    <col min="1562" max="1562" width="8" style="186" bestFit="1" customWidth="1"/>
    <col min="1563" max="1792" width="9.140625" style="186"/>
    <col min="1793" max="1793" width="5" style="186" customWidth="1"/>
    <col min="1794" max="1794" width="45.5703125" style="186" bestFit="1" customWidth="1"/>
    <col min="1795" max="1798" width="7.7109375" style="186" customWidth="1"/>
    <col min="1799" max="1801" width="7" style="186" customWidth="1"/>
    <col min="1802" max="1802" width="7.7109375" style="186" customWidth="1"/>
    <col min="1803" max="1805" width="7" style="186" customWidth="1"/>
    <col min="1806" max="1806" width="8" style="186" bestFit="1" customWidth="1"/>
    <col min="1807" max="1809" width="7" style="186" customWidth="1"/>
    <col min="1810" max="1810" width="8" style="186" bestFit="1" customWidth="1"/>
    <col min="1811" max="1813" width="7" style="186" customWidth="1"/>
    <col min="1814" max="1814" width="8" style="186" bestFit="1" customWidth="1"/>
    <col min="1815" max="1817" width="7" style="186" customWidth="1"/>
    <col min="1818" max="1818" width="8" style="186" bestFit="1" customWidth="1"/>
    <col min="1819" max="2048" width="9.140625" style="186"/>
    <col min="2049" max="2049" width="5" style="186" customWidth="1"/>
    <col min="2050" max="2050" width="45.5703125" style="186" bestFit="1" customWidth="1"/>
    <col min="2051" max="2054" width="7.7109375" style="186" customWidth="1"/>
    <col min="2055" max="2057" width="7" style="186" customWidth="1"/>
    <col min="2058" max="2058" width="7.7109375" style="186" customWidth="1"/>
    <col min="2059" max="2061" width="7" style="186" customWidth="1"/>
    <col min="2062" max="2062" width="8" style="186" bestFit="1" customWidth="1"/>
    <col min="2063" max="2065" width="7" style="186" customWidth="1"/>
    <col min="2066" max="2066" width="8" style="186" bestFit="1" customWidth="1"/>
    <col min="2067" max="2069" width="7" style="186" customWidth="1"/>
    <col min="2070" max="2070" width="8" style="186" bestFit="1" customWidth="1"/>
    <col min="2071" max="2073" width="7" style="186" customWidth="1"/>
    <col min="2074" max="2074" width="8" style="186" bestFit="1" customWidth="1"/>
    <col min="2075" max="2304" width="9.140625" style="186"/>
    <col min="2305" max="2305" width="5" style="186" customWidth="1"/>
    <col min="2306" max="2306" width="45.5703125" style="186" bestFit="1" customWidth="1"/>
    <col min="2307" max="2310" width="7.7109375" style="186" customWidth="1"/>
    <col min="2311" max="2313" width="7" style="186" customWidth="1"/>
    <col min="2314" max="2314" width="7.7109375" style="186" customWidth="1"/>
    <col min="2315" max="2317" width="7" style="186" customWidth="1"/>
    <col min="2318" max="2318" width="8" style="186" bestFit="1" customWidth="1"/>
    <col min="2319" max="2321" width="7" style="186" customWidth="1"/>
    <col min="2322" max="2322" width="8" style="186" bestFit="1" customWidth="1"/>
    <col min="2323" max="2325" width="7" style="186" customWidth="1"/>
    <col min="2326" max="2326" width="8" style="186" bestFit="1" customWidth="1"/>
    <col min="2327" max="2329" width="7" style="186" customWidth="1"/>
    <col min="2330" max="2330" width="8" style="186" bestFit="1" customWidth="1"/>
    <col min="2331" max="2560" width="9.140625" style="186"/>
    <col min="2561" max="2561" width="5" style="186" customWidth="1"/>
    <col min="2562" max="2562" width="45.5703125" style="186" bestFit="1" customWidth="1"/>
    <col min="2563" max="2566" width="7.7109375" style="186" customWidth="1"/>
    <col min="2567" max="2569" width="7" style="186" customWidth="1"/>
    <col min="2570" max="2570" width="7.7109375" style="186" customWidth="1"/>
    <col min="2571" max="2573" width="7" style="186" customWidth="1"/>
    <col min="2574" max="2574" width="8" style="186" bestFit="1" customWidth="1"/>
    <col min="2575" max="2577" width="7" style="186" customWidth="1"/>
    <col min="2578" max="2578" width="8" style="186" bestFit="1" customWidth="1"/>
    <col min="2579" max="2581" width="7" style="186" customWidth="1"/>
    <col min="2582" max="2582" width="8" style="186" bestFit="1" customWidth="1"/>
    <col min="2583" max="2585" width="7" style="186" customWidth="1"/>
    <col min="2586" max="2586" width="8" style="186" bestFit="1" customWidth="1"/>
    <col min="2587" max="2816" width="9.140625" style="186"/>
    <col min="2817" max="2817" width="5" style="186" customWidth="1"/>
    <col min="2818" max="2818" width="45.5703125" style="186" bestFit="1" customWidth="1"/>
    <col min="2819" max="2822" width="7.7109375" style="186" customWidth="1"/>
    <col min="2823" max="2825" width="7" style="186" customWidth="1"/>
    <col min="2826" max="2826" width="7.7109375" style="186" customWidth="1"/>
    <col min="2827" max="2829" width="7" style="186" customWidth="1"/>
    <col min="2830" max="2830" width="8" style="186" bestFit="1" customWidth="1"/>
    <col min="2831" max="2833" width="7" style="186" customWidth="1"/>
    <col min="2834" max="2834" width="8" style="186" bestFit="1" customWidth="1"/>
    <col min="2835" max="2837" width="7" style="186" customWidth="1"/>
    <col min="2838" max="2838" width="8" style="186" bestFit="1" customWidth="1"/>
    <col min="2839" max="2841" width="7" style="186" customWidth="1"/>
    <col min="2842" max="2842" width="8" style="186" bestFit="1" customWidth="1"/>
    <col min="2843" max="3072" width="9.140625" style="186"/>
    <col min="3073" max="3073" width="5" style="186" customWidth="1"/>
    <col min="3074" max="3074" width="45.5703125" style="186" bestFit="1" customWidth="1"/>
    <col min="3075" max="3078" width="7.7109375" style="186" customWidth="1"/>
    <col min="3079" max="3081" width="7" style="186" customWidth="1"/>
    <col min="3082" max="3082" width="7.7109375" style="186" customWidth="1"/>
    <col min="3083" max="3085" width="7" style="186" customWidth="1"/>
    <col min="3086" max="3086" width="8" style="186" bestFit="1" customWidth="1"/>
    <col min="3087" max="3089" width="7" style="186" customWidth="1"/>
    <col min="3090" max="3090" width="8" style="186" bestFit="1" customWidth="1"/>
    <col min="3091" max="3093" width="7" style="186" customWidth="1"/>
    <col min="3094" max="3094" width="8" style="186" bestFit="1" customWidth="1"/>
    <col min="3095" max="3097" width="7" style="186" customWidth="1"/>
    <col min="3098" max="3098" width="8" style="186" bestFit="1" customWidth="1"/>
    <col min="3099" max="3328" width="9.140625" style="186"/>
    <col min="3329" max="3329" width="5" style="186" customWidth="1"/>
    <col min="3330" max="3330" width="45.5703125" style="186" bestFit="1" customWidth="1"/>
    <col min="3331" max="3334" width="7.7109375" style="186" customWidth="1"/>
    <col min="3335" max="3337" width="7" style="186" customWidth="1"/>
    <col min="3338" max="3338" width="7.7109375" style="186" customWidth="1"/>
    <col min="3339" max="3341" width="7" style="186" customWidth="1"/>
    <col min="3342" max="3342" width="8" style="186" bestFit="1" customWidth="1"/>
    <col min="3343" max="3345" width="7" style="186" customWidth="1"/>
    <col min="3346" max="3346" width="8" style="186" bestFit="1" customWidth="1"/>
    <col min="3347" max="3349" width="7" style="186" customWidth="1"/>
    <col min="3350" max="3350" width="8" style="186" bestFit="1" customWidth="1"/>
    <col min="3351" max="3353" width="7" style="186" customWidth="1"/>
    <col min="3354" max="3354" width="8" style="186" bestFit="1" customWidth="1"/>
    <col min="3355" max="3584" width="9.140625" style="186"/>
    <col min="3585" max="3585" width="5" style="186" customWidth="1"/>
    <col min="3586" max="3586" width="45.5703125" style="186" bestFit="1" customWidth="1"/>
    <col min="3587" max="3590" width="7.7109375" style="186" customWidth="1"/>
    <col min="3591" max="3593" width="7" style="186" customWidth="1"/>
    <col min="3594" max="3594" width="7.7109375" style="186" customWidth="1"/>
    <col min="3595" max="3597" width="7" style="186" customWidth="1"/>
    <col min="3598" max="3598" width="8" style="186" bestFit="1" customWidth="1"/>
    <col min="3599" max="3601" width="7" style="186" customWidth="1"/>
    <col min="3602" max="3602" width="8" style="186" bestFit="1" customWidth="1"/>
    <col min="3603" max="3605" width="7" style="186" customWidth="1"/>
    <col min="3606" max="3606" width="8" style="186" bestFit="1" customWidth="1"/>
    <col min="3607" max="3609" width="7" style="186" customWidth="1"/>
    <col min="3610" max="3610" width="8" style="186" bestFit="1" customWidth="1"/>
    <col min="3611" max="3840" width="9.140625" style="186"/>
    <col min="3841" max="3841" width="5" style="186" customWidth="1"/>
    <col min="3842" max="3842" width="45.5703125" style="186" bestFit="1" customWidth="1"/>
    <col min="3843" max="3846" width="7.7109375" style="186" customWidth="1"/>
    <col min="3847" max="3849" width="7" style="186" customWidth="1"/>
    <col min="3850" max="3850" width="7.7109375" style="186" customWidth="1"/>
    <col min="3851" max="3853" width="7" style="186" customWidth="1"/>
    <col min="3854" max="3854" width="8" style="186" bestFit="1" customWidth="1"/>
    <col min="3855" max="3857" width="7" style="186" customWidth="1"/>
    <col min="3858" max="3858" width="8" style="186" bestFit="1" customWidth="1"/>
    <col min="3859" max="3861" width="7" style="186" customWidth="1"/>
    <col min="3862" max="3862" width="8" style="186" bestFit="1" customWidth="1"/>
    <col min="3863" max="3865" width="7" style="186" customWidth="1"/>
    <col min="3866" max="3866" width="8" style="186" bestFit="1" customWidth="1"/>
    <col min="3867" max="4096" width="9.140625" style="186"/>
    <col min="4097" max="4097" width="5" style="186" customWidth="1"/>
    <col min="4098" max="4098" width="45.5703125" style="186" bestFit="1" customWidth="1"/>
    <col min="4099" max="4102" width="7.7109375" style="186" customWidth="1"/>
    <col min="4103" max="4105" width="7" style="186" customWidth="1"/>
    <col min="4106" max="4106" width="7.7109375" style="186" customWidth="1"/>
    <col min="4107" max="4109" width="7" style="186" customWidth="1"/>
    <col min="4110" max="4110" width="8" style="186" bestFit="1" customWidth="1"/>
    <col min="4111" max="4113" width="7" style="186" customWidth="1"/>
    <col min="4114" max="4114" width="8" style="186" bestFit="1" customWidth="1"/>
    <col min="4115" max="4117" width="7" style="186" customWidth="1"/>
    <col min="4118" max="4118" width="8" style="186" bestFit="1" customWidth="1"/>
    <col min="4119" max="4121" width="7" style="186" customWidth="1"/>
    <col min="4122" max="4122" width="8" style="186" bestFit="1" customWidth="1"/>
    <col min="4123" max="4352" width="9.140625" style="186"/>
    <col min="4353" max="4353" width="5" style="186" customWidth="1"/>
    <col min="4354" max="4354" width="45.5703125" style="186" bestFit="1" customWidth="1"/>
    <col min="4355" max="4358" width="7.7109375" style="186" customWidth="1"/>
    <col min="4359" max="4361" width="7" style="186" customWidth="1"/>
    <col min="4362" max="4362" width="7.7109375" style="186" customWidth="1"/>
    <col min="4363" max="4365" width="7" style="186" customWidth="1"/>
    <col min="4366" max="4366" width="8" style="186" bestFit="1" customWidth="1"/>
    <col min="4367" max="4369" width="7" style="186" customWidth="1"/>
    <col min="4370" max="4370" width="8" style="186" bestFit="1" customWidth="1"/>
    <col min="4371" max="4373" width="7" style="186" customWidth="1"/>
    <col min="4374" max="4374" width="8" style="186" bestFit="1" customWidth="1"/>
    <col min="4375" max="4377" width="7" style="186" customWidth="1"/>
    <col min="4378" max="4378" width="8" style="186" bestFit="1" customWidth="1"/>
    <col min="4379" max="4608" width="9.140625" style="186"/>
    <col min="4609" max="4609" width="5" style="186" customWidth="1"/>
    <col min="4610" max="4610" width="45.5703125" style="186" bestFit="1" customWidth="1"/>
    <col min="4611" max="4614" width="7.7109375" style="186" customWidth="1"/>
    <col min="4615" max="4617" width="7" style="186" customWidth="1"/>
    <col min="4618" max="4618" width="7.7109375" style="186" customWidth="1"/>
    <col min="4619" max="4621" width="7" style="186" customWidth="1"/>
    <col min="4622" max="4622" width="8" style="186" bestFit="1" customWidth="1"/>
    <col min="4623" max="4625" width="7" style="186" customWidth="1"/>
    <col min="4626" max="4626" width="8" style="186" bestFit="1" customWidth="1"/>
    <col min="4627" max="4629" width="7" style="186" customWidth="1"/>
    <col min="4630" max="4630" width="8" style="186" bestFit="1" customWidth="1"/>
    <col min="4631" max="4633" width="7" style="186" customWidth="1"/>
    <col min="4634" max="4634" width="8" style="186" bestFit="1" customWidth="1"/>
    <col min="4635" max="4864" width="9.140625" style="186"/>
    <col min="4865" max="4865" width="5" style="186" customWidth="1"/>
    <col min="4866" max="4866" width="45.5703125" style="186" bestFit="1" customWidth="1"/>
    <col min="4867" max="4870" width="7.7109375" style="186" customWidth="1"/>
    <col min="4871" max="4873" width="7" style="186" customWidth="1"/>
    <col min="4874" max="4874" width="7.7109375" style="186" customWidth="1"/>
    <col min="4875" max="4877" width="7" style="186" customWidth="1"/>
    <col min="4878" max="4878" width="8" style="186" bestFit="1" customWidth="1"/>
    <col min="4879" max="4881" width="7" style="186" customWidth="1"/>
    <col min="4882" max="4882" width="8" style="186" bestFit="1" customWidth="1"/>
    <col min="4883" max="4885" width="7" style="186" customWidth="1"/>
    <col min="4886" max="4886" width="8" style="186" bestFit="1" customWidth="1"/>
    <col min="4887" max="4889" width="7" style="186" customWidth="1"/>
    <col min="4890" max="4890" width="8" style="186" bestFit="1" customWidth="1"/>
    <col min="4891" max="5120" width="9.140625" style="186"/>
    <col min="5121" max="5121" width="5" style="186" customWidth="1"/>
    <col min="5122" max="5122" width="45.5703125" style="186" bestFit="1" customWidth="1"/>
    <col min="5123" max="5126" width="7.7109375" style="186" customWidth="1"/>
    <col min="5127" max="5129" width="7" style="186" customWidth="1"/>
    <col min="5130" max="5130" width="7.7109375" style="186" customWidth="1"/>
    <col min="5131" max="5133" width="7" style="186" customWidth="1"/>
    <col min="5134" max="5134" width="8" style="186" bestFit="1" customWidth="1"/>
    <col min="5135" max="5137" width="7" style="186" customWidth="1"/>
    <col min="5138" max="5138" width="8" style="186" bestFit="1" customWidth="1"/>
    <col min="5139" max="5141" width="7" style="186" customWidth="1"/>
    <col min="5142" max="5142" width="8" style="186" bestFit="1" customWidth="1"/>
    <col min="5143" max="5145" width="7" style="186" customWidth="1"/>
    <col min="5146" max="5146" width="8" style="186" bestFit="1" customWidth="1"/>
    <col min="5147" max="5376" width="9.140625" style="186"/>
    <col min="5377" max="5377" width="5" style="186" customWidth="1"/>
    <col min="5378" max="5378" width="45.5703125" style="186" bestFit="1" customWidth="1"/>
    <col min="5379" max="5382" width="7.7109375" style="186" customWidth="1"/>
    <col min="5383" max="5385" width="7" style="186" customWidth="1"/>
    <col min="5386" max="5386" width="7.7109375" style="186" customWidth="1"/>
    <col min="5387" max="5389" width="7" style="186" customWidth="1"/>
    <col min="5390" max="5390" width="8" style="186" bestFit="1" customWidth="1"/>
    <col min="5391" max="5393" width="7" style="186" customWidth="1"/>
    <col min="5394" max="5394" width="8" style="186" bestFit="1" customWidth="1"/>
    <col min="5395" max="5397" width="7" style="186" customWidth="1"/>
    <col min="5398" max="5398" width="8" style="186" bestFit="1" customWidth="1"/>
    <col min="5399" max="5401" width="7" style="186" customWidth="1"/>
    <col min="5402" max="5402" width="8" style="186" bestFit="1" customWidth="1"/>
    <col min="5403" max="5632" width="9.140625" style="186"/>
    <col min="5633" max="5633" width="5" style="186" customWidth="1"/>
    <col min="5634" max="5634" width="45.5703125" style="186" bestFit="1" customWidth="1"/>
    <col min="5635" max="5638" width="7.7109375" style="186" customWidth="1"/>
    <col min="5639" max="5641" width="7" style="186" customWidth="1"/>
    <col min="5642" max="5642" width="7.7109375" style="186" customWidth="1"/>
    <col min="5643" max="5645" width="7" style="186" customWidth="1"/>
    <col min="5646" max="5646" width="8" style="186" bestFit="1" customWidth="1"/>
    <col min="5647" max="5649" width="7" style="186" customWidth="1"/>
    <col min="5650" max="5650" width="8" style="186" bestFit="1" customWidth="1"/>
    <col min="5651" max="5653" width="7" style="186" customWidth="1"/>
    <col min="5654" max="5654" width="8" style="186" bestFit="1" customWidth="1"/>
    <col min="5655" max="5657" width="7" style="186" customWidth="1"/>
    <col min="5658" max="5658" width="8" style="186" bestFit="1" customWidth="1"/>
    <col min="5659" max="5888" width="9.140625" style="186"/>
    <col min="5889" max="5889" width="5" style="186" customWidth="1"/>
    <col min="5890" max="5890" width="45.5703125" style="186" bestFit="1" customWidth="1"/>
    <col min="5891" max="5894" width="7.7109375" style="186" customWidth="1"/>
    <col min="5895" max="5897" width="7" style="186" customWidth="1"/>
    <col min="5898" max="5898" width="7.7109375" style="186" customWidth="1"/>
    <col min="5899" max="5901" width="7" style="186" customWidth="1"/>
    <col min="5902" max="5902" width="8" style="186" bestFit="1" customWidth="1"/>
    <col min="5903" max="5905" width="7" style="186" customWidth="1"/>
    <col min="5906" max="5906" width="8" style="186" bestFit="1" customWidth="1"/>
    <col min="5907" max="5909" width="7" style="186" customWidth="1"/>
    <col min="5910" max="5910" width="8" style="186" bestFit="1" customWidth="1"/>
    <col min="5911" max="5913" width="7" style="186" customWidth="1"/>
    <col min="5914" max="5914" width="8" style="186" bestFit="1" customWidth="1"/>
    <col min="5915" max="6144" width="9.140625" style="186"/>
    <col min="6145" max="6145" width="5" style="186" customWidth="1"/>
    <col min="6146" max="6146" width="45.5703125" style="186" bestFit="1" customWidth="1"/>
    <col min="6147" max="6150" width="7.7109375" style="186" customWidth="1"/>
    <col min="6151" max="6153" width="7" style="186" customWidth="1"/>
    <col min="6154" max="6154" width="7.7109375" style="186" customWidth="1"/>
    <col min="6155" max="6157" width="7" style="186" customWidth="1"/>
    <col min="6158" max="6158" width="8" style="186" bestFit="1" customWidth="1"/>
    <col min="6159" max="6161" width="7" style="186" customWidth="1"/>
    <col min="6162" max="6162" width="8" style="186" bestFit="1" customWidth="1"/>
    <col min="6163" max="6165" width="7" style="186" customWidth="1"/>
    <col min="6166" max="6166" width="8" style="186" bestFit="1" customWidth="1"/>
    <col min="6167" max="6169" width="7" style="186" customWidth="1"/>
    <col min="6170" max="6170" width="8" style="186" bestFit="1" customWidth="1"/>
    <col min="6171" max="6400" width="9.140625" style="186"/>
    <col min="6401" max="6401" width="5" style="186" customWidth="1"/>
    <col min="6402" max="6402" width="45.5703125" style="186" bestFit="1" customWidth="1"/>
    <col min="6403" max="6406" width="7.7109375" style="186" customWidth="1"/>
    <col min="6407" max="6409" width="7" style="186" customWidth="1"/>
    <col min="6410" max="6410" width="7.7109375" style="186" customWidth="1"/>
    <col min="6411" max="6413" width="7" style="186" customWidth="1"/>
    <col min="6414" max="6414" width="8" style="186" bestFit="1" customWidth="1"/>
    <col min="6415" max="6417" width="7" style="186" customWidth="1"/>
    <col min="6418" max="6418" width="8" style="186" bestFit="1" customWidth="1"/>
    <col min="6419" max="6421" width="7" style="186" customWidth="1"/>
    <col min="6422" max="6422" width="8" style="186" bestFit="1" customWidth="1"/>
    <col min="6423" max="6425" width="7" style="186" customWidth="1"/>
    <col min="6426" max="6426" width="8" style="186" bestFit="1" customWidth="1"/>
    <col min="6427" max="6656" width="9.140625" style="186"/>
    <col min="6657" max="6657" width="5" style="186" customWidth="1"/>
    <col min="6658" max="6658" width="45.5703125" style="186" bestFit="1" customWidth="1"/>
    <col min="6659" max="6662" width="7.7109375" style="186" customWidth="1"/>
    <col min="6663" max="6665" width="7" style="186" customWidth="1"/>
    <col min="6666" max="6666" width="7.7109375" style="186" customWidth="1"/>
    <col min="6667" max="6669" width="7" style="186" customWidth="1"/>
    <col min="6670" max="6670" width="8" style="186" bestFit="1" customWidth="1"/>
    <col min="6671" max="6673" width="7" style="186" customWidth="1"/>
    <col min="6674" max="6674" width="8" style="186" bestFit="1" customWidth="1"/>
    <col min="6675" max="6677" width="7" style="186" customWidth="1"/>
    <col min="6678" max="6678" width="8" style="186" bestFit="1" customWidth="1"/>
    <col min="6679" max="6681" width="7" style="186" customWidth="1"/>
    <col min="6682" max="6682" width="8" style="186" bestFit="1" customWidth="1"/>
    <col min="6683" max="6912" width="9.140625" style="186"/>
    <col min="6913" max="6913" width="5" style="186" customWidth="1"/>
    <col min="6914" max="6914" width="45.5703125" style="186" bestFit="1" customWidth="1"/>
    <col min="6915" max="6918" width="7.7109375" style="186" customWidth="1"/>
    <col min="6919" max="6921" width="7" style="186" customWidth="1"/>
    <col min="6922" max="6922" width="7.7109375" style="186" customWidth="1"/>
    <col min="6923" max="6925" width="7" style="186" customWidth="1"/>
    <col min="6926" max="6926" width="8" style="186" bestFit="1" customWidth="1"/>
    <col min="6927" max="6929" width="7" style="186" customWidth="1"/>
    <col min="6930" max="6930" width="8" style="186" bestFit="1" customWidth="1"/>
    <col min="6931" max="6933" width="7" style="186" customWidth="1"/>
    <col min="6934" max="6934" width="8" style="186" bestFit="1" customWidth="1"/>
    <col min="6935" max="6937" width="7" style="186" customWidth="1"/>
    <col min="6938" max="6938" width="8" style="186" bestFit="1" customWidth="1"/>
    <col min="6939" max="7168" width="9.140625" style="186"/>
    <col min="7169" max="7169" width="5" style="186" customWidth="1"/>
    <col min="7170" max="7170" width="45.5703125" style="186" bestFit="1" customWidth="1"/>
    <col min="7171" max="7174" width="7.7109375" style="186" customWidth="1"/>
    <col min="7175" max="7177" width="7" style="186" customWidth="1"/>
    <col min="7178" max="7178" width="7.7109375" style="186" customWidth="1"/>
    <col min="7179" max="7181" width="7" style="186" customWidth="1"/>
    <col min="7182" max="7182" width="8" style="186" bestFit="1" customWidth="1"/>
    <col min="7183" max="7185" width="7" style="186" customWidth="1"/>
    <col min="7186" max="7186" width="8" style="186" bestFit="1" customWidth="1"/>
    <col min="7187" max="7189" width="7" style="186" customWidth="1"/>
    <col min="7190" max="7190" width="8" style="186" bestFit="1" customWidth="1"/>
    <col min="7191" max="7193" width="7" style="186" customWidth="1"/>
    <col min="7194" max="7194" width="8" style="186" bestFit="1" customWidth="1"/>
    <col min="7195" max="7424" width="9.140625" style="186"/>
    <col min="7425" max="7425" width="5" style="186" customWidth="1"/>
    <col min="7426" max="7426" width="45.5703125" style="186" bestFit="1" customWidth="1"/>
    <col min="7427" max="7430" width="7.7109375" style="186" customWidth="1"/>
    <col min="7431" max="7433" width="7" style="186" customWidth="1"/>
    <col min="7434" max="7434" width="7.7109375" style="186" customWidth="1"/>
    <col min="7435" max="7437" width="7" style="186" customWidth="1"/>
    <col min="7438" max="7438" width="8" style="186" bestFit="1" customWidth="1"/>
    <col min="7439" max="7441" width="7" style="186" customWidth="1"/>
    <col min="7442" max="7442" width="8" style="186" bestFit="1" customWidth="1"/>
    <col min="7443" max="7445" width="7" style="186" customWidth="1"/>
    <col min="7446" max="7446" width="8" style="186" bestFit="1" customWidth="1"/>
    <col min="7447" max="7449" width="7" style="186" customWidth="1"/>
    <col min="7450" max="7450" width="8" style="186" bestFit="1" customWidth="1"/>
    <col min="7451" max="7680" width="9.140625" style="186"/>
    <col min="7681" max="7681" width="5" style="186" customWidth="1"/>
    <col min="7682" max="7682" width="45.5703125" style="186" bestFit="1" customWidth="1"/>
    <col min="7683" max="7686" width="7.7109375" style="186" customWidth="1"/>
    <col min="7687" max="7689" width="7" style="186" customWidth="1"/>
    <col min="7690" max="7690" width="7.7109375" style="186" customWidth="1"/>
    <col min="7691" max="7693" width="7" style="186" customWidth="1"/>
    <col min="7694" max="7694" width="8" style="186" bestFit="1" customWidth="1"/>
    <col min="7695" max="7697" width="7" style="186" customWidth="1"/>
    <col min="7698" max="7698" width="8" style="186" bestFit="1" customWidth="1"/>
    <col min="7699" max="7701" width="7" style="186" customWidth="1"/>
    <col min="7702" max="7702" width="8" style="186" bestFit="1" customWidth="1"/>
    <col min="7703" max="7705" width="7" style="186" customWidth="1"/>
    <col min="7706" max="7706" width="8" style="186" bestFit="1" customWidth="1"/>
    <col min="7707" max="7936" width="9.140625" style="186"/>
    <col min="7937" max="7937" width="5" style="186" customWidth="1"/>
    <col min="7938" max="7938" width="45.5703125" style="186" bestFit="1" customWidth="1"/>
    <col min="7939" max="7942" width="7.7109375" style="186" customWidth="1"/>
    <col min="7943" max="7945" width="7" style="186" customWidth="1"/>
    <col min="7946" max="7946" width="7.7109375" style="186" customWidth="1"/>
    <col min="7947" max="7949" width="7" style="186" customWidth="1"/>
    <col min="7950" max="7950" width="8" style="186" bestFit="1" customWidth="1"/>
    <col min="7951" max="7953" width="7" style="186" customWidth="1"/>
    <col min="7954" max="7954" width="8" style="186" bestFit="1" customWidth="1"/>
    <col min="7955" max="7957" width="7" style="186" customWidth="1"/>
    <col min="7958" max="7958" width="8" style="186" bestFit="1" customWidth="1"/>
    <col min="7959" max="7961" width="7" style="186" customWidth="1"/>
    <col min="7962" max="7962" width="8" style="186" bestFit="1" customWidth="1"/>
    <col min="7963" max="8192" width="9.140625" style="186"/>
    <col min="8193" max="8193" width="5" style="186" customWidth="1"/>
    <col min="8194" max="8194" width="45.5703125" style="186" bestFit="1" customWidth="1"/>
    <col min="8195" max="8198" width="7.7109375" style="186" customWidth="1"/>
    <col min="8199" max="8201" width="7" style="186" customWidth="1"/>
    <col min="8202" max="8202" width="7.7109375" style="186" customWidth="1"/>
    <col min="8203" max="8205" width="7" style="186" customWidth="1"/>
    <col min="8206" max="8206" width="8" style="186" bestFit="1" customWidth="1"/>
    <col min="8207" max="8209" width="7" style="186" customWidth="1"/>
    <col min="8210" max="8210" width="8" style="186" bestFit="1" customWidth="1"/>
    <col min="8211" max="8213" width="7" style="186" customWidth="1"/>
    <col min="8214" max="8214" width="8" style="186" bestFit="1" customWidth="1"/>
    <col min="8215" max="8217" width="7" style="186" customWidth="1"/>
    <col min="8218" max="8218" width="8" style="186" bestFit="1" customWidth="1"/>
    <col min="8219" max="8448" width="9.140625" style="186"/>
    <col min="8449" max="8449" width="5" style="186" customWidth="1"/>
    <col min="8450" max="8450" width="45.5703125" style="186" bestFit="1" customWidth="1"/>
    <col min="8451" max="8454" width="7.7109375" style="186" customWidth="1"/>
    <col min="8455" max="8457" width="7" style="186" customWidth="1"/>
    <col min="8458" max="8458" width="7.7109375" style="186" customWidth="1"/>
    <col min="8459" max="8461" width="7" style="186" customWidth="1"/>
    <col min="8462" max="8462" width="8" style="186" bestFit="1" customWidth="1"/>
    <col min="8463" max="8465" width="7" style="186" customWidth="1"/>
    <col min="8466" max="8466" width="8" style="186" bestFit="1" customWidth="1"/>
    <col min="8467" max="8469" width="7" style="186" customWidth="1"/>
    <col min="8470" max="8470" width="8" style="186" bestFit="1" customWidth="1"/>
    <col min="8471" max="8473" width="7" style="186" customWidth="1"/>
    <col min="8474" max="8474" width="8" style="186" bestFit="1" customWidth="1"/>
    <col min="8475" max="8704" width="9.140625" style="186"/>
    <col min="8705" max="8705" width="5" style="186" customWidth="1"/>
    <col min="8706" max="8706" width="45.5703125" style="186" bestFit="1" customWidth="1"/>
    <col min="8707" max="8710" width="7.7109375" style="186" customWidth="1"/>
    <col min="8711" max="8713" width="7" style="186" customWidth="1"/>
    <col min="8714" max="8714" width="7.7109375" style="186" customWidth="1"/>
    <col min="8715" max="8717" width="7" style="186" customWidth="1"/>
    <col min="8718" max="8718" width="8" style="186" bestFit="1" customWidth="1"/>
    <col min="8719" max="8721" width="7" style="186" customWidth="1"/>
    <col min="8722" max="8722" width="8" style="186" bestFit="1" customWidth="1"/>
    <col min="8723" max="8725" width="7" style="186" customWidth="1"/>
    <col min="8726" max="8726" width="8" style="186" bestFit="1" customWidth="1"/>
    <col min="8727" max="8729" width="7" style="186" customWidth="1"/>
    <col min="8730" max="8730" width="8" style="186" bestFit="1" customWidth="1"/>
    <col min="8731" max="8960" width="9.140625" style="186"/>
    <col min="8961" max="8961" width="5" style="186" customWidth="1"/>
    <col min="8962" max="8962" width="45.5703125" style="186" bestFit="1" customWidth="1"/>
    <col min="8963" max="8966" width="7.7109375" style="186" customWidth="1"/>
    <col min="8967" max="8969" width="7" style="186" customWidth="1"/>
    <col min="8970" max="8970" width="7.7109375" style="186" customWidth="1"/>
    <col min="8971" max="8973" width="7" style="186" customWidth="1"/>
    <col min="8974" max="8974" width="8" style="186" bestFit="1" customWidth="1"/>
    <col min="8975" max="8977" width="7" style="186" customWidth="1"/>
    <col min="8978" max="8978" width="8" style="186" bestFit="1" customWidth="1"/>
    <col min="8979" max="8981" width="7" style="186" customWidth="1"/>
    <col min="8982" max="8982" width="8" style="186" bestFit="1" customWidth="1"/>
    <col min="8983" max="8985" width="7" style="186" customWidth="1"/>
    <col min="8986" max="8986" width="8" style="186" bestFit="1" customWidth="1"/>
    <col min="8987" max="9216" width="9.140625" style="186"/>
    <col min="9217" max="9217" width="5" style="186" customWidth="1"/>
    <col min="9218" max="9218" width="45.5703125" style="186" bestFit="1" customWidth="1"/>
    <col min="9219" max="9222" width="7.7109375" style="186" customWidth="1"/>
    <col min="9223" max="9225" width="7" style="186" customWidth="1"/>
    <col min="9226" max="9226" width="7.7109375" style="186" customWidth="1"/>
    <col min="9227" max="9229" width="7" style="186" customWidth="1"/>
    <col min="9230" max="9230" width="8" style="186" bestFit="1" customWidth="1"/>
    <col min="9231" max="9233" width="7" style="186" customWidth="1"/>
    <col min="9234" max="9234" width="8" style="186" bestFit="1" customWidth="1"/>
    <col min="9235" max="9237" width="7" style="186" customWidth="1"/>
    <col min="9238" max="9238" width="8" style="186" bestFit="1" customWidth="1"/>
    <col min="9239" max="9241" width="7" style="186" customWidth="1"/>
    <col min="9242" max="9242" width="8" style="186" bestFit="1" customWidth="1"/>
    <col min="9243" max="9472" width="9.140625" style="186"/>
    <col min="9473" max="9473" width="5" style="186" customWidth="1"/>
    <col min="9474" max="9474" width="45.5703125" style="186" bestFit="1" customWidth="1"/>
    <col min="9475" max="9478" width="7.7109375" style="186" customWidth="1"/>
    <col min="9479" max="9481" width="7" style="186" customWidth="1"/>
    <col min="9482" max="9482" width="7.7109375" style="186" customWidth="1"/>
    <col min="9483" max="9485" width="7" style="186" customWidth="1"/>
    <col min="9486" max="9486" width="8" style="186" bestFit="1" customWidth="1"/>
    <col min="9487" max="9489" width="7" style="186" customWidth="1"/>
    <col min="9490" max="9490" width="8" style="186" bestFit="1" customWidth="1"/>
    <col min="9491" max="9493" width="7" style="186" customWidth="1"/>
    <col min="9494" max="9494" width="8" style="186" bestFit="1" customWidth="1"/>
    <col min="9495" max="9497" width="7" style="186" customWidth="1"/>
    <col min="9498" max="9498" width="8" style="186" bestFit="1" customWidth="1"/>
    <col min="9499" max="9728" width="9.140625" style="186"/>
    <col min="9729" max="9729" width="5" style="186" customWidth="1"/>
    <col min="9730" max="9730" width="45.5703125" style="186" bestFit="1" customWidth="1"/>
    <col min="9731" max="9734" width="7.7109375" style="186" customWidth="1"/>
    <col min="9735" max="9737" width="7" style="186" customWidth="1"/>
    <col min="9738" max="9738" width="7.7109375" style="186" customWidth="1"/>
    <col min="9739" max="9741" width="7" style="186" customWidth="1"/>
    <col min="9742" max="9742" width="8" style="186" bestFit="1" customWidth="1"/>
    <col min="9743" max="9745" width="7" style="186" customWidth="1"/>
    <col min="9746" max="9746" width="8" style="186" bestFit="1" customWidth="1"/>
    <col min="9747" max="9749" width="7" style="186" customWidth="1"/>
    <col min="9750" max="9750" width="8" style="186" bestFit="1" customWidth="1"/>
    <col min="9751" max="9753" width="7" style="186" customWidth="1"/>
    <col min="9754" max="9754" width="8" style="186" bestFit="1" customWidth="1"/>
    <col min="9755" max="9984" width="9.140625" style="186"/>
    <col min="9985" max="9985" width="5" style="186" customWidth="1"/>
    <col min="9986" max="9986" width="45.5703125" style="186" bestFit="1" customWidth="1"/>
    <col min="9987" max="9990" width="7.7109375" style="186" customWidth="1"/>
    <col min="9991" max="9993" width="7" style="186" customWidth="1"/>
    <col min="9994" max="9994" width="7.7109375" style="186" customWidth="1"/>
    <col min="9995" max="9997" width="7" style="186" customWidth="1"/>
    <col min="9998" max="9998" width="8" style="186" bestFit="1" customWidth="1"/>
    <col min="9999" max="10001" width="7" style="186" customWidth="1"/>
    <col min="10002" max="10002" width="8" style="186" bestFit="1" customWidth="1"/>
    <col min="10003" max="10005" width="7" style="186" customWidth="1"/>
    <col min="10006" max="10006" width="8" style="186" bestFit="1" customWidth="1"/>
    <col min="10007" max="10009" width="7" style="186" customWidth="1"/>
    <col min="10010" max="10010" width="8" style="186" bestFit="1" customWidth="1"/>
    <col min="10011" max="10240" width="9.140625" style="186"/>
    <col min="10241" max="10241" width="5" style="186" customWidth="1"/>
    <col min="10242" max="10242" width="45.5703125" style="186" bestFit="1" customWidth="1"/>
    <col min="10243" max="10246" width="7.7109375" style="186" customWidth="1"/>
    <col min="10247" max="10249" width="7" style="186" customWidth="1"/>
    <col min="10250" max="10250" width="7.7109375" style="186" customWidth="1"/>
    <col min="10251" max="10253" width="7" style="186" customWidth="1"/>
    <col min="10254" max="10254" width="8" style="186" bestFit="1" customWidth="1"/>
    <col min="10255" max="10257" width="7" style="186" customWidth="1"/>
    <col min="10258" max="10258" width="8" style="186" bestFit="1" customWidth="1"/>
    <col min="10259" max="10261" width="7" style="186" customWidth="1"/>
    <col min="10262" max="10262" width="8" style="186" bestFit="1" customWidth="1"/>
    <col min="10263" max="10265" width="7" style="186" customWidth="1"/>
    <col min="10266" max="10266" width="8" style="186" bestFit="1" customWidth="1"/>
    <col min="10267" max="10496" width="9.140625" style="186"/>
    <col min="10497" max="10497" width="5" style="186" customWidth="1"/>
    <col min="10498" max="10498" width="45.5703125" style="186" bestFit="1" customWidth="1"/>
    <col min="10499" max="10502" width="7.7109375" style="186" customWidth="1"/>
    <col min="10503" max="10505" width="7" style="186" customWidth="1"/>
    <col min="10506" max="10506" width="7.7109375" style="186" customWidth="1"/>
    <col min="10507" max="10509" width="7" style="186" customWidth="1"/>
    <col min="10510" max="10510" width="8" style="186" bestFit="1" customWidth="1"/>
    <col min="10511" max="10513" width="7" style="186" customWidth="1"/>
    <col min="10514" max="10514" width="8" style="186" bestFit="1" customWidth="1"/>
    <col min="10515" max="10517" width="7" style="186" customWidth="1"/>
    <col min="10518" max="10518" width="8" style="186" bestFit="1" customWidth="1"/>
    <col min="10519" max="10521" width="7" style="186" customWidth="1"/>
    <col min="10522" max="10522" width="8" style="186" bestFit="1" customWidth="1"/>
    <col min="10523" max="10752" width="9.140625" style="186"/>
    <col min="10753" max="10753" width="5" style="186" customWidth="1"/>
    <col min="10754" max="10754" width="45.5703125" style="186" bestFit="1" customWidth="1"/>
    <col min="10755" max="10758" width="7.7109375" style="186" customWidth="1"/>
    <col min="10759" max="10761" width="7" style="186" customWidth="1"/>
    <col min="10762" max="10762" width="7.7109375" style="186" customWidth="1"/>
    <col min="10763" max="10765" width="7" style="186" customWidth="1"/>
    <col min="10766" max="10766" width="8" style="186" bestFit="1" customWidth="1"/>
    <col min="10767" max="10769" width="7" style="186" customWidth="1"/>
    <col min="10770" max="10770" width="8" style="186" bestFit="1" customWidth="1"/>
    <col min="10771" max="10773" width="7" style="186" customWidth="1"/>
    <col min="10774" max="10774" width="8" style="186" bestFit="1" customWidth="1"/>
    <col min="10775" max="10777" width="7" style="186" customWidth="1"/>
    <col min="10778" max="10778" width="8" style="186" bestFit="1" customWidth="1"/>
    <col min="10779" max="11008" width="9.140625" style="186"/>
    <col min="11009" max="11009" width="5" style="186" customWidth="1"/>
    <col min="11010" max="11010" width="45.5703125" style="186" bestFit="1" customWidth="1"/>
    <col min="11011" max="11014" width="7.7109375" style="186" customWidth="1"/>
    <col min="11015" max="11017" width="7" style="186" customWidth="1"/>
    <col min="11018" max="11018" width="7.7109375" style="186" customWidth="1"/>
    <col min="11019" max="11021" width="7" style="186" customWidth="1"/>
    <col min="11022" max="11022" width="8" style="186" bestFit="1" customWidth="1"/>
    <col min="11023" max="11025" width="7" style="186" customWidth="1"/>
    <col min="11026" max="11026" width="8" style="186" bestFit="1" customWidth="1"/>
    <col min="11027" max="11029" width="7" style="186" customWidth="1"/>
    <col min="11030" max="11030" width="8" style="186" bestFit="1" customWidth="1"/>
    <col min="11031" max="11033" width="7" style="186" customWidth="1"/>
    <col min="11034" max="11034" width="8" style="186" bestFit="1" customWidth="1"/>
    <col min="11035" max="11264" width="9.140625" style="186"/>
    <col min="11265" max="11265" width="5" style="186" customWidth="1"/>
    <col min="11266" max="11266" width="45.5703125" style="186" bestFit="1" customWidth="1"/>
    <col min="11267" max="11270" width="7.7109375" style="186" customWidth="1"/>
    <col min="11271" max="11273" width="7" style="186" customWidth="1"/>
    <col min="11274" max="11274" width="7.7109375" style="186" customWidth="1"/>
    <col min="11275" max="11277" width="7" style="186" customWidth="1"/>
    <col min="11278" max="11278" width="8" style="186" bestFit="1" customWidth="1"/>
    <col min="11279" max="11281" width="7" style="186" customWidth="1"/>
    <col min="11282" max="11282" width="8" style="186" bestFit="1" customWidth="1"/>
    <col min="11283" max="11285" width="7" style="186" customWidth="1"/>
    <col min="11286" max="11286" width="8" style="186" bestFit="1" customWidth="1"/>
    <col min="11287" max="11289" width="7" style="186" customWidth="1"/>
    <col min="11290" max="11290" width="8" style="186" bestFit="1" customWidth="1"/>
    <col min="11291" max="11520" width="9.140625" style="186"/>
    <col min="11521" max="11521" width="5" style="186" customWidth="1"/>
    <col min="11522" max="11522" width="45.5703125" style="186" bestFit="1" customWidth="1"/>
    <col min="11523" max="11526" width="7.7109375" style="186" customWidth="1"/>
    <col min="11527" max="11529" width="7" style="186" customWidth="1"/>
    <col min="11530" max="11530" width="7.7109375" style="186" customWidth="1"/>
    <col min="11531" max="11533" width="7" style="186" customWidth="1"/>
    <col min="11534" max="11534" width="8" style="186" bestFit="1" customWidth="1"/>
    <col min="11535" max="11537" width="7" style="186" customWidth="1"/>
    <col min="11538" max="11538" width="8" style="186" bestFit="1" customWidth="1"/>
    <col min="11539" max="11541" width="7" style="186" customWidth="1"/>
    <col min="11542" max="11542" width="8" style="186" bestFit="1" customWidth="1"/>
    <col min="11543" max="11545" width="7" style="186" customWidth="1"/>
    <col min="11546" max="11546" width="8" style="186" bestFit="1" customWidth="1"/>
    <col min="11547" max="11776" width="9.140625" style="186"/>
    <col min="11777" max="11777" width="5" style="186" customWidth="1"/>
    <col min="11778" max="11778" width="45.5703125" style="186" bestFit="1" customWidth="1"/>
    <col min="11779" max="11782" width="7.7109375" style="186" customWidth="1"/>
    <col min="11783" max="11785" width="7" style="186" customWidth="1"/>
    <col min="11786" max="11786" width="7.7109375" style="186" customWidth="1"/>
    <col min="11787" max="11789" width="7" style="186" customWidth="1"/>
    <col min="11790" max="11790" width="8" style="186" bestFit="1" customWidth="1"/>
    <col min="11791" max="11793" width="7" style="186" customWidth="1"/>
    <col min="11794" max="11794" width="8" style="186" bestFit="1" customWidth="1"/>
    <col min="11795" max="11797" width="7" style="186" customWidth="1"/>
    <col min="11798" max="11798" width="8" style="186" bestFit="1" customWidth="1"/>
    <col min="11799" max="11801" width="7" style="186" customWidth="1"/>
    <col min="11802" max="11802" width="8" style="186" bestFit="1" customWidth="1"/>
    <col min="11803" max="12032" width="9.140625" style="186"/>
    <col min="12033" max="12033" width="5" style="186" customWidth="1"/>
    <col min="12034" max="12034" width="45.5703125" style="186" bestFit="1" customWidth="1"/>
    <col min="12035" max="12038" width="7.7109375" style="186" customWidth="1"/>
    <col min="12039" max="12041" width="7" style="186" customWidth="1"/>
    <col min="12042" max="12042" width="7.7109375" style="186" customWidth="1"/>
    <col min="12043" max="12045" width="7" style="186" customWidth="1"/>
    <col min="12046" max="12046" width="8" style="186" bestFit="1" customWidth="1"/>
    <col min="12047" max="12049" width="7" style="186" customWidth="1"/>
    <col min="12050" max="12050" width="8" style="186" bestFit="1" customWidth="1"/>
    <col min="12051" max="12053" width="7" style="186" customWidth="1"/>
    <col min="12054" max="12054" width="8" style="186" bestFit="1" customWidth="1"/>
    <col min="12055" max="12057" width="7" style="186" customWidth="1"/>
    <col min="12058" max="12058" width="8" style="186" bestFit="1" customWidth="1"/>
    <col min="12059" max="12288" width="9.140625" style="186"/>
    <col min="12289" max="12289" width="5" style="186" customWidth="1"/>
    <col min="12290" max="12290" width="45.5703125" style="186" bestFit="1" customWidth="1"/>
    <col min="12291" max="12294" width="7.7109375" style="186" customWidth="1"/>
    <col min="12295" max="12297" width="7" style="186" customWidth="1"/>
    <col min="12298" max="12298" width="7.7109375" style="186" customWidth="1"/>
    <col min="12299" max="12301" width="7" style="186" customWidth="1"/>
    <col min="12302" max="12302" width="8" style="186" bestFit="1" customWidth="1"/>
    <col min="12303" max="12305" width="7" style="186" customWidth="1"/>
    <col min="12306" max="12306" width="8" style="186" bestFit="1" customWidth="1"/>
    <col min="12307" max="12309" width="7" style="186" customWidth="1"/>
    <col min="12310" max="12310" width="8" style="186" bestFit="1" customWidth="1"/>
    <col min="12311" max="12313" width="7" style="186" customWidth="1"/>
    <col min="12314" max="12314" width="8" style="186" bestFit="1" customWidth="1"/>
    <col min="12315" max="12544" width="9.140625" style="186"/>
    <col min="12545" max="12545" width="5" style="186" customWidth="1"/>
    <col min="12546" max="12546" width="45.5703125" style="186" bestFit="1" customWidth="1"/>
    <col min="12547" max="12550" width="7.7109375" style="186" customWidth="1"/>
    <col min="12551" max="12553" width="7" style="186" customWidth="1"/>
    <col min="12554" max="12554" width="7.7109375" style="186" customWidth="1"/>
    <col min="12555" max="12557" width="7" style="186" customWidth="1"/>
    <col min="12558" max="12558" width="8" style="186" bestFit="1" customWidth="1"/>
    <col min="12559" max="12561" width="7" style="186" customWidth="1"/>
    <col min="12562" max="12562" width="8" style="186" bestFit="1" customWidth="1"/>
    <col min="12563" max="12565" width="7" style="186" customWidth="1"/>
    <col min="12566" max="12566" width="8" style="186" bestFit="1" customWidth="1"/>
    <col min="12567" max="12569" width="7" style="186" customWidth="1"/>
    <col min="12570" max="12570" width="8" style="186" bestFit="1" customWidth="1"/>
    <col min="12571" max="12800" width="9.140625" style="186"/>
    <col min="12801" max="12801" width="5" style="186" customWidth="1"/>
    <col min="12802" max="12802" width="45.5703125" style="186" bestFit="1" customWidth="1"/>
    <col min="12803" max="12806" width="7.7109375" style="186" customWidth="1"/>
    <col min="12807" max="12809" width="7" style="186" customWidth="1"/>
    <col min="12810" max="12810" width="7.7109375" style="186" customWidth="1"/>
    <col min="12811" max="12813" width="7" style="186" customWidth="1"/>
    <col min="12814" max="12814" width="8" style="186" bestFit="1" customWidth="1"/>
    <col min="12815" max="12817" width="7" style="186" customWidth="1"/>
    <col min="12818" max="12818" width="8" style="186" bestFit="1" customWidth="1"/>
    <col min="12819" max="12821" width="7" style="186" customWidth="1"/>
    <col min="12822" max="12822" width="8" style="186" bestFit="1" customWidth="1"/>
    <col min="12823" max="12825" width="7" style="186" customWidth="1"/>
    <col min="12826" max="12826" width="8" style="186" bestFit="1" customWidth="1"/>
    <col min="12827" max="13056" width="9.140625" style="186"/>
    <col min="13057" max="13057" width="5" style="186" customWidth="1"/>
    <col min="13058" max="13058" width="45.5703125" style="186" bestFit="1" customWidth="1"/>
    <col min="13059" max="13062" width="7.7109375" style="186" customWidth="1"/>
    <col min="13063" max="13065" width="7" style="186" customWidth="1"/>
    <col min="13066" max="13066" width="7.7109375" style="186" customWidth="1"/>
    <col min="13067" max="13069" width="7" style="186" customWidth="1"/>
    <col min="13070" max="13070" width="8" style="186" bestFit="1" customWidth="1"/>
    <col min="13071" max="13073" width="7" style="186" customWidth="1"/>
    <col min="13074" max="13074" width="8" style="186" bestFit="1" customWidth="1"/>
    <col min="13075" max="13077" width="7" style="186" customWidth="1"/>
    <col min="13078" max="13078" width="8" style="186" bestFit="1" customWidth="1"/>
    <col min="13079" max="13081" width="7" style="186" customWidth="1"/>
    <col min="13082" max="13082" width="8" style="186" bestFit="1" customWidth="1"/>
    <col min="13083" max="13312" width="9.140625" style="186"/>
    <col min="13313" max="13313" width="5" style="186" customWidth="1"/>
    <col min="13314" max="13314" width="45.5703125" style="186" bestFit="1" customWidth="1"/>
    <col min="13315" max="13318" width="7.7109375" style="186" customWidth="1"/>
    <col min="13319" max="13321" width="7" style="186" customWidth="1"/>
    <col min="13322" max="13322" width="7.7109375" style="186" customWidth="1"/>
    <col min="13323" max="13325" width="7" style="186" customWidth="1"/>
    <col min="13326" max="13326" width="8" style="186" bestFit="1" customWidth="1"/>
    <col min="13327" max="13329" width="7" style="186" customWidth="1"/>
    <col min="13330" max="13330" width="8" style="186" bestFit="1" customWidth="1"/>
    <col min="13331" max="13333" width="7" style="186" customWidth="1"/>
    <col min="13334" max="13334" width="8" style="186" bestFit="1" customWidth="1"/>
    <col min="13335" max="13337" width="7" style="186" customWidth="1"/>
    <col min="13338" max="13338" width="8" style="186" bestFit="1" customWidth="1"/>
    <col min="13339" max="13568" width="9.140625" style="186"/>
    <col min="13569" max="13569" width="5" style="186" customWidth="1"/>
    <col min="13570" max="13570" width="45.5703125" style="186" bestFit="1" customWidth="1"/>
    <col min="13571" max="13574" width="7.7109375" style="186" customWidth="1"/>
    <col min="13575" max="13577" width="7" style="186" customWidth="1"/>
    <col min="13578" max="13578" width="7.7109375" style="186" customWidth="1"/>
    <col min="13579" max="13581" width="7" style="186" customWidth="1"/>
    <col min="13582" max="13582" width="8" style="186" bestFit="1" customWidth="1"/>
    <col min="13583" max="13585" width="7" style="186" customWidth="1"/>
    <col min="13586" max="13586" width="8" style="186" bestFit="1" customWidth="1"/>
    <col min="13587" max="13589" width="7" style="186" customWidth="1"/>
    <col min="13590" max="13590" width="8" style="186" bestFit="1" customWidth="1"/>
    <col min="13591" max="13593" width="7" style="186" customWidth="1"/>
    <col min="13594" max="13594" width="8" style="186" bestFit="1" customWidth="1"/>
    <col min="13595" max="13824" width="9.140625" style="186"/>
    <col min="13825" max="13825" width="5" style="186" customWidth="1"/>
    <col min="13826" max="13826" width="45.5703125" style="186" bestFit="1" customWidth="1"/>
    <col min="13827" max="13830" width="7.7109375" style="186" customWidth="1"/>
    <col min="13831" max="13833" width="7" style="186" customWidth="1"/>
    <col min="13834" max="13834" width="7.7109375" style="186" customWidth="1"/>
    <col min="13835" max="13837" width="7" style="186" customWidth="1"/>
    <col min="13838" max="13838" width="8" style="186" bestFit="1" customWidth="1"/>
    <col min="13839" max="13841" width="7" style="186" customWidth="1"/>
    <col min="13842" max="13842" width="8" style="186" bestFit="1" customWidth="1"/>
    <col min="13843" max="13845" width="7" style="186" customWidth="1"/>
    <col min="13846" max="13846" width="8" style="186" bestFit="1" customWidth="1"/>
    <col min="13847" max="13849" width="7" style="186" customWidth="1"/>
    <col min="13850" max="13850" width="8" style="186" bestFit="1" customWidth="1"/>
    <col min="13851" max="14080" width="9.140625" style="186"/>
    <col min="14081" max="14081" width="5" style="186" customWidth="1"/>
    <col min="14082" max="14082" width="45.5703125" style="186" bestFit="1" customWidth="1"/>
    <col min="14083" max="14086" width="7.7109375" style="186" customWidth="1"/>
    <col min="14087" max="14089" width="7" style="186" customWidth="1"/>
    <col min="14090" max="14090" width="7.7109375" style="186" customWidth="1"/>
    <col min="14091" max="14093" width="7" style="186" customWidth="1"/>
    <col min="14094" max="14094" width="8" style="186" bestFit="1" customWidth="1"/>
    <col min="14095" max="14097" width="7" style="186" customWidth="1"/>
    <col min="14098" max="14098" width="8" style="186" bestFit="1" customWidth="1"/>
    <col min="14099" max="14101" width="7" style="186" customWidth="1"/>
    <col min="14102" max="14102" width="8" style="186" bestFit="1" customWidth="1"/>
    <col min="14103" max="14105" width="7" style="186" customWidth="1"/>
    <col min="14106" max="14106" width="8" style="186" bestFit="1" customWidth="1"/>
    <col min="14107" max="14336" width="9.140625" style="186"/>
    <col min="14337" max="14337" width="5" style="186" customWidth="1"/>
    <col min="14338" max="14338" width="45.5703125" style="186" bestFit="1" customWidth="1"/>
    <col min="14339" max="14342" width="7.7109375" style="186" customWidth="1"/>
    <col min="14343" max="14345" width="7" style="186" customWidth="1"/>
    <col min="14346" max="14346" width="7.7109375" style="186" customWidth="1"/>
    <col min="14347" max="14349" width="7" style="186" customWidth="1"/>
    <col min="14350" max="14350" width="8" style="186" bestFit="1" customWidth="1"/>
    <col min="14351" max="14353" width="7" style="186" customWidth="1"/>
    <col min="14354" max="14354" width="8" style="186" bestFit="1" customWidth="1"/>
    <col min="14355" max="14357" width="7" style="186" customWidth="1"/>
    <col min="14358" max="14358" width="8" style="186" bestFit="1" customWidth="1"/>
    <col min="14359" max="14361" width="7" style="186" customWidth="1"/>
    <col min="14362" max="14362" width="8" style="186" bestFit="1" customWidth="1"/>
    <col min="14363" max="14592" width="9.140625" style="186"/>
    <col min="14593" max="14593" width="5" style="186" customWidth="1"/>
    <col min="14594" max="14594" width="45.5703125" style="186" bestFit="1" customWidth="1"/>
    <col min="14595" max="14598" width="7.7109375" style="186" customWidth="1"/>
    <col min="14599" max="14601" width="7" style="186" customWidth="1"/>
    <col min="14602" max="14602" width="7.7109375" style="186" customWidth="1"/>
    <col min="14603" max="14605" width="7" style="186" customWidth="1"/>
    <col min="14606" max="14606" width="8" style="186" bestFit="1" customWidth="1"/>
    <col min="14607" max="14609" width="7" style="186" customWidth="1"/>
    <col min="14610" max="14610" width="8" style="186" bestFit="1" customWidth="1"/>
    <col min="14611" max="14613" width="7" style="186" customWidth="1"/>
    <col min="14614" max="14614" width="8" style="186" bestFit="1" customWidth="1"/>
    <col min="14615" max="14617" width="7" style="186" customWidth="1"/>
    <col min="14618" max="14618" width="8" style="186" bestFit="1" customWidth="1"/>
    <col min="14619" max="14848" width="9.140625" style="186"/>
    <col min="14849" max="14849" width="5" style="186" customWidth="1"/>
    <col min="14850" max="14850" width="45.5703125" style="186" bestFit="1" customWidth="1"/>
    <col min="14851" max="14854" width="7.7109375" style="186" customWidth="1"/>
    <col min="14855" max="14857" width="7" style="186" customWidth="1"/>
    <col min="14858" max="14858" width="7.7109375" style="186" customWidth="1"/>
    <col min="14859" max="14861" width="7" style="186" customWidth="1"/>
    <col min="14862" max="14862" width="8" style="186" bestFit="1" customWidth="1"/>
    <col min="14863" max="14865" width="7" style="186" customWidth="1"/>
    <col min="14866" max="14866" width="8" style="186" bestFit="1" customWidth="1"/>
    <col min="14867" max="14869" width="7" style="186" customWidth="1"/>
    <col min="14870" max="14870" width="8" style="186" bestFit="1" customWidth="1"/>
    <col min="14871" max="14873" width="7" style="186" customWidth="1"/>
    <col min="14874" max="14874" width="8" style="186" bestFit="1" customWidth="1"/>
    <col min="14875" max="15104" width="9.140625" style="186"/>
    <col min="15105" max="15105" width="5" style="186" customWidth="1"/>
    <col min="15106" max="15106" width="45.5703125" style="186" bestFit="1" customWidth="1"/>
    <col min="15107" max="15110" width="7.7109375" style="186" customWidth="1"/>
    <col min="15111" max="15113" width="7" style="186" customWidth="1"/>
    <col min="15114" max="15114" width="7.7109375" style="186" customWidth="1"/>
    <col min="15115" max="15117" width="7" style="186" customWidth="1"/>
    <col min="15118" max="15118" width="8" style="186" bestFit="1" customWidth="1"/>
    <col min="15119" max="15121" width="7" style="186" customWidth="1"/>
    <col min="15122" max="15122" width="8" style="186" bestFit="1" customWidth="1"/>
    <col min="15123" max="15125" width="7" style="186" customWidth="1"/>
    <col min="15126" max="15126" width="8" style="186" bestFit="1" customWidth="1"/>
    <col min="15127" max="15129" width="7" style="186" customWidth="1"/>
    <col min="15130" max="15130" width="8" style="186" bestFit="1" customWidth="1"/>
    <col min="15131" max="15360" width="9.140625" style="186"/>
    <col min="15361" max="15361" width="5" style="186" customWidth="1"/>
    <col min="15362" max="15362" width="45.5703125" style="186" bestFit="1" customWidth="1"/>
    <col min="15363" max="15366" width="7.7109375" style="186" customWidth="1"/>
    <col min="15367" max="15369" width="7" style="186" customWidth="1"/>
    <col min="15370" max="15370" width="7.7109375" style="186" customWidth="1"/>
    <col min="15371" max="15373" width="7" style="186" customWidth="1"/>
    <col min="15374" max="15374" width="8" style="186" bestFit="1" customWidth="1"/>
    <col min="15375" max="15377" width="7" style="186" customWidth="1"/>
    <col min="15378" max="15378" width="8" style="186" bestFit="1" customWidth="1"/>
    <col min="15379" max="15381" width="7" style="186" customWidth="1"/>
    <col min="15382" max="15382" width="8" style="186" bestFit="1" customWidth="1"/>
    <col min="15383" max="15385" width="7" style="186" customWidth="1"/>
    <col min="15386" max="15386" width="8" style="186" bestFit="1" customWidth="1"/>
    <col min="15387" max="15616" width="9.140625" style="186"/>
    <col min="15617" max="15617" width="5" style="186" customWidth="1"/>
    <col min="15618" max="15618" width="45.5703125" style="186" bestFit="1" customWidth="1"/>
    <col min="15619" max="15622" width="7.7109375" style="186" customWidth="1"/>
    <col min="15623" max="15625" width="7" style="186" customWidth="1"/>
    <col min="15626" max="15626" width="7.7109375" style="186" customWidth="1"/>
    <col min="15627" max="15629" width="7" style="186" customWidth="1"/>
    <col min="15630" max="15630" width="8" style="186" bestFit="1" customWidth="1"/>
    <col min="15631" max="15633" width="7" style="186" customWidth="1"/>
    <col min="15634" max="15634" width="8" style="186" bestFit="1" customWidth="1"/>
    <col min="15635" max="15637" width="7" style="186" customWidth="1"/>
    <col min="15638" max="15638" width="8" style="186" bestFit="1" customWidth="1"/>
    <col min="15639" max="15641" width="7" style="186" customWidth="1"/>
    <col min="15642" max="15642" width="8" style="186" bestFit="1" customWidth="1"/>
    <col min="15643" max="15872" width="9.140625" style="186"/>
    <col min="15873" max="15873" width="5" style="186" customWidth="1"/>
    <col min="15874" max="15874" width="45.5703125" style="186" bestFit="1" customWidth="1"/>
    <col min="15875" max="15878" width="7.7109375" style="186" customWidth="1"/>
    <col min="15879" max="15881" width="7" style="186" customWidth="1"/>
    <col min="15882" max="15882" width="7.7109375" style="186" customWidth="1"/>
    <col min="15883" max="15885" width="7" style="186" customWidth="1"/>
    <col min="15886" max="15886" width="8" style="186" bestFit="1" customWidth="1"/>
    <col min="15887" max="15889" width="7" style="186" customWidth="1"/>
    <col min="15890" max="15890" width="8" style="186" bestFit="1" customWidth="1"/>
    <col min="15891" max="15893" width="7" style="186" customWidth="1"/>
    <col min="15894" max="15894" width="8" style="186" bestFit="1" customWidth="1"/>
    <col min="15895" max="15897" width="7" style="186" customWidth="1"/>
    <col min="15898" max="15898" width="8" style="186" bestFit="1" customWidth="1"/>
    <col min="15899" max="16128" width="9.140625" style="186"/>
    <col min="16129" max="16129" width="5" style="186" customWidth="1"/>
    <col min="16130" max="16130" width="45.5703125" style="186" bestFit="1" customWidth="1"/>
    <col min="16131" max="16134" width="7.7109375" style="186" customWidth="1"/>
    <col min="16135" max="16137" width="7" style="186" customWidth="1"/>
    <col min="16138" max="16138" width="7.7109375" style="186" customWidth="1"/>
    <col min="16139" max="16141" width="7" style="186" customWidth="1"/>
    <col min="16142" max="16142" width="8" style="186" bestFit="1" customWidth="1"/>
    <col min="16143" max="16145" width="7" style="186" customWidth="1"/>
    <col min="16146" max="16146" width="8" style="186" bestFit="1" customWidth="1"/>
    <col min="16147" max="16149" width="7" style="186" customWidth="1"/>
    <col min="16150" max="16150" width="8" style="186" bestFit="1" customWidth="1"/>
    <col min="16151" max="16153" width="7" style="186" customWidth="1"/>
    <col min="16154" max="16154" width="8" style="186" bestFit="1" customWidth="1"/>
    <col min="16155" max="16384" width="9.140625" style="186"/>
  </cols>
  <sheetData>
    <row r="1" spans="1:28" s="1" customFormat="1" ht="30" customHeight="1">
      <c r="A1" s="529" t="s">
        <v>0</v>
      </c>
      <c r="B1" s="529"/>
      <c r="C1" s="529"/>
      <c r="D1" s="529"/>
      <c r="E1" s="529"/>
      <c r="F1" s="530" t="s">
        <v>492</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8</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27"/>
      <c r="AB4" s="511"/>
    </row>
    <row r="5" spans="1:28" ht="75.75" customHeight="1">
      <c r="A5" s="517"/>
      <c r="B5" s="520"/>
      <c r="C5" s="5" t="s">
        <v>14</v>
      </c>
      <c r="D5" s="5" t="s">
        <v>15</v>
      </c>
      <c r="E5" s="5" t="s">
        <v>16</v>
      </c>
      <c r="F5" s="5" t="s">
        <v>17</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28"/>
      <c r="AB5" s="512"/>
    </row>
    <row r="6" spans="1:28" ht="39">
      <c r="A6" s="6" t="s">
        <v>20</v>
      </c>
      <c r="B6" s="212" t="s">
        <v>493</v>
      </c>
      <c r="C6" s="6">
        <v>0</v>
      </c>
      <c r="D6" s="6">
        <v>4000</v>
      </c>
      <c r="E6" s="6">
        <v>0</v>
      </c>
      <c r="F6" s="6">
        <v>4000</v>
      </c>
      <c r="G6" s="6">
        <v>4000</v>
      </c>
      <c r="H6" s="6">
        <v>8000</v>
      </c>
      <c r="I6" s="6">
        <v>4000</v>
      </c>
      <c r="J6" s="6">
        <v>8000</v>
      </c>
      <c r="K6" s="6">
        <v>5000</v>
      </c>
      <c r="L6" s="6">
        <v>8500</v>
      </c>
      <c r="M6" s="6">
        <v>5000</v>
      </c>
      <c r="N6" s="6">
        <v>9000</v>
      </c>
      <c r="O6" s="6">
        <v>6000</v>
      </c>
      <c r="P6" s="6">
        <v>9000</v>
      </c>
      <c r="Q6" s="6">
        <v>6000</v>
      </c>
      <c r="R6" s="6">
        <v>9000</v>
      </c>
      <c r="S6" s="6">
        <v>7000</v>
      </c>
      <c r="T6" s="6">
        <v>9000</v>
      </c>
      <c r="U6" s="6">
        <v>7000</v>
      </c>
      <c r="V6" s="6">
        <v>9000</v>
      </c>
      <c r="W6" s="6">
        <v>7000</v>
      </c>
      <c r="X6" s="6">
        <v>9000</v>
      </c>
      <c r="Y6" s="6">
        <v>7000</v>
      </c>
      <c r="Z6" s="6">
        <v>9000</v>
      </c>
      <c r="AA6" s="213">
        <f>C6/W6</f>
        <v>0</v>
      </c>
      <c r="AB6" s="213">
        <f>W6/X6</f>
        <v>0.77777777777777779</v>
      </c>
    </row>
    <row r="7" spans="1:28" ht="39">
      <c r="A7" s="6" t="s">
        <v>22</v>
      </c>
      <c r="B7" s="212" t="s">
        <v>494</v>
      </c>
      <c r="C7" s="6">
        <v>0</v>
      </c>
      <c r="D7" s="6">
        <v>7000</v>
      </c>
      <c r="E7" s="6">
        <v>0</v>
      </c>
      <c r="F7" s="6">
        <v>200</v>
      </c>
      <c r="G7" s="6">
        <v>6000</v>
      </c>
      <c r="H7" s="6">
        <v>9000</v>
      </c>
      <c r="I7" s="6">
        <v>160</v>
      </c>
      <c r="J7" s="6">
        <v>210</v>
      </c>
      <c r="K7" s="6">
        <v>8000</v>
      </c>
      <c r="L7" s="6">
        <v>11000</v>
      </c>
      <c r="M7" s="6">
        <v>180</v>
      </c>
      <c r="N7" s="6">
        <v>220</v>
      </c>
      <c r="O7" s="6">
        <v>10000</v>
      </c>
      <c r="P7" s="6">
        <v>12000</v>
      </c>
      <c r="Q7" s="6">
        <v>200</v>
      </c>
      <c r="R7" s="6">
        <v>230</v>
      </c>
      <c r="S7" s="6">
        <v>11000</v>
      </c>
      <c r="T7" s="6">
        <v>12000</v>
      </c>
      <c r="U7" s="6">
        <v>220</v>
      </c>
      <c r="V7" s="6">
        <v>230</v>
      </c>
      <c r="W7" s="6">
        <v>11000</v>
      </c>
      <c r="X7" s="6">
        <v>12000</v>
      </c>
      <c r="Y7" s="6">
        <v>220</v>
      </c>
      <c r="Z7" s="6">
        <v>230</v>
      </c>
      <c r="AA7" s="213">
        <f>C7/W7</f>
        <v>0</v>
      </c>
      <c r="AB7" s="213">
        <f>W7/X7</f>
        <v>0.91666666666666663</v>
      </c>
    </row>
    <row r="8" spans="1:28" ht="24">
      <c r="Z8" s="5" t="s">
        <v>24</v>
      </c>
      <c r="AA8" s="213">
        <f>AVERAGE(AA6:AA7)</f>
        <v>0</v>
      </c>
      <c r="AB8" s="213">
        <f>AVERAGE(AB6:AB7)</f>
        <v>0.84722222222222221</v>
      </c>
    </row>
    <row r="9" spans="1:28" ht="23.25">
      <c r="A9" s="514" t="s">
        <v>25</v>
      </c>
      <c r="B9" s="514"/>
      <c r="C9" s="514"/>
      <c r="D9" s="514"/>
      <c r="E9" s="514"/>
      <c r="F9" s="514"/>
      <c r="G9" s="514"/>
      <c r="H9" s="514"/>
      <c r="I9" s="514"/>
      <c r="J9" s="514"/>
      <c r="K9" s="514"/>
      <c r="L9" s="514"/>
      <c r="M9" s="514"/>
      <c r="N9" s="514"/>
      <c r="O9" s="514"/>
      <c r="P9" s="514"/>
      <c r="Q9" s="514"/>
      <c r="R9" s="514"/>
      <c r="S9" s="514"/>
      <c r="T9" s="514"/>
      <c r="U9" s="514"/>
      <c r="V9" s="514"/>
      <c r="W9" s="514"/>
      <c r="X9" s="514"/>
      <c r="Y9" s="514"/>
      <c r="Z9" s="514"/>
    </row>
    <row r="10" spans="1:28" ht="45.75" customHeight="1">
      <c r="A10" s="515" t="s">
        <v>3</v>
      </c>
      <c r="B10" s="518" t="s">
        <v>26</v>
      </c>
      <c r="C10" s="521" t="s">
        <v>27</v>
      </c>
      <c r="D10" s="522"/>
      <c r="E10" s="522"/>
      <c r="F10" s="523"/>
      <c r="G10" s="513" t="s">
        <v>28</v>
      </c>
      <c r="H10" s="513"/>
      <c r="I10" s="513"/>
      <c r="J10" s="513"/>
      <c r="K10" s="513"/>
      <c r="L10" s="513"/>
      <c r="M10" s="513"/>
      <c r="N10" s="513"/>
      <c r="O10" s="513"/>
      <c r="P10" s="513"/>
      <c r="Q10" s="513"/>
      <c r="R10" s="513"/>
      <c r="S10" s="513"/>
      <c r="T10" s="513"/>
      <c r="U10" s="513"/>
      <c r="V10" s="513"/>
      <c r="W10" s="513"/>
      <c r="X10" s="513"/>
      <c r="Y10" s="513"/>
      <c r="Z10" s="513"/>
      <c r="AA10" s="510" t="s">
        <v>29</v>
      </c>
      <c r="AB10" s="510" t="s">
        <v>30</v>
      </c>
    </row>
    <row r="11" spans="1:28" ht="45" customHeight="1">
      <c r="A11" s="516"/>
      <c r="B11" s="519"/>
      <c r="C11" s="524"/>
      <c r="D11" s="525"/>
      <c r="E11" s="525"/>
      <c r="F11" s="526"/>
      <c r="G11" s="513" t="s">
        <v>495</v>
      </c>
      <c r="H11" s="513"/>
      <c r="I11" s="513"/>
      <c r="J11" s="513"/>
      <c r="K11" s="513" t="s">
        <v>496</v>
      </c>
      <c r="L11" s="513"/>
      <c r="M11" s="513"/>
      <c r="N11" s="513"/>
      <c r="O11" s="513" t="s">
        <v>497</v>
      </c>
      <c r="P11" s="513"/>
      <c r="Q11" s="513"/>
      <c r="R11" s="513"/>
      <c r="S11" s="513" t="s">
        <v>498</v>
      </c>
      <c r="T11" s="513"/>
      <c r="U11" s="513"/>
      <c r="V11" s="513"/>
      <c r="W11" s="513" t="s">
        <v>499</v>
      </c>
      <c r="X11" s="513"/>
      <c r="Y11" s="513"/>
      <c r="Z11" s="513"/>
      <c r="AA11" s="511"/>
      <c r="AB11" s="511"/>
    </row>
    <row r="12" spans="1:28" ht="78.75" customHeight="1">
      <c r="A12" s="517"/>
      <c r="B12" s="520"/>
      <c r="C12" s="5" t="s">
        <v>31</v>
      </c>
      <c r="D12" s="5" t="s">
        <v>32</v>
      </c>
      <c r="E12" s="5" t="s">
        <v>33</v>
      </c>
      <c r="F12" s="5" t="s">
        <v>17</v>
      </c>
      <c r="G12" s="5" t="s">
        <v>34</v>
      </c>
      <c r="H12" s="5" t="s">
        <v>32</v>
      </c>
      <c r="I12" s="5" t="s">
        <v>33</v>
      </c>
      <c r="J12" s="5" t="s">
        <v>19</v>
      </c>
      <c r="K12" s="5" t="s">
        <v>34</v>
      </c>
      <c r="L12" s="5" t="s">
        <v>32</v>
      </c>
      <c r="M12" s="5" t="s">
        <v>33</v>
      </c>
      <c r="N12" s="5" t="s">
        <v>19</v>
      </c>
      <c r="O12" s="5" t="s">
        <v>34</v>
      </c>
      <c r="P12" s="5" t="s">
        <v>32</v>
      </c>
      <c r="Q12" s="5" t="s">
        <v>33</v>
      </c>
      <c r="R12" s="5" t="s">
        <v>19</v>
      </c>
      <c r="S12" s="5" t="s">
        <v>34</v>
      </c>
      <c r="T12" s="5" t="s">
        <v>32</v>
      </c>
      <c r="U12" s="5" t="s">
        <v>33</v>
      </c>
      <c r="V12" s="5" t="s">
        <v>19</v>
      </c>
      <c r="W12" s="5" t="s">
        <v>34</v>
      </c>
      <c r="X12" s="5" t="s">
        <v>32</v>
      </c>
      <c r="Y12" s="5" t="s">
        <v>33</v>
      </c>
      <c r="Z12" s="5" t="s">
        <v>19</v>
      </c>
      <c r="AA12" s="512"/>
      <c r="AB12" s="512"/>
    </row>
    <row r="13" spans="1:28">
      <c r="A13" s="6" t="s">
        <v>20</v>
      </c>
      <c r="B13" s="6" t="s">
        <v>500</v>
      </c>
      <c r="C13" s="6"/>
      <c r="D13" s="6"/>
      <c r="E13" s="6"/>
      <c r="F13" s="6"/>
      <c r="G13" s="6"/>
      <c r="H13" s="6"/>
      <c r="I13" s="6"/>
      <c r="J13" s="6"/>
      <c r="K13" s="6"/>
      <c r="L13" s="6"/>
      <c r="M13" s="6"/>
      <c r="N13" s="6"/>
      <c r="O13" s="6"/>
      <c r="P13" s="6"/>
      <c r="Q13" s="6"/>
      <c r="R13" s="6"/>
      <c r="S13" s="6"/>
      <c r="T13" s="6"/>
      <c r="U13" s="6"/>
      <c r="V13" s="6"/>
      <c r="W13" s="6"/>
      <c r="X13" s="6"/>
      <c r="Y13" s="6"/>
      <c r="Z13" s="6"/>
      <c r="AA13" s="87"/>
      <c r="AB13" s="87"/>
    </row>
    <row r="14" spans="1:28" ht="28.5">
      <c r="A14" s="6" t="s">
        <v>36</v>
      </c>
      <c r="B14" s="6" t="s">
        <v>501</v>
      </c>
      <c r="C14" s="6">
        <v>0</v>
      </c>
      <c r="D14" s="6">
        <v>15000</v>
      </c>
      <c r="E14" s="6">
        <v>0</v>
      </c>
      <c r="F14" s="6">
        <v>200</v>
      </c>
      <c r="G14" s="6">
        <v>20000</v>
      </c>
      <c r="H14" s="6">
        <v>25000</v>
      </c>
      <c r="I14" s="6">
        <v>160</v>
      </c>
      <c r="J14" s="6">
        <v>210</v>
      </c>
      <c r="K14" s="6">
        <v>21000</v>
      </c>
      <c r="L14" s="6">
        <v>25000</v>
      </c>
      <c r="M14" s="6">
        <v>180</v>
      </c>
      <c r="N14" s="6">
        <v>220</v>
      </c>
      <c r="O14" s="6">
        <v>9300</v>
      </c>
      <c r="P14" s="6">
        <v>11000</v>
      </c>
      <c r="Q14" s="6">
        <v>200</v>
      </c>
      <c r="R14" s="6">
        <v>230</v>
      </c>
      <c r="S14" s="6">
        <v>9600</v>
      </c>
      <c r="T14" s="6">
        <v>11000</v>
      </c>
      <c r="U14" s="6">
        <v>220</v>
      </c>
      <c r="V14" s="6">
        <v>230</v>
      </c>
      <c r="W14" s="6">
        <v>9900</v>
      </c>
      <c r="X14" s="6">
        <v>11000</v>
      </c>
      <c r="Y14" s="6">
        <v>220</v>
      </c>
      <c r="Z14" s="6">
        <v>230</v>
      </c>
      <c r="AA14" s="213">
        <f>C14/W14</f>
        <v>0</v>
      </c>
      <c r="AB14" s="213">
        <f>W14/X14</f>
        <v>0.9</v>
      </c>
    </row>
    <row r="15" spans="1:28" ht="25.5">
      <c r="A15" s="6" t="s">
        <v>502</v>
      </c>
      <c r="B15" s="6" t="s">
        <v>503</v>
      </c>
      <c r="C15" s="6">
        <v>0</v>
      </c>
      <c r="D15" s="6">
        <v>30</v>
      </c>
      <c r="E15" s="6">
        <v>0</v>
      </c>
      <c r="F15" s="6">
        <v>200</v>
      </c>
      <c r="G15" s="6">
        <v>3400</v>
      </c>
      <c r="H15" s="6">
        <v>3400</v>
      </c>
      <c r="I15" s="6">
        <v>3</v>
      </c>
      <c r="J15" s="6">
        <v>3</v>
      </c>
      <c r="K15" s="6">
        <v>300</v>
      </c>
      <c r="L15" s="6">
        <v>300</v>
      </c>
      <c r="M15" s="6">
        <v>3</v>
      </c>
      <c r="N15" s="6">
        <v>3</v>
      </c>
      <c r="O15" s="6">
        <v>30</v>
      </c>
      <c r="P15" s="6">
        <v>30</v>
      </c>
      <c r="Q15" s="6">
        <v>3</v>
      </c>
      <c r="R15" s="6">
        <v>3</v>
      </c>
      <c r="S15" s="6">
        <v>30</v>
      </c>
      <c r="T15" s="6">
        <v>30</v>
      </c>
      <c r="U15" s="6">
        <v>3</v>
      </c>
      <c r="V15" s="6">
        <v>3</v>
      </c>
      <c r="W15" s="6">
        <v>30</v>
      </c>
      <c r="X15" s="6">
        <v>30</v>
      </c>
      <c r="Y15" s="6">
        <v>3</v>
      </c>
      <c r="Z15" s="6">
        <v>3</v>
      </c>
      <c r="AA15" s="213">
        <f t="shared" ref="AA15:AA20" si="0">C15/W15</f>
        <v>0</v>
      </c>
      <c r="AB15" s="213">
        <f t="shared" ref="AB15:AB20" si="1">W15/X15</f>
        <v>1</v>
      </c>
    </row>
    <row r="16" spans="1:28" ht="25.5">
      <c r="A16" s="6" t="s">
        <v>504</v>
      </c>
      <c r="B16" s="6" t="s">
        <v>505</v>
      </c>
      <c r="C16" s="6">
        <v>0</v>
      </c>
      <c r="D16" s="6">
        <v>50</v>
      </c>
      <c r="E16" s="6">
        <v>0</v>
      </c>
      <c r="F16" s="6">
        <v>200</v>
      </c>
      <c r="G16" s="6">
        <v>2100</v>
      </c>
      <c r="H16" s="6">
        <v>2100</v>
      </c>
      <c r="I16" s="6">
        <v>3</v>
      </c>
      <c r="J16" s="6">
        <v>3</v>
      </c>
      <c r="K16" s="6">
        <v>50</v>
      </c>
      <c r="L16" s="6">
        <v>50</v>
      </c>
      <c r="M16" s="6">
        <v>3</v>
      </c>
      <c r="N16" s="6">
        <v>3</v>
      </c>
      <c r="O16" s="6">
        <v>50</v>
      </c>
      <c r="P16" s="6">
        <v>50</v>
      </c>
      <c r="Q16" s="6">
        <v>3</v>
      </c>
      <c r="R16" s="6">
        <v>3</v>
      </c>
      <c r="S16" s="6">
        <v>50</v>
      </c>
      <c r="T16" s="6">
        <v>50</v>
      </c>
      <c r="U16" s="6">
        <v>3</v>
      </c>
      <c r="V16" s="6">
        <v>3</v>
      </c>
      <c r="W16" s="6">
        <v>50</v>
      </c>
      <c r="X16" s="6">
        <v>50</v>
      </c>
      <c r="Y16" s="6">
        <v>3</v>
      </c>
      <c r="Z16" s="6">
        <v>3</v>
      </c>
      <c r="AA16" s="213">
        <f t="shared" si="0"/>
        <v>0</v>
      </c>
      <c r="AB16" s="213">
        <f t="shared" si="1"/>
        <v>1</v>
      </c>
    </row>
    <row r="17" spans="1:28" ht="25.5">
      <c r="A17" s="6" t="s">
        <v>506</v>
      </c>
      <c r="B17" s="6" t="s">
        <v>507</v>
      </c>
      <c r="C17" s="6">
        <v>0</v>
      </c>
      <c r="D17" s="6">
        <v>10000</v>
      </c>
      <c r="E17" s="6">
        <v>0</v>
      </c>
      <c r="F17" s="6">
        <v>200</v>
      </c>
      <c r="G17" s="49">
        <v>6000</v>
      </c>
      <c r="H17" s="49">
        <v>10000</v>
      </c>
      <c r="I17" s="49">
        <v>160</v>
      </c>
      <c r="J17" s="49">
        <v>210</v>
      </c>
      <c r="K17" s="49">
        <v>20000</v>
      </c>
      <c r="L17" s="6">
        <v>23000</v>
      </c>
      <c r="M17" s="6">
        <v>180</v>
      </c>
      <c r="N17" s="6">
        <v>220</v>
      </c>
      <c r="O17" s="6">
        <v>8000</v>
      </c>
      <c r="P17" s="6">
        <v>10000</v>
      </c>
      <c r="Q17" s="6">
        <v>200</v>
      </c>
      <c r="R17" s="6">
        <v>230</v>
      </c>
      <c r="S17" s="6">
        <v>8000</v>
      </c>
      <c r="T17" s="6">
        <v>10000</v>
      </c>
      <c r="U17" s="6">
        <v>220</v>
      </c>
      <c r="V17" s="6">
        <v>230</v>
      </c>
      <c r="W17" s="6">
        <v>8000</v>
      </c>
      <c r="X17" s="6">
        <v>10000</v>
      </c>
      <c r="Y17" s="6">
        <v>220</v>
      </c>
      <c r="Z17" s="6">
        <v>230</v>
      </c>
      <c r="AA17" s="213">
        <f t="shared" si="0"/>
        <v>0</v>
      </c>
      <c r="AB17" s="213">
        <f t="shared" si="1"/>
        <v>0.8</v>
      </c>
    </row>
    <row r="18" spans="1:28" ht="25.5">
      <c r="A18" s="80" t="s">
        <v>508</v>
      </c>
      <c r="B18" s="6" t="s">
        <v>509</v>
      </c>
      <c r="C18" s="6">
        <v>0</v>
      </c>
      <c r="D18" s="6">
        <v>200</v>
      </c>
      <c r="E18" s="6">
        <v>0</v>
      </c>
      <c r="F18" s="6">
        <v>200</v>
      </c>
      <c r="G18" s="49">
        <v>4000</v>
      </c>
      <c r="H18" s="49">
        <v>4000</v>
      </c>
      <c r="I18" s="49">
        <v>160</v>
      </c>
      <c r="J18" s="49">
        <v>210</v>
      </c>
      <c r="K18" s="49">
        <v>200</v>
      </c>
      <c r="L18" s="6">
        <v>250</v>
      </c>
      <c r="M18" s="6">
        <v>180</v>
      </c>
      <c r="N18" s="6">
        <v>220</v>
      </c>
      <c r="O18" s="6">
        <v>220</v>
      </c>
      <c r="P18" s="6">
        <v>250</v>
      </c>
      <c r="Q18" s="6">
        <v>200</v>
      </c>
      <c r="R18" s="6">
        <v>230</v>
      </c>
      <c r="S18" s="6">
        <v>230</v>
      </c>
      <c r="T18" s="6">
        <v>250</v>
      </c>
      <c r="U18" s="6">
        <v>220</v>
      </c>
      <c r="V18" s="6">
        <v>230</v>
      </c>
      <c r="W18" s="6">
        <v>240</v>
      </c>
      <c r="X18" s="6">
        <v>250</v>
      </c>
      <c r="Y18" s="6">
        <v>220</v>
      </c>
      <c r="Z18" s="6">
        <v>230</v>
      </c>
      <c r="AA18" s="213">
        <f t="shared" si="0"/>
        <v>0</v>
      </c>
      <c r="AB18" s="213">
        <f t="shared" si="1"/>
        <v>0.96</v>
      </c>
    </row>
    <row r="19" spans="1:28" ht="18.75" customHeight="1">
      <c r="A19" s="6" t="s">
        <v>510</v>
      </c>
      <c r="B19" s="6" t="s">
        <v>511</v>
      </c>
      <c r="C19" s="6">
        <v>0</v>
      </c>
      <c r="D19" s="6">
        <v>100</v>
      </c>
      <c r="E19" s="6">
        <v>0</v>
      </c>
      <c r="F19" s="6">
        <v>200</v>
      </c>
      <c r="G19" s="6">
        <v>3700</v>
      </c>
      <c r="H19" s="6">
        <v>4000</v>
      </c>
      <c r="I19" s="6">
        <v>160</v>
      </c>
      <c r="J19" s="6">
        <v>210</v>
      </c>
      <c r="K19" s="6">
        <v>100</v>
      </c>
      <c r="L19" s="6">
        <v>150</v>
      </c>
      <c r="M19" s="6">
        <v>180</v>
      </c>
      <c r="N19" s="6">
        <v>220</v>
      </c>
      <c r="O19" s="6">
        <v>120</v>
      </c>
      <c r="P19" s="6">
        <v>150</v>
      </c>
      <c r="Q19" s="6">
        <v>200</v>
      </c>
      <c r="R19" s="6">
        <v>230</v>
      </c>
      <c r="S19" s="6">
        <v>130</v>
      </c>
      <c r="T19" s="6">
        <v>150</v>
      </c>
      <c r="U19" s="6">
        <v>220</v>
      </c>
      <c r="V19" s="6">
        <v>230</v>
      </c>
      <c r="W19" s="6">
        <v>130</v>
      </c>
      <c r="X19" s="6">
        <v>150</v>
      </c>
      <c r="Y19" s="6">
        <v>220</v>
      </c>
      <c r="Z19" s="6">
        <v>230</v>
      </c>
      <c r="AA19" s="213">
        <f t="shared" si="0"/>
        <v>0</v>
      </c>
      <c r="AB19" s="213">
        <f t="shared" si="1"/>
        <v>0.8666666666666667</v>
      </c>
    </row>
    <row r="20" spans="1:28">
      <c r="A20" s="6" t="s">
        <v>38</v>
      </c>
      <c r="B20" s="6" t="s">
        <v>512</v>
      </c>
      <c r="C20" s="6">
        <v>0</v>
      </c>
      <c r="D20" s="6">
        <v>15000</v>
      </c>
      <c r="E20" s="6">
        <v>0</v>
      </c>
      <c r="F20" s="6">
        <v>200</v>
      </c>
      <c r="G20" s="6">
        <v>25000</v>
      </c>
      <c r="H20" s="6">
        <v>25000</v>
      </c>
      <c r="I20" s="6">
        <v>160</v>
      </c>
      <c r="J20" s="6">
        <v>210</v>
      </c>
      <c r="K20" s="6">
        <v>35000</v>
      </c>
      <c r="L20" s="6">
        <v>35000</v>
      </c>
      <c r="M20" s="6">
        <v>180</v>
      </c>
      <c r="N20" s="6">
        <v>220</v>
      </c>
      <c r="O20" s="6">
        <v>40000</v>
      </c>
      <c r="P20" s="6">
        <v>40000</v>
      </c>
      <c r="Q20" s="6">
        <v>200</v>
      </c>
      <c r="R20" s="6">
        <v>230</v>
      </c>
      <c r="S20" s="6">
        <v>45000</v>
      </c>
      <c r="T20" s="6">
        <v>45000</v>
      </c>
      <c r="U20" s="6">
        <v>220</v>
      </c>
      <c r="V20" s="6">
        <v>230</v>
      </c>
      <c r="W20" s="6">
        <v>50000</v>
      </c>
      <c r="X20" s="6">
        <v>50000</v>
      </c>
      <c r="Y20" s="6">
        <v>220</v>
      </c>
      <c r="Z20" s="6">
        <v>230</v>
      </c>
      <c r="AA20" s="213">
        <f t="shared" si="0"/>
        <v>0</v>
      </c>
      <c r="AB20" s="213">
        <f t="shared" si="1"/>
        <v>1</v>
      </c>
    </row>
    <row r="21" spans="1:28" ht="24">
      <c r="Z21" s="5" t="s">
        <v>24</v>
      </c>
      <c r="AA21" s="213">
        <f>AVERAGE(AA14:AA20)</f>
        <v>0</v>
      </c>
      <c r="AB21" s="213">
        <f>AVERAGE(AB14:AB20)</f>
        <v>0.93238095238095242</v>
      </c>
    </row>
    <row r="22" spans="1:28">
      <c r="A22" s="9"/>
      <c r="B22" s="9" t="s">
        <v>40</v>
      </c>
    </row>
    <row r="24" spans="1:28" ht="31.5" customHeight="1">
      <c r="A24" s="10" t="s">
        <v>41</v>
      </c>
      <c r="B24" s="509" t="s">
        <v>42</v>
      </c>
      <c r="C24" s="509"/>
      <c r="D24" s="509"/>
      <c r="E24" s="509"/>
      <c r="F24" s="509"/>
      <c r="G24" s="509"/>
      <c r="H24" s="509"/>
      <c r="I24" s="509"/>
      <c r="J24" s="509"/>
      <c r="K24" s="509"/>
      <c r="L24" s="509"/>
      <c r="M24" s="509"/>
      <c r="N24" s="509"/>
      <c r="O24" s="509"/>
      <c r="P24" s="509"/>
      <c r="Q24" s="509"/>
      <c r="R24" s="509"/>
    </row>
    <row r="25" spans="1:28" ht="31.5" customHeight="1">
      <c r="A25" s="10" t="s">
        <v>43</v>
      </c>
      <c r="B25" s="509" t="s">
        <v>44</v>
      </c>
      <c r="C25" s="509"/>
      <c r="D25" s="509"/>
      <c r="E25" s="509"/>
      <c r="F25" s="509"/>
      <c r="G25" s="509"/>
      <c r="H25" s="509"/>
      <c r="I25" s="509"/>
      <c r="J25" s="509"/>
      <c r="K25" s="509"/>
      <c r="L25" s="509"/>
      <c r="M25" s="509"/>
      <c r="N25" s="509"/>
      <c r="O25" s="509"/>
      <c r="P25" s="509"/>
      <c r="Q25" s="509"/>
      <c r="R25" s="509"/>
    </row>
    <row r="26" spans="1:28" ht="31.5" customHeight="1">
      <c r="B26" s="509" t="s">
        <v>45</v>
      </c>
      <c r="C26" s="509"/>
      <c r="D26" s="509"/>
      <c r="E26" s="509"/>
      <c r="F26" s="509"/>
      <c r="G26" s="509"/>
      <c r="H26" s="509"/>
      <c r="I26" s="509"/>
      <c r="J26" s="509"/>
      <c r="K26" s="509"/>
      <c r="L26" s="509"/>
      <c r="M26" s="509"/>
      <c r="N26" s="509"/>
      <c r="O26" s="509"/>
      <c r="P26" s="509"/>
      <c r="Q26" s="509"/>
      <c r="R26" s="509"/>
    </row>
    <row r="27" spans="1:28" ht="31.5" customHeight="1">
      <c r="B27" s="509" t="s">
        <v>46</v>
      </c>
      <c r="C27" s="509"/>
      <c r="D27" s="509"/>
      <c r="E27" s="509"/>
      <c r="F27" s="509"/>
      <c r="G27" s="509"/>
      <c r="H27" s="509"/>
      <c r="I27" s="509"/>
      <c r="J27" s="509"/>
      <c r="K27" s="509"/>
      <c r="L27" s="509"/>
      <c r="M27" s="509"/>
      <c r="N27" s="509"/>
      <c r="O27" s="509"/>
      <c r="P27" s="509"/>
      <c r="Q27" s="509"/>
      <c r="R27" s="509"/>
    </row>
    <row r="28" spans="1:28" ht="31.5" customHeight="1">
      <c r="B28" s="509" t="s">
        <v>47</v>
      </c>
      <c r="C28" s="509"/>
      <c r="D28" s="509"/>
      <c r="E28" s="509"/>
      <c r="F28" s="509"/>
      <c r="G28" s="509"/>
      <c r="H28" s="509"/>
      <c r="I28" s="509"/>
      <c r="J28" s="509"/>
      <c r="K28" s="509"/>
      <c r="L28" s="509"/>
      <c r="M28" s="509"/>
      <c r="N28" s="509"/>
      <c r="O28" s="509"/>
      <c r="P28" s="509"/>
      <c r="Q28" s="509"/>
      <c r="R28" s="509"/>
    </row>
    <row r="29" spans="1:28" ht="31.5" customHeight="1">
      <c r="B29" s="509" t="s">
        <v>48</v>
      </c>
      <c r="C29" s="509"/>
      <c r="D29" s="509"/>
      <c r="E29" s="509"/>
      <c r="F29" s="509"/>
      <c r="G29" s="509"/>
      <c r="H29" s="509"/>
      <c r="I29" s="509"/>
      <c r="J29" s="509"/>
      <c r="K29" s="509"/>
      <c r="L29" s="509"/>
      <c r="M29" s="509"/>
      <c r="N29" s="509"/>
      <c r="O29" s="509"/>
      <c r="P29" s="509"/>
      <c r="Q29" s="509"/>
      <c r="R29" s="509"/>
    </row>
    <row r="30" spans="1:28" ht="73.5" customHeight="1">
      <c r="B30" s="509" t="s">
        <v>49</v>
      </c>
      <c r="C30" s="509"/>
      <c r="D30" s="509"/>
      <c r="E30" s="509"/>
      <c r="F30" s="509"/>
      <c r="G30" s="509"/>
      <c r="H30" s="509"/>
      <c r="I30" s="509"/>
      <c r="J30" s="509"/>
      <c r="K30" s="509"/>
      <c r="L30" s="509"/>
      <c r="M30" s="509"/>
      <c r="N30" s="509"/>
      <c r="O30" s="509"/>
      <c r="P30" s="509"/>
      <c r="Q30" s="509"/>
      <c r="R30" s="509"/>
    </row>
    <row r="31" spans="1:28" ht="39" customHeight="1">
      <c r="B31" s="509" t="s">
        <v>50</v>
      </c>
      <c r="C31" s="509"/>
      <c r="D31" s="509"/>
      <c r="E31" s="509"/>
      <c r="F31" s="509"/>
      <c r="G31" s="509"/>
      <c r="H31" s="509"/>
      <c r="I31" s="509"/>
      <c r="J31" s="509"/>
      <c r="K31" s="509"/>
      <c r="L31" s="509"/>
      <c r="M31" s="509"/>
      <c r="N31" s="509"/>
      <c r="O31" s="509"/>
      <c r="P31" s="509"/>
      <c r="Q31" s="509"/>
      <c r="R31" s="509"/>
    </row>
    <row r="32" spans="1:28">
      <c r="B32" s="11"/>
    </row>
    <row r="33" spans="2:2">
      <c r="B33" s="11"/>
    </row>
    <row r="35" spans="2:2">
      <c r="B35" s="11"/>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9:Z9"/>
    <mergeCell ref="A10:A12"/>
    <mergeCell ref="B10:B12"/>
    <mergeCell ref="C10:F11"/>
    <mergeCell ref="G10:Z10"/>
    <mergeCell ref="AB10:AB12"/>
    <mergeCell ref="G11:J11"/>
    <mergeCell ref="K11:N11"/>
    <mergeCell ref="O11:R11"/>
    <mergeCell ref="S11:V11"/>
    <mergeCell ref="W11:Z11"/>
    <mergeCell ref="AA10:AA12"/>
    <mergeCell ref="B30:R30"/>
    <mergeCell ref="B31:R31"/>
    <mergeCell ref="B24:R24"/>
    <mergeCell ref="B25:R25"/>
    <mergeCell ref="B26:R26"/>
    <mergeCell ref="B27:R27"/>
    <mergeCell ref="B28:R28"/>
    <mergeCell ref="B29:R29"/>
  </mergeCell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dimension ref="A1:AB40"/>
  <sheetViews>
    <sheetView topLeftCell="E10" workbookViewId="0">
      <selection activeCell="B25" sqref="B24:R25"/>
    </sheetView>
  </sheetViews>
  <sheetFormatPr defaultColWidth="8.85546875" defaultRowHeight="15"/>
  <cols>
    <col min="1" max="1" width="5" style="186" customWidth="1"/>
    <col min="2" max="2" width="45.28515625" style="186" customWidth="1"/>
    <col min="3" max="6" width="7.7109375" style="186" customWidth="1"/>
    <col min="7" max="26" width="7" style="186" customWidth="1"/>
    <col min="27" max="256" width="8.85546875" style="186"/>
    <col min="257" max="257" width="5" style="186" customWidth="1"/>
    <col min="258" max="258" width="45.28515625" style="186" customWidth="1"/>
    <col min="259" max="262" width="7.7109375" style="186" customWidth="1"/>
    <col min="263" max="282" width="7" style="186" customWidth="1"/>
    <col min="283" max="512" width="8.85546875" style="186"/>
    <col min="513" max="513" width="5" style="186" customWidth="1"/>
    <col min="514" max="514" width="45.28515625" style="186" customWidth="1"/>
    <col min="515" max="518" width="7.7109375" style="186" customWidth="1"/>
    <col min="519" max="538" width="7" style="186" customWidth="1"/>
    <col min="539" max="768" width="8.85546875" style="186"/>
    <col min="769" max="769" width="5" style="186" customWidth="1"/>
    <col min="770" max="770" width="45.28515625" style="186" customWidth="1"/>
    <col min="771" max="774" width="7.7109375" style="186" customWidth="1"/>
    <col min="775" max="794" width="7" style="186" customWidth="1"/>
    <col min="795" max="1024" width="8.85546875" style="186"/>
    <col min="1025" max="1025" width="5" style="186" customWidth="1"/>
    <col min="1026" max="1026" width="45.28515625" style="186" customWidth="1"/>
    <col min="1027" max="1030" width="7.7109375" style="186" customWidth="1"/>
    <col min="1031" max="1050" width="7" style="186" customWidth="1"/>
    <col min="1051" max="1280" width="8.85546875" style="186"/>
    <col min="1281" max="1281" width="5" style="186" customWidth="1"/>
    <col min="1282" max="1282" width="45.28515625" style="186" customWidth="1"/>
    <col min="1283" max="1286" width="7.7109375" style="186" customWidth="1"/>
    <col min="1287" max="1306" width="7" style="186" customWidth="1"/>
    <col min="1307" max="1536" width="8.85546875" style="186"/>
    <col min="1537" max="1537" width="5" style="186" customWidth="1"/>
    <col min="1538" max="1538" width="45.28515625" style="186" customWidth="1"/>
    <col min="1539" max="1542" width="7.7109375" style="186" customWidth="1"/>
    <col min="1543" max="1562" width="7" style="186" customWidth="1"/>
    <col min="1563" max="1792" width="8.85546875" style="186"/>
    <col min="1793" max="1793" width="5" style="186" customWidth="1"/>
    <col min="1794" max="1794" width="45.28515625" style="186" customWidth="1"/>
    <col min="1795" max="1798" width="7.7109375" style="186" customWidth="1"/>
    <col min="1799" max="1818" width="7" style="186" customWidth="1"/>
    <col min="1819" max="2048" width="8.85546875" style="186"/>
    <col min="2049" max="2049" width="5" style="186" customWidth="1"/>
    <col min="2050" max="2050" width="45.28515625" style="186" customWidth="1"/>
    <col min="2051" max="2054" width="7.7109375" style="186" customWidth="1"/>
    <col min="2055" max="2074" width="7" style="186" customWidth="1"/>
    <col min="2075" max="2304" width="8.85546875" style="186"/>
    <col min="2305" max="2305" width="5" style="186" customWidth="1"/>
    <col min="2306" max="2306" width="45.28515625" style="186" customWidth="1"/>
    <col min="2307" max="2310" width="7.7109375" style="186" customWidth="1"/>
    <col min="2311" max="2330" width="7" style="186" customWidth="1"/>
    <col min="2331" max="2560" width="8.85546875" style="186"/>
    <col min="2561" max="2561" width="5" style="186" customWidth="1"/>
    <col min="2562" max="2562" width="45.28515625" style="186" customWidth="1"/>
    <col min="2563" max="2566" width="7.7109375" style="186" customWidth="1"/>
    <col min="2567" max="2586" width="7" style="186" customWidth="1"/>
    <col min="2587" max="2816" width="8.85546875" style="186"/>
    <col min="2817" max="2817" width="5" style="186" customWidth="1"/>
    <col min="2818" max="2818" width="45.28515625" style="186" customWidth="1"/>
    <col min="2819" max="2822" width="7.7109375" style="186" customWidth="1"/>
    <col min="2823" max="2842" width="7" style="186" customWidth="1"/>
    <col min="2843" max="3072" width="8.85546875" style="186"/>
    <col min="3073" max="3073" width="5" style="186" customWidth="1"/>
    <col min="3074" max="3074" width="45.28515625" style="186" customWidth="1"/>
    <col min="3075" max="3078" width="7.7109375" style="186" customWidth="1"/>
    <col min="3079" max="3098" width="7" style="186" customWidth="1"/>
    <col min="3099" max="3328" width="8.85546875" style="186"/>
    <col min="3329" max="3329" width="5" style="186" customWidth="1"/>
    <col min="3330" max="3330" width="45.28515625" style="186" customWidth="1"/>
    <col min="3331" max="3334" width="7.7109375" style="186" customWidth="1"/>
    <col min="3335" max="3354" width="7" style="186" customWidth="1"/>
    <col min="3355" max="3584" width="8.85546875" style="186"/>
    <col min="3585" max="3585" width="5" style="186" customWidth="1"/>
    <col min="3586" max="3586" width="45.28515625" style="186" customWidth="1"/>
    <col min="3587" max="3590" width="7.7109375" style="186" customWidth="1"/>
    <col min="3591" max="3610" width="7" style="186" customWidth="1"/>
    <col min="3611" max="3840" width="8.85546875" style="186"/>
    <col min="3841" max="3841" width="5" style="186" customWidth="1"/>
    <col min="3842" max="3842" width="45.28515625" style="186" customWidth="1"/>
    <col min="3843" max="3846" width="7.7109375" style="186" customWidth="1"/>
    <col min="3847" max="3866" width="7" style="186" customWidth="1"/>
    <col min="3867" max="4096" width="8.85546875" style="186"/>
    <col min="4097" max="4097" width="5" style="186" customWidth="1"/>
    <col min="4098" max="4098" width="45.28515625" style="186" customWidth="1"/>
    <col min="4099" max="4102" width="7.7109375" style="186" customWidth="1"/>
    <col min="4103" max="4122" width="7" style="186" customWidth="1"/>
    <col min="4123" max="4352" width="8.85546875" style="186"/>
    <col min="4353" max="4353" width="5" style="186" customWidth="1"/>
    <col min="4354" max="4354" width="45.28515625" style="186" customWidth="1"/>
    <col min="4355" max="4358" width="7.7109375" style="186" customWidth="1"/>
    <col min="4359" max="4378" width="7" style="186" customWidth="1"/>
    <col min="4379" max="4608" width="8.85546875" style="186"/>
    <col min="4609" max="4609" width="5" style="186" customWidth="1"/>
    <col min="4610" max="4610" width="45.28515625" style="186" customWidth="1"/>
    <col min="4611" max="4614" width="7.7109375" style="186" customWidth="1"/>
    <col min="4615" max="4634" width="7" style="186" customWidth="1"/>
    <col min="4635" max="4864" width="8.85546875" style="186"/>
    <col min="4865" max="4865" width="5" style="186" customWidth="1"/>
    <col min="4866" max="4866" width="45.28515625" style="186" customWidth="1"/>
    <col min="4867" max="4870" width="7.7109375" style="186" customWidth="1"/>
    <col min="4871" max="4890" width="7" style="186" customWidth="1"/>
    <col min="4891" max="5120" width="8.85546875" style="186"/>
    <col min="5121" max="5121" width="5" style="186" customWidth="1"/>
    <col min="5122" max="5122" width="45.28515625" style="186" customWidth="1"/>
    <col min="5123" max="5126" width="7.7109375" style="186" customWidth="1"/>
    <col min="5127" max="5146" width="7" style="186" customWidth="1"/>
    <col min="5147" max="5376" width="8.85546875" style="186"/>
    <col min="5377" max="5377" width="5" style="186" customWidth="1"/>
    <col min="5378" max="5378" width="45.28515625" style="186" customWidth="1"/>
    <col min="5379" max="5382" width="7.7109375" style="186" customWidth="1"/>
    <col min="5383" max="5402" width="7" style="186" customWidth="1"/>
    <col min="5403" max="5632" width="8.85546875" style="186"/>
    <col min="5633" max="5633" width="5" style="186" customWidth="1"/>
    <col min="5634" max="5634" width="45.28515625" style="186" customWidth="1"/>
    <col min="5635" max="5638" width="7.7109375" style="186" customWidth="1"/>
    <col min="5639" max="5658" width="7" style="186" customWidth="1"/>
    <col min="5659" max="5888" width="8.85546875" style="186"/>
    <col min="5889" max="5889" width="5" style="186" customWidth="1"/>
    <col min="5890" max="5890" width="45.28515625" style="186" customWidth="1"/>
    <col min="5891" max="5894" width="7.7109375" style="186" customWidth="1"/>
    <col min="5895" max="5914" width="7" style="186" customWidth="1"/>
    <col min="5915" max="6144" width="8.85546875" style="186"/>
    <col min="6145" max="6145" width="5" style="186" customWidth="1"/>
    <col min="6146" max="6146" width="45.28515625" style="186" customWidth="1"/>
    <col min="6147" max="6150" width="7.7109375" style="186" customWidth="1"/>
    <col min="6151" max="6170" width="7" style="186" customWidth="1"/>
    <col min="6171" max="6400" width="8.85546875" style="186"/>
    <col min="6401" max="6401" width="5" style="186" customWidth="1"/>
    <col min="6402" max="6402" width="45.28515625" style="186" customWidth="1"/>
    <col min="6403" max="6406" width="7.7109375" style="186" customWidth="1"/>
    <col min="6407" max="6426" width="7" style="186" customWidth="1"/>
    <col min="6427" max="6656" width="8.85546875" style="186"/>
    <col min="6657" max="6657" width="5" style="186" customWidth="1"/>
    <col min="6658" max="6658" width="45.28515625" style="186" customWidth="1"/>
    <col min="6659" max="6662" width="7.7109375" style="186" customWidth="1"/>
    <col min="6663" max="6682" width="7" style="186" customWidth="1"/>
    <col min="6683" max="6912" width="8.85546875" style="186"/>
    <col min="6913" max="6913" width="5" style="186" customWidth="1"/>
    <col min="6914" max="6914" width="45.28515625" style="186" customWidth="1"/>
    <col min="6915" max="6918" width="7.7109375" style="186" customWidth="1"/>
    <col min="6919" max="6938" width="7" style="186" customWidth="1"/>
    <col min="6939" max="7168" width="8.85546875" style="186"/>
    <col min="7169" max="7169" width="5" style="186" customWidth="1"/>
    <col min="7170" max="7170" width="45.28515625" style="186" customWidth="1"/>
    <col min="7171" max="7174" width="7.7109375" style="186" customWidth="1"/>
    <col min="7175" max="7194" width="7" style="186" customWidth="1"/>
    <col min="7195" max="7424" width="8.85546875" style="186"/>
    <col min="7425" max="7425" width="5" style="186" customWidth="1"/>
    <col min="7426" max="7426" width="45.28515625" style="186" customWidth="1"/>
    <col min="7427" max="7430" width="7.7109375" style="186" customWidth="1"/>
    <col min="7431" max="7450" width="7" style="186" customWidth="1"/>
    <col min="7451" max="7680" width="8.85546875" style="186"/>
    <col min="7681" max="7681" width="5" style="186" customWidth="1"/>
    <col min="7682" max="7682" width="45.28515625" style="186" customWidth="1"/>
    <col min="7683" max="7686" width="7.7109375" style="186" customWidth="1"/>
    <col min="7687" max="7706" width="7" style="186" customWidth="1"/>
    <col min="7707" max="7936" width="8.85546875" style="186"/>
    <col min="7937" max="7937" width="5" style="186" customWidth="1"/>
    <col min="7938" max="7938" width="45.28515625" style="186" customWidth="1"/>
    <col min="7939" max="7942" width="7.7109375" style="186" customWidth="1"/>
    <col min="7943" max="7962" width="7" style="186" customWidth="1"/>
    <col min="7963" max="8192" width="8.85546875" style="186"/>
    <col min="8193" max="8193" width="5" style="186" customWidth="1"/>
    <col min="8194" max="8194" width="45.28515625" style="186" customWidth="1"/>
    <col min="8195" max="8198" width="7.7109375" style="186" customWidth="1"/>
    <col min="8199" max="8218" width="7" style="186" customWidth="1"/>
    <col min="8219" max="8448" width="8.85546875" style="186"/>
    <col min="8449" max="8449" width="5" style="186" customWidth="1"/>
    <col min="8450" max="8450" width="45.28515625" style="186" customWidth="1"/>
    <col min="8451" max="8454" width="7.7109375" style="186" customWidth="1"/>
    <col min="8455" max="8474" width="7" style="186" customWidth="1"/>
    <col min="8475" max="8704" width="8.85546875" style="186"/>
    <col min="8705" max="8705" width="5" style="186" customWidth="1"/>
    <col min="8706" max="8706" width="45.28515625" style="186" customWidth="1"/>
    <col min="8707" max="8710" width="7.7109375" style="186" customWidth="1"/>
    <col min="8711" max="8730" width="7" style="186" customWidth="1"/>
    <col min="8731" max="8960" width="8.85546875" style="186"/>
    <col min="8961" max="8961" width="5" style="186" customWidth="1"/>
    <col min="8962" max="8962" width="45.28515625" style="186" customWidth="1"/>
    <col min="8963" max="8966" width="7.7109375" style="186" customWidth="1"/>
    <col min="8967" max="8986" width="7" style="186" customWidth="1"/>
    <col min="8987" max="9216" width="8.85546875" style="186"/>
    <col min="9217" max="9217" width="5" style="186" customWidth="1"/>
    <col min="9218" max="9218" width="45.28515625" style="186" customWidth="1"/>
    <col min="9219" max="9222" width="7.7109375" style="186" customWidth="1"/>
    <col min="9223" max="9242" width="7" style="186" customWidth="1"/>
    <col min="9243" max="9472" width="8.85546875" style="186"/>
    <col min="9473" max="9473" width="5" style="186" customWidth="1"/>
    <col min="9474" max="9474" width="45.28515625" style="186" customWidth="1"/>
    <col min="9475" max="9478" width="7.7109375" style="186" customWidth="1"/>
    <col min="9479" max="9498" width="7" style="186" customWidth="1"/>
    <col min="9499" max="9728" width="8.85546875" style="186"/>
    <col min="9729" max="9729" width="5" style="186" customWidth="1"/>
    <col min="9730" max="9730" width="45.28515625" style="186" customWidth="1"/>
    <col min="9731" max="9734" width="7.7109375" style="186" customWidth="1"/>
    <col min="9735" max="9754" width="7" style="186" customWidth="1"/>
    <col min="9755" max="9984" width="8.85546875" style="186"/>
    <col min="9985" max="9985" width="5" style="186" customWidth="1"/>
    <col min="9986" max="9986" width="45.28515625" style="186" customWidth="1"/>
    <col min="9987" max="9990" width="7.7109375" style="186" customWidth="1"/>
    <col min="9991" max="10010" width="7" style="186" customWidth="1"/>
    <col min="10011" max="10240" width="8.85546875" style="186"/>
    <col min="10241" max="10241" width="5" style="186" customWidth="1"/>
    <col min="10242" max="10242" width="45.28515625" style="186" customWidth="1"/>
    <col min="10243" max="10246" width="7.7109375" style="186" customWidth="1"/>
    <col min="10247" max="10266" width="7" style="186" customWidth="1"/>
    <col min="10267" max="10496" width="8.85546875" style="186"/>
    <col min="10497" max="10497" width="5" style="186" customWidth="1"/>
    <col min="10498" max="10498" width="45.28515625" style="186" customWidth="1"/>
    <col min="10499" max="10502" width="7.7109375" style="186" customWidth="1"/>
    <col min="10503" max="10522" width="7" style="186" customWidth="1"/>
    <col min="10523" max="10752" width="8.85546875" style="186"/>
    <col min="10753" max="10753" width="5" style="186" customWidth="1"/>
    <col min="10754" max="10754" width="45.28515625" style="186" customWidth="1"/>
    <col min="10755" max="10758" width="7.7109375" style="186" customWidth="1"/>
    <col min="10759" max="10778" width="7" style="186" customWidth="1"/>
    <col min="10779" max="11008" width="8.85546875" style="186"/>
    <col min="11009" max="11009" width="5" style="186" customWidth="1"/>
    <col min="11010" max="11010" width="45.28515625" style="186" customWidth="1"/>
    <col min="11011" max="11014" width="7.7109375" style="186" customWidth="1"/>
    <col min="11015" max="11034" width="7" style="186" customWidth="1"/>
    <col min="11035" max="11264" width="8.85546875" style="186"/>
    <col min="11265" max="11265" width="5" style="186" customWidth="1"/>
    <col min="11266" max="11266" width="45.28515625" style="186" customWidth="1"/>
    <col min="11267" max="11270" width="7.7109375" style="186" customWidth="1"/>
    <col min="11271" max="11290" width="7" style="186" customWidth="1"/>
    <col min="11291" max="11520" width="8.85546875" style="186"/>
    <col min="11521" max="11521" width="5" style="186" customWidth="1"/>
    <col min="11522" max="11522" width="45.28515625" style="186" customWidth="1"/>
    <col min="11523" max="11526" width="7.7109375" style="186" customWidth="1"/>
    <col min="11527" max="11546" width="7" style="186" customWidth="1"/>
    <col min="11547" max="11776" width="8.85546875" style="186"/>
    <col min="11777" max="11777" width="5" style="186" customWidth="1"/>
    <col min="11778" max="11778" width="45.28515625" style="186" customWidth="1"/>
    <col min="11779" max="11782" width="7.7109375" style="186" customWidth="1"/>
    <col min="11783" max="11802" width="7" style="186" customWidth="1"/>
    <col min="11803" max="12032" width="8.85546875" style="186"/>
    <col min="12033" max="12033" width="5" style="186" customWidth="1"/>
    <col min="12034" max="12034" width="45.28515625" style="186" customWidth="1"/>
    <col min="12035" max="12038" width="7.7109375" style="186" customWidth="1"/>
    <col min="12039" max="12058" width="7" style="186" customWidth="1"/>
    <col min="12059" max="12288" width="8.85546875" style="186"/>
    <col min="12289" max="12289" width="5" style="186" customWidth="1"/>
    <col min="12290" max="12290" width="45.28515625" style="186" customWidth="1"/>
    <col min="12291" max="12294" width="7.7109375" style="186" customWidth="1"/>
    <col min="12295" max="12314" width="7" style="186" customWidth="1"/>
    <col min="12315" max="12544" width="8.85546875" style="186"/>
    <col min="12545" max="12545" width="5" style="186" customWidth="1"/>
    <col min="12546" max="12546" width="45.28515625" style="186" customWidth="1"/>
    <col min="12547" max="12550" width="7.7109375" style="186" customWidth="1"/>
    <col min="12551" max="12570" width="7" style="186" customWidth="1"/>
    <col min="12571" max="12800" width="8.85546875" style="186"/>
    <col min="12801" max="12801" width="5" style="186" customWidth="1"/>
    <col min="12802" max="12802" width="45.28515625" style="186" customWidth="1"/>
    <col min="12803" max="12806" width="7.7109375" style="186" customWidth="1"/>
    <col min="12807" max="12826" width="7" style="186" customWidth="1"/>
    <col min="12827" max="13056" width="8.85546875" style="186"/>
    <col min="13057" max="13057" width="5" style="186" customWidth="1"/>
    <col min="13058" max="13058" width="45.28515625" style="186" customWidth="1"/>
    <col min="13059" max="13062" width="7.7109375" style="186" customWidth="1"/>
    <col min="13063" max="13082" width="7" style="186" customWidth="1"/>
    <col min="13083" max="13312" width="8.85546875" style="186"/>
    <col min="13313" max="13313" width="5" style="186" customWidth="1"/>
    <col min="13314" max="13314" width="45.28515625" style="186" customWidth="1"/>
    <col min="13315" max="13318" width="7.7109375" style="186" customWidth="1"/>
    <col min="13319" max="13338" width="7" style="186" customWidth="1"/>
    <col min="13339" max="13568" width="8.85546875" style="186"/>
    <col min="13569" max="13569" width="5" style="186" customWidth="1"/>
    <col min="13570" max="13570" width="45.28515625" style="186" customWidth="1"/>
    <col min="13571" max="13574" width="7.7109375" style="186" customWidth="1"/>
    <col min="13575" max="13594" width="7" style="186" customWidth="1"/>
    <col min="13595" max="13824" width="8.85546875" style="186"/>
    <col min="13825" max="13825" width="5" style="186" customWidth="1"/>
    <col min="13826" max="13826" width="45.28515625" style="186" customWidth="1"/>
    <col min="13827" max="13830" width="7.7109375" style="186" customWidth="1"/>
    <col min="13831" max="13850" width="7" style="186" customWidth="1"/>
    <col min="13851" max="14080" width="8.85546875" style="186"/>
    <col min="14081" max="14081" width="5" style="186" customWidth="1"/>
    <col min="14082" max="14082" width="45.28515625" style="186" customWidth="1"/>
    <col min="14083" max="14086" width="7.7109375" style="186" customWidth="1"/>
    <col min="14087" max="14106" width="7" style="186" customWidth="1"/>
    <col min="14107" max="14336" width="8.85546875" style="186"/>
    <col min="14337" max="14337" width="5" style="186" customWidth="1"/>
    <col min="14338" max="14338" width="45.28515625" style="186" customWidth="1"/>
    <col min="14339" max="14342" width="7.7109375" style="186" customWidth="1"/>
    <col min="14343" max="14362" width="7" style="186" customWidth="1"/>
    <col min="14363" max="14592" width="8.85546875" style="186"/>
    <col min="14593" max="14593" width="5" style="186" customWidth="1"/>
    <col min="14594" max="14594" width="45.28515625" style="186" customWidth="1"/>
    <col min="14595" max="14598" width="7.7109375" style="186" customWidth="1"/>
    <col min="14599" max="14618" width="7" style="186" customWidth="1"/>
    <col min="14619" max="14848" width="8.85546875" style="186"/>
    <col min="14849" max="14849" width="5" style="186" customWidth="1"/>
    <col min="14850" max="14850" width="45.28515625" style="186" customWidth="1"/>
    <col min="14851" max="14854" width="7.7109375" style="186" customWidth="1"/>
    <col min="14855" max="14874" width="7" style="186" customWidth="1"/>
    <col min="14875" max="15104" width="8.85546875" style="186"/>
    <col min="15105" max="15105" width="5" style="186" customWidth="1"/>
    <col min="15106" max="15106" width="45.28515625" style="186" customWidth="1"/>
    <col min="15107" max="15110" width="7.7109375" style="186" customWidth="1"/>
    <col min="15111" max="15130" width="7" style="186" customWidth="1"/>
    <col min="15131" max="15360" width="8.85546875" style="186"/>
    <col min="15361" max="15361" width="5" style="186" customWidth="1"/>
    <col min="15362" max="15362" width="45.28515625" style="186" customWidth="1"/>
    <col min="15363" max="15366" width="7.7109375" style="186" customWidth="1"/>
    <col min="15367" max="15386" width="7" style="186" customWidth="1"/>
    <col min="15387" max="15616" width="8.85546875" style="186"/>
    <col min="15617" max="15617" width="5" style="186" customWidth="1"/>
    <col min="15618" max="15618" width="45.28515625" style="186" customWidth="1"/>
    <col min="15619" max="15622" width="7.7109375" style="186" customWidth="1"/>
    <col min="15623" max="15642" width="7" style="186" customWidth="1"/>
    <col min="15643" max="15872" width="8.85546875" style="186"/>
    <col min="15873" max="15873" width="5" style="186" customWidth="1"/>
    <col min="15874" max="15874" width="45.28515625" style="186" customWidth="1"/>
    <col min="15875" max="15878" width="7.7109375" style="186" customWidth="1"/>
    <col min="15879" max="15898" width="7" style="186" customWidth="1"/>
    <col min="15899" max="16128" width="8.85546875" style="186"/>
    <col min="16129" max="16129" width="5" style="186" customWidth="1"/>
    <col min="16130" max="16130" width="45.28515625" style="186" customWidth="1"/>
    <col min="16131" max="16134" width="7.7109375" style="186" customWidth="1"/>
    <col min="16135" max="16154" width="7" style="186" customWidth="1"/>
    <col min="16155" max="16384" width="8.85546875" style="186"/>
  </cols>
  <sheetData>
    <row r="1" spans="1:28" s="94" customFormat="1" ht="30" customHeight="1">
      <c r="A1" s="617" t="s">
        <v>0</v>
      </c>
      <c r="B1" s="617"/>
      <c r="C1" s="617"/>
      <c r="D1" s="617"/>
      <c r="E1" s="617"/>
      <c r="F1" s="618" t="s">
        <v>513</v>
      </c>
      <c r="G1" s="618"/>
      <c r="H1" s="618"/>
      <c r="I1" s="618"/>
      <c r="J1" s="618"/>
      <c r="K1" s="618"/>
      <c r="L1" s="618"/>
      <c r="M1" s="618"/>
      <c r="N1" s="618"/>
      <c r="O1" s="618"/>
      <c r="P1" s="618"/>
      <c r="Q1" s="618"/>
      <c r="R1" s="618"/>
    </row>
    <row r="2" spans="1:28" ht="31.5" customHeight="1">
      <c r="A2" s="619" t="s">
        <v>2</v>
      </c>
      <c r="B2" s="619"/>
      <c r="C2" s="619"/>
      <c r="D2" s="619"/>
      <c r="E2" s="619"/>
      <c r="F2" s="619"/>
      <c r="G2" s="619"/>
      <c r="H2" s="619"/>
      <c r="I2" s="619"/>
      <c r="J2" s="619"/>
      <c r="K2" s="619"/>
      <c r="L2" s="619"/>
      <c r="M2" s="619"/>
      <c r="N2" s="619"/>
      <c r="O2" s="619"/>
      <c r="P2" s="619"/>
      <c r="Q2" s="619"/>
      <c r="R2" s="619"/>
      <c r="S2" s="619"/>
      <c r="T2" s="619"/>
      <c r="U2" s="619"/>
      <c r="V2" s="619"/>
      <c r="W2" s="619"/>
      <c r="X2" s="619"/>
      <c r="Y2" s="619"/>
      <c r="Z2" s="619"/>
    </row>
    <row r="3" spans="1:28" ht="44.25" customHeight="1">
      <c r="A3" s="620" t="s">
        <v>3</v>
      </c>
      <c r="B3" s="623" t="s">
        <v>233</v>
      </c>
      <c r="C3" s="626" t="s">
        <v>234</v>
      </c>
      <c r="D3" s="627"/>
      <c r="E3" s="627"/>
      <c r="F3" s="628"/>
      <c r="G3" s="632" t="s">
        <v>6</v>
      </c>
      <c r="H3" s="632"/>
      <c r="I3" s="632"/>
      <c r="J3" s="632"/>
      <c r="K3" s="632"/>
      <c r="L3" s="632"/>
      <c r="M3" s="632"/>
      <c r="N3" s="632"/>
      <c r="O3" s="632"/>
      <c r="P3" s="632"/>
      <c r="Q3" s="632"/>
      <c r="R3" s="632"/>
      <c r="S3" s="632"/>
      <c r="T3" s="632"/>
      <c r="U3" s="632"/>
      <c r="V3" s="632"/>
      <c r="W3" s="632"/>
      <c r="X3" s="632"/>
      <c r="Y3" s="632"/>
      <c r="Z3" s="632"/>
      <c r="AA3" s="581" t="s">
        <v>119</v>
      </c>
      <c r="AB3" s="584" t="s">
        <v>120</v>
      </c>
    </row>
    <row r="4" spans="1:28" ht="44.25" customHeight="1">
      <c r="A4" s="621"/>
      <c r="B4" s="624"/>
      <c r="C4" s="629"/>
      <c r="D4" s="630"/>
      <c r="E4" s="630"/>
      <c r="F4" s="631"/>
      <c r="G4" s="632" t="s">
        <v>9</v>
      </c>
      <c r="H4" s="632"/>
      <c r="I4" s="632"/>
      <c r="J4" s="632"/>
      <c r="K4" s="632" t="s">
        <v>10</v>
      </c>
      <c r="L4" s="632"/>
      <c r="M4" s="632"/>
      <c r="N4" s="632"/>
      <c r="O4" s="632" t="s">
        <v>11</v>
      </c>
      <c r="P4" s="632"/>
      <c r="Q4" s="632"/>
      <c r="R4" s="632"/>
      <c r="S4" s="632" t="s">
        <v>12</v>
      </c>
      <c r="T4" s="632"/>
      <c r="U4" s="632"/>
      <c r="V4" s="632"/>
      <c r="W4" s="632" t="s">
        <v>13</v>
      </c>
      <c r="X4" s="632"/>
      <c r="Y4" s="632"/>
      <c r="Z4" s="632"/>
      <c r="AA4" s="582"/>
      <c r="AB4" s="584"/>
    </row>
    <row r="5" spans="1:28" ht="75.75" customHeight="1">
      <c r="A5" s="622"/>
      <c r="B5" s="625"/>
      <c r="C5" s="95" t="s">
        <v>14</v>
      </c>
      <c r="D5" s="95" t="s">
        <v>15</v>
      </c>
      <c r="E5" s="95" t="s">
        <v>235</v>
      </c>
      <c r="F5" s="95" t="s">
        <v>236</v>
      </c>
      <c r="G5" s="95" t="s">
        <v>14</v>
      </c>
      <c r="H5" s="95" t="s">
        <v>15</v>
      </c>
      <c r="I5" s="95" t="s">
        <v>18</v>
      </c>
      <c r="J5" s="95" t="s">
        <v>19</v>
      </c>
      <c r="K5" s="95" t="s">
        <v>14</v>
      </c>
      <c r="L5" s="95" t="s">
        <v>15</v>
      </c>
      <c r="M5" s="95" t="s">
        <v>18</v>
      </c>
      <c r="N5" s="95" t="s">
        <v>19</v>
      </c>
      <c r="O5" s="95" t="s">
        <v>14</v>
      </c>
      <c r="P5" s="95" t="s">
        <v>15</v>
      </c>
      <c r="Q5" s="95" t="s">
        <v>18</v>
      </c>
      <c r="R5" s="95" t="s">
        <v>19</v>
      </c>
      <c r="S5" s="95" t="s">
        <v>14</v>
      </c>
      <c r="T5" s="95" t="s">
        <v>15</v>
      </c>
      <c r="U5" s="95" t="s">
        <v>18</v>
      </c>
      <c r="V5" s="95" t="s">
        <v>19</v>
      </c>
      <c r="W5" s="95" t="s">
        <v>14</v>
      </c>
      <c r="X5" s="95" t="s">
        <v>15</v>
      </c>
      <c r="Y5" s="95" t="s">
        <v>18</v>
      </c>
      <c r="Z5" s="95" t="s">
        <v>19</v>
      </c>
      <c r="AA5" s="583"/>
      <c r="AB5" s="584"/>
    </row>
    <row r="6" spans="1:28">
      <c r="A6" s="96" t="s">
        <v>20</v>
      </c>
      <c r="B6" s="214" t="s">
        <v>514</v>
      </c>
      <c r="C6" s="97">
        <v>0</v>
      </c>
      <c r="D6" s="97">
        <v>56235</v>
      </c>
      <c r="E6" s="97">
        <v>0</v>
      </c>
      <c r="F6" s="97">
        <v>14000</v>
      </c>
      <c r="G6" s="98">
        <f>H6*0.05</f>
        <v>2850</v>
      </c>
      <c r="H6" s="97">
        <v>57000</v>
      </c>
      <c r="I6" s="98">
        <v>750</v>
      </c>
      <c r="J6" s="97">
        <v>14000</v>
      </c>
      <c r="K6" s="97">
        <f>L6*0.1</f>
        <v>5700</v>
      </c>
      <c r="L6" s="97">
        <v>57000</v>
      </c>
      <c r="M6" s="97">
        <v>1425</v>
      </c>
      <c r="N6" s="97">
        <v>14000</v>
      </c>
      <c r="O6" s="98">
        <f>P6*0.15</f>
        <v>8550</v>
      </c>
      <c r="P6" s="97">
        <v>57000</v>
      </c>
      <c r="Q6" s="97">
        <v>2150</v>
      </c>
      <c r="R6" s="97">
        <v>14000</v>
      </c>
      <c r="S6" s="97">
        <f>T6*0.2</f>
        <v>11400</v>
      </c>
      <c r="T6" s="97">
        <v>57000</v>
      </c>
      <c r="U6" s="97">
        <v>2850</v>
      </c>
      <c r="V6" s="97">
        <v>14000</v>
      </c>
      <c r="W6" s="98">
        <f>X6*0.25</f>
        <v>14250</v>
      </c>
      <c r="X6" s="97">
        <v>57000</v>
      </c>
      <c r="Y6" s="97">
        <v>3600</v>
      </c>
      <c r="Z6" s="97">
        <v>14000</v>
      </c>
      <c r="AA6" s="362">
        <f>C6/W6</f>
        <v>0</v>
      </c>
      <c r="AB6" s="362">
        <f>W6/X6</f>
        <v>0.25</v>
      </c>
    </row>
    <row r="7" spans="1:28" ht="26.25">
      <c r="A7" s="96" t="s">
        <v>22</v>
      </c>
      <c r="B7" s="215" t="s">
        <v>515</v>
      </c>
      <c r="C7" s="97">
        <v>0</v>
      </c>
      <c r="D7" s="97">
        <v>520</v>
      </c>
      <c r="E7" s="97">
        <v>0</v>
      </c>
      <c r="F7" s="97">
        <f>D7</f>
        <v>520</v>
      </c>
      <c r="G7" s="98">
        <f t="shared" ref="G7:G15" si="0">H7*0.05</f>
        <v>27.5</v>
      </c>
      <c r="H7" s="97">
        <v>550</v>
      </c>
      <c r="I7" s="98">
        <f t="shared" ref="I7:J15" si="1">G7</f>
        <v>27.5</v>
      </c>
      <c r="J7" s="98">
        <f>H7</f>
        <v>550</v>
      </c>
      <c r="K7" s="97">
        <f t="shared" ref="K7:K15" si="2">L7*0.1</f>
        <v>55</v>
      </c>
      <c r="L7" s="97">
        <v>550</v>
      </c>
      <c r="M7" s="97">
        <f>K7</f>
        <v>55</v>
      </c>
      <c r="N7" s="97">
        <f>L7</f>
        <v>550</v>
      </c>
      <c r="O7" s="98">
        <f t="shared" ref="O7:O15" si="3">P7*0.15</f>
        <v>82.5</v>
      </c>
      <c r="P7" s="97">
        <v>550</v>
      </c>
      <c r="Q7" s="98">
        <f>O7</f>
        <v>82.5</v>
      </c>
      <c r="R7" s="97">
        <f>P7</f>
        <v>550</v>
      </c>
      <c r="S7" s="97">
        <f t="shared" ref="S7:S15" si="4">T7*0.2</f>
        <v>110</v>
      </c>
      <c r="T7" s="97">
        <v>550</v>
      </c>
      <c r="U7" s="97">
        <f>S7</f>
        <v>110</v>
      </c>
      <c r="V7" s="97">
        <f>T7</f>
        <v>550</v>
      </c>
      <c r="W7" s="98">
        <f t="shared" ref="W7:W15" si="5">X7*0.25</f>
        <v>137.5</v>
      </c>
      <c r="X7" s="97">
        <v>550</v>
      </c>
      <c r="Y7" s="98">
        <f>W7</f>
        <v>137.5</v>
      </c>
      <c r="Z7" s="98">
        <f>X7</f>
        <v>550</v>
      </c>
      <c r="AA7" s="362">
        <f t="shared" ref="AA7:AA15" si="6">C7/W7</f>
        <v>0</v>
      </c>
      <c r="AB7" s="362">
        <f t="shared" ref="AB7:AB15" si="7">W7/X7</f>
        <v>0.25</v>
      </c>
    </row>
    <row r="8" spans="1:28" ht="26.25">
      <c r="A8" s="96" t="s">
        <v>61</v>
      </c>
      <c r="B8" s="214" t="s">
        <v>516</v>
      </c>
      <c r="C8" s="97">
        <v>0</v>
      </c>
      <c r="D8" s="97">
        <v>566</v>
      </c>
      <c r="E8" s="97">
        <v>0</v>
      </c>
      <c r="F8" s="97">
        <f t="shared" ref="F8:F15" si="8">D8</f>
        <v>566</v>
      </c>
      <c r="G8" s="98">
        <f t="shared" si="0"/>
        <v>30</v>
      </c>
      <c r="H8" s="97">
        <v>600</v>
      </c>
      <c r="I8" s="98">
        <f t="shared" si="1"/>
        <v>30</v>
      </c>
      <c r="J8" s="98">
        <f t="shared" si="1"/>
        <v>600</v>
      </c>
      <c r="K8" s="97">
        <f t="shared" si="2"/>
        <v>60</v>
      </c>
      <c r="L8" s="97">
        <v>600</v>
      </c>
      <c r="M8" s="97">
        <f t="shared" ref="M8:N15" si="9">K8</f>
        <v>60</v>
      </c>
      <c r="N8" s="97">
        <f t="shared" si="9"/>
        <v>600</v>
      </c>
      <c r="O8" s="98">
        <f t="shared" si="3"/>
        <v>90</v>
      </c>
      <c r="P8" s="97">
        <v>600</v>
      </c>
      <c r="Q8" s="98">
        <f t="shared" ref="Q8:R15" si="10">O8</f>
        <v>90</v>
      </c>
      <c r="R8" s="97">
        <f t="shared" si="10"/>
        <v>600</v>
      </c>
      <c r="S8" s="97">
        <f t="shared" si="4"/>
        <v>120</v>
      </c>
      <c r="T8" s="97">
        <v>600</v>
      </c>
      <c r="U8" s="97">
        <f t="shared" ref="U8:V15" si="11">S8</f>
        <v>120</v>
      </c>
      <c r="V8" s="97">
        <f t="shared" si="11"/>
        <v>600</v>
      </c>
      <c r="W8" s="98">
        <f t="shared" si="5"/>
        <v>150</v>
      </c>
      <c r="X8" s="97">
        <v>600</v>
      </c>
      <c r="Y8" s="98">
        <f t="shared" ref="Y8:Z15" si="12">W8</f>
        <v>150</v>
      </c>
      <c r="Z8" s="98">
        <f t="shared" si="12"/>
        <v>600</v>
      </c>
      <c r="AA8" s="362">
        <f t="shared" si="6"/>
        <v>0</v>
      </c>
      <c r="AB8" s="362">
        <f t="shared" si="7"/>
        <v>0.25</v>
      </c>
    </row>
    <row r="9" spans="1:28" ht="26.25">
      <c r="A9" s="96" t="s">
        <v>63</v>
      </c>
      <c r="B9" s="214" t="s">
        <v>517</v>
      </c>
      <c r="C9" s="97">
        <v>0</v>
      </c>
      <c r="D9" s="97">
        <v>3826</v>
      </c>
      <c r="E9" s="97">
        <v>0</v>
      </c>
      <c r="F9" s="97">
        <f t="shared" si="8"/>
        <v>3826</v>
      </c>
      <c r="G9" s="98">
        <f t="shared" si="0"/>
        <v>200</v>
      </c>
      <c r="H9" s="97">
        <v>4000</v>
      </c>
      <c r="I9" s="98">
        <f t="shared" si="1"/>
        <v>200</v>
      </c>
      <c r="J9" s="98">
        <f t="shared" si="1"/>
        <v>4000</v>
      </c>
      <c r="K9" s="97">
        <f t="shared" si="2"/>
        <v>400</v>
      </c>
      <c r="L9" s="97">
        <v>4000</v>
      </c>
      <c r="M9" s="97">
        <f t="shared" si="9"/>
        <v>400</v>
      </c>
      <c r="N9" s="97">
        <f t="shared" si="9"/>
        <v>4000</v>
      </c>
      <c r="O9" s="98">
        <f t="shared" si="3"/>
        <v>600</v>
      </c>
      <c r="P9" s="97">
        <v>4000</v>
      </c>
      <c r="Q9" s="98">
        <f t="shared" si="10"/>
        <v>600</v>
      </c>
      <c r="R9" s="97">
        <f t="shared" si="10"/>
        <v>4000</v>
      </c>
      <c r="S9" s="97">
        <f t="shared" si="4"/>
        <v>800</v>
      </c>
      <c r="T9" s="97">
        <v>4000</v>
      </c>
      <c r="U9" s="97">
        <f t="shared" si="11"/>
        <v>800</v>
      </c>
      <c r="V9" s="97">
        <f t="shared" si="11"/>
        <v>4000</v>
      </c>
      <c r="W9" s="98">
        <f t="shared" si="5"/>
        <v>1000</v>
      </c>
      <c r="X9" s="97">
        <v>4000</v>
      </c>
      <c r="Y9" s="98">
        <f t="shared" si="12"/>
        <v>1000</v>
      </c>
      <c r="Z9" s="98">
        <f t="shared" si="12"/>
        <v>4000</v>
      </c>
      <c r="AA9" s="362">
        <f t="shared" si="6"/>
        <v>0</v>
      </c>
      <c r="AB9" s="362">
        <f t="shared" si="7"/>
        <v>0.25</v>
      </c>
    </row>
    <row r="10" spans="1:28" ht="26.25">
      <c r="A10" s="96" t="s">
        <v>136</v>
      </c>
      <c r="B10" s="214" t="s">
        <v>518</v>
      </c>
      <c r="C10" s="97">
        <v>0</v>
      </c>
      <c r="D10" s="97">
        <v>14246</v>
      </c>
      <c r="E10" s="97">
        <v>0</v>
      </c>
      <c r="F10" s="97">
        <f t="shared" si="8"/>
        <v>14246</v>
      </c>
      <c r="G10" s="98">
        <f t="shared" si="0"/>
        <v>715</v>
      </c>
      <c r="H10" s="97">
        <v>14300</v>
      </c>
      <c r="I10" s="98">
        <f t="shared" si="1"/>
        <v>715</v>
      </c>
      <c r="J10" s="98">
        <f t="shared" si="1"/>
        <v>14300</v>
      </c>
      <c r="K10" s="97">
        <f t="shared" si="2"/>
        <v>1430</v>
      </c>
      <c r="L10" s="97">
        <v>14300</v>
      </c>
      <c r="M10" s="97">
        <f t="shared" si="9"/>
        <v>1430</v>
      </c>
      <c r="N10" s="97">
        <f t="shared" si="9"/>
        <v>14300</v>
      </c>
      <c r="O10" s="98">
        <f t="shared" si="3"/>
        <v>2145</v>
      </c>
      <c r="P10" s="97">
        <v>14300</v>
      </c>
      <c r="Q10" s="98">
        <f t="shared" si="10"/>
        <v>2145</v>
      </c>
      <c r="R10" s="97">
        <f t="shared" si="10"/>
        <v>14300</v>
      </c>
      <c r="S10" s="97">
        <f t="shared" si="4"/>
        <v>2860</v>
      </c>
      <c r="T10" s="97">
        <v>14300</v>
      </c>
      <c r="U10" s="97">
        <f t="shared" si="11"/>
        <v>2860</v>
      </c>
      <c r="V10" s="97">
        <f t="shared" si="11"/>
        <v>14300</v>
      </c>
      <c r="W10" s="98">
        <f t="shared" si="5"/>
        <v>3575</v>
      </c>
      <c r="X10" s="97">
        <v>14300</v>
      </c>
      <c r="Y10" s="98">
        <f t="shared" si="12"/>
        <v>3575</v>
      </c>
      <c r="Z10" s="98">
        <f t="shared" si="12"/>
        <v>14300</v>
      </c>
      <c r="AA10" s="362">
        <f t="shared" si="6"/>
        <v>0</v>
      </c>
      <c r="AB10" s="362">
        <f t="shared" si="7"/>
        <v>0.25</v>
      </c>
    </row>
    <row r="11" spans="1:28">
      <c r="A11" s="96" t="s">
        <v>155</v>
      </c>
      <c r="B11" s="214" t="s">
        <v>519</v>
      </c>
      <c r="C11" s="97">
        <v>0</v>
      </c>
      <c r="D11" s="97">
        <v>2000</v>
      </c>
      <c r="E11" s="97">
        <v>0</v>
      </c>
      <c r="F11" s="97">
        <f t="shared" si="8"/>
        <v>2000</v>
      </c>
      <c r="G11" s="98">
        <f t="shared" si="0"/>
        <v>100</v>
      </c>
      <c r="H11" s="97">
        <v>2000</v>
      </c>
      <c r="I11" s="98">
        <f t="shared" si="1"/>
        <v>100</v>
      </c>
      <c r="J11" s="98">
        <f t="shared" si="1"/>
        <v>2000</v>
      </c>
      <c r="K11" s="97">
        <f t="shared" si="2"/>
        <v>200</v>
      </c>
      <c r="L11" s="97">
        <v>2000</v>
      </c>
      <c r="M11" s="97">
        <f t="shared" si="9"/>
        <v>200</v>
      </c>
      <c r="N11" s="97">
        <f t="shared" si="9"/>
        <v>2000</v>
      </c>
      <c r="O11" s="98">
        <f t="shared" si="3"/>
        <v>300</v>
      </c>
      <c r="P11" s="97">
        <v>2000</v>
      </c>
      <c r="Q11" s="98">
        <f t="shared" si="10"/>
        <v>300</v>
      </c>
      <c r="R11" s="97">
        <f t="shared" si="10"/>
        <v>2000</v>
      </c>
      <c r="S11" s="97">
        <f t="shared" si="4"/>
        <v>400</v>
      </c>
      <c r="T11" s="97">
        <v>2000</v>
      </c>
      <c r="U11" s="97">
        <f t="shared" si="11"/>
        <v>400</v>
      </c>
      <c r="V11" s="97">
        <f t="shared" si="11"/>
        <v>2000</v>
      </c>
      <c r="W11" s="98">
        <f t="shared" si="5"/>
        <v>500</v>
      </c>
      <c r="X11" s="97">
        <v>2000</v>
      </c>
      <c r="Y11" s="98">
        <f t="shared" si="12"/>
        <v>500</v>
      </c>
      <c r="Z11" s="98">
        <f t="shared" si="12"/>
        <v>2000</v>
      </c>
      <c r="AA11" s="362">
        <f t="shared" si="6"/>
        <v>0</v>
      </c>
      <c r="AB11" s="362">
        <f t="shared" si="7"/>
        <v>0.25</v>
      </c>
    </row>
    <row r="12" spans="1:28">
      <c r="A12" s="96" t="s">
        <v>159</v>
      </c>
      <c r="B12" s="214" t="s">
        <v>520</v>
      </c>
      <c r="C12" s="97">
        <v>0</v>
      </c>
      <c r="D12" s="97">
        <v>1000</v>
      </c>
      <c r="E12" s="97">
        <v>0</v>
      </c>
      <c r="F12" s="97">
        <f t="shared" si="8"/>
        <v>1000</v>
      </c>
      <c r="G12" s="98">
        <f t="shared" si="0"/>
        <v>50</v>
      </c>
      <c r="H12" s="97">
        <f>D12</f>
        <v>1000</v>
      </c>
      <c r="I12" s="98">
        <f t="shared" si="1"/>
        <v>50</v>
      </c>
      <c r="J12" s="98">
        <f t="shared" si="1"/>
        <v>1000</v>
      </c>
      <c r="K12" s="97">
        <f t="shared" si="2"/>
        <v>100</v>
      </c>
      <c r="L12" s="97">
        <f>H12</f>
        <v>1000</v>
      </c>
      <c r="M12" s="97">
        <f t="shared" si="9"/>
        <v>100</v>
      </c>
      <c r="N12" s="97">
        <f t="shared" si="9"/>
        <v>1000</v>
      </c>
      <c r="O12" s="98">
        <f t="shared" si="3"/>
        <v>150</v>
      </c>
      <c r="P12" s="97">
        <f>L12</f>
        <v>1000</v>
      </c>
      <c r="Q12" s="98">
        <f t="shared" si="10"/>
        <v>150</v>
      </c>
      <c r="R12" s="97">
        <f t="shared" si="10"/>
        <v>1000</v>
      </c>
      <c r="S12" s="97">
        <f t="shared" si="4"/>
        <v>200</v>
      </c>
      <c r="T12" s="97">
        <f>P12</f>
        <v>1000</v>
      </c>
      <c r="U12" s="97">
        <f t="shared" si="11"/>
        <v>200</v>
      </c>
      <c r="V12" s="97">
        <f t="shared" si="11"/>
        <v>1000</v>
      </c>
      <c r="W12" s="98">
        <f t="shared" si="5"/>
        <v>250</v>
      </c>
      <c r="X12" s="97">
        <f>T12</f>
        <v>1000</v>
      </c>
      <c r="Y12" s="98">
        <f t="shared" si="12"/>
        <v>250</v>
      </c>
      <c r="Z12" s="98">
        <f t="shared" si="12"/>
        <v>1000</v>
      </c>
      <c r="AA12" s="362">
        <f t="shared" si="6"/>
        <v>0</v>
      </c>
      <c r="AB12" s="362">
        <f t="shared" si="7"/>
        <v>0.25</v>
      </c>
    </row>
    <row r="13" spans="1:28">
      <c r="A13" s="96" t="s">
        <v>244</v>
      </c>
      <c r="B13" s="214" t="s">
        <v>521</v>
      </c>
      <c r="C13" s="97">
        <v>0</v>
      </c>
      <c r="D13" s="97">
        <v>5000</v>
      </c>
      <c r="E13" s="97">
        <v>0</v>
      </c>
      <c r="F13" s="97">
        <f t="shared" si="8"/>
        <v>5000</v>
      </c>
      <c r="G13" s="98">
        <f t="shared" si="0"/>
        <v>250</v>
      </c>
      <c r="H13" s="97">
        <f>D13</f>
        <v>5000</v>
      </c>
      <c r="I13" s="98">
        <f t="shared" si="1"/>
        <v>250</v>
      </c>
      <c r="J13" s="98">
        <f t="shared" si="1"/>
        <v>5000</v>
      </c>
      <c r="K13" s="97">
        <f t="shared" si="2"/>
        <v>500</v>
      </c>
      <c r="L13" s="97">
        <f>H13</f>
        <v>5000</v>
      </c>
      <c r="M13" s="97">
        <f t="shared" si="9"/>
        <v>500</v>
      </c>
      <c r="N13" s="97">
        <f t="shared" si="9"/>
        <v>5000</v>
      </c>
      <c r="O13" s="98">
        <f t="shared" si="3"/>
        <v>750</v>
      </c>
      <c r="P13" s="97">
        <f>L13</f>
        <v>5000</v>
      </c>
      <c r="Q13" s="98">
        <f t="shared" si="10"/>
        <v>750</v>
      </c>
      <c r="R13" s="97">
        <f t="shared" si="10"/>
        <v>5000</v>
      </c>
      <c r="S13" s="97">
        <f t="shared" si="4"/>
        <v>1000</v>
      </c>
      <c r="T13" s="97">
        <f>P13</f>
        <v>5000</v>
      </c>
      <c r="U13" s="97">
        <f t="shared" si="11"/>
        <v>1000</v>
      </c>
      <c r="V13" s="97">
        <f t="shared" si="11"/>
        <v>5000</v>
      </c>
      <c r="W13" s="98">
        <f t="shared" si="5"/>
        <v>1250</v>
      </c>
      <c r="X13" s="97">
        <f>T13</f>
        <v>5000</v>
      </c>
      <c r="Y13" s="98">
        <f t="shared" si="12"/>
        <v>1250</v>
      </c>
      <c r="Z13" s="98">
        <f t="shared" si="12"/>
        <v>5000</v>
      </c>
      <c r="AA13" s="362">
        <f t="shared" si="6"/>
        <v>0</v>
      </c>
      <c r="AB13" s="362">
        <f t="shared" si="7"/>
        <v>0.25</v>
      </c>
    </row>
    <row r="14" spans="1:28" ht="26.25">
      <c r="A14" s="96" t="s">
        <v>219</v>
      </c>
      <c r="B14" s="214" t="s">
        <v>522</v>
      </c>
      <c r="C14" s="97">
        <v>0</v>
      </c>
      <c r="D14" s="97">
        <v>1400</v>
      </c>
      <c r="E14" s="97">
        <v>0</v>
      </c>
      <c r="F14" s="97">
        <f t="shared" si="8"/>
        <v>1400</v>
      </c>
      <c r="G14" s="98">
        <f t="shared" si="0"/>
        <v>70</v>
      </c>
      <c r="H14" s="97">
        <f>D14</f>
        <v>1400</v>
      </c>
      <c r="I14" s="98">
        <f t="shared" si="1"/>
        <v>70</v>
      </c>
      <c r="J14" s="98">
        <f t="shared" si="1"/>
        <v>1400</v>
      </c>
      <c r="K14" s="97">
        <f t="shared" si="2"/>
        <v>140</v>
      </c>
      <c r="L14" s="97">
        <f>H14</f>
        <v>1400</v>
      </c>
      <c r="M14" s="97">
        <f t="shared" si="9"/>
        <v>140</v>
      </c>
      <c r="N14" s="97">
        <f t="shared" si="9"/>
        <v>1400</v>
      </c>
      <c r="O14" s="98">
        <f t="shared" si="3"/>
        <v>210</v>
      </c>
      <c r="P14" s="97">
        <f>L14</f>
        <v>1400</v>
      </c>
      <c r="Q14" s="98">
        <f t="shared" si="10"/>
        <v>210</v>
      </c>
      <c r="R14" s="97">
        <f t="shared" si="10"/>
        <v>1400</v>
      </c>
      <c r="S14" s="97">
        <f t="shared" si="4"/>
        <v>280</v>
      </c>
      <c r="T14" s="97">
        <f>P14</f>
        <v>1400</v>
      </c>
      <c r="U14" s="97">
        <f t="shared" si="11"/>
        <v>280</v>
      </c>
      <c r="V14" s="97">
        <f t="shared" si="11"/>
        <v>1400</v>
      </c>
      <c r="W14" s="98">
        <f t="shared" si="5"/>
        <v>350</v>
      </c>
      <c r="X14" s="97">
        <f>T14</f>
        <v>1400</v>
      </c>
      <c r="Y14" s="98">
        <f t="shared" si="12"/>
        <v>350</v>
      </c>
      <c r="Z14" s="98">
        <f t="shared" si="12"/>
        <v>1400</v>
      </c>
      <c r="AA14" s="362">
        <f t="shared" si="6"/>
        <v>0</v>
      </c>
      <c r="AB14" s="362">
        <f t="shared" si="7"/>
        <v>0.25</v>
      </c>
    </row>
    <row r="15" spans="1:28">
      <c r="A15" s="96" t="s">
        <v>247</v>
      </c>
      <c r="B15" s="214" t="s">
        <v>523</v>
      </c>
      <c r="C15" s="97">
        <v>0</v>
      </c>
      <c r="D15" s="97">
        <v>9000</v>
      </c>
      <c r="E15" s="97">
        <v>0</v>
      </c>
      <c r="F15" s="97">
        <f t="shared" si="8"/>
        <v>9000</v>
      </c>
      <c r="G15" s="98">
        <f t="shared" si="0"/>
        <v>450</v>
      </c>
      <c r="H15" s="97">
        <f>D15</f>
        <v>9000</v>
      </c>
      <c r="I15" s="98">
        <f t="shared" si="1"/>
        <v>450</v>
      </c>
      <c r="J15" s="98">
        <f t="shared" si="1"/>
        <v>9000</v>
      </c>
      <c r="K15" s="97">
        <f t="shared" si="2"/>
        <v>900</v>
      </c>
      <c r="L15" s="97">
        <f>H15</f>
        <v>9000</v>
      </c>
      <c r="M15" s="97">
        <f t="shared" si="9"/>
        <v>900</v>
      </c>
      <c r="N15" s="97">
        <f t="shared" si="9"/>
        <v>9000</v>
      </c>
      <c r="O15" s="98">
        <f t="shared" si="3"/>
        <v>1350</v>
      </c>
      <c r="P15" s="97">
        <f>L15</f>
        <v>9000</v>
      </c>
      <c r="Q15" s="98">
        <f>O15</f>
        <v>1350</v>
      </c>
      <c r="R15" s="97">
        <f t="shared" si="10"/>
        <v>9000</v>
      </c>
      <c r="S15" s="97">
        <f t="shared" si="4"/>
        <v>1800</v>
      </c>
      <c r="T15" s="97">
        <f>P15</f>
        <v>9000</v>
      </c>
      <c r="U15" s="97">
        <f t="shared" si="11"/>
        <v>1800</v>
      </c>
      <c r="V15" s="97">
        <f t="shared" si="11"/>
        <v>9000</v>
      </c>
      <c r="W15" s="98">
        <f t="shared" si="5"/>
        <v>2250</v>
      </c>
      <c r="X15" s="97">
        <f>T15</f>
        <v>9000</v>
      </c>
      <c r="Y15" s="98">
        <f t="shared" si="12"/>
        <v>2250</v>
      </c>
      <c r="Z15" s="98">
        <f t="shared" si="12"/>
        <v>9000</v>
      </c>
      <c r="AA15" s="362">
        <f t="shared" si="6"/>
        <v>0</v>
      </c>
      <c r="AB15" s="362">
        <f t="shared" si="7"/>
        <v>0.25</v>
      </c>
    </row>
    <row r="16" spans="1:28" ht="51">
      <c r="Z16" s="167" t="s">
        <v>123</v>
      </c>
      <c r="AA16" s="362">
        <f>AVERAGE(AA6:AA15)</f>
        <v>0</v>
      </c>
      <c r="AB16" s="362">
        <f>AVERAGE(AB6:AB15)</f>
        <v>0.25</v>
      </c>
    </row>
    <row r="17" spans="1:28" ht="23.25">
      <c r="A17" s="619" t="s">
        <v>25</v>
      </c>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row>
    <row r="18" spans="1:28" ht="45.75" customHeight="1">
      <c r="A18" s="620" t="s">
        <v>3</v>
      </c>
      <c r="B18" s="623" t="s">
        <v>26</v>
      </c>
      <c r="C18" s="626" t="s">
        <v>267</v>
      </c>
      <c r="D18" s="627"/>
      <c r="E18" s="627"/>
      <c r="F18" s="628"/>
      <c r="G18" s="632" t="s">
        <v>28</v>
      </c>
      <c r="H18" s="632"/>
      <c r="I18" s="632"/>
      <c r="J18" s="632"/>
      <c r="K18" s="632"/>
      <c r="L18" s="632"/>
      <c r="M18" s="632"/>
      <c r="N18" s="632"/>
      <c r="O18" s="632"/>
      <c r="P18" s="632"/>
      <c r="Q18" s="632"/>
      <c r="R18" s="632"/>
      <c r="S18" s="632"/>
      <c r="T18" s="632"/>
      <c r="U18" s="632"/>
      <c r="V18" s="632"/>
      <c r="W18" s="632"/>
      <c r="X18" s="632"/>
      <c r="Y18" s="632"/>
      <c r="Z18" s="632"/>
      <c r="AA18" s="581" t="s">
        <v>124</v>
      </c>
      <c r="AB18" s="581" t="s">
        <v>125</v>
      </c>
    </row>
    <row r="19" spans="1:28" ht="45" customHeight="1">
      <c r="A19" s="621"/>
      <c r="B19" s="624"/>
      <c r="C19" s="629"/>
      <c r="D19" s="630"/>
      <c r="E19" s="630"/>
      <c r="F19" s="631"/>
      <c r="G19" s="632" t="s">
        <v>9</v>
      </c>
      <c r="H19" s="632"/>
      <c r="I19" s="632"/>
      <c r="J19" s="632"/>
      <c r="K19" s="632" t="s">
        <v>10</v>
      </c>
      <c r="L19" s="632"/>
      <c r="M19" s="632"/>
      <c r="N19" s="632"/>
      <c r="O19" s="632" t="s">
        <v>11</v>
      </c>
      <c r="P19" s="632"/>
      <c r="Q19" s="632"/>
      <c r="R19" s="632"/>
      <c r="S19" s="632" t="s">
        <v>12</v>
      </c>
      <c r="T19" s="632"/>
      <c r="U19" s="632"/>
      <c r="V19" s="632"/>
      <c r="W19" s="632" t="s">
        <v>13</v>
      </c>
      <c r="X19" s="632"/>
      <c r="Y19" s="632"/>
      <c r="Z19" s="632"/>
      <c r="AA19" s="582"/>
      <c r="AB19" s="582"/>
    </row>
    <row r="20" spans="1:28" ht="78.75" customHeight="1">
      <c r="A20" s="622"/>
      <c r="B20" s="625"/>
      <c r="C20" s="95" t="s">
        <v>268</v>
      </c>
      <c r="D20" s="95" t="s">
        <v>32</v>
      </c>
      <c r="E20" s="95" t="s">
        <v>33</v>
      </c>
      <c r="F20" s="95" t="s">
        <v>236</v>
      </c>
      <c r="G20" s="95" t="s">
        <v>34</v>
      </c>
      <c r="H20" s="95" t="s">
        <v>32</v>
      </c>
      <c r="I20" s="95" t="s">
        <v>33</v>
      </c>
      <c r="J20" s="95" t="s">
        <v>19</v>
      </c>
      <c r="K20" s="95" t="s">
        <v>34</v>
      </c>
      <c r="L20" s="95" t="s">
        <v>32</v>
      </c>
      <c r="M20" s="95" t="s">
        <v>33</v>
      </c>
      <c r="N20" s="95" t="s">
        <v>19</v>
      </c>
      <c r="O20" s="95" t="s">
        <v>34</v>
      </c>
      <c r="P20" s="95" t="s">
        <v>32</v>
      </c>
      <c r="Q20" s="95" t="s">
        <v>33</v>
      </c>
      <c r="R20" s="95" t="s">
        <v>19</v>
      </c>
      <c r="S20" s="95" t="s">
        <v>34</v>
      </c>
      <c r="T20" s="95" t="s">
        <v>32</v>
      </c>
      <c r="U20" s="95" t="s">
        <v>33</v>
      </c>
      <c r="V20" s="95" t="s">
        <v>19</v>
      </c>
      <c r="W20" s="95" t="s">
        <v>34</v>
      </c>
      <c r="X20" s="95" t="s">
        <v>32</v>
      </c>
      <c r="Y20" s="95" t="s">
        <v>33</v>
      </c>
      <c r="Z20" s="95" t="s">
        <v>19</v>
      </c>
      <c r="AA20" s="583"/>
      <c r="AB20" s="583"/>
    </row>
    <row r="21" spans="1:28">
      <c r="A21" s="96" t="s">
        <v>20</v>
      </c>
      <c r="B21" s="96" t="s">
        <v>524</v>
      </c>
      <c r="C21" s="96"/>
      <c r="D21" s="96"/>
      <c r="E21" s="96"/>
      <c r="F21" s="96"/>
      <c r="G21" s="96"/>
      <c r="H21" s="96"/>
      <c r="I21" s="96"/>
      <c r="J21" s="96"/>
      <c r="K21" s="96"/>
      <c r="L21" s="96"/>
      <c r="M21" s="96"/>
      <c r="N21" s="96"/>
      <c r="O21" s="96"/>
      <c r="P21" s="96"/>
      <c r="Q21" s="96"/>
      <c r="R21" s="96"/>
      <c r="S21" s="96"/>
      <c r="T21" s="96"/>
      <c r="U21" s="96"/>
      <c r="V21" s="96"/>
      <c r="W21" s="96"/>
      <c r="X21" s="96"/>
      <c r="Y21" s="96"/>
      <c r="Z21" s="96"/>
    </row>
    <row r="22" spans="1:28">
      <c r="A22" s="216" t="s">
        <v>36</v>
      </c>
      <c r="B22" s="216" t="s">
        <v>525</v>
      </c>
      <c r="C22" s="97">
        <f>D22</f>
        <v>60000</v>
      </c>
      <c r="D22" s="97">
        <v>60000</v>
      </c>
      <c r="E22" s="97">
        <v>70</v>
      </c>
      <c r="F22" s="97">
        <f>E22</f>
        <v>70</v>
      </c>
      <c r="G22" s="97">
        <f>H22</f>
        <v>60000</v>
      </c>
      <c r="H22" s="97">
        <v>60000</v>
      </c>
      <c r="I22" s="97">
        <v>100</v>
      </c>
      <c r="J22" s="97">
        <f>I22</f>
        <v>100</v>
      </c>
      <c r="K22" s="97">
        <f>L22</f>
        <v>60000</v>
      </c>
      <c r="L22" s="97">
        <v>60000</v>
      </c>
      <c r="M22" s="97">
        <f>I22</f>
        <v>100</v>
      </c>
      <c r="N22" s="97">
        <f>M22</f>
        <v>100</v>
      </c>
      <c r="O22" s="97">
        <f>P22</f>
        <v>65000</v>
      </c>
      <c r="P22" s="114">
        <v>65000</v>
      </c>
      <c r="Q22" s="97">
        <v>110</v>
      </c>
      <c r="R22" s="97">
        <f>Q22</f>
        <v>110</v>
      </c>
      <c r="S22" s="97">
        <f>T22</f>
        <v>65000</v>
      </c>
      <c r="T22" s="114">
        <v>65000</v>
      </c>
      <c r="U22" s="97">
        <f t="shared" ref="U22:V25" si="13">Q22</f>
        <v>110</v>
      </c>
      <c r="V22" s="97">
        <f t="shared" si="13"/>
        <v>110</v>
      </c>
      <c r="W22" s="97">
        <f>X22</f>
        <v>60000</v>
      </c>
      <c r="X22" s="114">
        <v>60000</v>
      </c>
      <c r="Y22" s="97">
        <f>U22</f>
        <v>110</v>
      </c>
      <c r="Z22" s="97">
        <f>V22</f>
        <v>110</v>
      </c>
      <c r="AA22" s="362">
        <f>C22/W22</f>
        <v>1</v>
      </c>
      <c r="AB22" s="362">
        <f>W22/X22</f>
        <v>1</v>
      </c>
    </row>
    <row r="23" spans="1:28">
      <c r="A23" s="216" t="s">
        <v>38</v>
      </c>
      <c r="B23" s="216" t="s">
        <v>526</v>
      </c>
      <c r="C23" s="97">
        <f>D23</f>
        <v>50000</v>
      </c>
      <c r="D23" s="97">
        <v>50000</v>
      </c>
      <c r="E23" s="97">
        <v>50</v>
      </c>
      <c r="F23" s="97">
        <f>E23</f>
        <v>50</v>
      </c>
      <c r="G23" s="97">
        <f>H23</f>
        <v>50000</v>
      </c>
      <c r="H23" s="97">
        <v>50000</v>
      </c>
      <c r="I23" s="97">
        <v>70</v>
      </c>
      <c r="J23" s="97">
        <f>I23</f>
        <v>70</v>
      </c>
      <c r="K23" s="97">
        <f>L23</f>
        <v>50000</v>
      </c>
      <c r="L23" s="97">
        <v>50000</v>
      </c>
      <c r="M23" s="97">
        <f>I23</f>
        <v>70</v>
      </c>
      <c r="N23" s="97">
        <f>M23</f>
        <v>70</v>
      </c>
      <c r="O23" s="97">
        <v>60000</v>
      </c>
      <c r="P23" s="116">
        <v>60000</v>
      </c>
      <c r="Q23" s="97">
        <f>M23</f>
        <v>70</v>
      </c>
      <c r="R23" s="97">
        <f>Q23</f>
        <v>70</v>
      </c>
      <c r="S23" s="97">
        <v>55000</v>
      </c>
      <c r="T23" s="116">
        <v>55000</v>
      </c>
      <c r="U23" s="97">
        <f t="shared" si="13"/>
        <v>70</v>
      </c>
      <c r="V23" s="97">
        <f t="shared" si="13"/>
        <v>70</v>
      </c>
      <c r="W23" s="97">
        <f>X23</f>
        <v>50000</v>
      </c>
      <c r="X23" s="116">
        <v>50000</v>
      </c>
      <c r="Y23" s="97">
        <f>U23</f>
        <v>70</v>
      </c>
      <c r="Z23" s="97">
        <f>V23</f>
        <v>70</v>
      </c>
      <c r="AA23" s="362">
        <f>C23/W23</f>
        <v>1</v>
      </c>
      <c r="AB23" s="362">
        <f>W23/X23</f>
        <v>1</v>
      </c>
    </row>
    <row r="24" spans="1:28">
      <c r="A24" s="216" t="s">
        <v>73</v>
      </c>
      <c r="B24" s="216" t="s">
        <v>527</v>
      </c>
      <c r="C24" s="97">
        <f>D24</f>
        <v>0</v>
      </c>
      <c r="D24" s="97">
        <v>0</v>
      </c>
      <c r="E24" s="97">
        <v>0</v>
      </c>
      <c r="F24" s="97">
        <f>E24</f>
        <v>0</v>
      </c>
      <c r="G24" s="97">
        <f>H24</f>
        <v>500</v>
      </c>
      <c r="H24" s="97">
        <v>500</v>
      </c>
      <c r="I24" s="97">
        <v>15</v>
      </c>
      <c r="J24" s="97">
        <f>I24</f>
        <v>15</v>
      </c>
      <c r="K24" s="97">
        <f>L24</f>
        <v>1000</v>
      </c>
      <c r="L24" s="97">
        <v>1000</v>
      </c>
      <c r="M24" s="97">
        <v>20</v>
      </c>
      <c r="N24" s="97">
        <f>M24</f>
        <v>20</v>
      </c>
      <c r="O24" s="97">
        <f>P24</f>
        <v>1300</v>
      </c>
      <c r="P24" s="116">
        <v>1300</v>
      </c>
      <c r="Q24" s="97">
        <f>M24</f>
        <v>20</v>
      </c>
      <c r="R24" s="97">
        <f>Q24</f>
        <v>20</v>
      </c>
      <c r="S24" s="97">
        <v>2000</v>
      </c>
      <c r="T24" s="116">
        <v>2000</v>
      </c>
      <c r="U24" s="97">
        <f t="shared" si="13"/>
        <v>20</v>
      </c>
      <c r="V24" s="97">
        <f t="shared" si="13"/>
        <v>20</v>
      </c>
      <c r="W24" s="97">
        <v>3500</v>
      </c>
      <c r="X24" s="116">
        <v>3500</v>
      </c>
      <c r="Y24" s="97">
        <v>35</v>
      </c>
      <c r="Z24" s="97">
        <v>35</v>
      </c>
      <c r="AA24" s="362">
        <f>C24/W24</f>
        <v>0</v>
      </c>
      <c r="AB24" s="362">
        <f>W24/X24</f>
        <v>1</v>
      </c>
    </row>
    <row r="25" spans="1:28" ht="25.5">
      <c r="A25" s="216" t="s">
        <v>75</v>
      </c>
      <c r="B25" s="216" t="s">
        <v>528</v>
      </c>
      <c r="C25" s="97">
        <f>D25</f>
        <v>3000</v>
      </c>
      <c r="D25" s="97">
        <v>3000</v>
      </c>
      <c r="E25" s="97">
        <v>50</v>
      </c>
      <c r="F25" s="97">
        <f>E25</f>
        <v>50</v>
      </c>
      <c r="G25" s="97">
        <f>H25</f>
        <v>3000</v>
      </c>
      <c r="H25" s="97">
        <v>3000</v>
      </c>
      <c r="I25" s="97">
        <v>150</v>
      </c>
      <c r="J25" s="97">
        <f>I25</f>
        <v>150</v>
      </c>
      <c r="K25" s="97">
        <f>L25</f>
        <v>3000</v>
      </c>
      <c r="L25" s="97">
        <v>3000</v>
      </c>
      <c r="M25" s="97">
        <f>I25</f>
        <v>150</v>
      </c>
      <c r="N25" s="97">
        <f>M25</f>
        <v>150</v>
      </c>
      <c r="O25" s="97">
        <f>P25</f>
        <v>3000</v>
      </c>
      <c r="P25" s="116">
        <v>3000</v>
      </c>
      <c r="Q25" s="97">
        <f>M25</f>
        <v>150</v>
      </c>
      <c r="R25" s="97">
        <f>Q25</f>
        <v>150</v>
      </c>
      <c r="S25" s="97">
        <f>T25</f>
        <v>3000</v>
      </c>
      <c r="T25" s="116">
        <v>3000</v>
      </c>
      <c r="U25" s="97">
        <f t="shared" si="13"/>
        <v>150</v>
      </c>
      <c r="V25" s="97">
        <f t="shared" si="13"/>
        <v>150</v>
      </c>
      <c r="W25" s="97">
        <f>X25</f>
        <v>3000</v>
      </c>
      <c r="X25" s="116">
        <v>3000</v>
      </c>
      <c r="Y25" s="97">
        <f>U25</f>
        <v>150</v>
      </c>
      <c r="Z25" s="97">
        <f>V25</f>
        <v>150</v>
      </c>
      <c r="AA25" s="362">
        <f>C25/W25</f>
        <v>1</v>
      </c>
      <c r="AB25" s="362">
        <f>W25/X25</f>
        <v>1</v>
      </c>
    </row>
    <row r="26" spans="1:28" ht="51">
      <c r="Z26" s="167" t="s">
        <v>123</v>
      </c>
      <c r="AA26" s="362">
        <f>AVERAGE(AA22:AA25)</f>
        <v>0.75</v>
      </c>
      <c r="AB26" s="362">
        <f>AVERAGE(AB22:AB25)</f>
        <v>1</v>
      </c>
    </row>
    <row r="27" spans="1:28">
      <c r="A27" s="127"/>
      <c r="B27" s="127" t="s">
        <v>40</v>
      </c>
    </row>
    <row r="29" spans="1:28" ht="31.5" customHeight="1">
      <c r="A29" s="10" t="s">
        <v>41</v>
      </c>
      <c r="B29" s="674" t="s">
        <v>42</v>
      </c>
      <c r="C29" s="674"/>
      <c r="D29" s="674"/>
      <c r="E29" s="674"/>
      <c r="F29" s="674"/>
      <c r="G29" s="674"/>
      <c r="H29" s="674"/>
      <c r="I29" s="674"/>
      <c r="J29" s="674"/>
      <c r="K29" s="674"/>
      <c r="L29" s="674"/>
      <c r="M29" s="674"/>
      <c r="N29" s="674"/>
      <c r="O29" s="674"/>
      <c r="P29" s="674"/>
      <c r="Q29" s="674"/>
      <c r="R29" s="674"/>
    </row>
    <row r="30" spans="1:28" ht="31.5" customHeight="1">
      <c r="A30" s="10" t="s">
        <v>43</v>
      </c>
      <c r="B30" s="674" t="s">
        <v>44</v>
      </c>
      <c r="C30" s="674"/>
      <c r="D30" s="674"/>
      <c r="E30" s="674"/>
      <c r="F30" s="674"/>
      <c r="G30" s="674"/>
      <c r="H30" s="674"/>
      <c r="I30" s="674"/>
      <c r="J30" s="674"/>
      <c r="K30" s="674"/>
      <c r="L30" s="674"/>
      <c r="M30" s="674"/>
      <c r="N30" s="674"/>
      <c r="O30" s="674"/>
      <c r="P30" s="674"/>
      <c r="Q30" s="674"/>
      <c r="R30" s="674"/>
    </row>
    <row r="31" spans="1:28" ht="31.5" customHeight="1">
      <c r="B31" s="674" t="s">
        <v>292</v>
      </c>
      <c r="C31" s="674"/>
      <c r="D31" s="674"/>
      <c r="E31" s="674"/>
      <c r="F31" s="674"/>
      <c r="G31" s="674"/>
      <c r="H31" s="674"/>
      <c r="I31" s="674"/>
      <c r="J31" s="674"/>
      <c r="K31" s="674"/>
      <c r="L31" s="674"/>
      <c r="M31" s="674"/>
      <c r="N31" s="674"/>
      <c r="O31" s="674"/>
      <c r="P31" s="674"/>
      <c r="Q31" s="674"/>
      <c r="R31" s="674"/>
    </row>
    <row r="32" spans="1:28" ht="31.5" customHeight="1">
      <c r="B32" s="674" t="s">
        <v>293</v>
      </c>
      <c r="C32" s="674"/>
      <c r="D32" s="674"/>
      <c r="E32" s="674"/>
      <c r="F32" s="674"/>
      <c r="G32" s="674"/>
      <c r="H32" s="674"/>
      <c r="I32" s="674"/>
      <c r="J32" s="674"/>
      <c r="K32" s="674"/>
      <c r="L32" s="674"/>
      <c r="M32" s="674"/>
      <c r="N32" s="674"/>
      <c r="O32" s="674"/>
      <c r="P32" s="674"/>
      <c r="Q32" s="674"/>
      <c r="R32" s="674"/>
    </row>
    <row r="33" spans="2:18" ht="31.5" customHeight="1">
      <c r="B33" s="674" t="s">
        <v>294</v>
      </c>
      <c r="C33" s="674"/>
      <c r="D33" s="674"/>
      <c r="E33" s="674"/>
      <c r="F33" s="674"/>
      <c r="G33" s="674"/>
      <c r="H33" s="674"/>
      <c r="I33" s="674"/>
      <c r="J33" s="674"/>
      <c r="K33" s="674"/>
      <c r="L33" s="674"/>
      <c r="M33" s="674"/>
      <c r="N33" s="674"/>
      <c r="O33" s="674"/>
      <c r="P33" s="674"/>
      <c r="Q33" s="674"/>
      <c r="R33" s="674"/>
    </row>
    <row r="34" spans="2:18" ht="31.5" customHeight="1">
      <c r="B34" s="674" t="s">
        <v>295</v>
      </c>
      <c r="C34" s="674"/>
      <c r="D34" s="674"/>
      <c r="E34" s="674"/>
      <c r="F34" s="674"/>
      <c r="G34" s="674"/>
      <c r="H34" s="674"/>
      <c r="I34" s="674"/>
      <c r="J34" s="674"/>
      <c r="K34" s="674"/>
      <c r="L34" s="674"/>
      <c r="M34" s="674"/>
      <c r="N34" s="674"/>
      <c r="O34" s="674"/>
      <c r="P34" s="674"/>
      <c r="Q34" s="674"/>
      <c r="R34" s="674"/>
    </row>
    <row r="35" spans="2:18" ht="73.5" customHeight="1">
      <c r="B35" s="674" t="s">
        <v>296</v>
      </c>
      <c r="C35" s="674"/>
      <c r="D35" s="674"/>
      <c r="E35" s="674"/>
      <c r="F35" s="674"/>
      <c r="G35" s="674"/>
      <c r="H35" s="674"/>
      <c r="I35" s="674"/>
      <c r="J35" s="674"/>
      <c r="K35" s="674"/>
      <c r="L35" s="674"/>
      <c r="M35" s="674"/>
      <c r="N35" s="674"/>
      <c r="O35" s="674"/>
      <c r="P35" s="674"/>
      <c r="Q35" s="674"/>
      <c r="R35" s="674"/>
    </row>
    <row r="36" spans="2:18" ht="39" customHeight="1">
      <c r="B36" s="674" t="s">
        <v>297</v>
      </c>
      <c r="C36" s="674"/>
      <c r="D36" s="674"/>
      <c r="E36" s="674"/>
      <c r="F36" s="674"/>
      <c r="G36" s="674"/>
      <c r="H36" s="674"/>
      <c r="I36" s="674"/>
      <c r="J36" s="674"/>
      <c r="K36" s="674"/>
      <c r="L36" s="674"/>
      <c r="M36" s="674"/>
      <c r="N36" s="674"/>
      <c r="O36" s="674"/>
      <c r="P36" s="674"/>
      <c r="Q36" s="674"/>
      <c r="R36" s="674"/>
    </row>
    <row r="37" spans="2:18">
      <c r="B37" s="128"/>
    </row>
    <row r="38" spans="2:18">
      <c r="B38" s="128"/>
    </row>
    <row r="40" spans="2:18">
      <c r="B40" s="128"/>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7:Z17"/>
    <mergeCell ref="A18:A20"/>
    <mergeCell ref="B18:B20"/>
    <mergeCell ref="C18:F19"/>
    <mergeCell ref="G18:Z18"/>
    <mergeCell ref="AB18:AB20"/>
    <mergeCell ref="G19:J19"/>
    <mergeCell ref="K19:N19"/>
    <mergeCell ref="O19:R19"/>
    <mergeCell ref="S19:V19"/>
    <mergeCell ref="W19:Z19"/>
    <mergeCell ref="AA18:AA20"/>
    <mergeCell ref="B35:R35"/>
    <mergeCell ref="B36:R36"/>
    <mergeCell ref="B29:R29"/>
    <mergeCell ref="B30:R30"/>
    <mergeCell ref="B31:R31"/>
    <mergeCell ref="B32:R32"/>
    <mergeCell ref="B33:R33"/>
    <mergeCell ref="B34:R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C50"/>
  <sheetViews>
    <sheetView topLeftCell="L1" workbookViewId="0">
      <selection activeCell="Q6" sqref="Q6"/>
    </sheetView>
  </sheetViews>
  <sheetFormatPr defaultColWidth="10.28515625" defaultRowHeight="15"/>
  <cols>
    <col min="1" max="16384" width="10.28515625" style="13"/>
  </cols>
  <sheetData>
    <row r="1" spans="1:29" s="12" customFormat="1" ht="19.5">
      <c r="A1" s="554" t="s">
        <v>0</v>
      </c>
      <c r="B1" s="554"/>
      <c r="C1" s="554"/>
      <c r="D1" s="554"/>
      <c r="E1" s="554"/>
      <c r="F1" s="555" t="s">
        <v>51</v>
      </c>
      <c r="G1" s="556"/>
      <c r="H1" s="556"/>
      <c r="I1" s="556"/>
      <c r="J1" s="556"/>
      <c r="K1" s="556"/>
      <c r="L1" s="556"/>
      <c r="M1" s="556"/>
      <c r="N1" s="556"/>
      <c r="O1" s="556"/>
      <c r="P1" s="556"/>
      <c r="Q1" s="556"/>
      <c r="R1" s="556"/>
    </row>
    <row r="2" spans="1:29" ht="23.25">
      <c r="A2" s="542" t="s">
        <v>2</v>
      </c>
      <c r="B2" s="542"/>
      <c r="C2" s="542"/>
      <c r="D2" s="542"/>
      <c r="E2" s="542"/>
      <c r="F2" s="542"/>
      <c r="G2" s="542"/>
      <c r="H2" s="542"/>
      <c r="I2" s="542"/>
      <c r="J2" s="542"/>
      <c r="K2" s="542"/>
      <c r="L2" s="542"/>
      <c r="M2" s="542"/>
      <c r="N2" s="542"/>
      <c r="O2" s="542"/>
      <c r="P2" s="542"/>
      <c r="Q2" s="542"/>
      <c r="R2" s="542"/>
      <c r="S2" s="542"/>
      <c r="T2" s="542"/>
      <c r="U2" s="542"/>
      <c r="V2" s="542"/>
      <c r="W2" s="542"/>
      <c r="X2" s="542"/>
      <c r="Y2" s="542"/>
      <c r="Z2" s="542"/>
    </row>
    <row r="3" spans="1:29">
      <c r="A3" s="536" t="s">
        <v>3</v>
      </c>
      <c r="B3" s="545" t="s">
        <v>52</v>
      </c>
      <c r="C3" s="548" t="s">
        <v>53</v>
      </c>
      <c r="D3" s="549"/>
      <c r="E3" s="549"/>
      <c r="F3" s="550"/>
      <c r="G3" s="535" t="s">
        <v>6</v>
      </c>
      <c r="H3" s="535"/>
      <c r="I3" s="535"/>
      <c r="J3" s="535"/>
      <c r="K3" s="535"/>
      <c r="L3" s="535"/>
      <c r="M3" s="535"/>
      <c r="N3" s="535"/>
      <c r="O3" s="535"/>
      <c r="P3" s="535"/>
      <c r="Q3" s="535"/>
      <c r="R3" s="535"/>
      <c r="S3" s="535"/>
      <c r="T3" s="535"/>
      <c r="U3" s="535"/>
      <c r="V3" s="535"/>
      <c r="W3" s="535"/>
      <c r="X3" s="535"/>
      <c r="Y3" s="535"/>
      <c r="Z3" s="535"/>
      <c r="AA3" s="536" t="s">
        <v>7</v>
      </c>
      <c r="AB3" s="532" t="s">
        <v>8</v>
      </c>
    </row>
    <row r="4" spans="1:29">
      <c r="A4" s="543"/>
      <c r="B4" s="546"/>
      <c r="C4" s="551"/>
      <c r="D4" s="552"/>
      <c r="E4" s="552"/>
      <c r="F4" s="553"/>
      <c r="G4" s="535" t="s">
        <v>9</v>
      </c>
      <c r="H4" s="535"/>
      <c r="I4" s="535"/>
      <c r="J4" s="535"/>
      <c r="K4" s="535" t="s">
        <v>10</v>
      </c>
      <c r="L4" s="535"/>
      <c r="M4" s="535"/>
      <c r="N4" s="535"/>
      <c r="O4" s="535" t="s">
        <v>11</v>
      </c>
      <c r="P4" s="535"/>
      <c r="Q4" s="535"/>
      <c r="R4" s="535"/>
      <c r="S4" s="535" t="s">
        <v>12</v>
      </c>
      <c r="T4" s="535"/>
      <c r="U4" s="535"/>
      <c r="V4" s="535"/>
      <c r="W4" s="535" t="s">
        <v>13</v>
      </c>
      <c r="X4" s="535"/>
      <c r="Y4" s="535"/>
      <c r="Z4" s="535"/>
      <c r="AA4" s="537"/>
      <c r="AB4" s="533"/>
    </row>
    <row r="5" spans="1:29" ht="48">
      <c r="A5" s="544"/>
      <c r="B5" s="547"/>
      <c r="C5" s="14" t="s">
        <v>14</v>
      </c>
      <c r="D5" s="14" t="s">
        <v>15</v>
      </c>
      <c r="E5" s="14" t="s">
        <v>54</v>
      </c>
      <c r="F5" s="14" t="s">
        <v>55</v>
      </c>
      <c r="G5" s="14" t="s">
        <v>14</v>
      </c>
      <c r="H5" s="14" t="s">
        <v>15</v>
      </c>
      <c r="I5" s="14" t="s">
        <v>18</v>
      </c>
      <c r="J5" s="14" t="s">
        <v>19</v>
      </c>
      <c r="K5" s="14" t="s">
        <v>14</v>
      </c>
      <c r="L5" s="14" t="s">
        <v>15</v>
      </c>
      <c r="M5" s="14" t="s">
        <v>18</v>
      </c>
      <c r="N5" s="14" t="s">
        <v>19</v>
      </c>
      <c r="O5" s="14" t="s">
        <v>14</v>
      </c>
      <c r="P5" s="14" t="s">
        <v>15</v>
      </c>
      <c r="Q5" s="14" t="s">
        <v>18</v>
      </c>
      <c r="R5" s="14" t="s">
        <v>19</v>
      </c>
      <c r="S5" s="14" t="s">
        <v>14</v>
      </c>
      <c r="T5" s="14" t="s">
        <v>15</v>
      </c>
      <c r="U5" s="14" t="s">
        <v>18</v>
      </c>
      <c r="V5" s="14" t="s">
        <v>19</v>
      </c>
      <c r="W5" s="14" t="s">
        <v>14</v>
      </c>
      <c r="X5" s="14" t="s">
        <v>15</v>
      </c>
      <c r="Y5" s="14" t="s">
        <v>18</v>
      </c>
      <c r="Z5" s="14" t="s">
        <v>19</v>
      </c>
      <c r="AA5" s="538"/>
      <c r="AB5" s="534"/>
    </row>
    <row r="6" spans="1:29" ht="63.75" customHeight="1">
      <c r="A6" s="15" t="s">
        <v>20</v>
      </c>
      <c r="B6" s="15" t="s">
        <v>56</v>
      </c>
      <c r="C6" s="16">
        <v>0</v>
      </c>
      <c r="D6" s="16" t="s">
        <v>57</v>
      </c>
      <c r="E6" s="15" t="s">
        <v>58</v>
      </c>
      <c r="F6" s="15" t="s">
        <v>58</v>
      </c>
      <c r="G6" s="16" t="s">
        <v>59</v>
      </c>
      <c r="H6" s="16" t="s">
        <v>59</v>
      </c>
      <c r="I6" s="16" t="s">
        <v>59</v>
      </c>
      <c r="J6" s="16" t="s">
        <v>59</v>
      </c>
      <c r="K6" s="16" t="s">
        <v>59</v>
      </c>
      <c r="L6" s="16" t="s">
        <v>59</v>
      </c>
      <c r="M6" s="16" t="s">
        <v>59</v>
      </c>
      <c r="N6" s="16" t="s">
        <v>59</v>
      </c>
      <c r="O6" s="16" t="s">
        <v>59</v>
      </c>
      <c r="P6" s="16" t="s">
        <v>59</v>
      </c>
      <c r="Q6" s="16" t="s">
        <v>59</v>
      </c>
      <c r="R6" s="16" t="s">
        <v>59</v>
      </c>
      <c r="S6" s="16" t="s">
        <v>59</v>
      </c>
      <c r="T6" s="16" t="s">
        <v>59</v>
      </c>
      <c r="U6" s="16" t="s">
        <v>59</v>
      </c>
      <c r="V6" s="16" t="s">
        <v>59</v>
      </c>
      <c r="W6" s="16" t="s">
        <v>59</v>
      </c>
      <c r="X6" s="16" t="s">
        <v>59</v>
      </c>
      <c r="Y6" s="16" t="s">
        <v>59</v>
      </c>
      <c r="Z6" s="16" t="s">
        <v>59</v>
      </c>
      <c r="AA6" s="272"/>
      <c r="AB6" s="272"/>
    </row>
    <row r="7" spans="1:29" ht="63.75" customHeight="1">
      <c r="A7" s="15" t="s">
        <v>22</v>
      </c>
      <c r="B7" s="15" t="s">
        <v>60</v>
      </c>
      <c r="C7" s="16">
        <v>0</v>
      </c>
      <c r="D7" s="16">
        <v>8686</v>
      </c>
      <c r="E7" s="15" t="s">
        <v>58</v>
      </c>
      <c r="F7" s="15" t="s">
        <v>58</v>
      </c>
      <c r="G7" s="15">
        <v>2302</v>
      </c>
      <c r="H7" s="16">
        <v>9207</v>
      </c>
      <c r="I7" s="15">
        <v>2302</v>
      </c>
      <c r="J7" s="15">
        <v>9207</v>
      </c>
      <c r="K7" s="15">
        <v>4880</v>
      </c>
      <c r="L7" s="16">
        <v>9759</v>
      </c>
      <c r="M7" s="15">
        <v>4880</v>
      </c>
      <c r="N7" s="15">
        <v>9759</v>
      </c>
      <c r="O7" s="15">
        <v>6207</v>
      </c>
      <c r="P7" s="16">
        <v>10345</v>
      </c>
      <c r="Q7" s="15">
        <v>6207</v>
      </c>
      <c r="R7" s="15">
        <v>10345</v>
      </c>
      <c r="S7" s="15">
        <v>7676</v>
      </c>
      <c r="T7" s="16">
        <v>10966</v>
      </c>
      <c r="U7" s="15">
        <v>7676</v>
      </c>
      <c r="V7" s="15">
        <v>10966</v>
      </c>
      <c r="W7" s="15">
        <v>8718</v>
      </c>
      <c r="X7" s="16">
        <v>11624</v>
      </c>
      <c r="Y7" s="15">
        <v>8718</v>
      </c>
      <c r="Z7" s="15">
        <v>11624</v>
      </c>
      <c r="AA7" s="213">
        <f t="shared" ref="AA7:AA9" si="0">C7/W7</f>
        <v>0</v>
      </c>
      <c r="AB7" s="213">
        <f t="shared" ref="AB7:AB9" si="1">W7/X7</f>
        <v>0.75</v>
      </c>
    </row>
    <row r="8" spans="1:29" ht="63.75" customHeight="1">
      <c r="A8" s="15" t="s">
        <v>61</v>
      </c>
      <c r="B8" s="15" t="s">
        <v>62</v>
      </c>
      <c r="C8" s="16">
        <v>0</v>
      </c>
      <c r="D8" s="16">
        <v>7765</v>
      </c>
      <c r="E8" s="15" t="s">
        <v>58</v>
      </c>
      <c r="F8" s="15" t="s">
        <v>58</v>
      </c>
      <c r="G8" s="15">
        <v>2058</v>
      </c>
      <c r="H8" s="16">
        <v>8231</v>
      </c>
      <c r="I8" s="15">
        <v>2058</v>
      </c>
      <c r="J8" s="15">
        <v>8231</v>
      </c>
      <c r="K8" s="15">
        <v>4363</v>
      </c>
      <c r="L8" s="16">
        <v>8725</v>
      </c>
      <c r="M8" s="15">
        <v>4363</v>
      </c>
      <c r="N8" s="15">
        <v>8725</v>
      </c>
      <c r="O8" s="15">
        <v>5549</v>
      </c>
      <c r="P8" s="16">
        <v>9249</v>
      </c>
      <c r="Q8" s="15">
        <v>5549</v>
      </c>
      <c r="R8" s="15">
        <v>9249</v>
      </c>
      <c r="S8" s="15">
        <v>6863</v>
      </c>
      <c r="T8" s="16">
        <v>9804</v>
      </c>
      <c r="U8" s="15">
        <v>6863</v>
      </c>
      <c r="V8" s="15">
        <v>9804</v>
      </c>
      <c r="W8" s="15">
        <v>7794</v>
      </c>
      <c r="X8" s="16">
        <v>10392</v>
      </c>
      <c r="Y8" s="15">
        <v>7794</v>
      </c>
      <c r="Z8" s="15">
        <v>10392</v>
      </c>
      <c r="AA8" s="213">
        <f t="shared" si="0"/>
        <v>0</v>
      </c>
      <c r="AB8" s="213">
        <f t="shared" si="1"/>
        <v>0.75</v>
      </c>
    </row>
    <row r="9" spans="1:29" ht="127.5">
      <c r="A9" s="15" t="s">
        <v>63</v>
      </c>
      <c r="B9" s="15" t="s">
        <v>64</v>
      </c>
      <c r="C9" s="16">
        <v>0</v>
      </c>
      <c r="D9" s="16">
        <v>6303</v>
      </c>
      <c r="E9" s="15" t="s">
        <v>58</v>
      </c>
      <c r="F9" s="15" t="s">
        <v>58</v>
      </c>
      <c r="G9" s="15">
        <v>1670</v>
      </c>
      <c r="H9" s="16">
        <v>6681</v>
      </c>
      <c r="I9" s="15">
        <v>1670</v>
      </c>
      <c r="J9" s="15">
        <v>6681</v>
      </c>
      <c r="K9" s="15">
        <v>3541</v>
      </c>
      <c r="L9" s="16">
        <v>7082</v>
      </c>
      <c r="M9" s="15">
        <v>3541</v>
      </c>
      <c r="N9" s="15">
        <v>7082</v>
      </c>
      <c r="O9" s="15">
        <v>4504</v>
      </c>
      <c r="P9" s="16">
        <v>7507</v>
      </c>
      <c r="Q9" s="15">
        <v>4504</v>
      </c>
      <c r="R9" s="15">
        <v>7507</v>
      </c>
      <c r="S9" s="15">
        <v>5570</v>
      </c>
      <c r="T9" s="16">
        <v>7957</v>
      </c>
      <c r="U9" s="15">
        <v>5570</v>
      </c>
      <c r="V9" s="15">
        <v>7957</v>
      </c>
      <c r="W9" s="15">
        <v>6326</v>
      </c>
      <c r="X9" s="16">
        <v>8434</v>
      </c>
      <c r="Y9" s="15">
        <v>6326</v>
      </c>
      <c r="Z9" s="15">
        <v>8434</v>
      </c>
      <c r="AA9" s="213">
        <f t="shared" si="0"/>
        <v>0</v>
      </c>
      <c r="AB9" s="213">
        <f t="shared" si="1"/>
        <v>0.75005928385107901</v>
      </c>
    </row>
    <row r="10" spans="1:29" ht="25.5">
      <c r="Z10" s="15" t="s">
        <v>24</v>
      </c>
      <c r="AA10" s="213">
        <f>AVERAGE(AA7:AA9)</f>
        <v>0</v>
      </c>
      <c r="AB10" s="213">
        <f>AVERAGE(AB7:AB9)</f>
        <v>0.75001976128369297</v>
      </c>
    </row>
    <row r="11" spans="1:29" ht="23.25">
      <c r="A11" s="542" t="s">
        <v>25</v>
      </c>
      <c r="B11" s="542"/>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2"/>
    </row>
    <row r="12" spans="1:29">
      <c r="A12" s="536" t="s">
        <v>3</v>
      </c>
      <c r="B12" s="545" t="s">
        <v>26</v>
      </c>
      <c r="C12" s="548" t="s">
        <v>65</v>
      </c>
      <c r="D12" s="549"/>
      <c r="E12" s="549"/>
      <c r="F12" s="550"/>
      <c r="G12" s="535" t="s">
        <v>28</v>
      </c>
      <c r="H12" s="535"/>
      <c r="I12" s="535"/>
      <c r="J12" s="535"/>
      <c r="K12" s="535"/>
      <c r="L12" s="535"/>
      <c r="M12" s="535"/>
      <c r="N12" s="535"/>
      <c r="O12" s="535"/>
      <c r="P12" s="535"/>
      <c r="Q12" s="535"/>
      <c r="R12" s="535"/>
      <c r="S12" s="535"/>
      <c r="T12" s="535"/>
      <c r="U12" s="535"/>
      <c r="V12" s="535"/>
      <c r="W12" s="535"/>
      <c r="X12" s="535"/>
      <c r="Y12" s="535"/>
      <c r="Z12" s="535"/>
      <c r="AA12" s="536" t="s">
        <v>7</v>
      </c>
      <c r="AB12" s="532" t="s">
        <v>8</v>
      </c>
    </row>
    <row r="13" spans="1:29">
      <c r="A13" s="543"/>
      <c r="B13" s="546"/>
      <c r="C13" s="551"/>
      <c r="D13" s="552"/>
      <c r="E13" s="552"/>
      <c r="F13" s="553"/>
      <c r="G13" s="535" t="s">
        <v>9</v>
      </c>
      <c r="H13" s="535"/>
      <c r="I13" s="535"/>
      <c r="J13" s="535"/>
      <c r="K13" s="535" t="s">
        <v>10</v>
      </c>
      <c r="L13" s="535"/>
      <c r="M13" s="535"/>
      <c r="N13" s="535"/>
      <c r="O13" s="535" t="s">
        <v>11</v>
      </c>
      <c r="P13" s="535"/>
      <c r="Q13" s="535"/>
      <c r="R13" s="535"/>
      <c r="S13" s="535" t="s">
        <v>12</v>
      </c>
      <c r="T13" s="535"/>
      <c r="U13" s="535"/>
      <c r="V13" s="535"/>
      <c r="W13" s="535" t="s">
        <v>13</v>
      </c>
      <c r="X13" s="535"/>
      <c r="Y13" s="535"/>
      <c r="Z13" s="535"/>
      <c r="AA13" s="537"/>
      <c r="AB13" s="533"/>
    </row>
    <row r="14" spans="1:29" ht="60">
      <c r="A14" s="544"/>
      <c r="B14" s="547"/>
      <c r="C14" s="14" t="s">
        <v>66</v>
      </c>
      <c r="D14" s="14" t="s">
        <v>32</v>
      </c>
      <c r="E14" s="14" t="s">
        <v>33</v>
      </c>
      <c r="F14" s="14" t="s">
        <v>55</v>
      </c>
      <c r="G14" s="14" t="s">
        <v>34</v>
      </c>
      <c r="H14" s="14" t="s">
        <v>32</v>
      </c>
      <c r="I14" s="14" t="s">
        <v>33</v>
      </c>
      <c r="J14" s="14" t="s">
        <v>19</v>
      </c>
      <c r="K14" s="14" t="s">
        <v>34</v>
      </c>
      <c r="L14" s="14" t="s">
        <v>32</v>
      </c>
      <c r="M14" s="14" t="s">
        <v>33</v>
      </c>
      <c r="N14" s="14" t="s">
        <v>19</v>
      </c>
      <c r="O14" s="14" t="s">
        <v>34</v>
      </c>
      <c r="P14" s="14" t="s">
        <v>32</v>
      </c>
      <c r="Q14" s="14" t="s">
        <v>33</v>
      </c>
      <c r="R14" s="14" t="s">
        <v>19</v>
      </c>
      <c r="S14" s="14" t="s">
        <v>34</v>
      </c>
      <c r="T14" s="14" t="s">
        <v>32</v>
      </c>
      <c r="U14" s="14" t="s">
        <v>33</v>
      </c>
      <c r="V14" s="14" t="s">
        <v>19</v>
      </c>
      <c r="W14" s="14" t="s">
        <v>34</v>
      </c>
      <c r="X14" s="14" t="s">
        <v>32</v>
      </c>
      <c r="Y14" s="14" t="s">
        <v>33</v>
      </c>
      <c r="Z14" s="14" t="s">
        <v>19</v>
      </c>
      <c r="AA14" s="538"/>
      <c r="AB14" s="534"/>
    </row>
    <row r="15" spans="1:29" ht="115.5" customHeight="1">
      <c r="A15" s="15" t="s">
        <v>20</v>
      </c>
      <c r="B15" s="15" t="s">
        <v>67</v>
      </c>
      <c r="C15" s="16">
        <v>0</v>
      </c>
      <c r="D15" s="539" t="s">
        <v>68</v>
      </c>
      <c r="E15" s="539" t="s">
        <v>69</v>
      </c>
      <c r="F15" s="539" t="s">
        <v>70</v>
      </c>
      <c r="G15" s="16" t="s">
        <v>59</v>
      </c>
      <c r="H15" s="16" t="s">
        <v>59</v>
      </c>
      <c r="I15" s="15" t="s">
        <v>58</v>
      </c>
      <c r="J15" s="15" t="s">
        <v>58</v>
      </c>
      <c r="K15" s="16" t="s">
        <v>59</v>
      </c>
      <c r="L15" s="16" t="s">
        <v>59</v>
      </c>
      <c r="M15" s="15" t="s">
        <v>58</v>
      </c>
      <c r="N15" s="15" t="s">
        <v>58</v>
      </c>
      <c r="O15" s="16" t="s">
        <v>59</v>
      </c>
      <c r="P15" s="16" t="s">
        <v>59</v>
      </c>
      <c r="Q15" s="15" t="s">
        <v>58</v>
      </c>
      <c r="R15" s="15" t="s">
        <v>58</v>
      </c>
      <c r="S15" s="16" t="s">
        <v>59</v>
      </c>
      <c r="T15" s="16" t="s">
        <v>59</v>
      </c>
      <c r="U15" s="15" t="s">
        <v>58</v>
      </c>
      <c r="V15" s="15" t="s">
        <v>58</v>
      </c>
      <c r="W15" s="16" t="s">
        <v>59</v>
      </c>
      <c r="X15" s="16" t="s">
        <v>59</v>
      </c>
      <c r="Y15" s="15" t="s">
        <v>58</v>
      </c>
      <c r="Z15" s="15" t="s">
        <v>58</v>
      </c>
      <c r="AA15" s="32"/>
      <c r="AB15" s="32"/>
      <c r="AC15" s="33"/>
    </row>
    <row r="16" spans="1:29" ht="63.75">
      <c r="A16" s="15" t="s">
        <v>36</v>
      </c>
      <c r="B16" s="15" t="s">
        <v>71</v>
      </c>
      <c r="C16" s="15">
        <v>0</v>
      </c>
      <c r="D16" s="540"/>
      <c r="E16" s="540"/>
      <c r="F16" s="540"/>
      <c r="G16" s="16" t="s">
        <v>59</v>
      </c>
      <c r="H16" s="16" t="s">
        <v>59</v>
      </c>
      <c r="I16" s="16" t="s">
        <v>59</v>
      </c>
      <c r="J16" s="16" t="s">
        <v>59</v>
      </c>
      <c r="K16" s="16" t="s">
        <v>59</v>
      </c>
      <c r="L16" s="16" t="s">
        <v>59</v>
      </c>
      <c r="M16" s="16" t="s">
        <v>59</v>
      </c>
      <c r="N16" s="16" t="s">
        <v>59</v>
      </c>
      <c r="O16" s="16" t="s">
        <v>59</v>
      </c>
      <c r="P16" s="16" t="s">
        <v>59</v>
      </c>
      <c r="Q16" s="16" t="s">
        <v>59</v>
      </c>
      <c r="R16" s="16" t="s">
        <v>59</v>
      </c>
      <c r="S16" s="16" t="s">
        <v>59</v>
      </c>
      <c r="T16" s="16" t="s">
        <v>59</v>
      </c>
      <c r="U16" s="16" t="s">
        <v>59</v>
      </c>
      <c r="V16" s="16" t="s">
        <v>59</v>
      </c>
      <c r="W16" s="16" t="s">
        <v>59</v>
      </c>
      <c r="X16" s="16" t="s">
        <v>59</v>
      </c>
      <c r="Y16" s="16" t="s">
        <v>59</v>
      </c>
      <c r="Z16" s="16" t="s">
        <v>59</v>
      </c>
      <c r="AA16" s="32"/>
      <c r="AB16" s="32"/>
      <c r="AC16" s="33"/>
    </row>
    <row r="17" spans="1:29" ht="51.75">
      <c r="A17" s="15" t="s">
        <v>38</v>
      </c>
      <c r="B17" s="18" t="s">
        <v>72</v>
      </c>
      <c r="C17" s="15">
        <v>0</v>
      </c>
      <c r="D17" s="540"/>
      <c r="E17" s="540"/>
      <c r="F17" s="540"/>
      <c r="G17" s="16" t="s">
        <v>59</v>
      </c>
      <c r="H17" s="16" t="s">
        <v>59</v>
      </c>
      <c r="I17" s="16" t="s">
        <v>59</v>
      </c>
      <c r="J17" s="16" t="s">
        <v>59</v>
      </c>
      <c r="K17" s="16" t="s">
        <v>59</v>
      </c>
      <c r="L17" s="16" t="s">
        <v>59</v>
      </c>
      <c r="M17" s="16" t="s">
        <v>59</v>
      </c>
      <c r="N17" s="16" t="s">
        <v>59</v>
      </c>
      <c r="O17" s="16" t="s">
        <v>59</v>
      </c>
      <c r="P17" s="16" t="s">
        <v>59</v>
      </c>
      <c r="Q17" s="16" t="s">
        <v>59</v>
      </c>
      <c r="R17" s="16" t="s">
        <v>59</v>
      </c>
      <c r="S17" s="16" t="s">
        <v>59</v>
      </c>
      <c r="T17" s="16" t="s">
        <v>59</v>
      </c>
      <c r="U17" s="16" t="s">
        <v>59</v>
      </c>
      <c r="V17" s="16" t="s">
        <v>59</v>
      </c>
      <c r="W17" s="16" t="s">
        <v>59</v>
      </c>
      <c r="X17" s="16" t="s">
        <v>59</v>
      </c>
      <c r="Y17" s="16" t="s">
        <v>59</v>
      </c>
      <c r="Z17" s="16" t="s">
        <v>59</v>
      </c>
      <c r="AA17" s="32"/>
      <c r="AB17" s="32"/>
      <c r="AC17" s="33"/>
    </row>
    <row r="18" spans="1:29" ht="77.25">
      <c r="A18" s="15" t="s">
        <v>73</v>
      </c>
      <c r="B18" s="18" t="s">
        <v>74</v>
      </c>
      <c r="C18" s="15">
        <v>0</v>
      </c>
      <c r="D18" s="541"/>
      <c r="E18" s="540"/>
      <c r="F18" s="540"/>
      <c r="G18" s="16" t="s">
        <v>59</v>
      </c>
      <c r="H18" s="16" t="s">
        <v>59</v>
      </c>
      <c r="I18" s="16" t="s">
        <v>59</v>
      </c>
      <c r="J18" s="16" t="s">
        <v>59</v>
      </c>
      <c r="K18" s="16" t="s">
        <v>59</v>
      </c>
      <c r="L18" s="16" t="s">
        <v>59</v>
      </c>
      <c r="M18" s="16" t="s">
        <v>59</v>
      </c>
      <c r="N18" s="16" t="s">
        <v>59</v>
      </c>
      <c r="O18" s="16" t="s">
        <v>59</v>
      </c>
      <c r="P18" s="16" t="s">
        <v>59</v>
      </c>
      <c r="Q18" s="16" t="s">
        <v>59</v>
      </c>
      <c r="R18" s="16" t="s">
        <v>59</v>
      </c>
      <c r="S18" s="16" t="s">
        <v>59</v>
      </c>
      <c r="T18" s="16" t="s">
        <v>59</v>
      </c>
      <c r="U18" s="16" t="s">
        <v>59</v>
      </c>
      <c r="V18" s="16" t="s">
        <v>59</v>
      </c>
      <c r="W18" s="16" t="s">
        <v>59</v>
      </c>
      <c r="X18" s="16" t="s">
        <v>59</v>
      </c>
      <c r="Y18" s="16" t="s">
        <v>59</v>
      </c>
      <c r="Z18" s="16" t="s">
        <v>59</v>
      </c>
      <c r="AA18" s="32"/>
      <c r="AB18" s="32"/>
      <c r="AC18" s="33"/>
    </row>
    <row r="19" spans="1:29" ht="39" hidden="1">
      <c r="A19" s="15" t="s">
        <v>75</v>
      </c>
      <c r="B19" s="18" t="s">
        <v>76</v>
      </c>
      <c r="C19" s="15">
        <v>0</v>
      </c>
      <c r="D19" s="16" t="s">
        <v>77</v>
      </c>
      <c r="E19" s="540"/>
      <c r="F19" s="540"/>
      <c r="G19" s="16" t="s">
        <v>77</v>
      </c>
      <c r="H19" s="16" t="s">
        <v>77</v>
      </c>
      <c r="I19" s="16" t="s">
        <v>77</v>
      </c>
      <c r="J19" s="16" t="s">
        <v>77</v>
      </c>
      <c r="K19" s="16" t="s">
        <v>77</v>
      </c>
      <c r="L19" s="16" t="s">
        <v>77</v>
      </c>
      <c r="M19" s="16" t="s">
        <v>77</v>
      </c>
      <c r="N19" s="16" t="s">
        <v>77</v>
      </c>
      <c r="O19" s="16" t="s">
        <v>77</v>
      </c>
      <c r="P19" s="16" t="s">
        <v>77</v>
      </c>
      <c r="Q19" s="16" t="s">
        <v>77</v>
      </c>
      <c r="R19" s="16" t="s">
        <v>77</v>
      </c>
      <c r="S19" s="16" t="s">
        <v>77</v>
      </c>
      <c r="T19" s="16" t="s">
        <v>77</v>
      </c>
      <c r="U19" s="16" t="s">
        <v>77</v>
      </c>
      <c r="V19" s="16" t="s">
        <v>77</v>
      </c>
      <c r="W19" s="16" t="s">
        <v>77</v>
      </c>
      <c r="X19" s="16" t="s">
        <v>77</v>
      </c>
      <c r="Y19" s="16" t="s">
        <v>77</v>
      </c>
      <c r="Z19" s="16" t="s">
        <v>77</v>
      </c>
      <c r="AA19" s="17" t="e">
        <f t="shared" ref="AA19:AA37" si="2">C19/W19</f>
        <v>#VALUE!</v>
      </c>
      <c r="AB19" s="17" t="e">
        <f t="shared" ref="AB19:AB37" si="3">W19/X19</f>
        <v>#VALUE!</v>
      </c>
    </row>
    <row r="20" spans="1:29" ht="51.75" hidden="1">
      <c r="A20" s="15" t="s">
        <v>78</v>
      </c>
      <c r="B20" s="18" t="s">
        <v>79</v>
      </c>
      <c r="C20" s="15">
        <v>0</v>
      </c>
      <c r="D20" s="16" t="s">
        <v>80</v>
      </c>
      <c r="E20" s="540"/>
      <c r="F20" s="540"/>
      <c r="G20" s="16" t="s">
        <v>80</v>
      </c>
      <c r="H20" s="16" t="s">
        <v>80</v>
      </c>
      <c r="I20" s="16" t="s">
        <v>80</v>
      </c>
      <c r="J20" s="16" t="s">
        <v>80</v>
      </c>
      <c r="K20" s="16" t="s">
        <v>80</v>
      </c>
      <c r="L20" s="16" t="s">
        <v>80</v>
      </c>
      <c r="M20" s="16" t="s">
        <v>80</v>
      </c>
      <c r="N20" s="16" t="s">
        <v>80</v>
      </c>
      <c r="O20" s="16" t="s">
        <v>81</v>
      </c>
      <c r="P20" s="16" t="s">
        <v>81</v>
      </c>
      <c r="Q20" s="16" t="s">
        <v>81</v>
      </c>
      <c r="R20" s="16" t="s">
        <v>81</v>
      </c>
      <c r="S20" s="16" t="s">
        <v>81</v>
      </c>
      <c r="T20" s="16" t="s">
        <v>81</v>
      </c>
      <c r="U20" s="16" t="s">
        <v>81</v>
      </c>
      <c r="V20" s="16" t="s">
        <v>81</v>
      </c>
      <c r="W20" s="16" t="s">
        <v>81</v>
      </c>
      <c r="X20" s="16" t="s">
        <v>81</v>
      </c>
      <c r="Y20" s="16" t="s">
        <v>81</v>
      </c>
      <c r="Z20" s="16" t="s">
        <v>81</v>
      </c>
      <c r="AA20" s="17" t="e">
        <f t="shared" si="2"/>
        <v>#VALUE!</v>
      </c>
      <c r="AB20" s="17" t="e">
        <f t="shared" si="3"/>
        <v>#VALUE!</v>
      </c>
    </row>
    <row r="21" spans="1:29" ht="102.75" hidden="1">
      <c r="A21" s="15" t="s">
        <v>82</v>
      </c>
      <c r="B21" s="18" t="s">
        <v>83</v>
      </c>
      <c r="C21" s="15">
        <v>0</v>
      </c>
      <c r="D21" s="16" t="s">
        <v>84</v>
      </c>
      <c r="E21" s="540"/>
      <c r="F21" s="540"/>
      <c r="G21" s="19" t="s">
        <v>84</v>
      </c>
      <c r="H21" s="19" t="s">
        <v>84</v>
      </c>
      <c r="I21" s="19" t="s">
        <v>84</v>
      </c>
      <c r="J21" s="19" t="s">
        <v>84</v>
      </c>
      <c r="K21" s="19" t="s">
        <v>84</v>
      </c>
      <c r="L21" s="19" t="s">
        <v>84</v>
      </c>
      <c r="M21" s="19" t="s">
        <v>84</v>
      </c>
      <c r="N21" s="19" t="s">
        <v>84</v>
      </c>
      <c r="O21" s="19" t="s">
        <v>84</v>
      </c>
      <c r="P21" s="19" t="s">
        <v>84</v>
      </c>
      <c r="Q21" s="19" t="s">
        <v>84</v>
      </c>
      <c r="R21" s="19" t="s">
        <v>84</v>
      </c>
      <c r="S21" s="19" t="s">
        <v>84</v>
      </c>
      <c r="T21" s="19" t="s">
        <v>84</v>
      </c>
      <c r="U21" s="19" t="s">
        <v>84</v>
      </c>
      <c r="V21" s="19" t="s">
        <v>84</v>
      </c>
      <c r="W21" s="19" t="s">
        <v>84</v>
      </c>
      <c r="X21" s="19" t="s">
        <v>84</v>
      </c>
      <c r="Y21" s="19" t="s">
        <v>84</v>
      </c>
      <c r="Z21" s="19" t="s">
        <v>84</v>
      </c>
      <c r="AA21" s="17" t="e">
        <f t="shared" si="2"/>
        <v>#VALUE!</v>
      </c>
      <c r="AB21" s="17" t="e">
        <f t="shared" si="3"/>
        <v>#VALUE!</v>
      </c>
    </row>
    <row r="22" spans="1:29" ht="51.75">
      <c r="A22" s="15" t="s">
        <v>85</v>
      </c>
      <c r="B22" s="18" t="s">
        <v>86</v>
      </c>
      <c r="C22" s="15">
        <v>0</v>
      </c>
      <c r="D22" s="16">
        <v>13497</v>
      </c>
      <c r="E22" s="540"/>
      <c r="F22" s="540"/>
      <c r="G22" s="16">
        <v>4251.5999999999995</v>
      </c>
      <c r="H22" s="16">
        <v>14172</v>
      </c>
      <c r="I22" s="16">
        <v>123</v>
      </c>
      <c r="J22" s="16">
        <v>123</v>
      </c>
      <c r="K22" s="16">
        <v>14137</v>
      </c>
      <c r="L22" s="16">
        <v>14881</v>
      </c>
      <c r="M22" s="16">
        <v>123</v>
      </c>
      <c r="N22" s="16">
        <v>123</v>
      </c>
      <c r="O22" s="16">
        <v>14844</v>
      </c>
      <c r="P22" s="16">
        <v>15625</v>
      </c>
      <c r="Q22" s="16">
        <v>123</v>
      </c>
      <c r="R22" s="16">
        <v>123</v>
      </c>
      <c r="S22" s="16">
        <v>15586</v>
      </c>
      <c r="T22" s="16">
        <v>16406</v>
      </c>
      <c r="U22" s="16">
        <v>123</v>
      </c>
      <c r="V22" s="16">
        <v>123</v>
      </c>
      <c r="W22" s="16">
        <v>16365</v>
      </c>
      <c r="X22" s="16">
        <v>17226</v>
      </c>
      <c r="Y22" s="16">
        <v>123</v>
      </c>
      <c r="Z22" s="16">
        <v>123</v>
      </c>
      <c r="AA22" s="213">
        <f t="shared" si="2"/>
        <v>0</v>
      </c>
      <c r="AB22" s="213">
        <f t="shared" si="3"/>
        <v>0.95001741553465691</v>
      </c>
    </row>
    <row r="23" spans="1:29" ht="26.25">
      <c r="A23" s="15" t="s">
        <v>87</v>
      </c>
      <c r="B23" s="18" t="s">
        <v>88</v>
      </c>
      <c r="C23" s="15">
        <v>0</v>
      </c>
      <c r="D23" s="16">
        <v>1008</v>
      </c>
      <c r="E23" s="540"/>
      <c r="F23" s="540"/>
      <c r="G23" s="16">
        <v>1008</v>
      </c>
      <c r="H23" s="16">
        <v>1008</v>
      </c>
      <c r="I23" s="16">
        <v>1008</v>
      </c>
      <c r="J23" s="16">
        <v>1008</v>
      </c>
      <c r="K23" s="16">
        <v>1008</v>
      </c>
      <c r="L23" s="16">
        <v>1008</v>
      </c>
      <c r="M23" s="16">
        <v>1008</v>
      </c>
      <c r="N23" s="16">
        <v>1008</v>
      </c>
      <c r="O23" s="16">
        <v>1008</v>
      </c>
      <c r="P23" s="16">
        <v>1008</v>
      </c>
      <c r="Q23" s="16">
        <v>1008</v>
      </c>
      <c r="R23" s="16">
        <v>1008</v>
      </c>
      <c r="S23" s="16">
        <v>1008</v>
      </c>
      <c r="T23" s="16">
        <v>1008</v>
      </c>
      <c r="U23" s="16">
        <v>1008</v>
      </c>
      <c r="V23" s="16">
        <v>1008</v>
      </c>
      <c r="W23" s="16">
        <v>1008</v>
      </c>
      <c r="X23" s="16">
        <v>1008</v>
      </c>
      <c r="Y23" s="16">
        <v>1008</v>
      </c>
      <c r="Z23" s="16">
        <v>1008</v>
      </c>
      <c r="AA23" s="213">
        <f t="shared" si="2"/>
        <v>0</v>
      </c>
      <c r="AB23" s="213">
        <f t="shared" si="3"/>
        <v>1</v>
      </c>
    </row>
    <row r="24" spans="1:29" ht="26.25">
      <c r="A24" s="15" t="s">
        <v>89</v>
      </c>
      <c r="B24" s="18" t="s">
        <v>90</v>
      </c>
      <c r="C24" s="15">
        <v>0</v>
      </c>
      <c r="D24" s="16"/>
      <c r="E24" s="540"/>
      <c r="F24" s="540"/>
      <c r="G24" s="16" t="s">
        <v>59</v>
      </c>
      <c r="H24" s="16" t="s">
        <v>59</v>
      </c>
      <c r="I24" s="16" t="s">
        <v>59</v>
      </c>
      <c r="J24" s="16" t="s">
        <v>59</v>
      </c>
      <c r="K24" s="16" t="s">
        <v>59</v>
      </c>
      <c r="L24" s="16" t="s">
        <v>59</v>
      </c>
      <c r="M24" s="16" t="s">
        <v>59</v>
      </c>
      <c r="N24" s="16" t="s">
        <v>59</v>
      </c>
      <c r="O24" s="16" t="s">
        <v>59</v>
      </c>
      <c r="P24" s="16" t="s">
        <v>59</v>
      </c>
      <c r="Q24" s="16" t="s">
        <v>59</v>
      </c>
      <c r="R24" s="16" t="s">
        <v>59</v>
      </c>
      <c r="S24" s="16" t="s">
        <v>59</v>
      </c>
      <c r="T24" s="16" t="s">
        <v>59</v>
      </c>
      <c r="U24" s="16" t="s">
        <v>59</v>
      </c>
      <c r="V24" s="16" t="s">
        <v>59</v>
      </c>
      <c r="W24" s="16" t="s">
        <v>59</v>
      </c>
      <c r="X24" s="16" t="s">
        <v>59</v>
      </c>
      <c r="Y24" s="16" t="s">
        <v>59</v>
      </c>
      <c r="Z24" s="16" t="s">
        <v>59</v>
      </c>
      <c r="AA24" s="273"/>
      <c r="AB24" s="273"/>
    </row>
    <row r="25" spans="1:29" ht="38.25">
      <c r="A25" s="15" t="s">
        <v>91</v>
      </c>
      <c r="B25" s="20" t="s">
        <v>92</v>
      </c>
      <c r="C25" s="21">
        <v>0</v>
      </c>
      <c r="D25" s="22">
        <v>174</v>
      </c>
      <c r="E25" s="15">
        <v>0</v>
      </c>
      <c r="F25" s="15">
        <v>174</v>
      </c>
      <c r="G25" s="16">
        <v>137</v>
      </c>
      <c r="H25" s="16">
        <v>183</v>
      </c>
      <c r="I25" s="16">
        <v>137</v>
      </c>
      <c r="J25" s="16">
        <v>183</v>
      </c>
      <c r="K25" s="16">
        <v>154</v>
      </c>
      <c r="L25" s="16">
        <v>192</v>
      </c>
      <c r="M25" s="16">
        <v>154</v>
      </c>
      <c r="N25" s="16">
        <v>192</v>
      </c>
      <c r="O25" s="16">
        <v>172</v>
      </c>
      <c r="P25" s="16">
        <v>202</v>
      </c>
      <c r="Q25" s="16">
        <v>172</v>
      </c>
      <c r="R25" s="16">
        <v>202</v>
      </c>
      <c r="S25" s="16">
        <v>191</v>
      </c>
      <c r="T25" s="16">
        <v>212</v>
      </c>
      <c r="U25" s="16">
        <v>191</v>
      </c>
      <c r="V25" s="16">
        <v>212</v>
      </c>
      <c r="W25" s="16">
        <v>212</v>
      </c>
      <c r="X25" s="16">
        <v>223</v>
      </c>
      <c r="Y25" s="16">
        <v>212</v>
      </c>
      <c r="Z25" s="16">
        <v>223</v>
      </c>
      <c r="AA25" s="213">
        <f t="shared" si="2"/>
        <v>0</v>
      </c>
      <c r="AB25" s="213">
        <f t="shared" si="3"/>
        <v>0.95067264573991028</v>
      </c>
    </row>
    <row r="26" spans="1:29" ht="51">
      <c r="A26" s="15" t="s">
        <v>93</v>
      </c>
      <c r="B26" s="20" t="s">
        <v>94</v>
      </c>
      <c r="C26" s="21">
        <v>0</v>
      </c>
      <c r="D26" s="23">
        <v>500</v>
      </c>
      <c r="E26" s="15">
        <v>0</v>
      </c>
      <c r="F26" s="15">
        <v>500</v>
      </c>
      <c r="G26" s="16">
        <v>450</v>
      </c>
      <c r="H26" s="16">
        <v>600</v>
      </c>
      <c r="I26" s="16">
        <v>450</v>
      </c>
      <c r="J26" s="16">
        <v>600</v>
      </c>
      <c r="K26" s="16">
        <v>504</v>
      </c>
      <c r="L26" s="16">
        <v>630</v>
      </c>
      <c r="M26" s="16">
        <v>504</v>
      </c>
      <c r="N26" s="16">
        <v>630</v>
      </c>
      <c r="O26" s="16">
        <v>563</v>
      </c>
      <c r="P26" s="16">
        <v>662</v>
      </c>
      <c r="Q26" s="16">
        <v>563</v>
      </c>
      <c r="R26" s="16">
        <v>662</v>
      </c>
      <c r="S26" s="16">
        <v>626</v>
      </c>
      <c r="T26" s="16">
        <v>695</v>
      </c>
      <c r="U26" s="16">
        <v>626</v>
      </c>
      <c r="V26" s="16">
        <v>695</v>
      </c>
      <c r="W26" s="16">
        <v>694</v>
      </c>
      <c r="X26" s="16">
        <v>730</v>
      </c>
      <c r="Y26" s="16">
        <v>694</v>
      </c>
      <c r="Z26" s="16">
        <v>730</v>
      </c>
      <c r="AA26" s="213">
        <f t="shared" si="2"/>
        <v>0</v>
      </c>
      <c r="AB26" s="213">
        <f t="shared" si="3"/>
        <v>0.9506849315068493</v>
      </c>
    </row>
    <row r="27" spans="1:29" ht="115.5">
      <c r="A27" s="15" t="s">
        <v>95</v>
      </c>
      <c r="B27" s="24" t="s">
        <v>96</v>
      </c>
      <c r="C27" s="21">
        <v>0</v>
      </c>
      <c r="D27" s="23">
        <v>846</v>
      </c>
      <c r="E27" s="15">
        <v>0</v>
      </c>
      <c r="F27" s="15">
        <v>700</v>
      </c>
      <c r="G27" s="16">
        <v>666</v>
      </c>
      <c r="H27" s="16">
        <v>888</v>
      </c>
      <c r="I27" s="16">
        <v>666</v>
      </c>
      <c r="J27" s="16">
        <v>888</v>
      </c>
      <c r="K27" s="16">
        <v>746</v>
      </c>
      <c r="L27" s="16">
        <v>932</v>
      </c>
      <c r="M27" s="16">
        <v>746</v>
      </c>
      <c r="N27" s="16">
        <v>932</v>
      </c>
      <c r="O27" s="16">
        <v>832</v>
      </c>
      <c r="P27" s="16">
        <v>979</v>
      </c>
      <c r="Q27" s="16">
        <v>832</v>
      </c>
      <c r="R27" s="16">
        <v>979</v>
      </c>
      <c r="S27" s="16">
        <v>925</v>
      </c>
      <c r="T27" s="16">
        <v>1028</v>
      </c>
      <c r="U27" s="16">
        <v>925</v>
      </c>
      <c r="V27" s="16">
        <v>1028</v>
      </c>
      <c r="W27" s="16">
        <v>1025</v>
      </c>
      <c r="X27" s="16">
        <v>1079</v>
      </c>
      <c r="Y27" s="16">
        <v>1025</v>
      </c>
      <c r="Z27" s="16">
        <v>1079</v>
      </c>
      <c r="AA27" s="213">
        <f t="shared" si="2"/>
        <v>0</v>
      </c>
      <c r="AB27" s="213">
        <f t="shared" si="3"/>
        <v>0.94995366079703425</v>
      </c>
    </row>
    <row r="28" spans="1:29" ht="38.25">
      <c r="A28" s="15" t="s">
        <v>97</v>
      </c>
      <c r="B28" s="20" t="s">
        <v>98</v>
      </c>
      <c r="C28" s="21">
        <v>0</v>
      </c>
      <c r="D28" s="25">
        <v>953</v>
      </c>
      <c r="E28" s="15">
        <v>0</v>
      </c>
      <c r="F28" s="15">
        <v>953</v>
      </c>
      <c r="G28" s="16">
        <v>751</v>
      </c>
      <c r="H28" s="16">
        <v>1001</v>
      </c>
      <c r="I28" s="16">
        <v>751</v>
      </c>
      <c r="J28" s="16">
        <v>1001</v>
      </c>
      <c r="K28" s="16">
        <v>841</v>
      </c>
      <c r="L28" s="16">
        <v>1051</v>
      </c>
      <c r="M28" s="16">
        <v>841</v>
      </c>
      <c r="N28" s="16">
        <v>1051</v>
      </c>
      <c r="O28" s="16">
        <v>938</v>
      </c>
      <c r="P28" s="16">
        <v>1104</v>
      </c>
      <c r="Q28" s="16">
        <v>938</v>
      </c>
      <c r="R28" s="16">
        <v>1104</v>
      </c>
      <c r="S28" s="16">
        <v>1043</v>
      </c>
      <c r="T28" s="16">
        <v>1159</v>
      </c>
      <c r="U28" s="16">
        <v>1043</v>
      </c>
      <c r="V28" s="16">
        <v>1159</v>
      </c>
      <c r="W28" s="16">
        <v>1156</v>
      </c>
      <c r="X28" s="16">
        <v>1217</v>
      </c>
      <c r="Y28" s="16">
        <v>1156</v>
      </c>
      <c r="Z28" s="16">
        <v>1217</v>
      </c>
      <c r="AA28" s="213">
        <f t="shared" si="2"/>
        <v>0</v>
      </c>
      <c r="AB28" s="213">
        <f t="shared" si="3"/>
        <v>0.94987674609695971</v>
      </c>
    </row>
    <row r="29" spans="1:29" ht="39">
      <c r="A29" s="15" t="s">
        <v>99</v>
      </c>
      <c r="B29" s="18" t="s">
        <v>100</v>
      </c>
      <c r="C29" s="21">
        <v>0</v>
      </c>
      <c r="D29" s="26">
        <v>95</v>
      </c>
      <c r="E29" s="15">
        <v>0</v>
      </c>
      <c r="F29" s="15">
        <v>95</v>
      </c>
      <c r="G29" s="16">
        <v>75</v>
      </c>
      <c r="H29" s="16">
        <v>100</v>
      </c>
      <c r="I29" s="16">
        <v>75</v>
      </c>
      <c r="J29" s="16">
        <v>100</v>
      </c>
      <c r="K29" s="16">
        <v>84</v>
      </c>
      <c r="L29" s="16">
        <v>105</v>
      </c>
      <c r="M29" s="16">
        <v>84</v>
      </c>
      <c r="N29" s="16">
        <v>105</v>
      </c>
      <c r="O29" s="16">
        <v>94</v>
      </c>
      <c r="P29" s="16">
        <v>110</v>
      </c>
      <c r="Q29" s="16">
        <v>94</v>
      </c>
      <c r="R29" s="16">
        <v>110</v>
      </c>
      <c r="S29" s="16">
        <v>104</v>
      </c>
      <c r="T29" s="16">
        <v>116</v>
      </c>
      <c r="U29" s="16">
        <v>104</v>
      </c>
      <c r="V29" s="16">
        <v>116</v>
      </c>
      <c r="W29" s="16">
        <v>116</v>
      </c>
      <c r="X29" s="16">
        <v>122</v>
      </c>
      <c r="Y29" s="16">
        <v>116</v>
      </c>
      <c r="Z29" s="16">
        <v>122</v>
      </c>
      <c r="AA29" s="213">
        <f t="shared" si="2"/>
        <v>0</v>
      </c>
      <c r="AB29" s="213">
        <f t="shared" si="3"/>
        <v>0.95081967213114749</v>
      </c>
    </row>
    <row r="30" spans="1:29" ht="76.5">
      <c r="A30" s="15" t="s">
        <v>101</v>
      </c>
      <c r="B30" s="20" t="s">
        <v>102</v>
      </c>
      <c r="C30" s="21">
        <v>0</v>
      </c>
      <c r="D30" s="27">
        <v>1376</v>
      </c>
      <c r="E30" s="15">
        <v>0</v>
      </c>
      <c r="F30" s="15">
        <v>1376</v>
      </c>
      <c r="G30" s="16">
        <v>1084</v>
      </c>
      <c r="H30" s="16">
        <v>1445</v>
      </c>
      <c r="I30" s="16">
        <v>1084</v>
      </c>
      <c r="J30" s="16">
        <v>1445</v>
      </c>
      <c r="K30" s="16">
        <v>1214</v>
      </c>
      <c r="L30" s="16">
        <v>1517</v>
      </c>
      <c r="M30" s="16">
        <v>1214</v>
      </c>
      <c r="N30" s="16">
        <v>1517</v>
      </c>
      <c r="O30" s="16">
        <v>1354</v>
      </c>
      <c r="P30" s="16">
        <v>1593</v>
      </c>
      <c r="Q30" s="16">
        <v>1354</v>
      </c>
      <c r="R30" s="16">
        <v>1593</v>
      </c>
      <c r="S30" s="16">
        <v>1506</v>
      </c>
      <c r="T30" s="16">
        <v>1673</v>
      </c>
      <c r="U30" s="16">
        <v>1506</v>
      </c>
      <c r="V30" s="16">
        <v>1673</v>
      </c>
      <c r="W30" s="16">
        <v>1669</v>
      </c>
      <c r="X30" s="16">
        <v>1757</v>
      </c>
      <c r="Y30" s="16">
        <v>1669</v>
      </c>
      <c r="Z30" s="16">
        <v>1757</v>
      </c>
      <c r="AA30" s="213">
        <f t="shared" si="2"/>
        <v>0</v>
      </c>
      <c r="AB30" s="213">
        <f t="shared" si="3"/>
        <v>0.94991462720546382</v>
      </c>
    </row>
    <row r="31" spans="1:29" ht="89.25">
      <c r="A31" s="15" t="s">
        <v>103</v>
      </c>
      <c r="B31" s="20" t="s">
        <v>104</v>
      </c>
      <c r="C31" s="21">
        <v>0</v>
      </c>
      <c r="D31" s="16">
        <v>3803</v>
      </c>
      <c r="E31" s="15">
        <v>0</v>
      </c>
      <c r="F31" s="15">
        <v>3803</v>
      </c>
      <c r="G31" s="16">
        <v>2995</v>
      </c>
      <c r="H31" s="16">
        <v>3993</v>
      </c>
      <c r="I31" s="16">
        <v>2995</v>
      </c>
      <c r="J31" s="16">
        <v>3993</v>
      </c>
      <c r="K31" s="16">
        <v>3354</v>
      </c>
      <c r="L31" s="16">
        <v>4193</v>
      </c>
      <c r="M31" s="16">
        <v>3354</v>
      </c>
      <c r="N31" s="16">
        <v>4193</v>
      </c>
      <c r="O31" s="16">
        <v>3743</v>
      </c>
      <c r="P31" s="16">
        <v>4403</v>
      </c>
      <c r="Q31" s="16">
        <v>3743</v>
      </c>
      <c r="R31" s="16">
        <v>4403</v>
      </c>
      <c r="S31" s="16">
        <v>4161</v>
      </c>
      <c r="T31" s="16">
        <v>4623</v>
      </c>
      <c r="U31" s="16">
        <v>4161</v>
      </c>
      <c r="V31" s="16">
        <v>4623</v>
      </c>
      <c r="W31" s="16">
        <v>4611</v>
      </c>
      <c r="X31" s="16">
        <v>4854</v>
      </c>
      <c r="Y31" s="16">
        <v>4611</v>
      </c>
      <c r="Z31" s="16">
        <v>4854</v>
      </c>
      <c r="AA31" s="213">
        <f t="shared" si="2"/>
        <v>0</v>
      </c>
      <c r="AB31" s="213">
        <f t="shared" si="3"/>
        <v>0.94993819530284307</v>
      </c>
    </row>
    <row r="32" spans="1:29" ht="77.25">
      <c r="A32" s="15" t="s">
        <v>105</v>
      </c>
      <c r="B32" s="18" t="s">
        <v>106</v>
      </c>
      <c r="C32" s="21">
        <v>0</v>
      </c>
      <c r="D32" s="16">
        <v>860</v>
      </c>
      <c r="E32" s="15">
        <v>0</v>
      </c>
      <c r="F32" s="15">
        <v>860</v>
      </c>
      <c r="G32" s="16">
        <v>677</v>
      </c>
      <c r="H32" s="16">
        <v>903</v>
      </c>
      <c r="I32" s="16">
        <v>677</v>
      </c>
      <c r="J32" s="16">
        <v>903</v>
      </c>
      <c r="K32" s="16">
        <v>758</v>
      </c>
      <c r="L32" s="16">
        <v>948</v>
      </c>
      <c r="M32" s="16">
        <v>758</v>
      </c>
      <c r="N32" s="16">
        <v>948</v>
      </c>
      <c r="O32" s="16">
        <v>846</v>
      </c>
      <c r="P32" s="16">
        <v>995</v>
      </c>
      <c r="Q32" s="16">
        <v>846</v>
      </c>
      <c r="R32" s="16">
        <v>995</v>
      </c>
      <c r="S32" s="16">
        <v>941</v>
      </c>
      <c r="T32" s="16">
        <v>1045</v>
      </c>
      <c r="U32" s="16">
        <v>941</v>
      </c>
      <c r="V32" s="16">
        <v>1045</v>
      </c>
      <c r="W32" s="16">
        <v>1042</v>
      </c>
      <c r="X32" s="16">
        <v>1097</v>
      </c>
      <c r="Y32" s="16">
        <v>1042</v>
      </c>
      <c r="Z32" s="16">
        <v>1097</v>
      </c>
      <c r="AA32" s="213">
        <f t="shared" si="2"/>
        <v>0</v>
      </c>
      <c r="AB32" s="213">
        <f t="shared" si="3"/>
        <v>0.94986326344576122</v>
      </c>
    </row>
    <row r="33" spans="1:28" ht="51.75">
      <c r="A33" s="15" t="s">
        <v>107</v>
      </c>
      <c r="B33" s="24" t="s">
        <v>108</v>
      </c>
      <c r="C33" s="21">
        <v>0</v>
      </c>
      <c r="D33" s="25">
        <v>227</v>
      </c>
      <c r="E33" s="15">
        <v>0</v>
      </c>
      <c r="F33" s="15">
        <v>227</v>
      </c>
      <c r="G33" s="16">
        <v>179</v>
      </c>
      <c r="H33" s="16">
        <v>238</v>
      </c>
      <c r="I33" s="16">
        <v>179</v>
      </c>
      <c r="J33" s="16">
        <v>238</v>
      </c>
      <c r="K33" s="16">
        <v>200</v>
      </c>
      <c r="L33" s="16">
        <v>250</v>
      </c>
      <c r="M33" s="16">
        <v>200</v>
      </c>
      <c r="N33" s="16">
        <v>250</v>
      </c>
      <c r="O33" s="16">
        <v>224</v>
      </c>
      <c r="P33" s="16">
        <v>263</v>
      </c>
      <c r="Q33" s="16">
        <v>224</v>
      </c>
      <c r="R33" s="16">
        <v>263</v>
      </c>
      <c r="S33" s="16">
        <v>248</v>
      </c>
      <c r="T33" s="16">
        <v>276</v>
      </c>
      <c r="U33" s="16">
        <v>248</v>
      </c>
      <c r="V33" s="16">
        <v>276</v>
      </c>
      <c r="W33" s="16">
        <v>276</v>
      </c>
      <c r="X33" s="16">
        <v>290</v>
      </c>
      <c r="Y33" s="16">
        <v>276</v>
      </c>
      <c r="Z33" s="16">
        <v>290</v>
      </c>
      <c r="AA33" s="213">
        <f t="shared" si="2"/>
        <v>0</v>
      </c>
      <c r="AB33" s="213">
        <f t="shared" si="3"/>
        <v>0.9517241379310345</v>
      </c>
    </row>
    <row r="34" spans="1:28" ht="77.25">
      <c r="A34" s="15" t="s">
        <v>109</v>
      </c>
      <c r="B34" s="24" t="s">
        <v>110</v>
      </c>
      <c r="C34" s="21">
        <v>0</v>
      </c>
      <c r="D34" s="25">
        <v>86</v>
      </c>
      <c r="E34" s="15">
        <v>0</v>
      </c>
      <c r="F34" s="15">
        <v>86</v>
      </c>
      <c r="G34" s="16">
        <v>68</v>
      </c>
      <c r="H34" s="16">
        <v>90</v>
      </c>
      <c r="I34" s="16">
        <v>68</v>
      </c>
      <c r="J34" s="16">
        <v>90</v>
      </c>
      <c r="K34" s="16">
        <v>76</v>
      </c>
      <c r="L34" s="16">
        <v>95</v>
      </c>
      <c r="M34" s="16">
        <v>76</v>
      </c>
      <c r="N34" s="16">
        <v>95</v>
      </c>
      <c r="O34" s="16">
        <v>85</v>
      </c>
      <c r="P34" s="16">
        <v>100</v>
      </c>
      <c r="Q34" s="16">
        <v>85</v>
      </c>
      <c r="R34" s="16">
        <v>100</v>
      </c>
      <c r="S34" s="16">
        <v>95</v>
      </c>
      <c r="T34" s="16">
        <v>105</v>
      </c>
      <c r="U34" s="16">
        <v>95</v>
      </c>
      <c r="V34" s="16">
        <v>105</v>
      </c>
      <c r="W34" s="16">
        <v>105</v>
      </c>
      <c r="X34" s="16">
        <v>110</v>
      </c>
      <c r="Y34" s="16">
        <v>105</v>
      </c>
      <c r="Z34" s="16">
        <v>110</v>
      </c>
      <c r="AA34" s="213">
        <f t="shared" si="2"/>
        <v>0</v>
      </c>
      <c r="AB34" s="213">
        <f t="shared" si="3"/>
        <v>0.95454545454545459</v>
      </c>
    </row>
    <row r="35" spans="1:28" ht="77.25">
      <c r="A35" s="15" t="s">
        <v>111</v>
      </c>
      <c r="B35" s="24" t="s">
        <v>112</v>
      </c>
      <c r="C35" s="21">
        <v>0</v>
      </c>
      <c r="D35" s="28">
        <v>40</v>
      </c>
      <c r="E35" s="15">
        <v>0</v>
      </c>
      <c r="F35" s="15">
        <v>40</v>
      </c>
      <c r="G35" s="16">
        <v>32</v>
      </c>
      <c r="H35" s="16">
        <v>42</v>
      </c>
      <c r="I35" s="16">
        <v>32</v>
      </c>
      <c r="J35" s="16">
        <v>42</v>
      </c>
      <c r="K35" s="16">
        <v>35</v>
      </c>
      <c r="L35" s="16">
        <v>44</v>
      </c>
      <c r="M35" s="16">
        <v>35</v>
      </c>
      <c r="N35" s="16">
        <v>44</v>
      </c>
      <c r="O35" s="16">
        <v>39</v>
      </c>
      <c r="P35" s="16">
        <v>46</v>
      </c>
      <c r="Q35" s="16">
        <v>39</v>
      </c>
      <c r="R35" s="16">
        <v>46</v>
      </c>
      <c r="S35" s="16">
        <v>43</v>
      </c>
      <c r="T35" s="16">
        <v>48</v>
      </c>
      <c r="U35" s="16">
        <v>43</v>
      </c>
      <c r="V35" s="16">
        <v>48</v>
      </c>
      <c r="W35" s="16">
        <v>48</v>
      </c>
      <c r="X35" s="16">
        <v>50</v>
      </c>
      <c r="Y35" s="16">
        <v>48</v>
      </c>
      <c r="Z35" s="16">
        <v>50</v>
      </c>
      <c r="AA35" s="213">
        <f t="shared" si="2"/>
        <v>0</v>
      </c>
      <c r="AB35" s="213">
        <f t="shared" si="3"/>
        <v>0.96</v>
      </c>
    </row>
    <row r="36" spans="1:28" ht="77.25">
      <c r="A36" s="15" t="s">
        <v>113</v>
      </c>
      <c r="B36" s="18" t="s">
        <v>114</v>
      </c>
      <c r="C36" s="21">
        <v>0</v>
      </c>
      <c r="D36" s="29" t="s">
        <v>115</v>
      </c>
      <c r="E36" s="15">
        <v>0</v>
      </c>
      <c r="F36" s="15" t="s">
        <v>115</v>
      </c>
      <c r="G36" s="16" t="s">
        <v>59</v>
      </c>
      <c r="H36" s="16" t="s">
        <v>59</v>
      </c>
      <c r="I36" s="16" t="s">
        <v>59</v>
      </c>
      <c r="J36" s="16" t="s">
        <v>59</v>
      </c>
      <c r="K36" s="16" t="s">
        <v>59</v>
      </c>
      <c r="L36" s="16" t="s">
        <v>59</v>
      </c>
      <c r="M36" s="16" t="s">
        <v>59</v>
      </c>
      <c r="N36" s="16" t="s">
        <v>59</v>
      </c>
      <c r="O36" s="16" t="s">
        <v>59</v>
      </c>
      <c r="P36" s="16" t="s">
        <v>59</v>
      </c>
      <c r="Q36" s="16" t="s">
        <v>59</v>
      </c>
      <c r="R36" s="16" t="s">
        <v>59</v>
      </c>
      <c r="S36" s="16" t="s">
        <v>59</v>
      </c>
      <c r="T36" s="16" t="s">
        <v>59</v>
      </c>
      <c r="U36" s="16" t="s">
        <v>59</v>
      </c>
      <c r="V36" s="16" t="s">
        <v>59</v>
      </c>
      <c r="W36" s="16" t="s">
        <v>59</v>
      </c>
      <c r="X36" s="16" t="s">
        <v>59</v>
      </c>
      <c r="Y36" s="16" t="s">
        <v>59</v>
      </c>
      <c r="Z36" s="16" t="s">
        <v>59</v>
      </c>
      <c r="AA36" s="273"/>
      <c r="AB36" s="273"/>
    </row>
    <row r="37" spans="1:28" ht="64.5">
      <c r="A37" s="15" t="s">
        <v>116</v>
      </c>
      <c r="B37" s="18" t="s">
        <v>117</v>
      </c>
      <c r="C37" s="21">
        <v>0</v>
      </c>
      <c r="D37" s="29">
        <v>150</v>
      </c>
      <c r="E37" s="15">
        <v>0</v>
      </c>
      <c r="F37" s="15">
        <v>150</v>
      </c>
      <c r="G37" s="16">
        <v>119</v>
      </c>
      <c r="H37" s="16">
        <v>158</v>
      </c>
      <c r="I37" s="16">
        <v>119</v>
      </c>
      <c r="J37" s="16">
        <v>158</v>
      </c>
      <c r="K37" s="16">
        <v>133</v>
      </c>
      <c r="L37" s="16">
        <v>166</v>
      </c>
      <c r="M37" s="16">
        <v>133</v>
      </c>
      <c r="N37" s="16">
        <v>166</v>
      </c>
      <c r="O37" s="16">
        <v>148</v>
      </c>
      <c r="P37" s="16">
        <v>174</v>
      </c>
      <c r="Q37" s="16">
        <v>148</v>
      </c>
      <c r="R37" s="16">
        <v>174</v>
      </c>
      <c r="S37" s="16">
        <v>165</v>
      </c>
      <c r="T37" s="16">
        <v>183</v>
      </c>
      <c r="U37" s="16">
        <v>165</v>
      </c>
      <c r="V37" s="16">
        <v>183</v>
      </c>
      <c r="W37" s="16">
        <v>182</v>
      </c>
      <c r="X37" s="16">
        <v>192</v>
      </c>
      <c r="Y37" s="16">
        <v>182</v>
      </c>
      <c r="Z37" s="16">
        <v>192</v>
      </c>
      <c r="AA37" s="213">
        <f t="shared" si="2"/>
        <v>0</v>
      </c>
      <c r="AB37" s="213">
        <f t="shared" si="3"/>
        <v>0.94791666666666663</v>
      </c>
    </row>
    <row r="38" spans="1:28" ht="25.5">
      <c r="Z38" s="15" t="s">
        <v>24</v>
      </c>
      <c r="AA38" s="213">
        <f>AVERAGE(AA22:AA23,AA25:AA35,AA37)</f>
        <v>0</v>
      </c>
      <c r="AB38" s="213">
        <f>AVERAGE(AB22:AB23,AB25:AB35,AB37)</f>
        <v>0.95470910120741304</v>
      </c>
    </row>
    <row r="39" spans="1:28">
      <c r="A39" s="30"/>
      <c r="B39" s="531"/>
      <c r="C39" s="531"/>
      <c r="D39" s="531"/>
      <c r="E39" s="531"/>
      <c r="F39" s="531"/>
      <c r="G39" s="531"/>
      <c r="H39" s="531"/>
      <c r="I39" s="531"/>
      <c r="J39" s="531"/>
      <c r="K39" s="531"/>
      <c r="L39" s="531"/>
      <c r="M39" s="531"/>
      <c r="N39" s="531"/>
      <c r="O39" s="531"/>
      <c r="P39" s="531"/>
      <c r="Q39" s="531"/>
      <c r="R39" s="531"/>
    </row>
    <row r="40" spans="1:28">
      <c r="A40" s="30"/>
      <c r="B40" s="531"/>
      <c r="C40" s="531"/>
      <c r="D40" s="531"/>
      <c r="E40" s="531"/>
      <c r="F40" s="531"/>
      <c r="G40" s="531"/>
      <c r="H40" s="531"/>
      <c r="I40" s="531"/>
      <c r="J40" s="531"/>
      <c r="K40" s="531"/>
      <c r="L40" s="531"/>
      <c r="M40" s="531"/>
      <c r="N40" s="531"/>
      <c r="O40" s="531"/>
      <c r="P40" s="531"/>
      <c r="Q40" s="531"/>
      <c r="R40" s="531"/>
    </row>
    <row r="41" spans="1:28">
      <c r="B41" s="531"/>
      <c r="C41" s="531"/>
      <c r="D41" s="531"/>
      <c r="E41" s="531"/>
      <c r="F41" s="531"/>
      <c r="G41" s="531"/>
      <c r="H41" s="531"/>
      <c r="I41" s="531"/>
      <c r="J41" s="531"/>
      <c r="K41" s="531"/>
      <c r="L41" s="531"/>
      <c r="M41" s="531"/>
      <c r="N41" s="531"/>
      <c r="O41" s="531"/>
      <c r="P41" s="531"/>
      <c r="Q41" s="531"/>
      <c r="R41" s="531"/>
    </row>
    <row r="42" spans="1:28">
      <c r="B42" s="531"/>
      <c r="C42" s="531"/>
      <c r="D42" s="531"/>
      <c r="E42" s="531"/>
      <c r="F42" s="531"/>
      <c r="G42" s="531"/>
      <c r="H42" s="531"/>
      <c r="I42" s="531"/>
      <c r="J42" s="531"/>
      <c r="K42" s="531"/>
      <c r="L42" s="531"/>
      <c r="M42" s="531"/>
      <c r="N42" s="531"/>
      <c r="O42" s="531"/>
      <c r="P42" s="531"/>
      <c r="Q42" s="531"/>
      <c r="R42" s="531"/>
    </row>
    <row r="43" spans="1:28">
      <c r="B43" s="531"/>
      <c r="C43" s="531"/>
      <c r="D43" s="531"/>
      <c r="E43" s="531"/>
      <c r="F43" s="531"/>
      <c r="G43" s="531"/>
      <c r="H43" s="531"/>
      <c r="I43" s="531"/>
      <c r="J43" s="531"/>
      <c r="K43" s="531"/>
      <c r="L43" s="531"/>
      <c r="M43" s="531"/>
      <c r="N43" s="531"/>
      <c r="O43" s="531"/>
      <c r="P43" s="531"/>
      <c r="Q43" s="531"/>
      <c r="R43" s="531"/>
    </row>
    <row r="44" spans="1:28">
      <c r="B44" s="531"/>
      <c r="C44" s="531"/>
      <c r="D44" s="531"/>
      <c r="E44" s="531"/>
      <c r="F44" s="531"/>
      <c r="G44" s="531"/>
      <c r="H44" s="531"/>
      <c r="I44" s="531"/>
      <c r="J44" s="531"/>
      <c r="K44" s="531"/>
      <c r="L44" s="531"/>
      <c r="M44" s="531"/>
      <c r="N44" s="531"/>
      <c r="O44" s="531"/>
      <c r="P44" s="531"/>
      <c r="Q44" s="531"/>
      <c r="R44" s="531"/>
    </row>
    <row r="45" spans="1:28">
      <c r="B45" s="531"/>
      <c r="C45" s="531"/>
      <c r="D45" s="531"/>
      <c r="E45" s="531"/>
      <c r="F45" s="531"/>
      <c r="G45" s="531"/>
      <c r="H45" s="531"/>
      <c r="I45" s="531"/>
      <c r="J45" s="531"/>
      <c r="K45" s="531"/>
      <c r="L45" s="531"/>
      <c r="M45" s="531"/>
      <c r="N45" s="531"/>
      <c r="O45" s="531"/>
      <c r="P45" s="531"/>
      <c r="Q45" s="531"/>
      <c r="R45" s="531"/>
    </row>
    <row r="46" spans="1:28">
      <c r="B46" s="531"/>
      <c r="C46" s="531"/>
      <c r="D46" s="531"/>
      <c r="E46" s="531"/>
      <c r="F46" s="531"/>
      <c r="G46" s="531"/>
      <c r="H46" s="531"/>
      <c r="I46" s="531"/>
      <c r="J46" s="531"/>
      <c r="K46" s="531"/>
      <c r="L46" s="531"/>
      <c r="M46" s="531"/>
      <c r="N46" s="531"/>
      <c r="O46" s="531"/>
      <c r="P46" s="531"/>
      <c r="Q46" s="531"/>
      <c r="R46" s="531"/>
    </row>
    <row r="47" spans="1:28">
      <c r="B47" s="31"/>
    </row>
    <row r="48" spans="1:28">
      <c r="B48" s="31"/>
    </row>
    <row r="50" spans="2:2">
      <c r="B50" s="31"/>
    </row>
  </sheetData>
  <mergeCells count="37">
    <mergeCell ref="A1:E1"/>
    <mergeCell ref="F1:R1"/>
    <mergeCell ref="A2:Z2"/>
    <mergeCell ref="A3:A5"/>
    <mergeCell ref="B3:B5"/>
    <mergeCell ref="C3:F4"/>
    <mergeCell ref="G3:Z3"/>
    <mergeCell ref="AA3:AA5"/>
    <mergeCell ref="AB3:AB5"/>
    <mergeCell ref="G4:J4"/>
    <mergeCell ref="K4:N4"/>
    <mergeCell ref="O4:R4"/>
    <mergeCell ref="S4:V4"/>
    <mergeCell ref="W4:Z4"/>
    <mergeCell ref="A11:Z11"/>
    <mergeCell ref="A12:A14"/>
    <mergeCell ref="B12:B14"/>
    <mergeCell ref="C12:F13"/>
    <mergeCell ref="G12:Z12"/>
    <mergeCell ref="B41:R41"/>
    <mergeCell ref="AB12:AB14"/>
    <mergeCell ref="G13:J13"/>
    <mergeCell ref="K13:N13"/>
    <mergeCell ref="O13:R13"/>
    <mergeCell ref="S13:V13"/>
    <mergeCell ref="W13:Z13"/>
    <mergeCell ref="AA12:AA14"/>
    <mergeCell ref="D15:D18"/>
    <mergeCell ref="E15:E24"/>
    <mergeCell ref="F15:F24"/>
    <mergeCell ref="B39:R39"/>
    <mergeCell ref="B40:R40"/>
    <mergeCell ref="B42:R42"/>
    <mergeCell ref="B43:R43"/>
    <mergeCell ref="B44:R44"/>
    <mergeCell ref="B45:R45"/>
    <mergeCell ref="B46:R46"/>
  </mergeCells>
  <pageMargins left="0.70866141732283472" right="0.70866141732283472" top="0.74803149606299213" bottom="0.74803149606299213" header="0.31496062992125984" footer="0.31496062992125984"/>
  <pageSetup paperSize="9" scale="50" orientation="landscape" r:id="rId1"/>
</worksheet>
</file>

<file path=xl/worksheets/sheet30.xml><?xml version="1.0" encoding="utf-8"?>
<worksheet xmlns="http://schemas.openxmlformats.org/spreadsheetml/2006/main" xmlns:r="http://schemas.openxmlformats.org/officeDocument/2006/relationships">
  <dimension ref="A1:AF37"/>
  <sheetViews>
    <sheetView topLeftCell="T1" workbookViewId="0">
      <selection activeCell="B25" sqref="B22:AD25"/>
    </sheetView>
  </sheetViews>
  <sheetFormatPr defaultRowHeight="15" outlineLevelCol="1"/>
  <cols>
    <col min="1" max="1" width="11.140625" style="220" hidden="1" customWidth="1" outlineLevel="1"/>
    <col min="2" max="2" width="9.140625" style="220" hidden="1" customWidth="1" outlineLevel="1"/>
    <col min="3" max="3" width="12.140625" style="220" hidden="1" customWidth="1" outlineLevel="1"/>
    <col min="4" max="4" width="9.140625" style="220" hidden="1" customWidth="1" outlineLevel="1"/>
    <col min="5" max="5" width="9.140625" style="222" collapsed="1"/>
    <col min="6" max="6" width="24.7109375" style="223" customWidth="1"/>
    <col min="7" max="10" width="9.140625" style="165"/>
    <col min="11" max="11" width="11.140625" style="165" bestFit="1" customWidth="1"/>
    <col min="12" max="13" width="11.42578125" style="165" bestFit="1" customWidth="1"/>
    <col min="14" max="15" width="9.42578125" style="165" bestFit="1" customWidth="1"/>
    <col min="16" max="16" width="11.140625" style="165" customWidth="1"/>
    <col min="17" max="18" width="9.140625" style="165"/>
    <col min="19" max="19" width="10.42578125" style="165" bestFit="1" customWidth="1"/>
    <col min="20" max="20" width="11.5703125" style="165" customWidth="1"/>
    <col min="21" max="22" width="9.42578125" style="165" bestFit="1" customWidth="1"/>
    <col min="23" max="23" width="10.42578125" style="165" bestFit="1" customWidth="1"/>
    <col min="24" max="24" width="11.42578125" style="165" customWidth="1"/>
    <col min="25" max="26" width="9.42578125" style="165" bestFit="1" customWidth="1"/>
    <col min="27" max="27" width="11.42578125" style="165" bestFit="1" customWidth="1"/>
    <col min="28" max="28" width="10.85546875" style="165" customWidth="1"/>
    <col min="29" max="30" width="9.42578125" style="165" bestFit="1" customWidth="1"/>
    <col min="31" max="31" width="17.140625" style="222" customWidth="1"/>
    <col min="32" max="32" width="15.140625" style="222" customWidth="1"/>
    <col min="33" max="16384" width="9.140625" style="165"/>
  </cols>
  <sheetData>
    <row r="1" spans="1:32" ht="15.75">
      <c r="E1" s="675" t="s">
        <v>0</v>
      </c>
      <c r="F1" s="675"/>
      <c r="G1" s="675"/>
      <c r="H1" s="675"/>
      <c r="I1" s="675"/>
      <c r="J1" s="676" t="s">
        <v>529</v>
      </c>
      <c r="K1" s="676"/>
      <c r="L1" s="676"/>
      <c r="M1" s="676"/>
      <c r="N1" s="676"/>
      <c r="O1" s="676"/>
      <c r="P1" s="676"/>
      <c r="Q1" s="676"/>
      <c r="R1" s="676"/>
      <c r="S1" s="676"/>
      <c r="T1" s="676"/>
      <c r="U1" s="676"/>
      <c r="V1" s="676"/>
      <c r="W1" s="221"/>
      <c r="X1" s="221"/>
      <c r="Y1" s="221"/>
      <c r="Z1" s="221"/>
      <c r="AA1" s="221"/>
      <c r="AB1" s="221"/>
      <c r="AC1" s="221"/>
      <c r="AD1" s="221"/>
    </row>
    <row r="2" spans="1:32">
      <c r="E2" s="677" t="s">
        <v>2</v>
      </c>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row>
    <row r="3" spans="1:32">
      <c r="E3" s="678" t="s">
        <v>3</v>
      </c>
      <c r="F3" s="681" t="s">
        <v>530</v>
      </c>
      <c r="G3" s="684" t="s">
        <v>531</v>
      </c>
      <c r="H3" s="685"/>
      <c r="I3" s="685"/>
      <c r="J3" s="686"/>
      <c r="K3" s="689" t="s">
        <v>6</v>
      </c>
      <c r="L3" s="689"/>
      <c r="M3" s="689"/>
      <c r="N3" s="689"/>
      <c r="O3" s="689"/>
      <c r="P3" s="689"/>
      <c r="Q3" s="689"/>
      <c r="R3" s="689"/>
      <c r="S3" s="689"/>
      <c r="T3" s="689"/>
      <c r="U3" s="689"/>
      <c r="V3" s="689"/>
      <c r="W3" s="689"/>
      <c r="X3" s="689"/>
      <c r="Y3" s="689"/>
      <c r="Z3" s="689"/>
      <c r="AA3" s="689"/>
      <c r="AB3" s="689"/>
      <c r="AC3" s="689"/>
      <c r="AD3" s="689"/>
      <c r="AE3" s="690" t="s">
        <v>7</v>
      </c>
      <c r="AF3" s="690" t="s">
        <v>8</v>
      </c>
    </row>
    <row r="4" spans="1:32" s="365" customFormat="1" ht="33" customHeight="1">
      <c r="A4" s="364"/>
      <c r="B4" s="364"/>
      <c r="C4" s="364"/>
      <c r="D4" s="364"/>
      <c r="E4" s="679"/>
      <c r="F4" s="682"/>
      <c r="G4" s="687"/>
      <c r="H4" s="688"/>
      <c r="I4" s="688"/>
      <c r="J4" s="680"/>
      <c r="K4" s="693" t="s">
        <v>9</v>
      </c>
      <c r="L4" s="693"/>
      <c r="M4" s="693"/>
      <c r="N4" s="693"/>
      <c r="O4" s="693" t="s">
        <v>10</v>
      </c>
      <c r="P4" s="693"/>
      <c r="Q4" s="693"/>
      <c r="R4" s="693"/>
      <c r="S4" s="693" t="s">
        <v>11</v>
      </c>
      <c r="T4" s="693"/>
      <c r="U4" s="693"/>
      <c r="V4" s="693"/>
      <c r="W4" s="693" t="s">
        <v>12</v>
      </c>
      <c r="X4" s="693"/>
      <c r="Y4" s="693"/>
      <c r="Z4" s="693"/>
      <c r="AA4" s="693" t="s">
        <v>13</v>
      </c>
      <c r="AB4" s="693"/>
      <c r="AC4" s="693"/>
      <c r="AD4" s="693"/>
      <c r="AE4" s="691"/>
      <c r="AF4" s="691"/>
    </row>
    <row r="5" spans="1:32" s="367" customFormat="1" ht="115.5" customHeight="1">
      <c r="A5" s="274" t="s">
        <v>532</v>
      </c>
      <c r="B5" s="274" t="s">
        <v>533</v>
      </c>
      <c r="C5" s="274" t="s">
        <v>534</v>
      </c>
      <c r="D5" s="274" t="s">
        <v>535</v>
      </c>
      <c r="E5" s="680"/>
      <c r="F5" s="683"/>
      <c r="G5" s="366" t="s">
        <v>14</v>
      </c>
      <c r="H5" s="366" t="s">
        <v>15</v>
      </c>
      <c r="I5" s="366" t="s">
        <v>758</v>
      </c>
      <c r="J5" s="366" t="s">
        <v>759</v>
      </c>
      <c r="K5" s="366" t="s">
        <v>14</v>
      </c>
      <c r="L5" s="366" t="s">
        <v>15</v>
      </c>
      <c r="M5" s="366" t="s">
        <v>18</v>
      </c>
      <c r="N5" s="366" t="s">
        <v>19</v>
      </c>
      <c r="O5" s="366" t="s">
        <v>14</v>
      </c>
      <c r="P5" s="366" t="s">
        <v>15</v>
      </c>
      <c r="Q5" s="366" t="s">
        <v>18</v>
      </c>
      <c r="R5" s="366" t="s">
        <v>19</v>
      </c>
      <c r="S5" s="366" t="s">
        <v>14</v>
      </c>
      <c r="T5" s="366" t="s">
        <v>15</v>
      </c>
      <c r="U5" s="366" t="s">
        <v>18</v>
      </c>
      <c r="V5" s="366" t="s">
        <v>19</v>
      </c>
      <c r="W5" s="366" t="s">
        <v>14</v>
      </c>
      <c r="X5" s="366" t="s">
        <v>15</v>
      </c>
      <c r="Y5" s="366" t="s">
        <v>18</v>
      </c>
      <c r="Z5" s="366" t="s">
        <v>19</v>
      </c>
      <c r="AA5" s="366" t="s">
        <v>14</v>
      </c>
      <c r="AB5" s="366" t="s">
        <v>15</v>
      </c>
      <c r="AC5" s="366" t="s">
        <v>18</v>
      </c>
      <c r="AD5" s="366" t="s">
        <v>19</v>
      </c>
      <c r="AE5" s="692"/>
      <c r="AF5" s="692"/>
    </row>
    <row r="6" spans="1:32" s="376" customFormat="1" ht="38.25">
      <c r="A6" s="368">
        <v>250</v>
      </c>
      <c r="B6" s="368">
        <v>3139</v>
      </c>
      <c r="C6" s="368">
        <f>D6+(B6*10)</f>
        <v>1275105</v>
      </c>
      <c r="D6" s="368">
        <v>1243715</v>
      </c>
      <c r="E6" s="369" t="s">
        <v>20</v>
      </c>
      <c r="F6" s="370" t="s">
        <v>536</v>
      </c>
      <c r="G6" s="371">
        <v>0</v>
      </c>
      <c r="H6" s="371">
        <f>$A$6</f>
        <v>250</v>
      </c>
      <c r="I6" s="371">
        <v>0</v>
      </c>
      <c r="J6" s="371">
        <v>0</v>
      </c>
      <c r="K6" s="372">
        <f>0.1*L6</f>
        <v>25</v>
      </c>
      <c r="L6" s="372">
        <f>A6</f>
        <v>250</v>
      </c>
      <c r="M6" s="372">
        <f>C6*0.05</f>
        <v>63755.25</v>
      </c>
      <c r="N6" s="372">
        <f>C6</f>
        <v>1275105</v>
      </c>
      <c r="O6" s="372">
        <f>0.1*P6</f>
        <v>25</v>
      </c>
      <c r="P6" s="372">
        <f>A6</f>
        <v>250</v>
      </c>
      <c r="Q6" s="372">
        <f>0.1*C6</f>
        <v>127510.5</v>
      </c>
      <c r="R6" s="372">
        <f>C6</f>
        <v>1275105</v>
      </c>
      <c r="S6" s="372">
        <f>T6*0.25</f>
        <v>65</v>
      </c>
      <c r="T6" s="372">
        <f>A6+10</f>
        <v>260</v>
      </c>
      <c r="U6" s="372">
        <f>0.25*C6</f>
        <v>318776.25</v>
      </c>
      <c r="V6" s="372">
        <f>C6</f>
        <v>1275105</v>
      </c>
      <c r="W6" s="372">
        <f>0.45*X6</f>
        <v>121.5</v>
      </c>
      <c r="X6" s="372">
        <f>A6+20</f>
        <v>270</v>
      </c>
      <c r="Y6" s="372">
        <f>0.45*C6</f>
        <v>573797.25</v>
      </c>
      <c r="Z6" s="372">
        <f>C6</f>
        <v>1275105</v>
      </c>
      <c r="AA6" s="372">
        <f>0.55*AB6</f>
        <v>165</v>
      </c>
      <c r="AB6" s="373">
        <f>A6+50</f>
        <v>300</v>
      </c>
      <c r="AC6" s="372">
        <f>0.55*C6</f>
        <v>701307.75</v>
      </c>
      <c r="AD6" s="374">
        <f>C6</f>
        <v>1275105</v>
      </c>
      <c r="AE6" s="375">
        <f>G6/AA6</f>
        <v>0</v>
      </c>
      <c r="AF6" s="375">
        <f>AA6/AB6</f>
        <v>0.55000000000000004</v>
      </c>
    </row>
    <row r="7" spans="1:32" s="376" customFormat="1" ht="25.5">
      <c r="A7" s="368">
        <f>65000*240</f>
        <v>15600000</v>
      </c>
      <c r="B7" s="368">
        <v>10000</v>
      </c>
      <c r="C7" s="368">
        <f t="shared" ref="C7:C18" si="0">B7+D7</f>
        <v>10000</v>
      </c>
      <c r="D7" s="368"/>
      <c r="E7" s="369" t="s">
        <v>22</v>
      </c>
      <c r="F7" s="370" t="s">
        <v>537</v>
      </c>
      <c r="G7" s="371">
        <v>0</v>
      </c>
      <c r="H7" s="371">
        <f>$A$7</f>
        <v>15600000</v>
      </c>
      <c r="I7" s="371">
        <v>0</v>
      </c>
      <c r="J7" s="371">
        <f>$C$7</f>
        <v>10000</v>
      </c>
      <c r="K7" s="371">
        <f>0.045*A7</f>
        <v>702000</v>
      </c>
      <c r="L7" s="372">
        <f>A7</f>
        <v>15600000</v>
      </c>
      <c r="M7" s="372">
        <f>C7*0.045</f>
        <v>450</v>
      </c>
      <c r="N7" s="372">
        <f>C7</f>
        <v>10000</v>
      </c>
      <c r="O7" s="372">
        <f>0.1*A7</f>
        <v>1560000</v>
      </c>
      <c r="P7" s="372">
        <f>$L$7</f>
        <v>15600000</v>
      </c>
      <c r="Q7" s="372">
        <f>0.1*C7</f>
        <v>1000</v>
      </c>
      <c r="R7" s="372">
        <f>$B$7</f>
        <v>10000</v>
      </c>
      <c r="S7" s="371">
        <f>0.15*A7</f>
        <v>2340000</v>
      </c>
      <c r="T7" s="372">
        <f>A7</f>
        <v>15600000</v>
      </c>
      <c r="U7" s="372">
        <f>0.15*C7</f>
        <v>1500</v>
      </c>
      <c r="V7" s="371">
        <f>$B$7</f>
        <v>10000</v>
      </c>
      <c r="W7" s="371">
        <f>0.25*A7</f>
        <v>3900000</v>
      </c>
      <c r="X7" s="372">
        <f>$L$7</f>
        <v>15600000</v>
      </c>
      <c r="Y7" s="371">
        <f>0.25*C7</f>
        <v>2500</v>
      </c>
      <c r="Z7" s="371">
        <f>$B$7</f>
        <v>10000</v>
      </c>
      <c r="AA7" s="371">
        <f>0.7*A7</f>
        <v>10920000</v>
      </c>
      <c r="AB7" s="372">
        <f>A7</f>
        <v>15600000</v>
      </c>
      <c r="AC7" s="371">
        <f>0.7*C7</f>
        <v>7000</v>
      </c>
      <c r="AD7" s="377">
        <f>$B$7</f>
        <v>10000</v>
      </c>
      <c r="AE7" s="375">
        <f>G7/AA7</f>
        <v>0</v>
      </c>
      <c r="AF7" s="375">
        <f>AA7/AB7</f>
        <v>0.7</v>
      </c>
    </row>
    <row r="8" spans="1:32" s="376" customFormat="1" ht="12.75">
      <c r="A8" s="368">
        <f>$A$7</f>
        <v>15600000</v>
      </c>
      <c r="B8" s="368"/>
      <c r="C8" s="368"/>
      <c r="D8" s="368">
        <v>1024481</v>
      </c>
      <c r="E8" s="378" t="s">
        <v>61</v>
      </c>
      <c r="F8" s="370" t="s">
        <v>538</v>
      </c>
      <c r="G8" s="371">
        <v>0</v>
      </c>
      <c r="H8" s="371">
        <f>$A$8</f>
        <v>15600000</v>
      </c>
      <c r="I8" s="371">
        <v>0</v>
      </c>
      <c r="J8" s="371">
        <f>D8</f>
        <v>1024481</v>
      </c>
      <c r="K8" s="371">
        <f>0.045*A8</f>
        <v>702000</v>
      </c>
      <c r="L8" s="372">
        <f>A8</f>
        <v>15600000</v>
      </c>
      <c r="M8" s="372">
        <f>D8*0.03</f>
        <v>30734.43</v>
      </c>
      <c r="N8" s="372">
        <f>D8</f>
        <v>1024481</v>
      </c>
      <c r="O8" s="372">
        <f>0.09*P8</f>
        <v>1404000</v>
      </c>
      <c r="P8" s="372">
        <f>A8</f>
        <v>15600000</v>
      </c>
      <c r="Q8" s="372">
        <f>0.09*D8</f>
        <v>92203.29</v>
      </c>
      <c r="R8" s="379">
        <f>$Q$8</f>
        <v>92203.29</v>
      </c>
      <c r="S8" s="372">
        <f>0.25*A8</f>
        <v>3900000</v>
      </c>
      <c r="T8" s="372">
        <f>A8</f>
        <v>15600000</v>
      </c>
      <c r="U8" s="372">
        <f>0.25*D8</f>
        <v>256120.25</v>
      </c>
      <c r="V8" s="372">
        <f>$U$8</f>
        <v>256120.25</v>
      </c>
      <c r="W8" s="371">
        <f>0.35*A8</f>
        <v>5460000</v>
      </c>
      <c r="X8" s="372">
        <f>A8</f>
        <v>15600000</v>
      </c>
      <c r="Y8" s="372">
        <f>0.35*D8</f>
        <v>358568.35</v>
      </c>
      <c r="Z8" s="372">
        <f>$Y$8</f>
        <v>358568.35</v>
      </c>
      <c r="AA8" s="372">
        <f>0.45*A8</f>
        <v>7020000</v>
      </c>
      <c r="AB8" s="372">
        <f>A8</f>
        <v>15600000</v>
      </c>
      <c r="AC8" s="372">
        <f>0.45*D8</f>
        <v>461016.45</v>
      </c>
      <c r="AD8" s="374">
        <f>$AC$8</f>
        <v>461016.45</v>
      </c>
      <c r="AE8" s="375">
        <f>G8/AA8</f>
        <v>0</v>
      </c>
      <c r="AF8" s="375">
        <f>AA8/AB8</f>
        <v>0.45</v>
      </c>
    </row>
    <row r="9" spans="1:32" s="376" customFormat="1" ht="12.75">
      <c r="A9" s="368">
        <f>500000+180000</f>
        <v>680000</v>
      </c>
      <c r="B9" s="368">
        <v>10000</v>
      </c>
      <c r="C9" s="368">
        <f t="shared" si="0"/>
        <v>1034481</v>
      </c>
      <c r="D9" s="368">
        <v>1024481</v>
      </c>
      <c r="E9" s="378" t="s">
        <v>63</v>
      </c>
      <c r="F9" s="370" t="s">
        <v>539</v>
      </c>
      <c r="G9" s="371">
        <v>0</v>
      </c>
      <c r="H9" s="371">
        <f>$A$9</f>
        <v>680000</v>
      </c>
      <c r="I9" s="371">
        <v>0</v>
      </c>
      <c r="J9" s="371">
        <f>$C$9</f>
        <v>1034481</v>
      </c>
      <c r="K9" s="372">
        <f>0.045*A9</f>
        <v>30600</v>
      </c>
      <c r="L9" s="372">
        <f>$A$9</f>
        <v>680000</v>
      </c>
      <c r="M9" s="372">
        <f>0.045*C9</f>
        <v>46551.644999999997</v>
      </c>
      <c r="N9" s="372">
        <f>$C$9</f>
        <v>1034481</v>
      </c>
      <c r="O9" s="372">
        <f>$Q$9</f>
        <v>92203.29</v>
      </c>
      <c r="P9" s="372">
        <f>$A$9</f>
        <v>680000</v>
      </c>
      <c r="Q9" s="372">
        <f>0.09*D9</f>
        <v>92203.29</v>
      </c>
      <c r="R9" s="379">
        <f>$C$9</f>
        <v>1034481</v>
      </c>
      <c r="S9" s="372">
        <f>$U$9</f>
        <v>256120.25</v>
      </c>
      <c r="T9" s="372">
        <f>$A$9</f>
        <v>680000</v>
      </c>
      <c r="U9" s="372">
        <f>0.25*D9</f>
        <v>256120.25</v>
      </c>
      <c r="V9" s="372">
        <f>$C$9</f>
        <v>1034481</v>
      </c>
      <c r="W9" s="372">
        <f>0.35*A9</f>
        <v>237999.99999999997</v>
      </c>
      <c r="X9" s="372">
        <f>$A$9</f>
        <v>680000</v>
      </c>
      <c r="Y9" s="372">
        <f>0.35*D9</f>
        <v>358568.35</v>
      </c>
      <c r="Z9" s="372">
        <f>$C$9</f>
        <v>1034481</v>
      </c>
      <c r="AA9" s="372">
        <f>0.45*A9</f>
        <v>306000</v>
      </c>
      <c r="AB9" s="372">
        <f>$A$9</f>
        <v>680000</v>
      </c>
      <c r="AC9" s="372">
        <f>0.45*D9</f>
        <v>461016.45</v>
      </c>
      <c r="AD9" s="374">
        <f>$C$9</f>
        <v>1034481</v>
      </c>
      <c r="AE9" s="375">
        <f t="shared" ref="AE9:AE18" si="1">G9/AA9</f>
        <v>0</v>
      </c>
      <c r="AF9" s="375">
        <f t="shared" ref="AF9:AF18" si="2">AA9/AB9</f>
        <v>0.45</v>
      </c>
    </row>
    <row r="10" spans="1:32" s="376" customFormat="1" ht="12.75">
      <c r="A10" s="368">
        <f>$A$7</f>
        <v>15600000</v>
      </c>
      <c r="B10" s="368">
        <v>3139</v>
      </c>
      <c r="C10" s="368">
        <f>(B10*10)+D10</f>
        <v>1055871</v>
      </c>
      <c r="D10" s="368">
        <v>1024481</v>
      </c>
      <c r="E10" s="378" t="s">
        <v>136</v>
      </c>
      <c r="F10" s="370" t="s">
        <v>540</v>
      </c>
      <c r="G10" s="371">
        <f>'[1]izejas info'!$B$3</f>
        <v>47395</v>
      </c>
      <c r="H10" s="371">
        <f>$A$10</f>
        <v>15600000</v>
      </c>
      <c r="I10" s="371">
        <f>'[1]izejas info'!$B$3</f>
        <v>47395</v>
      </c>
      <c r="J10" s="371">
        <f>$C$10</f>
        <v>1055871</v>
      </c>
      <c r="K10" s="372">
        <f>0.1*L10</f>
        <v>1560000</v>
      </c>
      <c r="L10" s="372">
        <f>A10</f>
        <v>15600000</v>
      </c>
      <c r="M10" s="372">
        <f>0.1*C10</f>
        <v>105587.1</v>
      </c>
      <c r="N10" s="371">
        <f>C10</f>
        <v>1055871</v>
      </c>
      <c r="O10" s="371">
        <f>0.2*P10</f>
        <v>3120000</v>
      </c>
      <c r="P10" s="371">
        <f>A10</f>
        <v>15600000</v>
      </c>
      <c r="Q10" s="372">
        <f>0.2*R10</f>
        <v>211174.2</v>
      </c>
      <c r="R10" s="380">
        <f>C10</f>
        <v>1055871</v>
      </c>
      <c r="S10" s="371">
        <f>0.3*T10</f>
        <v>4680000</v>
      </c>
      <c r="T10" s="371">
        <f>A10</f>
        <v>15600000</v>
      </c>
      <c r="U10" s="372">
        <f>0.3*V10</f>
        <v>316761.3</v>
      </c>
      <c r="V10" s="371">
        <f>C10</f>
        <v>1055871</v>
      </c>
      <c r="W10" s="371">
        <f>0.4*X10</f>
        <v>6240000</v>
      </c>
      <c r="X10" s="371">
        <f>A10</f>
        <v>15600000</v>
      </c>
      <c r="Y10" s="371">
        <f>0.4*Z10</f>
        <v>422348.4</v>
      </c>
      <c r="Z10" s="371">
        <f>C10</f>
        <v>1055871</v>
      </c>
      <c r="AA10" s="371">
        <f>0.5*AB10</f>
        <v>140000</v>
      </c>
      <c r="AB10" s="372">
        <f>A13</f>
        <v>280000</v>
      </c>
      <c r="AC10" s="371">
        <f>0.5*AD10</f>
        <v>527935.5</v>
      </c>
      <c r="AD10" s="377">
        <f>C10</f>
        <v>1055871</v>
      </c>
      <c r="AE10" s="375">
        <f t="shared" si="1"/>
        <v>0.33853571428571427</v>
      </c>
      <c r="AF10" s="375">
        <f t="shared" si="2"/>
        <v>0.5</v>
      </c>
    </row>
    <row r="11" spans="1:32" s="376" customFormat="1" ht="12.75">
      <c r="A11" s="368">
        <f>$A$7</f>
        <v>15600000</v>
      </c>
      <c r="B11" s="368">
        <v>10000</v>
      </c>
      <c r="C11" s="368">
        <f t="shared" si="0"/>
        <v>10000</v>
      </c>
      <c r="D11" s="368"/>
      <c r="E11" s="378" t="s">
        <v>155</v>
      </c>
      <c r="F11" s="370" t="s">
        <v>541</v>
      </c>
      <c r="G11" s="371">
        <v>0</v>
      </c>
      <c r="H11" s="371">
        <f>$A$11</f>
        <v>15600000</v>
      </c>
      <c r="I11" s="371">
        <v>0</v>
      </c>
      <c r="J11" s="371">
        <f>$C$11</f>
        <v>10000</v>
      </c>
      <c r="K11" s="371">
        <f>0.1*L11</f>
        <v>1560000</v>
      </c>
      <c r="L11" s="371">
        <f>$A$11</f>
        <v>15600000</v>
      </c>
      <c r="M11" s="371">
        <f>0.1*C11</f>
        <v>1000</v>
      </c>
      <c r="N11" s="371">
        <f>$B$11</f>
        <v>10000</v>
      </c>
      <c r="O11" s="371">
        <f>0.2*P11</f>
        <v>3120000</v>
      </c>
      <c r="P11" s="371">
        <f>$A$11</f>
        <v>15600000</v>
      </c>
      <c r="Q11" s="371">
        <f>0.2*C11</f>
        <v>2000</v>
      </c>
      <c r="R11" s="380">
        <f>$B$11</f>
        <v>10000</v>
      </c>
      <c r="S11" s="371">
        <f>0.5*T11</f>
        <v>7800000</v>
      </c>
      <c r="T11" s="371">
        <f>$A$11</f>
        <v>15600000</v>
      </c>
      <c r="U11" s="371">
        <f>0.5*C11</f>
        <v>5000</v>
      </c>
      <c r="V11" s="371">
        <f>$B$11</f>
        <v>10000</v>
      </c>
      <c r="W11" s="371">
        <f>0.55*X11</f>
        <v>8580000</v>
      </c>
      <c r="X11" s="371">
        <f>$A$11</f>
        <v>15600000</v>
      </c>
      <c r="Y11" s="371">
        <f>0.55*C11</f>
        <v>5500</v>
      </c>
      <c r="Z11" s="371">
        <f>$B$11</f>
        <v>10000</v>
      </c>
      <c r="AA11" s="371">
        <f>AB11*0.7</f>
        <v>10920000</v>
      </c>
      <c r="AB11" s="371">
        <f>$A$11</f>
        <v>15600000</v>
      </c>
      <c r="AC11" s="371">
        <f>AD11*0.7</f>
        <v>7000</v>
      </c>
      <c r="AD11" s="377">
        <f>$B$11</f>
        <v>10000</v>
      </c>
      <c r="AE11" s="375">
        <f t="shared" si="1"/>
        <v>0</v>
      </c>
      <c r="AF11" s="375">
        <f t="shared" si="2"/>
        <v>0.7</v>
      </c>
    </row>
    <row r="12" spans="1:32" s="385" customFormat="1" ht="12.75">
      <c r="A12" s="368">
        <f>$A$7</f>
        <v>15600000</v>
      </c>
      <c r="B12" s="368"/>
      <c r="C12" s="368"/>
      <c r="D12" s="368">
        <v>1077221</v>
      </c>
      <c r="E12" s="378" t="s">
        <v>159</v>
      </c>
      <c r="F12" s="370" t="s">
        <v>542</v>
      </c>
      <c r="G12" s="381">
        <v>0</v>
      </c>
      <c r="H12" s="371">
        <f>$A$12</f>
        <v>15600000</v>
      </c>
      <c r="I12" s="381">
        <v>0</v>
      </c>
      <c r="J12" s="381">
        <f>$D$12</f>
        <v>1077221</v>
      </c>
      <c r="K12" s="382">
        <f>0.045*A12</f>
        <v>702000</v>
      </c>
      <c r="L12" s="382">
        <f>$A$12</f>
        <v>15600000</v>
      </c>
      <c r="M12" s="382">
        <f>0.045*D12</f>
        <v>48474.945</v>
      </c>
      <c r="N12" s="382">
        <f>$D$12</f>
        <v>1077221</v>
      </c>
      <c r="O12" s="381">
        <f>0.09*P12</f>
        <v>1404000</v>
      </c>
      <c r="P12" s="381">
        <f>$A$12</f>
        <v>15600000</v>
      </c>
      <c r="Q12" s="382">
        <f>0.09*D12</f>
        <v>96949.89</v>
      </c>
      <c r="R12" s="383">
        <f>$D$12</f>
        <v>1077221</v>
      </c>
      <c r="S12" s="381">
        <f>0.25*T12</f>
        <v>3900000</v>
      </c>
      <c r="T12" s="381">
        <f>$A$12</f>
        <v>15600000</v>
      </c>
      <c r="U12" s="381">
        <f>0.25*D12</f>
        <v>269305.25</v>
      </c>
      <c r="V12" s="381">
        <f>$D$12</f>
        <v>1077221</v>
      </c>
      <c r="W12" s="381">
        <f>0.35*X12</f>
        <v>5460000</v>
      </c>
      <c r="X12" s="381">
        <f>$A$12</f>
        <v>15600000</v>
      </c>
      <c r="Y12" s="382">
        <f>0.35*D12</f>
        <v>377027.35</v>
      </c>
      <c r="Z12" s="381">
        <f>$D$12</f>
        <v>1077221</v>
      </c>
      <c r="AA12" s="381">
        <f>0.45*AB12</f>
        <v>7020000</v>
      </c>
      <c r="AB12" s="381">
        <f>$A$12</f>
        <v>15600000</v>
      </c>
      <c r="AC12" s="381">
        <f>0.45*AD12</f>
        <v>484749.45</v>
      </c>
      <c r="AD12" s="384">
        <f>$D$12</f>
        <v>1077221</v>
      </c>
      <c r="AE12" s="375">
        <f t="shared" si="1"/>
        <v>0</v>
      </c>
      <c r="AF12" s="375">
        <f t="shared" si="2"/>
        <v>0.45</v>
      </c>
    </row>
    <row r="13" spans="1:32" s="376" customFormat="1" ht="25.5">
      <c r="A13" s="386">
        <f>200*B13</f>
        <v>280000</v>
      </c>
      <c r="B13" s="368">
        <v>1400</v>
      </c>
      <c r="C13" s="368">
        <f t="shared" si="0"/>
        <v>923432.9</v>
      </c>
      <c r="D13" s="368">
        <f>0.9*1024481</f>
        <v>922032.9</v>
      </c>
      <c r="E13" s="378" t="s">
        <v>244</v>
      </c>
      <c r="F13" s="370" t="s">
        <v>543</v>
      </c>
      <c r="G13" s="371">
        <f>'[1]izejas info'!$B$4</f>
        <v>12900</v>
      </c>
      <c r="H13" s="372">
        <f>$A$13</f>
        <v>280000</v>
      </c>
      <c r="I13" s="371">
        <f>'[1]izejas info'!$B$4</f>
        <v>12900</v>
      </c>
      <c r="J13" s="372">
        <f>0.9*C13</f>
        <v>831089.61</v>
      </c>
      <c r="K13" s="372">
        <f>0.2*L13</f>
        <v>56000</v>
      </c>
      <c r="L13" s="372">
        <f>A13</f>
        <v>280000</v>
      </c>
      <c r="M13" s="372">
        <f>0.2*C13</f>
        <v>184686.58000000002</v>
      </c>
      <c r="N13" s="372">
        <f>C13</f>
        <v>923432.9</v>
      </c>
      <c r="O13" s="372">
        <f>0.3*P13</f>
        <v>84000</v>
      </c>
      <c r="P13" s="372">
        <f>A13</f>
        <v>280000</v>
      </c>
      <c r="Q13" s="372">
        <f>0.3*C13</f>
        <v>277029.87</v>
      </c>
      <c r="R13" s="379">
        <f>C13</f>
        <v>923432.9</v>
      </c>
      <c r="S13" s="372">
        <f>0.4*T13</f>
        <v>112000</v>
      </c>
      <c r="T13" s="372">
        <f>A13</f>
        <v>280000</v>
      </c>
      <c r="U13" s="372">
        <f>0.4*C13</f>
        <v>369373.16000000003</v>
      </c>
      <c r="V13" s="372">
        <f>C13</f>
        <v>923432.9</v>
      </c>
      <c r="W13" s="371">
        <f>0.6*X13</f>
        <v>168000</v>
      </c>
      <c r="X13" s="372">
        <f>A13</f>
        <v>280000</v>
      </c>
      <c r="Y13" s="371">
        <f>0.6*A13</f>
        <v>168000</v>
      </c>
      <c r="Z13" s="372">
        <f>C13</f>
        <v>923432.9</v>
      </c>
      <c r="AA13" s="371">
        <f>$AC$13*0.7</f>
        <v>452482.12099999998</v>
      </c>
      <c r="AB13" s="371">
        <f>$AC$13</f>
        <v>646403.03</v>
      </c>
      <c r="AC13" s="371">
        <f>0.7*C13</f>
        <v>646403.03</v>
      </c>
      <c r="AD13" s="377">
        <f>C13</f>
        <v>923432.9</v>
      </c>
      <c r="AE13" s="375">
        <f t="shared" si="1"/>
        <v>2.8509413745432827E-2</v>
      </c>
      <c r="AF13" s="375">
        <f t="shared" si="2"/>
        <v>0.7</v>
      </c>
    </row>
    <row r="14" spans="1:32" s="376" customFormat="1" ht="12.75">
      <c r="A14" s="368"/>
      <c r="B14" s="368">
        <v>1400</v>
      </c>
      <c r="C14" s="368">
        <f t="shared" si="0"/>
        <v>1078621</v>
      </c>
      <c r="D14" s="368">
        <v>1077221</v>
      </c>
      <c r="E14" s="387" t="s">
        <v>544</v>
      </c>
      <c r="F14" s="388" t="s">
        <v>545</v>
      </c>
      <c r="G14" s="371">
        <v>0</v>
      </c>
      <c r="H14" s="372">
        <f>$A$14</f>
        <v>0</v>
      </c>
      <c r="I14" s="371">
        <v>0</v>
      </c>
      <c r="J14" s="371">
        <v>0</v>
      </c>
      <c r="K14" s="372">
        <f>M14</f>
        <v>53931.05</v>
      </c>
      <c r="L14" s="372">
        <f>N14</f>
        <v>48537.945</v>
      </c>
      <c r="M14" s="372">
        <f>0.05*C14</f>
        <v>53931.05</v>
      </c>
      <c r="N14" s="372">
        <f>0.045*C14</f>
        <v>48537.945</v>
      </c>
      <c r="O14" s="372">
        <f>$Q$14</f>
        <v>109122.1</v>
      </c>
      <c r="P14" s="372">
        <f>$Q$14</f>
        <v>109122.1</v>
      </c>
      <c r="Q14" s="372">
        <f>0.1*D14+B14</f>
        <v>109122.1</v>
      </c>
      <c r="R14" s="379">
        <f>$Q$14</f>
        <v>109122.1</v>
      </c>
      <c r="S14" s="372">
        <f>$T$14</f>
        <v>269305.25</v>
      </c>
      <c r="T14" s="372">
        <f>0.25*D14</f>
        <v>269305.25</v>
      </c>
      <c r="U14" s="372">
        <f>0.25*D14+B14</f>
        <v>270705.25</v>
      </c>
      <c r="V14" s="372">
        <f>$U$14</f>
        <v>270705.25</v>
      </c>
      <c r="W14" s="372">
        <f>$X$14</f>
        <v>377027.35</v>
      </c>
      <c r="X14" s="372">
        <f>0.35*D14</f>
        <v>377027.35</v>
      </c>
      <c r="Y14" s="372">
        <f>$Z$14</f>
        <v>379427.35</v>
      </c>
      <c r="Z14" s="372">
        <f>0.35*D14+B14+0.1*10000</f>
        <v>379427.35</v>
      </c>
      <c r="AA14" s="372">
        <f>$AB$14</f>
        <v>506293.87</v>
      </c>
      <c r="AB14" s="372">
        <f>0.47*D14</f>
        <v>506293.87</v>
      </c>
      <c r="AC14" s="372">
        <f>$AD$14</f>
        <v>510693.87</v>
      </c>
      <c r="AD14" s="374">
        <f>0.47*D14+1400+0.3*10000</f>
        <v>510693.87</v>
      </c>
      <c r="AE14" s="375">
        <f t="shared" si="1"/>
        <v>0</v>
      </c>
      <c r="AF14" s="375">
        <f t="shared" si="2"/>
        <v>1</v>
      </c>
    </row>
    <row r="15" spans="1:32" s="376" customFormat="1" ht="12.75">
      <c r="A15" s="368"/>
      <c r="B15" s="368"/>
      <c r="C15" s="368">
        <f t="shared" si="0"/>
        <v>1024481</v>
      </c>
      <c r="D15" s="368">
        <v>1024481</v>
      </c>
      <c r="E15" s="378" t="s">
        <v>247</v>
      </c>
      <c r="F15" s="370" t="s">
        <v>546</v>
      </c>
      <c r="G15" s="371">
        <v>0</v>
      </c>
      <c r="H15" s="372">
        <f>$A$15</f>
        <v>0</v>
      </c>
      <c r="I15" s="371">
        <v>0</v>
      </c>
      <c r="J15" s="371">
        <v>0</v>
      </c>
      <c r="K15" s="372">
        <f>$N$15*2</f>
        <v>92203.29</v>
      </c>
      <c r="L15" s="372">
        <f>$N$15*2</f>
        <v>92203.29</v>
      </c>
      <c r="M15" s="372">
        <f>$N$15</f>
        <v>46101.644999999997</v>
      </c>
      <c r="N15" s="372">
        <f>0.045*C15</f>
        <v>46101.644999999997</v>
      </c>
      <c r="O15" s="372">
        <f>$P$15</f>
        <v>184406.58</v>
      </c>
      <c r="P15" s="372">
        <f>$R$15*2</f>
        <v>184406.58</v>
      </c>
      <c r="Q15" s="372">
        <f>$R$15</f>
        <v>92203.29</v>
      </c>
      <c r="R15" s="379">
        <f>0.09*C15</f>
        <v>92203.29</v>
      </c>
      <c r="S15" s="372">
        <f>$T$15</f>
        <v>512240.5</v>
      </c>
      <c r="T15" s="372">
        <f>$V$15*2</f>
        <v>512240.5</v>
      </c>
      <c r="U15" s="372">
        <f>$V$15</f>
        <v>256120.25</v>
      </c>
      <c r="V15" s="372">
        <f>0.25*C15</f>
        <v>256120.25</v>
      </c>
      <c r="W15" s="372">
        <f>$X$15</f>
        <v>717136.7</v>
      </c>
      <c r="X15" s="372">
        <f>$Z$15*2</f>
        <v>717136.7</v>
      </c>
      <c r="Y15" s="372">
        <f>$Z$15</f>
        <v>358568.35</v>
      </c>
      <c r="Z15" s="372">
        <f>0.35*C15</f>
        <v>358568.35</v>
      </c>
      <c r="AA15" s="372">
        <f>$AB$15</f>
        <v>922032.9</v>
      </c>
      <c r="AB15" s="372">
        <f>$AD$15*2</f>
        <v>922032.9</v>
      </c>
      <c r="AC15" s="372">
        <f>$AD$15</f>
        <v>461016.45</v>
      </c>
      <c r="AD15" s="374">
        <f>0.45*C15</f>
        <v>461016.45</v>
      </c>
      <c r="AE15" s="375">
        <f t="shared" si="1"/>
        <v>0</v>
      </c>
      <c r="AF15" s="375">
        <f t="shared" si="2"/>
        <v>1</v>
      </c>
    </row>
    <row r="16" spans="1:32" s="376" customFormat="1" ht="12.75">
      <c r="A16" s="368"/>
      <c r="B16" s="368">
        <v>10000</v>
      </c>
      <c r="C16" s="368">
        <f t="shared" si="0"/>
        <v>10000</v>
      </c>
      <c r="D16" s="368"/>
      <c r="E16" s="378" t="s">
        <v>249</v>
      </c>
      <c r="F16" s="370" t="s">
        <v>547</v>
      </c>
      <c r="G16" s="371">
        <v>0</v>
      </c>
      <c r="H16" s="372">
        <f>$A$16</f>
        <v>0</v>
      </c>
      <c r="I16" s="371">
        <v>0</v>
      </c>
      <c r="J16" s="371">
        <v>0</v>
      </c>
      <c r="K16" s="372">
        <f>$N$16*2</f>
        <v>1400.0000000000002</v>
      </c>
      <c r="L16" s="372">
        <f>$N$16*2</f>
        <v>1400.0000000000002</v>
      </c>
      <c r="M16" s="372">
        <f>$N$16</f>
        <v>700.00000000000011</v>
      </c>
      <c r="N16" s="372">
        <f>0.07*C16</f>
        <v>700.00000000000011</v>
      </c>
      <c r="O16" s="372">
        <f>$P$16</f>
        <v>3000</v>
      </c>
      <c r="P16" s="372">
        <f>$R$16*2</f>
        <v>3000</v>
      </c>
      <c r="Q16" s="372">
        <f>$R$16</f>
        <v>1500</v>
      </c>
      <c r="R16" s="379">
        <f>0.15*C16</f>
        <v>1500</v>
      </c>
      <c r="S16" s="372">
        <f>$T$16</f>
        <v>7000</v>
      </c>
      <c r="T16" s="372">
        <f>$V$16*2</f>
        <v>7000</v>
      </c>
      <c r="U16" s="372">
        <f>$V$16</f>
        <v>3500</v>
      </c>
      <c r="V16" s="372">
        <f>0.35*C16</f>
        <v>3500</v>
      </c>
      <c r="W16" s="372">
        <f>$X$16</f>
        <v>10000</v>
      </c>
      <c r="X16" s="372">
        <f>$Z$16*2</f>
        <v>10000</v>
      </c>
      <c r="Y16" s="372">
        <f>$Z$16</f>
        <v>5000</v>
      </c>
      <c r="Z16" s="372">
        <f>0.5*C16</f>
        <v>5000</v>
      </c>
      <c r="AA16" s="372">
        <f>$AB$16</f>
        <v>14000</v>
      </c>
      <c r="AB16" s="372">
        <f>$AD$16*2</f>
        <v>14000</v>
      </c>
      <c r="AC16" s="372">
        <f>$AD$16</f>
        <v>7000</v>
      </c>
      <c r="AD16" s="374">
        <f>0.7*C16</f>
        <v>7000</v>
      </c>
      <c r="AE16" s="375">
        <f t="shared" si="1"/>
        <v>0</v>
      </c>
      <c r="AF16" s="375">
        <f t="shared" si="2"/>
        <v>1</v>
      </c>
    </row>
    <row r="17" spans="1:32" s="376" customFormat="1" ht="12.75">
      <c r="A17" s="368">
        <f>15*C17</f>
        <v>18805725</v>
      </c>
      <c r="B17" s="368">
        <v>10000</v>
      </c>
      <c r="C17" s="368">
        <f>B17+D17</f>
        <v>1253715</v>
      </c>
      <c r="D17" s="368">
        <v>1243715</v>
      </c>
      <c r="E17" s="378" t="s">
        <v>251</v>
      </c>
      <c r="F17" s="370" t="s">
        <v>548</v>
      </c>
      <c r="G17" s="371">
        <v>0</v>
      </c>
      <c r="H17" s="372">
        <f>$A$17</f>
        <v>18805725</v>
      </c>
      <c r="I17" s="371">
        <v>0</v>
      </c>
      <c r="J17" s="371">
        <f>$C$17</f>
        <v>1253715</v>
      </c>
      <c r="K17" s="371">
        <f>0.6*L17</f>
        <v>11283435</v>
      </c>
      <c r="L17" s="371">
        <f>A17</f>
        <v>18805725</v>
      </c>
      <c r="M17" s="371">
        <f>0.6*C17</f>
        <v>752229</v>
      </c>
      <c r="N17" s="371">
        <f>C17</f>
        <v>1253715</v>
      </c>
      <c r="O17" s="371">
        <f>0.1*P17</f>
        <v>1880572.5</v>
      </c>
      <c r="P17" s="371">
        <f>A17</f>
        <v>18805725</v>
      </c>
      <c r="Q17" s="372">
        <f>0.1*R17</f>
        <v>125371.5</v>
      </c>
      <c r="R17" s="380">
        <f>$N$17</f>
        <v>1253715</v>
      </c>
      <c r="S17" s="371">
        <f>0.25*T17</f>
        <v>4701431.25</v>
      </c>
      <c r="T17" s="371">
        <f>$P$17</f>
        <v>18805725</v>
      </c>
      <c r="U17" s="372">
        <f>0.25*V17</f>
        <v>313428.75</v>
      </c>
      <c r="V17" s="371">
        <f>$N$17</f>
        <v>1253715</v>
      </c>
      <c r="W17" s="371">
        <f>0.45*X17</f>
        <v>8462576.25</v>
      </c>
      <c r="X17" s="371">
        <f>$P$17</f>
        <v>18805725</v>
      </c>
      <c r="Y17" s="371">
        <f>0.45*Z17</f>
        <v>564171.75</v>
      </c>
      <c r="Z17" s="371">
        <f>$N$17</f>
        <v>1253715</v>
      </c>
      <c r="AA17" s="371">
        <f>0.55*AB17</f>
        <v>10343148.75</v>
      </c>
      <c r="AB17" s="371">
        <f>$P$17</f>
        <v>18805725</v>
      </c>
      <c r="AC17" s="371">
        <f>0.55*AD17</f>
        <v>689543.25</v>
      </c>
      <c r="AD17" s="377">
        <f>$N$17</f>
        <v>1253715</v>
      </c>
      <c r="AE17" s="375">
        <f t="shared" si="1"/>
        <v>0</v>
      </c>
      <c r="AF17" s="375">
        <f t="shared" si="2"/>
        <v>0.55000000000000004</v>
      </c>
    </row>
    <row r="18" spans="1:32" s="376" customFormat="1" ht="12.75">
      <c r="A18" s="368">
        <v>52000</v>
      </c>
      <c r="B18" s="368"/>
      <c r="C18" s="368">
        <f t="shared" si="0"/>
        <v>52000</v>
      </c>
      <c r="D18" s="368">
        <v>52000</v>
      </c>
      <c r="E18" s="378" t="s">
        <v>549</v>
      </c>
      <c r="F18" s="370" t="s">
        <v>550</v>
      </c>
      <c r="G18" s="371">
        <v>0</v>
      </c>
      <c r="H18" s="372">
        <f>$A$18</f>
        <v>52000</v>
      </c>
      <c r="I18" s="371">
        <v>0</v>
      </c>
      <c r="J18" s="371">
        <f>$H$18</f>
        <v>52000</v>
      </c>
      <c r="K18" s="372">
        <f>$M$18</f>
        <v>2340</v>
      </c>
      <c r="L18" s="372">
        <f>$C$18</f>
        <v>52000</v>
      </c>
      <c r="M18" s="372">
        <f>0.045*D18</f>
        <v>2340</v>
      </c>
      <c r="N18" s="372">
        <f>$C$18</f>
        <v>52000</v>
      </c>
      <c r="O18" s="372">
        <f>$Q$18</f>
        <v>10400</v>
      </c>
      <c r="P18" s="372">
        <f>$C$18</f>
        <v>52000</v>
      </c>
      <c r="Q18" s="372">
        <f>0.2*D18</f>
        <v>10400</v>
      </c>
      <c r="R18" s="372">
        <f>$C$18</f>
        <v>52000</v>
      </c>
      <c r="S18" s="372">
        <f>$U$18</f>
        <v>26000</v>
      </c>
      <c r="T18" s="372">
        <f>$A$18</f>
        <v>52000</v>
      </c>
      <c r="U18" s="372">
        <f>0.5*D18</f>
        <v>26000</v>
      </c>
      <c r="V18" s="372">
        <f>$C$18</f>
        <v>52000</v>
      </c>
      <c r="W18" s="372">
        <f>$Y$18</f>
        <v>33800</v>
      </c>
      <c r="X18" s="372">
        <f>$C$18</f>
        <v>52000</v>
      </c>
      <c r="Y18" s="372">
        <f>D18*0.65</f>
        <v>33800</v>
      </c>
      <c r="Z18" s="372">
        <f>$C$18</f>
        <v>52000</v>
      </c>
      <c r="AA18" s="372">
        <f>$AC$18+100</f>
        <v>36570</v>
      </c>
      <c r="AB18" s="372">
        <f>$A$18+100</f>
        <v>52100</v>
      </c>
      <c r="AC18" s="372">
        <f>0.7*(D18+100)</f>
        <v>36470</v>
      </c>
      <c r="AD18" s="374">
        <f>$C$18+100</f>
        <v>52100</v>
      </c>
      <c r="AE18" s="375">
        <f t="shared" si="1"/>
        <v>0</v>
      </c>
      <c r="AF18" s="375">
        <f t="shared" si="2"/>
        <v>0.70191938579654511</v>
      </c>
    </row>
    <row r="19" spans="1:32" s="365" customFormat="1" ht="25.5">
      <c r="A19" s="364"/>
      <c r="B19" s="364"/>
      <c r="C19" s="364"/>
      <c r="D19" s="364"/>
      <c r="E19" s="389"/>
      <c r="F19" s="390"/>
      <c r="G19" s="77"/>
      <c r="H19" s="77"/>
      <c r="I19" s="77"/>
      <c r="J19" s="77"/>
      <c r="K19" s="77"/>
      <c r="L19" s="77"/>
      <c r="M19" s="77"/>
      <c r="N19" s="77"/>
      <c r="O19" s="77"/>
      <c r="P19" s="77"/>
      <c r="Q19" s="77"/>
      <c r="R19" s="237"/>
      <c r="S19" s="77"/>
      <c r="T19" s="77"/>
      <c r="U19" s="77"/>
      <c r="V19" s="77"/>
      <c r="W19" s="77"/>
      <c r="X19" s="77"/>
      <c r="Y19" s="77"/>
      <c r="Z19" s="77"/>
      <c r="AA19" s="77"/>
      <c r="AB19" s="77"/>
      <c r="AC19" s="77"/>
      <c r="AD19" s="77" t="s">
        <v>24</v>
      </c>
      <c r="AE19" s="391">
        <f>AVERAGE(AE6:AE18)</f>
        <v>2.8234240617780546E-2</v>
      </c>
      <c r="AF19" s="391">
        <f>AVERAGE(AF6:AF18)</f>
        <v>0.67322456813819587</v>
      </c>
    </row>
    <row r="20" spans="1:32">
      <c r="R20" s="225"/>
    </row>
    <row r="21" spans="1:32">
      <c r="E21" s="677"/>
      <c r="F21" s="677"/>
      <c r="G21" s="677"/>
      <c r="H21" s="677"/>
      <c r="I21" s="677"/>
      <c r="J21" s="677"/>
      <c r="K21" s="677"/>
      <c r="L21" s="677"/>
      <c r="M21" s="677"/>
      <c r="N21" s="677"/>
      <c r="O21" s="677"/>
      <c r="P21" s="677"/>
      <c r="Q21" s="677"/>
      <c r="R21" s="677"/>
      <c r="S21" s="677"/>
      <c r="T21" s="677"/>
      <c r="U21" s="677"/>
      <c r="V21" s="677"/>
      <c r="W21" s="677"/>
      <c r="X21" s="677"/>
      <c r="Y21" s="677"/>
      <c r="Z21" s="677"/>
      <c r="AA21" s="677"/>
      <c r="AB21" s="677"/>
      <c r="AC21" s="677"/>
      <c r="AD21" s="677"/>
    </row>
    <row r="22" spans="1:32" s="393" customFormat="1" ht="12.75">
      <c r="A22" s="392"/>
      <c r="B22" s="392"/>
      <c r="C22" s="392"/>
      <c r="D22" s="392"/>
      <c r="E22" s="694" t="s">
        <v>3</v>
      </c>
      <c r="F22" s="697" t="s">
        <v>26</v>
      </c>
      <c r="G22" s="700" t="s">
        <v>27</v>
      </c>
      <c r="H22" s="701"/>
      <c r="I22" s="701"/>
      <c r="J22" s="702"/>
      <c r="K22" s="693" t="s">
        <v>28</v>
      </c>
      <c r="L22" s="693"/>
      <c r="M22" s="693"/>
      <c r="N22" s="693"/>
      <c r="O22" s="693"/>
      <c r="P22" s="693"/>
      <c r="Q22" s="693"/>
      <c r="R22" s="693"/>
      <c r="S22" s="693"/>
      <c r="T22" s="693"/>
      <c r="U22" s="693"/>
      <c r="V22" s="693"/>
      <c r="W22" s="693"/>
      <c r="X22" s="693"/>
      <c r="Y22" s="693"/>
      <c r="Z22" s="693"/>
      <c r="AA22" s="693"/>
      <c r="AB22" s="693"/>
      <c r="AC22" s="693"/>
      <c r="AD22" s="693"/>
      <c r="AE22" s="601" t="s">
        <v>124</v>
      </c>
      <c r="AF22" s="601" t="s">
        <v>125</v>
      </c>
    </row>
    <row r="23" spans="1:32" s="393" customFormat="1" ht="57" customHeight="1">
      <c r="A23" s="392"/>
      <c r="B23" s="392"/>
      <c r="C23" s="392"/>
      <c r="D23" s="392"/>
      <c r="E23" s="695"/>
      <c r="F23" s="698"/>
      <c r="G23" s="703"/>
      <c r="H23" s="704"/>
      <c r="I23" s="704"/>
      <c r="J23" s="705"/>
      <c r="K23" s="693" t="s">
        <v>9</v>
      </c>
      <c r="L23" s="693"/>
      <c r="M23" s="693"/>
      <c r="N23" s="693"/>
      <c r="O23" s="693" t="s">
        <v>10</v>
      </c>
      <c r="P23" s="693"/>
      <c r="Q23" s="693"/>
      <c r="R23" s="693"/>
      <c r="S23" s="693" t="s">
        <v>11</v>
      </c>
      <c r="T23" s="693"/>
      <c r="U23" s="693"/>
      <c r="V23" s="693"/>
      <c r="W23" s="693" t="s">
        <v>12</v>
      </c>
      <c r="X23" s="693"/>
      <c r="Y23" s="693"/>
      <c r="Z23" s="693"/>
      <c r="AA23" s="693" t="s">
        <v>13</v>
      </c>
      <c r="AB23" s="693"/>
      <c r="AC23" s="693"/>
      <c r="AD23" s="693"/>
      <c r="AE23" s="601" t="s">
        <v>124</v>
      </c>
      <c r="AF23" s="601" t="s">
        <v>125</v>
      </c>
    </row>
    <row r="24" spans="1:32" s="393" customFormat="1" ht="83.25" customHeight="1">
      <c r="A24" s="392"/>
      <c r="B24" s="392"/>
      <c r="C24" s="392"/>
      <c r="D24" s="392"/>
      <c r="E24" s="696"/>
      <c r="F24" s="699"/>
      <c r="G24" s="366" t="s">
        <v>760</v>
      </c>
      <c r="H24" s="366" t="s">
        <v>32</v>
      </c>
      <c r="I24" s="366" t="s">
        <v>33</v>
      </c>
      <c r="J24" s="366" t="s">
        <v>759</v>
      </c>
      <c r="K24" s="366" t="s">
        <v>34</v>
      </c>
      <c r="L24" s="366" t="s">
        <v>32</v>
      </c>
      <c r="M24" s="366" t="s">
        <v>33</v>
      </c>
      <c r="N24" s="366" t="s">
        <v>19</v>
      </c>
      <c r="O24" s="366" t="s">
        <v>34</v>
      </c>
      <c r="P24" s="366" t="s">
        <v>32</v>
      </c>
      <c r="Q24" s="366" t="s">
        <v>33</v>
      </c>
      <c r="R24" s="366" t="s">
        <v>19</v>
      </c>
      <c r="S24" s="366" t="s">
        <v>34</v>
      </c>
      <c r="T24" s="366" t="s">
        <v>32</v>
      </c>
      <c r="U24" s="366" t="s">
        <v>33</v>
      </c>
      <c r="V24" s="366" t="s">
        <v>19</v>
      </c>
      <c r="W24" s="366" t="s">
        <v>34</v>
      </c>
      <c r="X24" s="366" t="s">
        <v>32</v>
      </c>
      <c r="Y24" s="366" t="s">
        <v>33</v>
      </c>
      <c r="Z24" s="366" t="s">
        <v>19</v>
      </c>
      <c r="AA24" s="366" t="s">
        <v>34</v>
      </c>
      <c r="AB24" s="366" t="s">
        <v>32</v>
      </c>
      <c r="AC24" s="366" t="s">
        <v>33</v>
      </c>
      <c r="AD24" s="366" t="s">
        <v>19</v>
      </c>
      <c r="AE24" s="601" t="s">
        <v>124</v>
      </c>
      <c r="AF24" s="601" t="s">
        <v>125</v>
      </c>
    </row>
    <row r="25" spans="1:32" s="393" customFormat="1" ht="25.5">
      <c r="A25" s="392"/>
      <c r="B25" s="392"/>
      <c r="C25" s="392"/>
      <c r="D25" s="392"/>
      <c r="E25" s="366" t="s">
        <v>20</v>
      </c>
      <c r="F25" s="394" t="s">
        <v>551</v>
      </c>
      <c r="G25" s="348"/>
      <c r="H25" s="181"/>
      <c r="I25" s="181"/>
      <c r="J25" s="181"/>
      <c r="K25" s="395"/>
      <c r="L25" s="181"/>
      <c r="M25" s="181"/>
      <c r="N25" s="396"/>
      <c r="O25" s="181"/>
      <c r="P25" s="181"/>
      <c r="Q25" s="181"/>
      <c r="R25" s="181"/>
      <c r="S25" s="181"/>
      <c r="T25" s="181"/>
      <c r="U25" s="181"/>
      <c r="V25" s="181"/>
      <c r="W25" s="181"/>
      <c r="X25" s="181"/>
      <c r="Y25" s="181"/>
      <c r="Z25" s="181"/>
      <c r="AA25" s="181"/>
      <c r="AB25" s="181"/>
      <c r="AC25" s="181"/>
      <c r="AD25" s="181"/>
      <c r="AE25" s="397"/>
      <c r="AF25" s="397"/>
    </row>
    <row r="26" spans="1:32" s="398" customFormat="1" ht="51">
      <c r="E26" s="366" t="s">
        <v>36</v>
      </c>
      <c r="F26" s="394" t="s">
        <v>552</v>
      </c>
      <c r="G26" s="399">
        <v>0</v>
      </c>
      <c r="H26" s="366">
        <f>0.1*A7</f>
        <v>1560000</v>
      </c>
      <c r="I26" s="366">
        <v>0</v>
      </c>
      <c r="J26" s="366">
        <f>C9</f>
        <v>1034481</v>
      </c>
      <c r="K26" s="400">
        <f>0.1*L26</f>
        <v>156000</v>
      </c>
      <c r="L26" s="400">
        <f>$H$26</f>
        <v>1560000</v>
      </c>
      <c r="M26" s="400">
        <f>0.1*N26</f>
        <v>103448.1</v>
      </c>
      <c r="N26" s="400">
        <f>$J$26</f>
        <v>1034481</v>
      </c>
      <c r="O26" s="400">
        <f>0.2*P26</f>
        <v>312000</v>
      </c>
      <c r="P26" s="400">
        <f>$H$26</f>
        <v>1560000</v>
      </c>
      <c r="Q26" s="400">
        <f>0.2*R26</f>
        <v>206896.2</v>
      </c>
      <c r="R26" s="400">
        <f>$J$26</f>
        <v>1034481</v>
      </c>
      <c r="S26" s="400">
        <f>0.3*T26</f>
        <v>468000</v>
      </c>
      <c r="T26" s="400">
        <f>$H$26</f>
        <v>1560000</v>
      </c>
      <c r="U26" s="400">
        <f>0.3*V26</f>
        <v>310344.3</v>
      </c>
      <c r="V26" s="400">
        <f>$J$26</f>
        <v>1034481</v>
      </c>
      <c r="W26" s="400">
        <f>0.4*X26</f>
        <v>624000</v>
      </c>
      <c r="X26" s="400">
        <f>$H$26</f>
        <v>1560000</v>
      </c>
      <c r="Y26" s="400">
        <f>0.4*Z26</f>
        <v>413792.4</v>
      </c>
      <c r="Z26" s="400">
        <f>$J$26</f>
        <v>1034481</v>
      </c>
      <c r="AA26" s="400">
        <f>0.6*AB26</f>
        <v>936000</v>
      </c>
      <c r="AB26" s="400">
        <f>$H$26</f>
        <v>1560000</v>
      </c>
      <c r="AC26" s="400">
        <f>0.6*AD26</f>
        <v>620688.6</v>
      </c>
      <c r="AD26" s="400">
        <f>$J$26</f>
        <v>1034481</v>
      </c>
      <c r="AE26" s="375">
        <f t="shared" ref="AE26" si="3">G26/AA26</f>
        <v>0</v>
      </c>
      <c r="AF26" s="375">
        <f t="shared" ref="AF26" si="4">AA26/AB26</f>
        <v>0.6</v>
      </c>
    </row>
    <row r="27" spans="1:32" ht="25.5" customHeight="1">
      <c r="E27" s="226"/>
      <c r="F27" s="227"/>
      <c r="G27" s="228"/>
      <c r="H27" s="224"/>
      <c r="I27" s="224"/>
      <c r="J27" s="224"/>
      <c r="K27" s="229"/>
      <c r="L27" s="224"/>
      <c r="M27" s="224"/>
      <c r="N27" s="230"/>
      <c r="O27" s="224"/>
      <c r="P27" s="224"/>
      <c r="Q27" s="224"/>
      <c r="R27" s="231"/>
      <c r="S27" s="224"/>
      <c r="T27" s="224"/>
      <c r="U27" s="224"/>
      <c r="V27" s="224"/>
      <c r="W27" s="224"/>
      <c r="X27" s="224"/>
      <c r="Y27" s="224"/>
      <c r="Z27" s="224"/>
      <c r="AA27" s="224"/>
      <c r="AB27" s="224"/>
      <c r="AC27" s="224"/>
      <c r="AD27" s="77" t="s">
        <v>24</v>
      </c>
      <c r="AE27" s="375">
        <f>AVERAGE(AE26)</f>
        <v>0</v>
      </c>
      <c r="AF27" s="375">
        <f>AVERAGE(AF26)</f>
        <v>0.6</v>
      </c>
    </row>
    <row r="28" spans="1:32">
      <c r="E28" s="226"/>
      <c r="F28" s="232" t="s">
        <v>40</v>
      </c>
      <c r="R28" s="225"/>
    </row>
    <row r="29" spans="1:32">
      <c r="R29" s="225"/>
    </row>
    <row r="30" spans="1:32">
      <c r="E30" s="222" t="s">
        <v>41</v>
      </c>
      <c r="F30" s="706" t="s">
        <v>42</v>
      </c>
      <c r="G30" s="706"/>
      <c r="H30" s="706"/>
      <c r="I30" s="706"/>
      <c r="J30" s="706"/>
      <c r="K30" s="706"/>
      <c r="L30" s="706"/>
      <c r="M30" s="706"/>
      <c r="N30" s="706"/>
      <c r="O30" s="706"/>
      <c r="P30" s="706"/>
      <c r="Q30" s="706"/>
      <c r="R30" s="706"/>
      <c r="S30" s="706"/>
      <c r="T30" s="706"/>
      <c r="U30" s="706"/>
      <c r="V30" s="706"/>
    </row>
    <row r="31" spans="1:32">
      <c r="E31" s="222" t="s">
        <v>43</v>
      </c>
      <c r="F31" s="706" t="s">
        <v>44</v>
      </c>
      <c r="G31" s="706"/>
      <c r="H31" s="706"/>
      <c r="I31" s="706"/>
      <c r="J31" s="706"/>
      <c r="K31" s="706"/>
      <c r="L31" s="706"/>
      <c r="M31" s="706"/>
      <c r="N31" s="706"/>
      <c r="O31" s="706"/>
      <c r="P31" s="706"/>
      <c r="Q31" s="706"/>
      <c r="R31" s="706"/>
      <c r="S31" s="706"/>
      <c r="T31" s="706"/>
      <c r="U31" s="706"/>
      <c r="V31" s="706"/>
    </row>
    <row r="32" spans="1:32">
      <c r="F32" s="706" t="s">
        <v>553</v>
      </c>
      <c r="G32" s="706"/>
      <c r="H32" s="706"/>
      <c r="I32" s="706"/>
      <c r="J32" s="706"/>
      <c r="K32" s="706"/>
      <c r="L32" s="706"/>
      <c r="M32" s="706"/>
      <c r="N32" s="706"/>
      <c r="O32" s="706"/>
      <c r="P32" s="706"/>
      <c r="Q32" s="706"/>
      <c r="R32" s="706"/>
      <c r="S32" s="706"/>
      <c r="T32" s="706"/>
      <c r="U32" s="706"/>
      <c r="V32" s="706"/>
    </row>
    <row r="33" spans="6:22" s="165" customFormat="1">
      <c r="F33" s="706" t="s">
        <v>554</v>
      </c>
      <c r="G33" s="706"/>
      <c r="H33" s="706"/>
      <c r="I33" s="706"/>
      <c r="J33" s="706"/>
      <c r="K33" s="706"/>
      <c r="L33" s="706"/>
      <c r="M33" s="706"/>
      <c r="N33" s="706"/>
      <c r="O33" s="706"/>
      <c r="P33" s="706"/>
      <c r="Q33" s="706"/>
      <c r="R33" s="706"/>
      <c r="S33" s="706"/>
      <c r="T33" s="706"/>
      <c r="U33" s="706"/>
      <c r="V33" s="706"/>
    </row>
    <row r="34" spans="6:22" s="165" customFormat="1">
      <c r="F34" s="706" t="s">
        <v>555</v>
      </c>
      <c r="G34" s="706"/>
      <c r="H34" s="706"/>
      <c r="I34" s="706"/>
      <c r="J34" s="706"/>
      <c r="K34" s="706"/>
      <c r="L34" s="706"/>
      <c r="M34" s="706"/>
      <c r="N34" s="706"/>
      <c r="O34" s="706"/>
      <c r="P34" s="706"/>
      <c r="Q34" s="706"/>
      <c r="R34" s="706"/>
      <c r="S34" s="706"/>
      <c r="T34" s="706"/>
      <c r="U34" s="706"/>
      <c r="V34" s="706"/>
    </row>
    <row r="35" spans="6:22" s="165" customFormat="1">
      <c r="F35" s="706" t="s">
        <v>556</v>
      </c>
      <c r="G35" s="706"/>
      <c r="H35" s="706"/>
      <c r="I35" s="706"/>
      <c r="J35" s="706"/>
      <c r="K35" s="706"/>
      <c r="L35" s="706"/>
      <c r="M35" s="706"/>
      <c r="N35" s="706"/>
      <c r="O35" s="706"/>
      <c r="P35" s="706"/>
      <c r="Q35" s="706"/>
      <c r="R35" s="706"/>
      <c r="S35" s="706"/>
      <c r="T35" s="706"/>
      <c r="U35" s="706"/>
      <c r="V35" s="706"/>
    </row>
    <row r="36" spans="6:22" s="165" customFormat="1">
      <c r="F36" s="706" t="s">
        <v>557</v>
      </c>
      <c r="G36" s="706"/>
      <c r="H36" s="706"/>
      <c r="I36" s="706"/>
      <c r="J36" s="706"/>
      <c r="K36" s="706"/>
      <c r="L36" s="706"/>
      <c r="M36" s="706"/>
      <c r="N36" s="706"/>
      <c r="O36" s="706"/>
      <c r="P36" s="706"/>
      <c r="Q36" s="706"/>
      <c r="R36" s="706"/>
      <c r="S36" s="706"/>
      <c r="T36" s="706"/>
      <c r="U36" s="706"/>
      <c r="V36" s="706"/>
    </row>
    <row r="37" spans="6:22" s="165" customFormat="1">
      <c r="F37" s="706" t="s">
        <v>558</v>
      </c>
      <c r="G37" s="706"/>
      <c r="H37" s="706"/>
      <c r="I37" s="706"/>
      <c r="J37" s="706"/>
      <c r="K37" s="706"/>
      <c r="L37" s="706"/>
      <c r="M37" s="706"/>
      <c r="N37" s="706"/>
      <c r="O37" s="706"/>
      <c r="P37" s="706"/>
      <c r="Q37" s="706"/>
      <c r="R37" s="706"/>
      <c r="S37" s="706"/>
      <c r="T37" s="706"/>
      <c r="U37" s="706"/>
      <c r="V37" s="706"/>
    </row>
  </sheetData>
  <mergeCells count="34">
    <mergeCell ref="F36:V36"/>
    <mergeCell ref="F37:V37"/>
    <mergeCell ref="F30:V30"/>
    <mergeCell ref="F31:V31"/>
    <mergeCell ref="F32:V32"/>
    <mergeCell ref="F33:V33"/>
    <mergeCell ref="F34:V34"/>
    <mergeCell ref="F35:V35"/>
    <mergeCell ref="AF22:AF24"/>
    <mergeCell ref="K23:N23"/>
    <mergeCell ref="O23:R23"/>
    <mergeCell ref="S23:V23"/>
    <mergeCell ref="W23:Z23"/>
    <mergeCell ref="AA23:AD23"/>
    <mergeCell ref="AE22:AE24"/>
    <mergeCell ref="E21:AD21"/>
    <mergeCell ref="E22:E24"/>
    <mergeCell ref="F22:F24"/>
    <mergeCell ref="G22:J23"/>
    <mergeCell ref="K22:AD22"/>
    <mergeCell ref="AE3:AE5"/>
    <mergeCell ref="AF3:AF5"/>
    <mergeCell ref="K4:N4"/>
    <mergeCell ref="O4:R4"/>
    <mergeCell ref="S4:V4"/>
    <mergeCell ref="W4:Z4"/>
    <mergeCell ref="AA4:AD4"/>
    <mergeCell ref="E1:I1"/>
    <mergeCell ref="J1:V1"/>
    <mergeCell ref="E2:AD2"/>
    <mergeCell ref="E3:E5"/>
    <mergeCell ref="F3:F5"/>
    <mergeCell ref="G3:J4"/>
    <mergeCell ref="K3:A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AB60"/>
  <sheetViews>
    <sheetView topLeftCell="F1" workbookViewId="0">
      <selection activeCell="B25" sqref="B24:R25"/>
    </sheetView>
  </sheetViews>
  <sheetFormatPr defaultRowHeight="15"/>
  <cols>
    <col min="1" max="1" width="5" style="188" customWidth="1"/>
    <col min="2" max="2" width="15.85546875" style="188" customWidth="1"/>
    <col min="3" max="6" width="7.7109375" style="188" customWidth="1"/>
    <col min="7" max="17" width="7" style="188" customWidth="1"/>
    <col min="18" max="18" width="7.42578125" style="188" customWidth="1"/>
    <col min="19" max="26" width="7" style="188" customWidth="1"/>
    <col min="27" max="16384" width="9.140625" style="188"/>
  </cols>
  <sheetData>
    <row r="1" spans="1:28" s="1" customFormat="1" ht="30" customHeight="1">
      <c r="A1" s="529" t="s">
        <v>0</v>
      </c>
      <c r="B1" s="529"/>
      <c r="C1" s="529"/>
      <c r="D1" s="529"/>
      <c r="E1" s="529"/>
      <c r="F1" s="707" t="s">
        <v>559</v>
      </c>
      <c r="G1" s="707"/>
      <c r="H1" s="707"/>
      <c r="I1" s="707"/>
      <c r="J1" s="707"/>
      <c r="K1" s="707"/>
      <c r="L1" s="707"/>
      <c r="M1" s="707"/>
      <c r="N1" s="707"/>
      <c r="O1" s="707"/>
      <c r="P1" s="707"/>
      <c r="Q1" s="707"/>
      <c r="R1" s="707"/>
      <c r="S1" s="707"/>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8</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6"/>
      <c r="AB4" s="633"/>
    </row>
    <row r="5" spans="1:28" ht="13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7"/>
      <c r="AB5" s="634"/>
    </row>
    <row r="6" spans="1:28" ht="76.5">
      <c r="A6" s="6" t="s">
        <v>20</v>
      </c>
      <c r="B6" s="6" t="s">
        <v>560</v>
      </c>
      <c r="C6" s="6">
        <v>0</v>
      </c>
      <c r="D6" s="6">
        <v>0</v>
      </c>
      <c r="E6" s="6">
        <v>0</v>
      </c>
      <c r="F6" s="6">
        <v>0</v>
      </c>
      <c r="G6" s="6">
        <v>50000</v>
      </c>
      <c r="H6" s="6">
        <v>50000</v>
      </c>
      <c r="I6" s="6">
        <v>16000</v>
      </c>
      <c r="J6" s="6">
        <v>16000</v>
      </c>
      <c r="K6" s="6">
        <v>51000</v>
      </c>
      <c r="L6" s="6">
        <v>51000</v>
      </c>
      <c r="M6" s="6">
        <v>16200</v>
      </c>
      <c r="N6" s="6">
        <v>16200</v>
      </c>
      <c r="O6" s="6">
        <v>52000</v>
      </c>
      <c r="P6" s="6">
        <v>52000</v>
      </c>
      <c r="Q6" s="6">
        <v>16400</v>
      </c>
      <c r="R6" s="6">
        <v>16400</v>
      </c>
      <c r="S6" s="6">
        <v>53000</v>
      </c>
      <c r="T6" s="6">
        <v>53000</v>
      </c>
      <c r="U6" s="6">
        <v>16600</v>
      </c>
      <c r="V6" s="6">
        <v>16600</v>
      </c>
      <c r="W6" s="6">
        <v>54000</v>
      </c>
      <c r="X6" s="6">
        <v>54000</v>
      </c>
      <c r="Y6" s="6">
        <v>16600</v>
      </c>
      <c r="Z6" s="6">
        <v>16600</v>
      </c>
      <c r="AA6" s="213">
        <f>C6/W6</f>
        <v>0</v>
      </c>
      <c r="AB6" s="213">
        <f>W6/X6</f>
        <v>1</v>
      </c>
    </row>
    <row r="7" spans="1:28" ht="25.5">
      <c r="A7" s="6" t="s">
        <v>22</v>
      </c>
      <c r="B7" s="6" t="s">
        <v>561</v>
      </c>
      <c r="C7" s="6">
        <v>0</v>
      </c>
      <c r="D7" s="6">
        <v>0</v>
      </c>
      <c r="E7" s="6">
        <v>0</v>
      </c>
      <c r="F7" s="6">
        <v>0</v>
      </c>
      <c r="G7" s="6">
        <v>3000</v>
      </c>
      <c r="H7" s="6">
        <v>3000</v>
      </c>
      <c r="I7" s="6">
        <v>1000</v>
      </c>
      <c r="J7" s="6">
        <v>1000</v>
      </c>
      <c r="K7" s="6">
        <v>3500</v>
      </c>
      <c r="L7" s="6">
        <v>3500</v>
      </c>
      <c r="M7" s="6">
        <v>1200</v>
      </c>
      <c r="N7" s="6">
        <v>1200</v>
      </c>
      <c r="O7" s="6">
        <v>4000</v>
      </c>
      <c r="P7" s="6">
        <v>4000</v>
      </c>
      <c r="Q7" s="6">
        <v>1400</v>
      </c>
      <c r="R7" s="6">
        <v>1400</v>
      </c>
      <c r="S7" s="6">
        <v>4500</v>
      </c>
      <c r="T7" s="6">
        <v>4500</v>
      </c>
      <c r="U7" s="6">
        <v>1600</v>
      </c>
      <c r="V7" s="6">
        <v>1600</v>
      </c>
      <c r="W7" s="6">
        <v>5000</v>
      </c>
      <c r="X7" s="6">
        <v>5000</v>
      </c>
      <c r="Y7" s="6">
        <v>1800</v>
      </c>
      <c r="Z7" s="6">
        <v>1800</v>
      </c>
      <c r="AA7" s="213">
        <f t="shared" ref="AA7:AA14" si="0">C7/W7</f>
        <v>0</v>
      </c>
      <c r="AB7" s="213">
        <f t="shared" ref="AB7:AB14" si="1">W7/X7</f>
        <v>1</v>
      </c>
    </row>
    <row r="8" spans="1:28" ht="38.25">
      <c r="A8" s="6" t="s">
        <v>61</v>
      </c>
      <c r="B8" s="6" t="s">
        <v>562</v>
      </c>
      <c r="C8" s="6">
        <v>0</v>
      </c>
      <c r="D8" s="6">
        <v>0</v>
      </c>
      <c r="E8" s="6">
        <v>0</v>
      </c>
      <c r="F8" s="6">
        <v>0</v>
      </c>
      <c r="G8" s="6">
        <v>300</v>
      </c>
      <c r="H8" s="6">
        <v>300</v>
      </c>
      <c r="I8" s="6">
        <v>200</v>
      </c>
      <c r="J8" s="6">
        <v>200</v>
      </c>
      <c r="K8" s="6">
        <v>350</v>
      </c>
      <c r="L8" s="6">
        <v>350</v>
      </c>
      <c r="M8" s="6">
        <v>250</v>
      </c>
      <c r="N8" s="6">
        <v>250</v>
      </c>
      <c r="O8" s="6">
        <v>400</v>
      </c>
      <c r="P8" s="6">
        <v>400</v>
      </c>
      <c r="Q8" s="6">
        <v>300</v>
      </c>
      <c r="R8" s="6">
        <v>300</v>
      </c>
      <c r="S8" s="6">
        <v>450</v>
      </c>
      <c r="T8" s="6">
        <v>450</v>
      </c>
      <c r="U8" s="6">
        <v>350</v>
      </c>
      <c r="V8" s="6">
        <v>350</v>
      </c>
      <c r="W8" s="6">
        <v>500</v>
      </c>
      <c r="X8" s="6">
        <v>500</v>
      </c>
      <c r="Y8" s="6">
        <v>400</v>
      </c>
      <c r="Z8" s="6">
        <v>400</v>
      </c>
      <c r="AA8" s="213">
        <f t="shared" si="0"/>
        <v>0</v>
      </c>
      <c r="AB8" s="213">
        <f t="shared" si="1"/>
        <v>1</v>
      </c>
    </row>
    <row r="9" spans="1:28" ht="25.5">
      <c r="A9" s="6" t="s">
        <v>63</v>
      </c>
      <c r="B9" s="6" t="s">
        <v>563</v>
      </c>
      <c r="C9" s="6">
        <v>236</v>
      </c>
      <c r="D9" s="6">
        <v>236</v>
      </c>
      <c r="E9" s="6">
        <v>183</v>
      </c>
      <c r="F9" s="6">
        <v>183</v>
      </c>
      <c r="G9" s="6">
        <v>250</v>
      </c>
      <c r="H9" s="6">
        <v>250</v>
      </c>
      <c r="I9" s="6">
        <v>190</v>
      </c>
      <c r="J9" s="6">
        <v>190</v>
      </c>
      <c r="K9" s="6">
        <v>260</v>
      </c>
      <c r="L9" s="6">
        <v>260</v>
      </c>
      <c r="M9" s="6">
        <v>195</v>
      </c>
      <c r="N9" s="6">
        <v>195</v>
      </c>
      <c r="O9" s="6">
        <v>270</v>
      </c>
      <c r="P9" s="6">
        <v>270</v>
      </c>
      <c r="Q9" s="6">
        <v>200</v>
      </c>
      <c r="R9" s="6">
        <v>200</v>
      </c>
      <c r="S9" s="6">
        <v>270</v>
      </c>
      <c r="T9" s="6">
        <v>270</v>
      </c>
      <c r="U9" s="6">
        <v>205</v>
      </c>
      <c r="V9" s="6">
        <v>205</v>
      </c>
      <c r="W9" s="6">
        <v>280</v>
      </c>
      <c r="X9" s="6">
        <v>280</v>
      </c>
      <c r="Y9" s="6">
        <v>210</v>
      </c>
      <c r="Z9" s="6">
        <v>210</v>
      </c>
      <c r="AA9" s="213">
        <f t="shared" si="0"/>
        <v>0.84285714285714286</v>
      </c>
      <c r="AB9" s="213">
        <f t="shared" si="1"/>
        <v>1</v>
      </c>
    </row>
    <row r="10" spans="1:28" ht="76.5">
      <c r="A10" s="6" t="s">
        <v>136</v>
      </c>
      <c r="B10" s="6" t="s">
        <v>564</v>
      </c>
      <c r="C10" s="6">
        <v>0</v>
      </c>
      <c r="D10" s="6">
        <v>0</v>
      </c>
      <c r="E10" s="6">
        <v>0</v>
      </c>
      <c r="F10" s="6">
        <v>0</v>
      </c>
      <c r="G10" s="6">
        <v>300</v>
      </c>
      <c r="H10" s="6">
        <v>300</v>
      </c>
      <c r="I10" s="6">
        <v>200</v>
      </c>
      <c r="J10" s="6">
        <v>200</v>
      </c>
      <c r="K10" s="6">
        <v>350</v>
      </c>
      <c r="L10" s="6">
        <v>350</v>
      </c>
      <c r="M10" s="6">
        <v>250</v>
      </c>
      <c r="N10" s="6">
        <v>250</v>
      </c>
      <c r="O10" s="6">
        <v>400</v>
      </c>
      <c r="P10" s="6">
        <v>400</v>
      </c>
      <c r="Q10" s="6">
        <v>300</v>
      </c>
      <c r="R10" s="6">
        <v>300</v>
      </c>
      <c r="S10" s="6">
        <v>450</v>
      </c>
      <c r="T10" s="6">
        <v>450</v>
      </c>
      <c r="U10" s="6">
        <v>350</v>
      </c>
      <c r="V10" s="6">
        <v>350</v>
      </c>
      <c r="W10" s="6">
        <v>500</v>
      </c>
      <c r="X10" s="6">
        <v>500</v>
      </c>
      <c r="Y10" s="6">
        <v>400</v>
      </c>
      <c r="Z10" s="6">
        <v>400</v>
      </c>
      <c r="AA10" s="213">
        <f t="shared" si="0"/>
        <v>0</v>
      </c>
      <c r="AB10" s="213">
        <f t="shared" si="1"/>
        <v>1</v>
      </c>
    </row>
    <row r="11" spans="1:28" ht="51">
      <c r="A11" s="6" t="s">
        <v>155</v>
      </c>
      <c r="B11" s="6" t="s">
        <v>565</v>
      </c>
      <c r="C11" s="6">
        <v>0</v>
      </c>
      <c r="D11" s="6">
        <v>0</v>
      </c>
      <c r="E11" s="6">
        <v>0</v>
      </c>
      <c r="F11" s="6">
        <v>0</v>
      </c>
      <c r="G11" s="6">
        <v>300</v>
      </c>
      <c r="H11" s="6">
        <v>300</v>
      </c>
      <c r="I11" s="6">
        <v>200</v>
      </c>
      <c r="J11" s="6">
        <v>200</v>
      </c>
      <c r="K11" s="6">
        <v>350</v>
      </c>
      <c r="L11" s="6">
        <v>350</v>
      </c>
      <c r="M11" s="6">
        <v>250</v>
      </c>
      <c r="N11" s="6">
        <v>250</v>
      </c>
      <c r="O11" s="6">
        <v>400</v>
      </c>
      <c r="P11" s="6">
        <v>400</v>
      </c>
      <c r="Q11" s="6">
        <v>300</v>
      </c>
      <c r="R11" s="6">
        <v>300</v>
      </c>
      <c r="S11" s="6">
        <v>450</v>
      </c>
      <c r="T11" s="6">
        <v>450</v>
      </c>
      <c r="U11" s="6">
        <v>350</v>
      </c>
      <c r="V11" s="6">
        <v>350</v>
      </c>
      <c r="W11" s="6">
        <v>500</v>
      </c>
      <c r="X11" s="6">
        <v>500</v>
      </c>
      <c r="Y11" s="6">
        <v>400</v>
      </c>
      <c r="Z11" s="6">
        <v>400</v>
      </c>
      <c r="AA11" s="213">
        <f t="shared" si="0"/>
        <v>0</v>
      </c>
      <c r="AB11" s="213">
        <f t="shared" si="1"/>
        <v>1</v>
      </c>
    </row>
    <row r="12" spans="1:28" ht="51">
      <c r="A12" s="6" t="s">
        <v>159</v>
      </c>
      <c r="B12" s="6" t="s">
        <v>566</v>
      </c>
      <c r="C12" s="6">
        <v>0</v>
      </c>
      <c r="D12" s="6">
        <v>0</v>
      </c>
      <c r="E12" s="6">
        <v>0</v>
      </c>
      <c r="F12" s="6">
        <v>0</v>
      </c>
      <c r="G12" s="6">
        <v>300</v>
      </c>
      <c r="H12" s="6">
        <v>300</v>
      </c>
      <c r="I12" s="6">
        <v>20</v>
      </c>
      <c r="J12" s="6">
        <v>20</v>
      </c>
      <c r="K12" s="6">
        <v>400</v>
      </c>
      <c r="L12" s="6">
        <v>400</v>
      </c>
      <c r="M12" s="6">
        <v>30</v>
      </c>
      <c r="N12" s="6">
        <v>30</v>
      </c>
      <c r="O12" s="6">
        <v>500</v>
      </c>
      <c r="P12" s="6">
        <v>500</v>
      </c>
      <c r="Q12" s="6">
        <v>40</v>
      </c>
      <c r="R12" s="6">
        <v>40</v>
      </c>
      <c r="S12" s="6">
        <v>600</v>
      </c>
      <c r="T12" s="6">
        <v>600</v>
      </c>
      <c r="U12" s="6">
        <v>50</v>
      </c>
      <c r="V12" s="6">
        <v>50</v>
      </c>
      <c r="W12" s="6">
        <v>700</v>
      </c>
      <c r="X12" s="6">
        <v>700</v>
      </c>
      <c r="Y12" s="6">
        <v>60</v>
      </c>
      <c r="Z12" s="6">
        <v>60</v>
      </c>
      <c r="AA12" s="213">
        <f t="shared" si="0"/>
        <v>0</v>
      </c>
      <c r="AB12" s="213">
        <f t="shared" si="1"/>
        <v>1</v>
      </c>
    </row>
    <row r="13" spans="1:28" ht="38.25">
      <c r="A13" s="6" t="s">
        <v>244</v>
      </c>
      <c r="B13" s="6" t="s">
        <v>567</v>
      </c>
      <c r="C13" s="6">
        <v>0</v>
      </c>
      <c r="D13" s="6">
        <v>0</v>
      </c>
      <c r="E13" s="6">
        <v>0</v>
      </c>
      <c r="F13" s="6">
        <v>0</v>
      </c>
      <c r="G13" s="6">
        <v>6612</v>
      </c>
      <c r="H13" s="6">
        <v>6612</v>
      </c>
      <c r="I13" s="6">
        <v>4872</v>
      </c>
      <c r="J13" s="6">
        <v>4872</v>
      </c>
      <c r="K13" s="6">
        <v>7000</v>
      </c>
      <c r="L13" s="6">
        <v>7000</v>
      </c>
      <c r="M13" s="6">
        <v>5000</v>
      </c>
      <c r="N13" s="6">
        <v>5000</v>
      </c>
      <c r="O13" s="6">
        <v>7500</v>
      </c>
      <c r="P13" s="6">
        <v>7500</v>
      </c>
      <c r="Q13" s="6">
        <v>5200</v>
      </c>
      <c r="R13" s="6">
        <v>5200</v>
      </c>
      <c r="S13" s="6">
        <v>8000</v>
      </c>
      <c r="T13" s="6">
        <v>8000</v>
      </c>
      <c r="U13" s="6">
        <v>5400</v>
      </c>
      <c r="V13" s="6">
        <v>5400</v>
      </c>
      <c r="W13" s="6">
        <v>8500</v>
      </c>
      <c r="X13" s="6">
        <v>8500</v>
      </c>
      <c r="Y13" s="6">
        <v>5600</v>
      </c>
      <c r="Z13" s="6">
        <v>5600</v>
      </c>
      <c r="AA13" s="213">
        <f t="shared" si="0"/>
        <v>0</v>
      </c>
      <c r="AB13" s="213">
        <f t="shared" si="1"/>
        <v>1</v>
      </c>
    </row>
    <row r="14" spans="1:28" ht="38.25">
      <c r="A14" s="6" t="s">
        <v>219</v>
      </c>
      <c r="B14" s="6" t="s">
        <v>568</v>
      </c>
      <c r="C14" s="6">
        <v>0</v>
      </c>
      <c r="D14" s="6">
        <v>0</v>
      </c>
      <c r="E14" s="6">
        <v>0</v>
      </c>
      <c r="F14" s="6">
        <v>0</v>
      </c>
      <c r="G14" s="6">
        <v>300</v>
      </c>
      <c r="H14" s="6">
        <v>300</v>
      </c>
      <c r="I14" s="6">
        <v>50</v>
      </c>
      <c r="J14" s="6">
        <v>50</v>
      </c>
      <c r="K14" s="6">
        <v>400</v>
      </c>
      <c r="L14" s="6">
        <v>400</v>
      </c>
      <c r="M14" s="6">
        <v>75</v>
      </c>
      <c r="N14" s="6">
        <v>75</v>
      </c>
      <c r="O14" s="6">
        <v>500</v>
      </c>
      <c r="P14" s="6">
        <v>500</v>
      </c>
      <c r="Q14" s="6">
        <v>100</v>
      </c>
      <c r="R14" s="6">
        <v>100</v>
      </c>
      <c r="S14" s="6">
        <v>600</v>
      </c>
      <c r="T14" s="6">
        <v>600</v>
      </c>
      <c r="U14" s="6">
        <v>125</v>
      </c>
      <c r="V14" s="6">
        <v>125</v>
      </c>
      <c r="W14" s="6">
        <v>700</v>
      </c>
      <c r="X14" s="6">
        <v>700</v>
      </c>
      <c r="Y14" s="6">
        <v>150</v>
      </c>
      <c r="Z14" s="6">
        <v>150</v>
      </c>
      <c r="AA14" s="213">
        <f t="shared" si="0"/>
        <v>0</v>
      </c>
      <c r="AB14" s="213">
        <f t="shared" si="1"/>
        <v>1</v>
      </c>
    </row>
    <row r="15" spans="1:28">
      <c r="Z15" s="42" t="s">
        <v>24</v>
      </c>
      <c r="AA15" s="213">
        <f>AVERAGE(AA6:AA14)</f>
        <v>9.3650793650793651E-2</v>
      </c>
      <c r="AB15" s="213">
        <f>AVERAGE(AB6:AB14)</f>
        <v>1</v>
      </c>
    </row>
    <row r="16" spans="1:28" ht="23.25">
      <c r="A16" s="514" t="s">
        <v>25</v>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row>
    <row r="17" spans="1:28">
      <c r="A17" s="515" t="s">
        <v>3</v>
      </c>
      <c r="B17" s="518" t="s">
        <v>26</v>
      </c>
      <c r="C17" s="521" t="s">
        <v>139</v>
      </c>
      <c r="D17" s="522"/>
      <c r="E17" s="522"/>
      <c r="F17" s="523"/>
      <c r="G17" s="513" t="s">
        <v>28</v>
      </c>
      <c r="H17" s="513"/>
      <c r="I17" s="513"/>
      <c r="J17" s="513"/>
      <c r="K17" s="513"/>
      <c r="L17" s="513"/>
      <c r="M17" s="513"/>
      <c r="N17" s="513"/>
      <c r="O17" s="513"/>
      <c r="P17" s="513"/>
      <c r="Q17" s="513"/>
      <c r="R17" s="513"/>
      <c r="S17" s="513"/>
      <c r="T17" s="513"/>
      <c r="U17" s="513"/>
      <c r="V17" s="513"/>
      <c r="W17" s="513"/>
      <c r="X17" s="513"/>
      <c r="Y17" s="513"/>
      <c r="Z17" s="513"/>
      <c r="AA17" s="562" t="s">
        <v>29</v>
      </c>
      <c r="AB17" s="635" t="s">
        <v>30</v>
      </c>
    </row>
    <row r="18" spans="1:28">
      <c r="A18" s="516"/>
      <c r="B18" s="519"/>
      <c r="C18" s="524"/>
      <c r="D18" s="525"/>
      <c r="E18" s="525"/>
      <c r="F18" s="526"/>
      <c r="G18" s="513" t="s">
        <v>9</v>
      </c>
      <c r="H18" s="513"/>
      <c r="I18" s="513"/>
      <c r="J18" s="513"/>
      <c r="K18" s="513" t="s">
        <v>10</v>
      </c>
      <c r="L18" s="513"/>
      <c r="M18" s="513"/>
      <c r="N18" s="513"/>
      <c r="O18" s="513" t="s">
        <v>11</v>
      </c>
      <c r="P18" s="513"/>
      <c r="Q18" s="513"/>
      <c r="R18" s="513"/>
      <c r="S18" s="513" t="s">
        <v>12</v>
      </c>
      <c r="T18" s="513"/>
      <c r="U18" s="513"/>
      <c r="V18" s="513"/>
      <c r="W18" s="513" t="s">
        <v>13</v>
      </c>
      <c r="X18" s="513"/>
      <c r="Y18" s="513"/>
      <c r="Z18" s="513"/>
      <c r="AA18" s="563"/>
      <c r="AB18" s="636"/>
    </row>
    <row r="19" spans="1:28" ht="74.25">
      <c r="A19" s="517"/>
      <c r="B19" s="520"/>
      <c r="C19" s="5" t="s">
        <v>140</v>
      </c>
      <c r="D19" s="5" t="s">
        <v>32</v>
      </c>
      <c r="E19" s="5" t="s">
        <v>33</v>
      </c>
      <c r="F19" s="5" t="s">
        <v>131</v>
      </c>
      <c r="G19" s="5" t="s">
        <v>34</v>
      </c>
      <c r="H19" s="5" t="s">
        <v>32</v>
      </c>
      <c r="I19" s="5" t="s">
        <v>33</v>
      </c>
      <c r="J19" s="5" t="s">
        <v>19</v>
      </c>
      <c r="K19" s="5" t="s">
        <v>34</v>
      </c>
      <c r="L19" s="5" t="s">
        <v>32</v>
      </c>
      <c r="M19" s="5" t="s">
        <v>33</v>
      </c>
      <c r="N19" s="5" t="s">
        <v>19</v>
      </c>
      <c r="O19" s="5" t="s">
        <v>34</v>
      </c>
      <c r="P19" s="5" t="s">
        <v>32</v>
      </c>
      <c r="Q19" s="5" t="s">
        <v>33</v>
      </c>
      <c r="R19" s="5" t="s">
        <v>19</v>
      </c>
      <c r="S19" s="5" t="s">
        <v>34</v>
      </c>
      <c r="T19" s="5" t="s">
        <v>32</v>
      </c>
      <c r="U19" s="5" t="s">
        <v>33</v>
      </c>
      <c r="V19" s="5" t="s">
        <v>19</v>
      </c>
      <c r="W19" s="5" t="s">
        <v>34</v>
      </c>
      <c r="X19" s="5" t="s">
        <v>32</v>
      </c>
      <c r="Y19" s="5" t="s">
        <v>33</v>
      </c>
      <c r="Z19" s="5" t="s">
        <v>19</v>
      </c>
      <c r="AA19" s="564"/>
      <c r="AB19" s="637"/>
    </row>
    <row r="20" spans="1:28" ht="25.5">
      <c r="A20" s="6" t="s">
        <v>20</v>
      </c>
      <c r="B20" s="6" t="s">
        <v>569</v>
      </c>
      <c r="C20" s="6"/>
      <c r="D20" s="6"/>
      <c r="E20" s="6"/>
      <c r="F20" s="6"/>
      <c r="G20" s="6"/>
      <c r="H20" s="6"/>
      <c r="I20" s="6"/>
      <c r="J20" s="6"/>
      <c r="K20" s="6"/>
      <c r="L20" s="6"/>
      <c r="M20" s="6"/>
      <c r="N20" s="6"/>
      <c r="O20" s="6"/>
      <c r="P20" s="6"/>
      <c r="Q20" s="6"/>
      <c r="R20" s="6"/>
      <c r="S20" s="6"/>
      <c r="T20" s="6"/>
      <c r="U20" s="6"/>
      <c r="V20" s="6"/>
      <c r="W20" s="6"/>
      <c r="X20" s="6"/>
      <c r="Y20" s="6"/>
      <c r="Z20" s="6"/>
      <c r="AA20" s="87"/>
      <c r="AB20" s="87"/>
    </row>
    <row r="21" spans="1:28">
      <c r="A21" s="6" t="s">
        <v>36</v>
      </c>
      <c r="B21" s="6" t="s">
        <v>570</v>
      </c>
      <c r="C21" s="6">
        <v>0</v>
      </c>
      <c r="D21" s="6">
        <v>0</v>
      </c>
      <c r="E21" s="6">
        <v>0</v>
      </c>
      <c r="F21" s="6">
        <v>0</v>
      </c>
      <c r="G21" s="6">
        <v>25000</v>
      </c>
      <c r="H21" s="6">
        <v>25000</v>
      </c>
      <c r="I21" s="6">
        <v>16000</v>
      </c>
      <c r="J21" s="6">
        <v>16000</v>
      </c>
      <c r="K21" s="6">
        <v>25500</v>
      </c>
      <c r="L21" s="6">
        <v>25500</v>
      </c>
      <c r="M21" s="6">
        <v>16200</v>
      </c>
      <c r="N21" s="6">
        <v>16200</v>
      </c>
      <c r="O21" s="6">
        <v>26000</v>
      </c>
      <c r="P21" s="6">
        <v>26000</v>
      </c>
      <c r="Q21" s="6">
        <v>16400</v>
      </c>
      <c r="R21" s="6">
        <v>16400</v>
      </c>
      <c r="S21" s="6">
        <v>26500</v>
      </c>
      <c r="T21" s="6">
        <v>26500</v>
      </c>
      <c r="U21" s="6">
        <v>16600</v>
      </c>
      <c r="V21" s="6">
        <v>16600</v>
      </c>
      <c r="W21" s="6">
        <v>27000</v>
      </c>
      <c r="X21" s="6">
        <v>27000</v>
      </c>
      <c r="Y21" s="6">
        <v>16600</v>
      </c>
      <c r="Z21" s="6">
        <v>16600</v>
      </c>
      <c r="AA21" s="213">
        <f>C21/W21</f>
        <v>0</v>
      </c>
      <c r="AB21" s="213">
        <f>W21/X21</f>
        <v>1</v>
      </c>
    </row>
    <row r="22" spans="1:28" ht="25.5">
      <c r="A22" s="6" t="s">
        <v>22</v>
      </c>
      <c r="B22" s="6" t="s">
        <v>561</v>
      </c>
      <c r="C22" s="6"/>
      <c r="D22" s="6"/>
      <c r="E22" s="6"/>
      <c r="F22" s="6"/>
      <c r="G22" s="6"/>
      <c r="H22" s="6"/>
      <c r="I22" s="6"/>
      <c r="J22" s="6"/>
      <c r="K22" s="6"/>
      <c r="L22" s="6"/>
      <c r="M22" s="6"/>
      <c r="N22" s="6"/>
      <c r="O22" s="6"/>
      <c r="P22" s="6"/>
      <c r="Q22" s="6"/>
      <c r="R22" s="6"/>
      <c r="S22" s="6"/>
      <c r="T22" s="6"/>
      <c r="U22" s="6"/>
      <c r="V22" s="6"/>
      <c r="W22" s="6"/>
      <c r="X22" s="6"/>
      <c r="Y22" s="6"/>
      <c r="Z22" s="6"/>
      <c r="AA22" s="213"/>
      <c r="AB22" s="213"/>
    </row>
    <row r="23" spans="1:28">
      <c r="A23" s="6" t="s">
        <v>144</v>
      </c>
      <c r="B23" s="6" t="s">
        <v>571</v>
      </c>
      <c r="C23" s="6">
        <v>0</v>
      </c>
      <c r="D23" s="6">
        <v>0</v>
      </c>
      <c r="E23" s="6">
        <v>0</v>
      </c>
      <c r="F23" s="6">
        <v>0</v>
      </c>
      <c r="G23" s="6">
        <v>3000</v>
      </c>
      <c r="H23" s="6">
        <v>3000</v>
      </c>
      <c r="I23" s="6">
        <v>1000</v>
      </c>
      <c r="J23" s="6">
        <v>1000</v>
      </c>
      <c r="K23" s="6">
        <v>3500</v>
      </c>
      <c r="L23" s="6">
        <v>3500</v>
      </c>
      <c r="M23" s="6">
        <v>1200</v>
      </c>
      <c r="N23" s="6">
        <v>1200</v>
      </c>
      <c r="O23" s="6">
        <v>4000</v>
      </c>
      <c r="P23" s="6">
        <v>4000</v>
      </c>
      <c r="Q23" s="6">
        <v>1400</v>
      </c>
      <c r="R23" s="6">
        <v>1400</v>
      </c>
      <c r="S23" s="6">
        <v>4500</v>
      </c>
      <c r="T23" s="6">
        <v>4500</v>
      </c>
      <c r="U23" s="6">
        <v>1600</v>
      </c>
      <c r="V23" s="6">
        <v>1600</v>
      </c>
      <c r="W23" s="6">
        <v>5000</v>
      </c>
      <c r="X23" s="6">
        <v>5000</v>
      </c>
      <c r="Y23" s="6">
        <v>1800</v>
      </c>
      <c r="Z23" s="6">
        <v>1800</v>
      </c>
      <c r="AA23" s="213">
        <f t="shared" ref="AA23:AA45" si="2">C23/W23</f>
        <v>0</v>
      </c>
      <c r="AB23" s="213">
        <f t="shared" ref="AB23:AB45" si="3">W23/X23</f>
        <v>1</v>
      </c>
    </row>
    <row r="24" spans="1:28" ht="38.25">
      <c r="A24" s="6" t="s">
        <v>61</v>
      </c>
      <c r="B24" s="6" t="s">
        <v>562</v>
      </c>
      <c r="C24" s="6"/>
      <c r="D24" s="6"/>
      <c r="E24" s="6"/>
      <c r="F24" s="6"/>
      <c r="G24" s="6"/>
      <c r="H24" s="6"/>
      <c r="I24" s="6"/>
      <c r="J24" s="6"/>
      <c r="K24" s="6"/>
      <c r="L24" s="6"/>
      <c r="M24" s="6"/>
      <c r="N24" s="6"/>
      <c r="O24" s="6"/>
      <c r="P24" s="6"/>
      <c r="Q24" s="6"/>
      <c r="R24" s="6"/>
      <c r="S24" s="6"/>
      <c r="T24" s="6"/>
      <c r="U24" s="6"/>
      <c r="V24" s="6"/>
      <c r="W24" s="6"/>
      <c r="X24" s="6"/>
      <c r="Y24" s="6"/>
      <c r="Z24" s="6"/>
      <c r="AA24" s="213"/>
      <c r="AB24" s="213"/>
    </row>
    <row r="25" spans="1:28">
      <c r="A25" s="6" t="s">
        <v>147</v>
      </c>
      <c r="B25" s="6" t="s">
        <v>571</v>
      </c>
      <c r="C25" s="6">
        <v>0</v>
      </c>
      <c r="D25" s="6">
        <v>0</v>
      </c>
      <c r="E25" s="6">
        <v>0</v>
      </c>
      <c r="F25" s="6">
        <v>0</v>
      </c>
      <c r="G25" s="6">
        <v>300</v>
      </c>
      <c r="H25" s="6">
        <v>300</v>
      </c>
      <c r="I25" s="6">
        <v>200</v>
      </c>
      <c r="J25" s="6">
        <v>200</v>
      </c>
      <c r="K25" s="6">
        <v>350</v>
      </c>
      <c r="L25" s="6">
        <v>350</v>
      </c>
      <c r="M25" s="6">
        <v>250</v>
      </c>
      <c r="N25" s="6">
        <v>250</v>
      </c>
      <c r="O25" s="6">
        <v>400</v>
      </c>
      <c r="P25" s="6">
        <v>400</v>
      </c>
      <c r="Q25" s="6">
        <v>300</v>
      </c>
      <c r="R25" s="6">
        <v>300</v>
      </c>
      <c r="S25" s="6">
        <v>450</v>
      </c>
      <c r="T25" s="6">
        <v>450</v>
      </c>
      <c r="U25" s="6">
        <v>350</v>
      </c>
      <c r="V25" s="6">
        <v>350</v>
      </c>
      <c r="W25" s="6">
        <v>500</v>
      </c>
      <c r="X25" s="6">
        <v>500</v>
      </c>
      <c r="Y25" s="6">
        <v>400</v>
      </c>
      <c r="Z25" s="6">
        <v>400</v>
      </c>
      <c r="AA25" s="213">
        <f t="shared" si="2"/>
        <v>0</v>
      </c>
      <c r="AB25" s="213">
        <f t="shared" si="3"/>
        <v>1</v>
      </c>
    </row>
    <row r="26" spans="1:28" ht="51">
      <c r="A26" s="6" t="s">
        <v>63</v>
      </c>
      <c r="B26" s="6" t="s">
        <v>572</v>
      </c>
      <c r="C26" s="6"/>
      <c r="D26" s="6"/>
      <c r="E26" s="6"/>
      <c r="F26" s="6"/>
      <c r="G26" s="6"/>
      <c r="H26" s="6"/>
      <c r="I26" s="6"/>
      <c r="J26" s="6"/>
      <c r="K26" s="6"/>
      <c r="L26" s="6"/>
      <c r="M26" s="6"/>
      <c r="N26" s="6"/>
      <c r="O26" s="6"/>
      <c r="P26" s="6"/>
      <c r="Q26" s="6"/>
      <c r="R26" s="6"/>
      <c r="S26" s="6"/>
      <c r="T26" s="6"/>
      <c r="U26" s="6"/>
      <c r="V26" s="6"/>
      <c r="W26" s="6"/>
      <c r="X26" s="6"/>
      <c r="Y26" s="6"/>
      <c r="Z26" s="6"/>
      <c r="AA26" s="213"/>
      <c r="AB26" s="213"/>
    </row>
    <row r="27" spans="1:28" ht="25.5">
      <c r="A27" s="6" t="s">
        <v>150</v>
      </c>
      <c r="B27" s="6" t="s">
        <v>573</v>
      </c>
      <c r="C27" s="6">
        <v>236</v>
      </c>
      <c r="D27" s="6">
        <v>236</v>
      </c>
      <c r="E27" s="6">
        <v>183</v>
      </c>
      <c r="F27" s="6">
        <v>183</v>
      </c>
      <c r="G27" s="6">
        <v>250</v>
      </c>
      <c r="H27" s="6">
        <v>250</v>
      </c>
      <c r="I27" s="6">
        <v>190</v>
      </c>
      <c r="J27" s="6">
        <v>190</v>
      </c>
      <c r="K27" s="6">
        <v>260</v>
      </c>
      <c r="L27" s="6">
        <v>260</v>
      </c>
      <c r="M27" s="6">
        <v>195</v>
      </c>
      <c r="N27" s="6">
        <v>195</v>
      </c>
      <c r="O27" s="6">
        <v>270</v>
      </c>
      <c r="P27" s="6">
        <v>270</v>
      </c>
      <c r="Q27" s="6">
        <v>200</v>
      </c>
      <c r="R27" s="6">
        <v>200</v>
      </c>
      <c r="S27" s="6">
        <v>270</v>
      </c>
      <c r="T27" s="6">
        <v>270</v>
      </c>
      <c r="U27" s="6">
        <v>205</v>
      </c>
      <c r="V27" s="6">
        <v>205</v>
      </c>
      <c r="W27" s="6">
        <v>280</v>
      </c>
      <c r="X27" s="6">
        <v>280</v>
      </c>
      <c r="Y27" s="6">
        <v>210</v>
      </c>
      <c r="Z27" s="6">
        <v>210</v>
      </c>
      <c r="AA27" s="213">
        <f t="shared" si="2"/>
        <v>0.84285714285714286</v>
      </c>
      <c r="AB27" s="213">
        <f t="shared" si="3"/>
        <v>1</v>
      </c>
    </row>
    <row r="28" spans="1:28" ht="38.25">
      <c r="A28" s="6" t="s">
        <v>136</v>
      </c>
      <c r="B28" s="6" t="s">
        <v>574</v>
      </c>
      <c r="C28" s="6"/>
      <c r="D28" s="6"/>
      <c r="E28" s="6"/>
      <c r="F28" s="6"/>
      <c r="G28" s="6"/>
      <c r="H28" s="6"/>
      <c r="I28" s="6"/>
      <c r="J28" s="6"/>
      <c r="K28" s="6"/>
      <c r="L28" s="6"/>
      <c r="M28" s="6"/>
      <c r="N28" s="6"/>
      <c r="O28" s="6"/>
      <c r="P28" s="6"/>
      <c r="Q28" s="6"/>
      <c r="R28" s="6"/>
      <c r="S28" s="6"/>
      <c r="T28" s="6"/>
      <c r="U28" s="6"/>
      <c r="V28" s="6"/>
      <c r="W28" s="6"/>
      <c r="X28" s="6"/>
      <c r="Y28" s="6"/>
      <c r="Z28" s="6"/>
      <c r="AA28" s="213"/>
      <c r="AB28" s="213"/>
    </row>
    <row r="29" spans="1:28">
      <c r="A29" s="6" t="s">
        <v>153</v>
      </c>
      <c r="B29" s="6" t="s">
        <v>575</v>
      </c>
      <c r="C29" s="6">
        <v>0</v>
      </c>
      <c r="D29" s="6">
        <v>0</v>
      </c>
      <c r="E29" s="6">
        <v>0</v>
      </c>
      <c r="F29" s="6">
        <v>0</v>
      </c>
      <c r="G29" s="6">
        <v>50</v>
      </c>
      <c r="H29" s="6">
        <v>50</v>
      </c>
      <c r="I29" s="6">
        <v>50</v>
      </c>
      <c r="J29" s="6">
        <v>50</v>
      </c>
      <c r="K29" s="6">
        <v>75</v>
      </c>
      <c r="L29" s="6">
        <v>75</v>
      </c>
      <c r="M29" s="6">
        <v>75</v>
      </c>
      <c r="N29" s="6">
        <v>75</v>
      </c>
      <c r="O29" s="6">
        <v>100</v>
      </c>
      <c r="P29" s="6">
        <v>100</v>
      </c>
      <c r="Q29" s="6">
        <v>100</v>
      </c>
      <c r="R29" s="6">
        <v>100</v>
      </c>
      <c r="S29" s="6">
        <v>125</v>
      </c>
      <c r="T29" s="6">
        <v>125</v>
      </c>
      <c r="U29" s="6">
        <v>125</v>
      </c>
      <c r="V29" s="6">
        <v>125</v>
      </c>
      <c r="W29" s="6">
        <v>150</v>
      </c>
      <c r="X29" s="6">
        <v>150</v>
      </c>
      <c r="Y29" s="6">
        <v>150</v>
      </c>
      <c r="Z29" s="6">
        <v>150</v>
      </c>
      <c r="AA29" s="213">
        <f t="shared" si="2"/>
        <v>0</v>
      </c>
      <c r="AB29" s="213">
        <f t="shared" si="3"/>
        <v>1</v>
      </c>
    </row>
    <row r="30" spans="1:28" ht="38.25">
      <c r="A30" s="6" t="s">
        <v>155</v>
      </c>
      <c r="B30" s="6" t="s">
        <v>576</v>
      </c>
      <c r="C30" s="6"/>
      <c r="D30" s="6"/>
      <c r="E30" s="6"/>
      <c r="F30" s="6"/>
      <c r="G30" s="6"/>
      <c r="H30" s="6"/>
      <c r="I30" s="6"/>
      <c r="J30" s="6"/>
      <c r="K30" s="6"/>
      <c r="L30" s="6"/>
      <c r="M30" s="6"/>
      <c r="N30" s="6"/>
      <c r="O30" s="6"/>
      <c r="P30" s="6"/>
      <c r="Q30" s="6"/>
      <c r="R30" s="6"/>
      <c r="S30" s="6"/>
      <c r="T30" s="6"/>
      <c r="U30" s="6"/>
      <c r="V30" s="6"/>
      <c r="W30" s="6"/>
      <c r="X30" s="6"/>
      <c r="Y30" s="6"/>
      <c r="Z30" s="6"/>
      <c r="AA30" s="213"/>
      <c r="AB30" s="213"/>
    </row>
    <row r="31" spans="1:28">
      <c r="A31" s="6" t="s">
        <v>157</v>
      </c>
      <c r="B31" s="6" t="s">
        <v>571</v>
      </c>
      <c r="C31" s="6">
        <v>0</v>
      </c>
      <c r="D31" s="6">
        <v>0</v>
      </c>
      <c r="E31" s="6">
        <v>0</v>
      </c>
      <c r="F31" s="6">
        <v>0</v>
      </c>
      <c r="G31" s="6">
        <v>6612</v>
      </c>
      <c r="H31" s="6">
        <v>6612</v>
      </c>
      <c r="I31" s="6">
        <v>4872</v>
      </c>
      <c r="J31" s="6">
        <v>4872</v>
      </c>
      <c r="K31" s="6">
        <v>7000</v>
      </c>
      <c r="L31" s="6">
        <v>7000</v>
      </c>
      <c r="M31" s="6">
        <v>5000</v>
      </c>
      <c r="N31" s="6">
        <v>5000</v>
      </c>
      <c r="O31" s="6">
        <v>7500</v>
      </c>
      <c r="P31" s="6">
        <v>7500</v>
      </c>
      <c r="Q31" s="6">
        <v>5200</v>
      </c>
      <c r="R31" s="6">
        <v>5200</v>
      </c>
      <c r="S31" s="6">
        <v>8000</v>
      </c>
      <c r="T31" s="6">
        <v>8000</v>
      </c>
      <c r="U31" s="6">
        <v>5400</v>
      </c>
      <c r="V31" s="6">
        <v>5400</v>
      </c>
      <c r="W31" s="6">
        <v>8500</v>
      </c>
      <c r="X31" s="6">
        <v>8500</v>
      </c>
      <c r="Y31" s="6">
        <v>5600</v>
      </c>
      <c r="Z31" s="6">
        <v>5600</v>
      </c>
      <c r="AA31" s="213">
        <f t="shared" si="2"/>
        <v>0</v>
      </c>
      <c r="AB31" s="213">
        <f t="shared" si="3"/>
        <v>1</v>
      </c>
    </row>
    <row r="32" spans="1:28" ht="51">
      <c r="A32" s="6" t="s">
        <v>159</v>
      </c>
      <c r="B32" s="6" t="s">
        <v>577</v>
      </c>
      <c r="C32" s="6"/>
      <c r="D32" s="6"/>
      <c r="E32" s="6"/>
      <c r="F32" s="6"/>
      <c r="G32" s="6"/>
      <c r="H32" s="6"/>
      <c r="I32" s="6"/>
      <c r="J32" s="6"/>
      <c r="K32" s="6"/>
      <c r="L32" s="6"/>
      <c r="M32" s="6"/>
      <c r="N32" s="6"/>
      <c r="O32" s="6"/>
      <c r="P32" s="6"/>
      <c r="Q32" s="6"/>
      <c r="R32" s="6"/>
      <c r="S32" s="6"/>
      <c r="T32" s="6"/>
      <c r="U32" s="6"/>
      <c r="V32" s="6"/>
      <c r="W32" s="6"/>
      <c r="X32" s="6"/>
      <c r="Y32" s="6"/>
      <c r="Z32" s="6"/>
      <c r="AA32" s="213"/>
      <c r="AB32" s="213"/>
    </row>
    <row r="33" spans="1:28">
      <c r="A33" s="6" t="s">
        <v>161</v>
      </c>
      <c r="B33" s="6" t="s">
        <v>571</v>
      </c>
      <c r="C33" s="6">
        <v>0</v>
      </c>
      <c r="D33" s="6">
        <v>0</v>
      </c>
      <c r="E33" s="6">
        <v>0</v>
      </c>
      <c r="F33" s="6">
        <v>0</v>
      </c>
      <c r="G33" s="6">
        <v>300</v>
      </c>
      <c r="H33" s="6">
        <v>300</v>
      </c>
      <c r="I33" s="6">
        <v>200</v>
      </c>
      <c r="J33" s="6">
        <v>200</v>
      </c>
      <c r="K33" s="6">
        <v>350</v>
      </c>
      <c r="L33" s="6">
        <v>350</v>
      </c>
      <c r="M33" s="6">
        <v>250</v>
      </c>
      <c r="N33" s="6">
        <v>250</v>
      </c>
      <c r="O33" s="6">
        <v>400</v>
      </c>
      <c r="P33" s="6">
        <v>400</v>
      </c>
      <c r="Q33" s="6">
        <v>300</v>
      </c>
      <c r="R33" s="6">
        <v>300</v>
      </c>
      <c r="S33" s="6">
        <v>450</v>
      </c>
      <c r="T33" s="6">
        <v>450</v>
      </c>
      <c r="U33" s="6">
        <v>350</v>
      </c>
      <c r="V33" s="6">
        <v>350</v>
      </c>
      <c r="W33" s="6">
        <v>500</v>
      </c>
      <c r="X33" s="6">
        <v>500</v>
      </c>
      <c r="Y33" s="6">
        <v>400</v>
      </c>
      <c r="Z33" s="6">
        <v>400</v>
      </c>
      <c r="AA33" s="213">
        <f t="shared" si="2"/>
        <v>0</v>
      </c>
      <c r="AB33" s="213">
        <f t="shared" si="3"/>
        <v>1</v>
      </c>
    </row>
    <row r="34" spans="1:28" ht="51">
      <c r="A34" s="6" t="s">
        <v>244</v>
      </c>
      <c r="B34" s="6" t="s">
        <v>578</v>
      </c>
      <c r="C34" s="6"/>
      <c r="D34" s="6"/>
      <c r="E34" s="6"/>
      <c r="F34" s="6"/>
      <c r="G34" s="6"/>
      <c r="H34" s="6"/>
      <c r="I34" s="6"/>
      <c r="J34" s="6"/>
      <c r="K34" s="6"/>
      <c r="L34" s="6"/>
      <c r="M34" s="6"/>
      <c r="N34" s="6"/>
      <c r="O34" s="6"/>
      <c r="P34" s="6"/>
      <c r="Q34" s="6"/>
      <c r="R34" s="6"/>
      <c r="S34" s="6"/>
      <c r="T34" s="6"/>
      <c r="U34" s="6"/>
      <c r="V34" s="6"/>
      <c r="W34" s="6"/>
      <c r="X34" s="6"/>
      <c r="Y34" s="6"/>
      <c r="Z34" s="6"/>
      <c r="AA34" s="213"/>
      <c r="AB34" s="213"/>
    </row>
    <row r="35" spans="1:28">
      <c r="A35" s="6" t="s">
        <v>579</v>
      </c>
      <c r="B35" s="6" t="s">
        <v>571</v>
      </c>
      <c r="C35" s="6">
        <v>0</v>
      </c>
      <c r="D35" s="6">
        <v>0</v>
      </c>
      <c r="E35" s="6">
        <v>0</v>
      </c>
      <c r="F35" s="6">
        <v>0</v>
      </c>
      <c r="G35" s="6">
        <v>300</v>
      </c>
      <c r="H35" s="6">
        <v>300</v>
      </c>
      <c r="I35" s="6">
        <v>200</v>
      </c>
      <c r="J35" s="6">
        <v>200</v>
      </c>
      <c r="K35" s="6">
        <v>350</v>
      </c>
      <c r="L35" s="6">
        <v>350</v>
      </c>
      <c r="M35" s="6">
        <v>250</v>
      </c>
      <c r="N35" s="6">
        <v>250</v>
      </c>
      <c r="O35" s="6">
        <v>400</v>
      </c>
      <c r="P35" s="6">
        <v>400</v>
      </c>
      <c r="Q35" s="6">
        <v>300</v>
      </c>
      <c r="R35" s="6">
        <v>300</v>
      </c>
      <c r="S35" s="6">
        <v>450</v>
      </c>
      <c r="T35" s="6">
        <v>450</v>
      </c>
      <c r="U35" s="6">
        <v>350</v>
      </c>
      <c r="V35" s="6">
        <v>350</v>
      </c>
      <c r="W35" s="6">
        <v>500</v>
      </c>
      <c r="X35" s="6">
        <v>500</v>
      </c>
      <c r="Y35" s="6">
        <v>400</v>
      </c>
      <c r="Z35" s="6">
        <v>400</v>
      </c>
      <c r="AA35" s="213">
        <f t="shared" si="2"/>
        <v>0</v>
      </c>
      <c r="AB35" s="213">
        <f t="shared" si="3"/>
        <v>1</v>
      </c>
    </row>
    <row r="36" spans="1:28" ht="25.5">
      <c r="A36" s="6" t="s">
        <v>219</v>
      </c>
      <c r="B36" s="6" t="s">
        <v>580</v>
      </c>
      <c r="C36" s="6"/>
      <c r="D36" s="6"/>
      <c r="E36" s="6"/>
      <c r="F36" s="6"/>
      <c r="G36" s="6"/>
      <c r="H36" s="6"/>
      <c r="I36" s="6"/>
      <c r="J36" s="6"/>
      <c r="K36" s="6"/>
      <c r="L36" s="6"/>
      <c r="M36" s="6"/>
      <c r="N36" s="6"/>
      <c r="O36" s="6"/>
      <c r="P36" s="6"/>
      <c r="Q36" s="6"/>
      <c r="R36" s="6"/>
      <c r="S36" s="6"/>
      <c r="T36" s="6"/>
      <c r="U36" s="6"/>
      <c r="V36" s="6"/>
      <c r="W36" s="6"/>
      <c r="X36" s="6"/>
      <c r="Y36" s="6"/>
      <c r="Z36" s="6"/>
      <c r="AA36" s="213"/>
      <c r="AB36" s="213"/>
    </row>
    <row r="37" spans="1:28" ht="25.5">
      <c r="A37" s="6" t="s">
        <v>581</v>
      </c>
      <c r="B37" s="6" t="s">
        <v>582</v>
      </c>
      <c r="C37" s="6">
        <v>10000</v>
      </c>
      <c r="D37" s="6">
        <v>10000</v>
      </c>
      <c r="E37" s="6">
        <v>2</v>
      </c>
      <c r="F37" s="6">
        <v>2</v>
      </c>
      <c r="G37" s="6">
        <v>50000</v>
      </c>
      <c r="H37" s="6">
        <v>50000</v>
      </c>
      <c r="I37" s="6">
        <v>5</v>
      </c>
      <c r="J37" s="6">
        <v>5</v>
      </c>
      <c r="K37" s="6">
        <v>55000</v>
      </c>
      <c r="L37" s="6">
        <v>55000</v>
      </c>
      <c r="M37" s="6">
        <v>10</v>
      </c>
      <c r="N37" s="6">
        <v>10</v>
      </c>
      <c r="O37" s="6">
        <v>60000</v>
      </c>
      <c r="P37" s="6">
        <v>60000</v>
      </c>
      <c r="Q37" s="6">
        <v>15</v>
      </c>
      <c r="R37" s="6">
        <v>15</v>
      </c>
      <c r="S37" s="6">
        <v>65000</v>
      </c>
      <c r="T37" s="6">
        <v>65000</v>
      </c>
      <c r="U37" s="6">
        <v>20</v>
      </c>
      <c r="V37" s="6">
        <v>20</v>
      </c>
      <c r="W37" s="6">
        <v>70000</v>
      </c>
      <c r="X37" s="6">
        <v>70000</v>
      </c>
      <c r="Y37" s="6">
        <v>25</v>
      </c>
      <c r="Z37" s="6">
        <v>25</v>
      </c>
      <c r="AA37" s="213">
        <f t="shared" si="2"/>
        <v>0.14285714285714285</v>
      </c>
      <c r="AB37" s="213">
        <f t="shared" si="3"/>
        <v>1</v>
      </c>
    </row>
    <row r="38" spans="1:28" ht="51">
      <c r="A38" s="6" t="s">
        <v>247</v>
      </c>
      <c r="B38" s="6" t="s">
        <v>583</v>
      </c>
      <c r="C38" s="6"/>
      <c r="D38" s="6"/>
      <c r="E38" s="6"/>
      <c r="F38" s="6"/>
      <c r="G38" s="6"/>
      <c r="H38" s="6"/>
      <c r="I38" s="6"/>
      <c r="J38" s="6"/>
      <c r="K38" s="6"/>
      <c r="L38" s="6"/>
      <c r="M38" s="6"/>
      <c r="N38" s="6"/>
      <c r="O38" s="6"/>
      <c r="P38" s="6"/>
      <c r="Q38" s="6"/>
      <c r="R38" s="6"/>
      <c r="S38" s="6"/>
      <c r="T38" s="6"/>
      <c r="U38" s="6"/>
      <c r="V38" s="6"/>
      <c r="W38" s="6"/>
      <c r="X38" s="6"/>
      <c r="Y38" s="6"/>
      <c r="Z38" s="6"/>
      <c r="AA38" s="213"/>
      <c r="AB38" s="213"/>
    </row>
    <row r="39" spans="1:28" ht="25.5">
      <c r="A39" s="6" t="s">
        <v>584</v>
      </c>
      <c r="B39" s="6" t="s">
        <v>585</v>
      </c>
      <c r="C39" s="6">
        <v>0</v>
      </c>
      <c r="D39" s="6">
        <v>0</v>
      </c>
      <c r="E39" s="6">
        <v>0</v>
      </c>
      <c r="F39" s="6">
        <v>0</v>
      </c>
      <c r="G39" s="6">
        <v>5000</v>
      </c>
      <c r="H39" s="6">
        <v>5000</v>
      </c>
      <c r="I39" s="6">
        <v>500</v>
      </c>
      <c r="J39" s="6">
        <v>500</v>
      </c>
      <c r="K39" s="6">
        <v>6000</v>
      </c>
      <c r="L39" s="6">
        <v>6000</v>
      </c>
      <c r="M39" s="6">
        <v>600</v>
      </c>
      <c r="N39" s="6">
        <v>600</v>
      </c>
      <c r="O39" s="6">
        <v>7000</v>
      </c>
      <c r="P39" s="6">
        <v>7000</v>
      </c>
      <c r="Q39" s="6">
        <v>700</v>
      </c>
      <c r="R39" s="6">
        <v>700</v>
      </c>
      <c r="S39" s="6">
        <v>8000</v>
      </c>
      <c r="T39" s="6">
        <v>8000</v>
      </c>
      <c r="U39" s="6">
        <v>800</v>
      </c>
      <c r="V39" s="6">
        <v>800</v>
      </c>
      <c r="W39" s="6">
        <v>9000</v>
      </c>
      <c r="X39" s="6">
        <v>9000</v>
      </c>
      <c r="Y39" s="6">
        <v>900</v>
      </c>
      <c r="Z39" s="6">
        <v>900</v>
      </c>
      <c r="AA39" s="213">
        <f t="shared" si="2"/>
        <v>0</v>
      </c>
      <c r="AB39" s="213">
        <f t="shared" si="3"/>
        <v>1</v>
      </c>
    </row>
    <row r="40" spans="1:28" ht="51">
      <c r="A40" s="6" t="s">
        <v>249</v>
      </c>
      <c r="B40" s="6" t="s">
        <v>586</v>
      </c>
      <c r="C40" s="6"/>
      <c r="D40" s="6"/>
      <c r="E40" s="6"/>
      <c r="F40" s="6"/>
      <c r="G40" s="6"/>
      <c r="H40" s="6"/>
      <c r="I40" s="6"/>
      <c r="J40" s="6"/>
      <c r="K40" s="6"/>
      <c r="L40" s="6"/>
      <c r="M40" s="6"/>
      <c r="N40" s="6"/>
      <c r="O40" s="6"/>
      <c r="P40" s="6"/>
      <c r="Q40" s="6"/>
      <c r="R40" s="6"/>
      <c r="S40" s="6"/>
      <c r="T40" s="6"/>
      <c r="U40" s="6"/>
      <c r="V40" s="6"/>
      <c r="W40" s="6"/>
      <c r="X40" s="6"/>
      <c r="Y40" s="6"/>
      <c r="Z40" s="6"/>
      <c r="AA40" s="213"/>
      <c r="AB40" s="213"/>
    </row>
    <row r="41" spans="1:28" ht="25.5">
      <c r="A41" s="6" t="s">
        <v>587</v>
      </c>
      <c r="B41" s="6" t="s">
        <v>588</v>
      </c>
      <c r="C41" s="6">
        <v>0</v>
      </c>
      <c r="D41" s="6">
        <v>0</v>
      </c>
      <c r="E41" s="6">
        <v>0</v>
      </c>
      <c r="F41" s="6">
        <v>0</v>
      </c>
      <c r="G41" s="6">
        <v>300</v>
      </c>
      <c r="H41" s="6">
        <v>300</v>
      </c>
      <c r="I41" s="6">
        <v>20</v>
      </c>
      <c r="J41" s="6">
        <v>20</v>
      </c>
      <c r="K41" s="6">
        <v>400</v>
      </c>
      <c r="L41" s="6">
        <v>400</v>
      </c>
      <c r="M41" s="6">
        <v>30</v>
      </c>
      <c r="N41" s="6">
        <v>30</v>
      </c>
      <c r="O41" s="6">
        <v>500</v>
      </c>
      <c r="P41" s="6">
        <v>500</v>
      </c>
      <c r="Q41" s="6">
        <v>40</v>
      </c>
      <c r="R41" s="6">
        <v>40</v>
      </c>
      <c r="S41" s="6">
        <v>600</v>
      </c>
      <c r="T41" s="6">
        <v>600</v>
      </c>
      <c r="U41" s="6">
        <v>50</v>
      </c>
      <c r="V41" s="6">
        <v>50</v>
      </c>
      <c r="W41" s="6">
        <v>700</v>
      </c>
      <c r="X41" s="6">
        <v>700</v>
      </c>
      <c r="Y41" s="6">
        <v>60</v>
      </c>
      <c r="Z41" s="6">
        <v>60</v>
      </c>
      <c r="AA41" s="213">
        <f t="shared" si="2"/>
        <v>0</v>
      </c>
      <c r="AB41" s="213">
        <f t="shared" si="3"/>
        <v>1</v>
      </c>
    </row>
    <row r="42" spans="1:28" ht="63.75">
      <c r="A42" s="6" t="s">
        <v>251</v>
      </c>
      <c r="B42" s="6" t="s">
        <v>589</v>
      </c>
      <c r="C42" s="6"/>
      <c r="D42" s="6"/>
      <c r="E42" s="6"/>
      <c r="F42" s="6"/>
      <c r="G42" s="6"/>
      <c r="H42" s="6"/>
      <c r="I42" s="6"/>
      <c r="J42" s="6"/>
      <c r="K42" s="6"/>
      <c r="L42" s="6"/>
      <c r="M42" s="6"/>
      <c r="N42" s="6"/>
      <c r="O42" s="6"/>
      <c r="P42" s="6"/>
      <c r="Q42" s="6"/>
      <c r="R42" s="6"/>
      <c r="S42" s="6"/>
      <c r="T42" s="6"/>
      <c r="U42" s="6"/>
      <c r="V42" s="6"/>
      <c r="W42" s="6"/>
      <c r="X42" s="6"/>
      <c r="Y42" s="6"/>
      <c r="Z42" s="6"/>
      <c r="AA42" s="213"/>
      <c r="AB42" s="213"/>
    </row>
    <row r="43" spans="1:28">
      <c r="A43" s="6" t="s">
        <v>590</v>
      </c>
      <c r="B43" s="6" t="s">
        <v>591</v>
      </c>
      <c r="C43" s="6">
        <v>0</v>
      </c>
      <c r="D43" s="6">
        <v>0</v>
      </c>
      <c r="E43" s="6">
        <v>0</v>
      </c>
      <c r="F43" s="6">
        <v>0</v>
      </c>
      <c r="G43" s="6">
        <v>100</v>
      </c>
      <c r="H43" s="6">
        <v>100</v>
      </c>
      <c r="I43" s="6">
        <v>10</v>
      </c>
      <c r="J43" s="6">
        <v>10</v>
      </c>
      <c r="K43" s="6">
        <v>150</v>
      </c>
      <c r="L43" s="6">
        <v>150</v>
      </c>
      <c r="M43" s="6">
        <v>15</v>
      </c>
      <c r="N43" s="6">
        <v>15</v>
      </c>
      <c r="O43" s="6">
        <v>200</v>
      </c>
      <c r="P43" s="6">
        <v>200</v>
      </c>
      <c r="Q43" s="6">
        <v>20</v>
      </c>
      <c r="R43" s="6">
        <v>20</v>
      </c>
      <c r="S43" s="6">
        <v>250</v>
      </c>
      <c r="T43" s="6">
        <v>250</v>
      </c>
      <c r="U43" s="6">
        <v>25</v>
      </c>
      <c r="V43" s="6">
        <v>25</v>
      </c>
      <c r="W43" s="6">
        <v>300</v>
      </c>
      <c r="X43" s="6">
        <v>300</v>
      </c>
      <c r="Y43" s="6">
        <v>30</v>
      </c>
      <c r="Z43" s="6">
        <v>30</v>
      </c>
      <c r="AA43" s="213">
        <f t="shared" si="2"/>
        <v>0</v>
      </c>
      <c r="AB43" s="213">
        <f t="shared" si="3"/>
        <v>1</v>
      </c>
    </row>
    <row r="44" spans="1:28" ht="51">
      <c r="A44" s="6" t="s">
        <v>253</v>
      </c>
      <c r="B44" s="6" t="s">
        <v>592</v>
      </c>
      <c r="C44" s="6"/>
      <c r="D44" s="6"/>
      <c r="E44" s="6"/>
      <c r="F44" s="6"/>
      <c r="G44" s="6"/>
      <c r="H44" s="6"/>
      <c r="I44" s="6"/>
      <c r="J44" s="6"/>
      <c r="K44" s="6"/>
      <c r="L44" s="6"/>
      <c r="M44" s="6"/>
      <c r="N44" s="6"/>
      <c r="O44" s="6"/>
      <c r="P44" s="6"/>
      <c r="Q44" s="6"/>
      <c r="R44" s="6"/>
      <c r="S44" s="6"/>
      <c r="T44" s="6"/>
      <c r="U44" s="6"/>
      <c r="V44" s="6"/>
      <c r="W44" s="6"/>
      <c r="X44" s="6"/>
      <c r="Y44" s="6"/>
      <c r="Z44" s="6"/>
      <c r="AA44" s="213"/>
      <c r="AB44" s="213"/>
    </row>
    <row r="45" spans="1:28" ht="25.5">
      <c r="A45" s="6" t="s">
        <v>593</v>
      </c>
      <c r="B45" s="6" t="s">
        <v>594</v>
      </c>
      <c r="C45" s="6">
        <v>0</v>
      </c>
      <c r="D45" s="6">
        <v>0</v>
      </c>
      <c r="E45" s="6">
        <v>0</v>
      </c>
      <c r="F45" s="6">
        <v>0</v>
      </c>
      <c r="G45" s="6">
        <v>50000</v>
      </c>
      <c r="H45" s="6">
        <v>50000</v>
      </c>
      <c r="I45" s="6">
        <v>5</v>
      </c>
      <c r="J45" s="6">
        <v>5</v>
      </c>
      <c r="K45" s="6">
        <v>55000</v>
      </c>
      <c r="L45" s="6">
        <v>55000</v>
      </c>
      <c r="M45" s="6">
        <v>10</v>
      </c>
      <c r="N45" s="6">
        <v>10</v>
      </c>
      <c r="O45" s="6">
        <v>60000</v>
      </c>
      <c r="P45" s="6">
        <v>60000</v>
      </c>
      <c r="Q45" s="6">
        <v>15</v>
      </c>
      <c r="R45" s="6">
        <v>15</v>
      </c>
      <c r="S45" s="6">
        <v>65000</v>
      </c>
      <c r="T45" s="6">
        <v>65000</v>
      </c>
      <c r="U45" s="6">
        <v>20</v>
      </c>
      <c r="V45" s="6">
        <v>20</v>
      </c>
      <c r="W45" s="6">
        <v>70000</v>
      </c>
      <c r="X45" s="6">
        <v>70000</v>
      </c>
      <c r="Y45" s="6">
        <v>25</v>
      </c>
      <c r="Z45" s="6">
        <v>25</v>
      </c>
      <c r="AA45" s="213">
        <f t="shared" si="2"/>
        <v>0</v>
      </c>
      <c r="AB45" s="213">
        <f t="shared" si="3"/>
        <v>1</v>
      </c>
    </row>
    <row r="46" spans="1:28">
      <c r="Z46" s="42" t="s">
        <v>24</v>
      </c>
      <c r="AA46" s="213">
        <f>AVERAGE(AA21:AA45)</f>
        <v>7.5824175824175832E-2</v>
      </c>
      <c r="AB46" s="213">
        <f>AVERAGE(AB21:AB45)</f>
        <v>1</v>
      </c>
    </row>
    <row r="47" spans="1:28">
      <c r="A47" s="9"/>
      <c r="B47" s="9" t="s">
        <v>40</v>
      </c>
    </row>
    <row r="49" spans="1:18">
      <c r="A49" s="10" t="s">
        <v>41</v>
      </c>
      <c r="B49" s="509" t="s">
        <v>42</v>
      </c>
      <c r="C49" s="509"/>
      <c r="D49" s="509"/>
      <c r="E49" s="509"/>
      <c r="F49" s="509"/>
      <c r="G49" s="509"/>
      <c r="H49" s="509"/>
      <c r="I49" s="509"/>
      <c r="J49" s="509"/>
      <c r="K49" s="509"/>
      <c r="L49" s="509"/>
      <c r="M49" s="509"/>
      <c r="N49" s="509"/>
      <c r="O49" s="509"/>
      <c r="P49" s="509"/>
      <c r="Q49" s="509"/>
      <c r="R49" s="509"/>
    </row>
    <row r="50" spans="1:18">
      <c r="A50" s="10" t="s">
        <v>43</v>
      </c>
      <c r="B50" s="509" t="s">
        <v>44</v>
      </c>
      <c r="C50" s="509"/>
      <c r="D50" s="509"/>
      <c r="E50" s="509"/>
      <c r="F50" s="509"/>
      <c r="G50" s="509"/>
      <c r="H50" s="509"/>
      <c r="I50" s="509"/>
      <c r="J50" s="509"/>
      <c r="K50" s="509"/>
      <c r="L50" s="509"/>
      <c r="M50" s="509"/>
      <c r="N50" s="509"/>
      <c r="O50" s="509"/>
      <c r="P50" s="509"/>
      <c r="Q50" s="509"/>
      <c r="R50" s="509"/>
    </row>
    <row r="51" spans="1:18">
      <c r="B51" s="509" t="s">
        <v>164</v>
      </c>
      <c r="C51" s="509"/>
      <c r="D51" s="509"/>
      <c r="E51" s="509"/>
      <c r="F51" s="509"/>
      <c r="G51" s="509"/>
      <c r="H51" s="509"/>
      <c r="I51" s="509"/>
      <c r="J51" s="509"/>
      <c r="K51" s="509"/>
      <c r="L51" s="509"/>
      <c r="M51" s="509"/>
      <c r="N51" s="509"/>
      <c r="O51" s="509"/>
      <c r="P51" s="509"/>
      <c r="Q51" s="509"/>
      <c r="R51" s="509"/>
    </row>
    <row r="52" spans="1:18">
      <c r="B52" s="509" t="s">
        <v>165</v>
      </c>
      <c r="C52" s="509"/>
      <c r="D52" s="509"/>
      <c r="E52" s="509"/>
      <c r="F52" s="509"/>
      <c r="G52" s="509"/>
      <c r="H52" s="509"/>
      <c r="I52" s="509"/>
      <c r="J52" s="509"/>
      <c r="K52" s="509"/>
      <c r="L52" s="509"/>
      <c r="M52" s="509"/>
      <c r="N52" s="509"/>
      <c r="O52" s="509"/>
      <c r="P52" s="509"/>
      <c r="Q52" s="509"/>
      <c r="R52" s="509"/>
    </row>
    <row r="53" spans="1:18">
      <c r="B53" s="509" t="s">
        <v>166</v>
      </c>
      <c r="C53" s="509"/>
      <c r="D53" s="509"/>
      <c r="E53" s="509"/>
      <c r="F53" s="509"/>
      <c r="G53" s="509"/>
      <c r="H53" s="509"/>
      <c r="I53" s="509"/>
      <c r="J53" s="509"/>
      <c r="K53" s="509"/>
      <c r="L53" s="509"/>
      <c r="M53" s="509"/>
      <c r="N53" s="509"/>
      <c r="O53" s="509"/>
      <c r="P53" s="509"/>
      <c r="Q53" s="509"/>
      <c r="R53" s="509"/>
    </row>
    <row r="54" spans="1:18">
      <c r="B54" s="509" t="s">
        <v>167</v>
      </c>
      <c r="C54" s="509"/>
      <c r="D54" s="509"/>
      <c r="E54" s="509"/>
      <c r="F54" s="509"/>
      <c r="G54" s="509"/>
      <c r="H54" s="509"/>
      <c r="I54" s="509"/>
      <c r="J54" s="509"/>
      <c r="K54" s="509"/>
      <c r="L54" s="509"/>
      <c r="M54" s="509"/>
      <c r="N54" s="509"/>
      <c r="O54" s="509"/>
      <c r="P54" s="509"/>
      <c r="Q54" s="509"/>
      <c r="R54" s="509"/>
    </row>
    <row r="55" spans="1:18">
      <c r="B55" s="509" t="s">
        <v>168</v>
      </c>
      <c r="C55" s="509"/>
      <c r="D55" s="509"/>
      <c r="E55" s="509"/>
      <c r="F55" s="509"/>
      <c r="G55" s="509"/>
      <c r="H55" s="509"/>
      <c r="I55" s="509"/>
      <c r="J55" s="509"/>
      <c r="K55" s="509"/>
      <c r="L55" s="509"/>
      <c r="M55" s="509"/>
      <c r="N55" s="509"/>
      <c r="O55" s="509"/>
      <c r="P55" s="509"/>
      <c r="Q55" s="509"/>
      <c r="R55" s="509"/>
    </row>
    <row r="56" spans="1:18">
      <c r="B56" s="509" t="s">
        <v>169</v>
      </c>
      <c r="C56" s="509"/>
      <c r="D56" s="509"/>
      <c r="E56" s="509"/>
      <c r="F56" s="509"/>
      <c r="G56" s="509"/>
      <c r="H56" s="509"/>
      <c r="I56" s="509"/>
      <c r="J56" s="509"/>
      <c r="K56" s="509"/>
      <c r="L56" s="509"/>
      <c r="M56" s="509"/>
      <c r="N56" s="509"/>
      <c r="O56" s="509"/>
      <c r="P56" s="509"/>
      <c r="Q56" s="509"/>
      <c r="R56" s="509"/>
    </row>
    <row r="57" spans="1:18">
      <c r="B57" s="11"/>
    </row>
    <row r="58" spans="1:18">
      <c r="B58" s="11"/>
    </row>
    <row r="60" spans="1:18">
      <c r="B60" s="11"/>
    </row>
  </sheetData>
  <mergeCells count="34">
    <mergeCell ref="B55:R55"/>
    <mergeCell ref="B56:R56"/>
    <mergeCell ref="B49:R49"/>
    <mergeCell ref="B50:R50"/>
    <mergeCell ref="B51:R51"/>
    <mergeCell ref="B52:R52"/>
    <mergeCell ref="B53:R53"/>
    <mergeCell ref="B54:R54"/>
    <mergeCell ref="AB17:AB19"/>
    <mergeCell ref="G18:J18"/>
    <mergeCell ref="K18:N18"/>
    <mergeCell ref="O18:R18"/>
    <mergeCell ref="S18:V18"/>
    <mergeCell ref="W18:Z18"/>
    <mergeCell ref="AA17:AA19"/>
    <mergeCell ref="A16:Z16"/>
    <mergeCell ref="A17:A19"/>
    <mergeCell ref="B17:B19"/>
    <mergeCell ref="C17:F18"/>
    <mergeCell ref="G17:Z17"/>
    <mergeCell ref="AA3:AA5"/>
    <mergeCell ref="AB3:AB5"/>
    <mergeCell ref="G4:J4"/>
    <mergeCell ref="K4:N4"/>
    <mergeCell ref="O4:R4"/>
    <mergeCell ref="S4:V4"/>
    <mergeCell ref="W4:Z4"/>
    <mergeCell ref="A1:E1"/>
    <mergeCell ref="F1:S1"/>
    <mergeCell ref="A2:Z2"/>
    <mergeCell ref="A3:A5"/>
    <mergeCell ref="B3:B5"/>
    <mergeCell ref="C3:F4"/>
    <mergeCell ref="G3:Z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AD39"/>
  <sheetViews>
    <sheetView topLeftCell="J5" workbookViewId="0">
      <selection activeCell="B25" sqref="B24:R25"/>
    </sheetView>
  </sheetViews>
  <sheetFormatPr defaultRowHeight="14.25"/>
  <cols>
    <col min="1" max="1" width="5" style="291" customWidth="1"/>
    <col min="2" max="2" width="15.85546875" style="291" customWidth="1"/>
    <col min="3" max="6" width="7.7109375" style="291" customWidth="1"/>
    <col min="7" max="26" width="7" style="291" customWidth="1"/>
    <col min="27" max="256" width="9.140625" style="291"/>
    <col min="257" max="257" width="5" style="291" customWidth="1"/>
    <col min="258" max="258" width="15.85546875" style="291" customWidth="1"/>
    <col min="259" max="262" width="7.7109375" style="291" customWidth="1"/>
    <col min="263" max="282" width="7" style="291" customWidth="1"/>
    <col min="283" max="512" width="9.140625" style="291"/>
    <col min="513" max="513" width="5" style="291" customWidth="1"/>
    <col min="514" max="514" width="15.85546875" style="291" customWidth="1"/>
    <col min="515" max="518" width="7.7109375" style="291" customWidth="1"/>
    <col min="519" max="538" width="7" style="291" customWidth="1"/>
    <col min="539" max="768" width="9.140625" style="291"/>
    <col min="769" max="769" width="5" style="291" customWidth="1"/>
    <col min="770" max="770" width="15.85546875" style="291" customWidth="1"/>
    <col min="771" max="774" width="7.7109375" style="291" customWidth="1"/>
    <col min="775" max="794" width="7" style="291" customWidth="1"/>
    <col min="795" max="1024" width="9.140625" style="291"/>
    <col min="1025" max="1025" width="5" style="291" customWidth="1"/>
    <col min="1026" max="1026" width="15.85546875" style="291" customWidth="1"/>
    <col min="1027" max="1030" width="7.7109375" style="291" customWidth="1"/>
    <col min="1031" max="1050" width="7" style="291" customWidth="1"/>
    <col min="1051" max="1280" width="9.140625" style="291"/>
    <col min="1281" max="1281" width="5" style="291" customWidth="1"/>
    <col min="1282" max="1282" width="15.85546875" style="291" customWidth="1"/>
    <col min="1283" max="1286" width="7.7109375" style="291" customWidth="1"/>
    <col min="1287" max="1306" width="7" style="291" customWidth="1"/>
    <col min="1307" max="1536" width="9.140625" style="291"/>
    <col min="1537" max="1537" width="5" style="291" customWidth="1"/>
    <col min="1538" max="1538" width="15.85546875" style="291" customWidth="1"/>
    <col min="1539" max="1542" width="7.7109375" style="291" customWidth="1"/>
    <col min="1543" max="1562" width="7" style="291" customWidth="1"/>
    <col min="1563" max="1792" width="9.140625" style="291"/>
    <col min="1793" max="1793" width="5" style="291" customWidth="1"/>
    <col min="1794" max="1794" width="15.85546875" style="291" customWidth="1"/>
    <col min="1795" max="1798" width="7.7109375" style="291" customWidth="1"/>
    <col min="1799" max="1818" width="7" style="291" customWidth="1"/>
    <col min="1819" max="2048" width="9.140625" style="291"/>
    <col min="2049" max="2049" width="5" style="291" customWidth="1"/>
    <col min="2050" max="2050" width="15.85546875" style="291" customWidth="1"/>
    <col min="2051" max="2054" width="7.7109375" style="291" customWidth="1"/>
    <col min="2055" max="2074" width="7" style="291" customWidth="1"/>
    <col min="2075" max="2304" width="9.140625" style="291"/>
    <col min="2305" max="2305" width="5" style="291" customWidth="1"/>
    <col min="2306" max="2306" width="15.85546875" style="291" customWidth="1"/>
    <col min="2307" max="2310" width="7.7109375" style="291" customWidth="1"/>
    <col min="2311" max="2330" width="7" style="291" customWidth="1"/>
    <col min="2331" max="2560" width="9.140625" style="291"/>
    <col min="2561" max="2561" width="5" style="291" customWidth="1"/>
    <col min="2562" max="2562" width="15.85546875" style="291" customWidth="1"/>
    <col min="2563" max="2566" width="7.7109375" style="291" customWidth="1"/>
    <col min="2567" max="2586" width="7" style="291" customWidth="1"/>
    <col min="2587" max="2816" width="9.140625" style="291"/>
    <col min="2817" max="2817" width="5" style="291" customWidth="1"/>
    <col min="2818" max="2818" width="15.85546875" style="291" customWidth="1"/>
    <col min="2819" max="2822" width="7.7109375" style="291" customWidth="1"/>
    <col min="2823" max="2842" width="7" style="291" customWidth="1"/>
    <col min="2843" max="3072" width="9.140625" style="291"/>
    <col min="3073" max="3073" width="5" style="291" customWidth="1"/>
    <col min="3074" max="3074" width="15.85546875" style="291" customWidth="1"/>
    <col min="3075" max="3078" width="7.7109375" style="291" customWidth="1"/>
    <col min="3079" max="3098" width="7" style="291" customWidth="1"/>
    <col min="3099" max="3328" width="9.140625" style="291"/>
    <col min="3329" max="3329" width="5" style="291" customWidth="1"/>
    <col min="3330" max="3330" width="15.85546875" style="291" customWidth="1"/>
    <col min="3331" max="3334" width="7.7109375" style="291" customWidth="1"/>
    <col min="3335" max="3354" width="7" style="291" customWidth="1"/>
    <col min="3355" max="3584" width="9.140625" style="291"/>
    <col min="3585" max="3585" width="5" style="291" customWidth="1"/>
    <col min="3586" max="3586" width="15.85546875" style="291" customWidth="1"/>
    <col min="3587" max="3590" width="7.7109375" style="291" customWidth="1"/>
    <col min="3591" max="3610" width="7" style="291" customWidth="1"/>
    <col min="3611" max="3840" width="9.140625" style="291"/>
    <col min="3841" max="3841" width="5" style="291" customWidth="1"/>
    <col min="3842" max="3842" width="15.85546875" style="291" customWidth="1"/>
    <col min="3843" max="3846" width="7.7109375" style="291" customWidth="1"/>
    <col min="3847" max="3866" width="7" style="291" customWidth="1"/>
    <col min="3867" max="4096" width="9.140625" style="291"/>
    <col min="4097" max="4097" width="5" style="291" customWidth="1"/>
    <col min="4098" max="4098" width="15.85546875" style="291" customWidth="1"/>
    <col min="4099" max="4102" width="7.7109375" style="291" customWidth="1"/>
    <col min="4103" max="4122" width="7" style="291" customWidth="1"/>
    <col min="4123" max="4352" width="9.140625" style="291"/>
    <col min="4353" max="4353" width="5" style="291" customWidth="1"/>
    <col min="4354" max="4354" width="15.85546875" style="291" customWidth="1"/>
    <col min="4355" max="4358" width="7.7109375" style="291" customWidth="1"/>
    <col min="4359" max="4378" width="7" style="291" customWidth="1"/>
    <col min="4379" max="4608" width="9.140625" style="291"/>
    <col min="4609" max="4609" width="5" style="291" customWidth="1"/>
    <col min="4610" max="4610" width="15.85546875" style="291" customWidth="1"/>
    <col min="4611" max="4614" width="7.7109375" style="291" customWidth="1"/>
    <col min="4615" max="4634" width="7" style="291" customWidth="1"/>
    <col min="4635" max="4864" width="9.140625" style="291"/>
    <col min="4865" max="4865" width="5" style="291" customWidth="1"/>
    <col min="4866" max="4866" width="15.85546875" style="291" customWidth="1"/>
    <col min="4867" max="4870" width="7.7109375" style="291" customWidth="1"/>
    <col min="4871" max="4890" width="7" style="291" customWidth="1"/>
    <col min="4891" max="5120" width="9.140625" style="291"/>
    <col min="5121" max="5121" width="5" style="291" customWidth="1"/>
    <col min="5122" max="5122" width="15.85546875" style="291" customWidth="1"/>
    <col min="5123" max="5126" width="7.7109375" style="291" customWidth="1"/>
    <col min="5127" max="5146" width="7" style="291" customWidth="1"/>
    <col min="5147" max="5376" width="9.140625" style="291"/>
    <col min="5377" max="5377" width="5" style="291" customWidth="1"/>
    <col min="5378" max="5378" width="15.85546875" style="291" customWidth="1"/>
    <col min="5379" max="5382" width="7.7109375" style="291" customWidth="1"/>
    <col min="5383" max="5402" width="7" style="291" customWidth="1"/>
    <col min="5403" max="5632" width="9.140625" style="291"/>
    <col min="5633" max="5633" width="5" style="291" customWidth="1"/>
    <col min="5634" max="5634" width="15.85546875" style="291" customWidth="1"/>
    <col min="5635" max="5638" width="7.7109375" style="291" customWidth="1"/>
    <col min="5639" max="5658" width="7" style="291" customWidth="1"/>
    <col min="5659" max="5888" width="9.140625" style="291"/>
    <col min="5889" max="5889" width="5" style="291" customWidth="1"/>
    <col min="5890" max="5890" width="15.85546875" style="291" customWidth="1"/>
    <col min="5891" max="5894" width="7.7109375" style="291" customWidth="1"/>
    <col min="5895" max="5914" width="7" style="291" customWidth="1"/>
    <col min="5915" max="6144" width="9.140625" style="291"/>
    <col min="6145" max="6145" width="5" style="291" customWidth="1"/>
    <col min="6146" max="6146" width="15.85546875" style="291" customWidth="1"/>
    <col min="6147" max="6150" width="7.7109375" style="291" customWidth="1"/>
    <col min="6151" max="6170" width="7" style="291" customWidth="1"/>
    <col min="6171" max="6400" width="9.140625" style="291"/>
    <col min="6401" max="6401" width="5" style="291" customWidth="1"/>
    <col min="6402" max="6402" width="15.85546875" style="291" customWidth="1"/>
    <col min="6403" max="6406" width="7.7109375" style="291" customWidth="1"/>
    <col min="6407" max="6426" width="7" style="291" customWidth="1"/>
    <col min="6427" max="6656" width="9.140625" style="291"/>
    <col min="6657" max="6657" width="5" style="291" customWidth="1"/>
    <col min="6658" max="6658" width="15.85546875" style="291" customWidth="1"/>
    <col min="6659" max="6662" width="7.7109375" style="291" customWidth="1"/>
    <col min="6663" max="6682" width="7" style="291" customWidth="1"/>
    <col min="6683" max="6912" width="9.140625" style="291"/>
    <col min="6913" max="6913" width="5" style="291" customWidth="1"/>
    <col min="6914" max="6914" width="15.85546875" style="291" customWidth="1"/>
    <col min="6915" max="6918" width="7.7109375" style="291" customWidth="1"/>
    <col min="6919" max="6938" width="7" style="291" customWidth="1"/>
    <col min="6939" max="7168" width="9.140625" style="291"/>
    <col min="7169" max="7169" width="5" style="291" customWidth="1"/>
    <col min="7170" max="7170" width="15.85546875" style="291" customWidth="1"/>
    <col min="7171" max="7174" width="7.7109375" style="291" customWidth="1"/>
    <col min="7175" max="7194" width="7" style="291" customWidth="1"/>
    <col min="7195" max="7424" width="9.140625" style="291"/>
    <col min="7425" max="7425" width="5" style="291" customWidth="1"/>
    <col min="7426" max="7426" width="15.85546875" style="291" customWidth="1"/>
    <col min="7427" max="7430" width="7.7109375" style="291" customWidth="1"/>
    <col min="7431" max="7450" width="7" style="291" customWidth="1"/>
    <col min="7451" max="7680" width="9.140625" style="291"/>
    <col min="7681" max="7681" width="5" style="291" customWidth="1"/>
    <col min="7682" max="7682" width="15.85546875" style="291" customWidth="1"/>
    <col min="7683" max="7686" width="7.7109375" style="291" customWidth="1"/>
    <col min="7687" max="7706" width="7" style="291" customWidth="1"/>
    <col min="7707" max="7936" width="9.140625" style="291"/>
    <col min="7937" max="7937" width="5" style="291" customWidth="1"/>
    <col min="7938" max="7938" width="15.85546875" style="291" customWidth="1"/>
    <col min="7939" max="7942" width="7.7109375" style="291" customWidth="1"/>
    <col min="7943" max="7962" width="7" style="291" customWidth="1"/>
    <col min="7963" max="8192" width="9.140625" style="291"/>
    <col min="8193" max="8193" width="5" style="291" customWidth="1"/>
    <col min="8194" max="8194" width="15.85546875" style="291" customWidth="1"/>
    <col min="8195" max="8198" width="7.7109375" style="291" customWidth="1"/>
    <col min="8199" max="8218" width="7" style="291" customWidth="1"/>
    <col min="8219" max="8448" width="9.140625" style="291"/>
    <col min="8449" max="8449" width="5" style="291" customWidth="1"/>
    <col min="8450" max="8450" width="15.85546875" style="291" customWidth="1"/>
    <col min="8451" max="8454" width="7.7109375" style="291" customWidth="1"/>
    <col min="8455" max="8474" width="7" style="291" customWidth="1"/>
    <col min="8475" max="8704" width="9.140625" style="291"/>
    <col min="8705" max="8705" width="5" style="291" customWidth="1"/>
    <col min="8706" max="8706" width="15.85546875" style="291" customWidth="1"/>
    <col min="8707" max="8710" width="7.7109375" style="291" customWidth="1"/>
    <col min="8711" max="8730" width="7" style="291" customWidth="1"/>
    <col min="8731" max="8960" width="9.140625" style="291"/>
    <col min="8961" max="8961" width="5" style="291" customWidth="1"/>
    <col min="8962" max="8962" width="15.85546875" style="291" customWidth="1"/>
    <col min="8963" max="8966" width="7.7109375" style="291" customWidth="1"/>
    <col min="8967" max="8986" width="7" style="291" customWidth="1"/>
    <col min="8987" max="9216" width="9.140625" style="291"/>
    <col min="9217" max="9217" width="5" style="291" customWidth="1"/>
    <col min="9218" max="9218" width="15.85546875" style="291" customWidth="1"/>
    <col min="9219" max="9222" width="7.7109375" style="291" customWidth="1"/>
    <col min="9223" max="9242" width="7" style="291" customWidth="1"/>
    <col min="9243" max="9472" width="9.140625" style="291"/>
    <col min="9473" max="9473" width="5" style="291" customWidth="1"/>
    <col min="9474" max="9474" width="15.85546875" style="291" customWidth="1"/>
    <col min="9475" max="9478" width="7.7109375" style="291" customWidth="1"/>
    <col min="9479" max="9498" width="7" style="291" customWidth="1"/>
    <col min="9499" max="9728" width="9.140625" style="291"/>
    <col min="9729" max="9729" width="5" style="291" customWidth="1"/>
    <col min="9730" max="9730" width="15.85546875" style="291" customWidth="1"/>
    <col min="9731" max="9734" width="7.7109375" style="291" customWidth="1"/>
    <col min="9735" max="9754" width="7" style="291" customWidth="1"/>
    <col min="9755" max="9984" width="9.140625" style="291"/>
    <col min="9985" max="9985" width="5" style="291" customWidth="1"/>
    <col min="9986" max="9986" width="15.85546875" style="291" customWidth="1"/>
    <col min="9987" max="9990" width="7.7109375" style="291" customWidth="1"/>
    <col min="9991" max="10010" width="7" style="291" customWidth="1"/>
    <col min="10011" max="10240" width="9.140625" style="291"/>
    <col min="10241" max="10241" width="5" style="291" customWidth="1"/>
    <col min="10242" max="10242" width="15.85546875" style="291" customWidth="1"/>
    <col min="10243" max="10246" width="7.7109375" style="291" customWidth="1"/>
    <col min="10247" max="10266" width="7" style="291" customWidth="1"/>
    <col min="10267" max="10496" width="9.140625" style="291"/>
    <col min="10497" max="10497" width="5" style="291" customWidth="1"/>
    <col min="10498" max="10498" width="15.85546875" style="291" customWidth="1"/>
    <col min="10499" max="10502" width="7.7109375" style="291" customWidth="1"/>
    <col min="10503" max="10522" width="7" style="291" customWidth="1"/>
    <col min="10523" max="10752" width="9.140625" style="291"/>
    <col min="10753" max="10753" width="5" style="291" customWidth="1"/>
    <col min="10754" max="10754" width="15.85546875" style="291" customWidth="1"/>
    <col min="10755" max="10758" width="7.7109375" style="291" customWidth="1"/>
    <col min="10759" max="10778" width="7" style="291" customWidth="1"/>
    <col min="10779" max="11008" width="9.140625" style="291"/>
    <col min="11009" max="11009" width="5" style="291" customWidth="1"/>
    <col min="11010" max="11010" width="15.85546875" style="291" customWidth="1"/>
    <col min="11011" max="11014" width="7.7109375" style="291" customWidth="1"/>
    <col min="11015" max="11034" width="7" style="291" customWidth="1"/>
    <col min="11035" max="11264" width="9.140625" style="291"/>
    <col min="11265" max="11265" width="5" style="291" customWidth="1"/>
    <col min="11266" max="11266" width="15.85546875" style="291" customWidth="1"/>
    <col min="11267" max="11270" width="7.7109375" style="291" customWidth="1"/>
    <col min="11271" max="11290" width="7" style="291" customWidth="1"/>
    <col min="11291" max="11520" width="9.140625" style="291"/>
    <col min="11521" max="11521" width="5" style="291" customWidth="1"/>
    <col min="11522" max="11522" width="15.85546875" style="291" customWidth="1"/>
    <col min="11523" max="11526" width="7.7109375" style="291" customWidth="1"/>
    <col min="11527" max="11546" width="7" style="291" customWidth="1"/>
    <col min="11547" max="11776" width="9.140625" style="291"/>
    <col min="11777" max="11777" width="5" style="291" customWidth="1"/>
    <col min="11778" max="11778" width="15.85546875" style="291" customWidth="1"/>
    <col min="11779" max="11782" width="7.7109375" style="291" customWidth="1"/>
    <col min="11783" max="11802" width="7" style="291" customWidth="1"/>
    <col min="11803" max="12032" width="9.140625" style="291"/>
    <col min="12033" max="12033" width="5" style="291" customWidth="1"/>
    <col min="12034" max="12034" width="15.85546875" style="291" customWidth="1"/>
    <col min="12035" max="12038" width="7.7109375" style="291" customWidth="1"/>
    <col min="12039" max="12058" width="7" style="291" customWidth="1"/>
    <col min="12059" max="12288" width="9.140625" style="291"/>
    <col min="12289" max="12289" width="5" style="291" customWidth="1"/>
    <col min="12290" max="12290" width="15.85546875" style="291" customWidth="1"/>
    <col min="12291" max="12294" width="7.7109375" style="291" customWidth="1"/>
    <col min="12295" max="12314" width="7" style="291" customWidth="1"/>
    <col min="12315" max="12544" width="9.140625" style="291"/>
    <col min="12545" max="12545" width="5" style="291" customWidth="1"/>
    <col min="12546" max="12546" width="15.85546875" style="291" customWidth="1"/>
    <col min="12547" max="12550" width="7.7109375" style="291" customWidth="1"/>
    <col min="12551" max="12570" width="7" style="291" customWidth="1"/>
    <col min="12571" max="12800" width="9.140625" style="291"/>
    <col min="12801" max="12801" width="5" style="291" customWidth="1"/>
    <col min="12802" max="12802" width="15.85546875" style="291" customWidth="1"/>
    <col min="12803" max="12806" width="7.7109375" style="291" customWidth="1"/>
    <col min="12807" max="12826" width="7" style="291" customWidth="1"/>
    <col min="12827" max="13056" width="9.140625" style="291"/>
    <col min="13057" max="13057" width="5" style="291" customWidth="1"/>
    <col min="13058" max="13058" width="15.85546875" style="291" customWidth="1"/>
    <col min="13059" max="13062" width="7.7109375" style="291" customWidth="1"/>
    <col min="13063" max="13082" width="7" style="291" customWidth="1"/>
    <col min="13083" max="13312" width="9.140625" style="291"/>
    <col min="13313" max="13313" width="5" style="291" customWidth="1"/>
    <col min="13314" max="13314" width="15.85546875" style="291" customWidth="1"/>
    <col min="13315" max="13318" width="7.7109375" style="291" customWidth="1"/>
    <col min="13319" max="13338" width="7" style="291" customWidth="1"/>
    <col min="13339" max="13568" width="9.140625" style="291"/>
    <col min="13569" max="13569" width="5" style="291" customWidth="1"/>
    <col min="13570" max="13570" width="15.85546875" style="291" customWidth="1"/>
    <col min="13571" max="13574" width="7.7109375" style="291" customWidth="1"/>
    <col min="13575" max="13594" width="7" style="291" customWidth="1"/>
    <col min="13595" max="13824" width="9.140625" style="291"/>
    <col min="13825" max="13825" width="5" style="291" customWidth="1"/>
    <col min="13826" max="13826" width="15.85546875" style="291" customWidth="1"/>
    <col min="13827" max="13830" width="7.7109375" style="291" customWidth="1"/>
    <col min="13831" max="13850" width="7" style="291" customWidth="1"/>
    <col min="13851" max="14080" width="9.140625" style="291"/>
    <col min="14081" max="14081" width="5" style="291" customWidth="1"/>
    <col min="14082" max="14082" width="15.85546875" style="291" customWidth="1"/>
    <col min="14083" max="14086" width="7.7109375" style="291" customWidth="1"/>
    <col min="14087" max="14106" width="7" style="291" customWidth="1"/>
    <col min="14107" max="14336" width="9.140625" style="291"/>
    <col min="14337" max="14337" width="5" style="291" customWidth="1"/>
    <col min="14338" max="14338" width="15.85546875" style="291" customWidth="1"/>
    <col min="14339" max="14342" width="7.7109375" style="291" customWidth="1"/>
    <col min="14343" max="14362" width="7" style="291" customWidth="1"/>
    <col min="14363" max="14592" width="9.140625" style="291"/>
    <col min="14593" max="14593" width="5" style="291" customWidth="1"/>
    <col min="14594" max="14594" width="15.85546875" style="291" customWidth="1"/>
    <col min="14595" max="14598" width="7.7109375" style="291" customWidth="1"/>
    <col min="14599" max="14618" width="7" style="291" customWidth="1"/>
    <col min="14619" max="14848" width="9.140625" style="291"/>
    <col min="14849" max="14849" width="5" style="291" customWidth="1"/>
    <col min="14850" max="14850" width="15.85546875" style="291" customWidth="1"/>
    <col min="14851" max="14854" width="7.7109375" style="291" customWidth="1"/>
    <col min="14855" max="14874" width="7" style="291" customWidth="1"/>
    <col min="14875" max="15104" width="9.140625" style="291"/>
    <col min="15105" max="15105" width="5" style="291" customWidth="1"/>
    <col min="15106" max="15106" width="15.85546875" style="291" customWidth="1"/>
    <col min="15107" max="15110" width="7.7109375" style="291" customWidth="1"/>
    <col min="15111" max="15130" width="7" style="291" customWidth="1"/>
    <col min="15131" max="15360" width="9.140625" style="291"/>
    <col min="15361" max="15361" width="5" style="291" customWidth="1"/>
    <col min="15362" max="15362" width="15.85546875" style="291" customWidth="1"/>
    <col min="15363" max="15366" width="7.7109375" style="291" customWidth="1"/>
    <col min="15367" max="15386" width="7" style="291" customWidth="1"/>
    <col min="15387" max="15616" width="9.140625" style="291"/>
    <col min="15617" max="15617" width="5" style="291" customWidth="1"/>
    <col min="15618" max="15618" width="15.85546875" style="291" customWidth="1"/>
    <col min="15619" max="15622" width="7.7109375" style="291" customWidth="1"/>
    <col min="15623" max="15642" width="7" style="291" customWidth="1"/>
    <col min="15643" max="15872" width="9.140625" style="291"/>
    <col min="15873" max="15873" width="5" style="291" customWidth="1"/>
    <col min="15874" max="15874" width="15.85546875" style="291" customWidth="1"/>
    <col min="15875" max="15878" width="7.7109375" style="291" customWidth="1"/>
    <col min="15879" max="15898" width="7" style="291" customWidth="1"/>
    <col min="15899" max="16128" width="9.140625" style="291"/>
    <col min="16129" max="16129" width="5" style="291" customWidth="1"/>
    <col min="16130" max="16130" width="15.85546875" style="291" customWidth="1"/>
    <col min="16131" max="16134" width="7.7109375" style="291" customWidth="1"/>
    <col min="16135" max="16154" width="7" style="291" customWidth="1"/>
    <col min="16155" max="16384" width="9.140625" style="291"/>
  </cols>
  <sheetData>
    <row r="1" spans="1:30" s="401" customFormat="1" ht="85.5" customHeight="1">
      <c r="A1" s="708" t="s">
        <v>0</v>
      </c>
      <c r="B1" s="708"/>
      <c r="C1" s="708"/>
      <c r="D1" s="708"/>
      <c r="E1" s="708"/>
      <c r="F1" s="709" t="s">
        <v>595</v>
      </c>
      <c r="G1" s="709"/>
      <c r="H1" s="709"/>
      <c r="I1" s="709"/>
      <c r="J1" s="709"/>
      <c r="K1" s="709"/>
      <c r="L1" s="709"/>
      <c r="M1" s="709"/>
      <c r="N1" s="709"/>
      <c r="O1" s="709"/>
      <c r="P1" s="709"/>
      <c r="Q1" s="709"/>
      <c r="R1" s="709"/>
    </row>
    <row r="2" spans="1:30" ht="31.5" customHeight="1">
      <c r="A2" s="665" t="s">
        <v>2</v>
      </c>
      <c r="B2" s="665"/>
      <c r="C2" s="665"/>
      <c r="D2" s="665"/>
      <c r="E2" s="665"/>
      <c r="F2" s="665"/>
      <c r="G2" s="665"/>
      <c r="H2" s="665"/>
      <c r="I2" s="665"/>
      <c r="J2" s="665"/>
      <c r="K2" s="665"/>
      <c r="L2" s="665"/>
      <c r="M2" s="665"/>
      <c r="N2" s="665"/>
      <c r="O2" s="665"/>
      <c r="P2" s="665"/>
      <c r="Q2" s="665"/>
      <c r="R2" s="665"/>
      <c r="S2" s="665"/>
      <c r="T2" s="665"/>
      <c r="U2" s="665"/>
      <c r="V2" s="665"/>
      <c r="W2" s="665"/>
      <c r="X2" s="665"/>
      <c r="Y2" s="665"/>
      <c r="Z2" s="665"/>
    </row>
    <row r="3" spans="1:30" ht="44.25" customHeight="1">
      <c r="A3" s="515" t="s">
        <v>3</v>
      </c>
      <c r="B3" s="518" t="s">
        <v>52</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119</v>
      </c>
    </row>
    <row r="4" spans="1:30"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30" ht="75.75" customHeight="1">
      <c r="A5" s="517"/>
      <c r="B5" s="520"/>
      <c r="C5" s="5" t="s">
        <v>14</v>
      </c>
      <c r="D5" s="5" t="s">
        <v>15</v>
      </c>
      <c r="E5" s="5" t="s">
        <v>16</v>
      </c>
      <c r="F5" s="5" t="s">
        <v>17</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3"/>
      <c r="AB5" s="513"/>
    </row>
    <row r="6" spans="1:30" s="404" customFormat="1" ht="64.5" customHeight="1">
      <c r="A6" s="46" t="s">
        <v>20</v>
      </c>
      <c r="B6" s="352" t="s">
        <v>596</v>
      </c>
      <c r="C6" s="46">
        <v>0</v>
      </c>
      <c r="D6" s="46">
        <v>0</v>
      </c>
      <c r="E6" s="46">
        <v>0</v>
      </c>
      <c r="F6" s="46">
        <v>0</v>
      </c>
      <c r="G6" s="330">
        <v>1000</v>
      </c>
      <c r="H6" s="330">
        <v>1000</v>
      </c>
      <c r="I6" s="330">
        <v>1000</v>
      </c>
      <c r="J6" s="330">
        <v>1000</v>
      </c>
      <c r="K6" s="330">
        <v>2000</v>
      </c>
      <c r="L6" s="330">
        <v>2000</v>
      </c>
      <c r="M6" s="330">
        <v>2000</v>
      </c>
      <c r="N6" s="330">
        <v>2000</v>
      </c>
      <c r="O6" s="330">
        <v>4000</v>
      </c>
      <c r="P6" s="330">
        <v>4000</v>
      </c>
      <c r="Q6" s="330">
        <v>4000</v>
      </c>
      <c r="R6" s="330">
        <v>4000</v>
      </c>
      <c r="S6" s="402">
        <v>5000</v>
      </c>
      <c r="T6" s="402">
        <v>5000</v>
      </c>
      <c r="U6" s="402">
        <v>5000</v>
      </c>
      <c r="V6" s="402">
        <v>5000</v>
      </c>
      <c r="W6" s="330">
        <v>6000</v>
      </c>
      <c r="X6" s="330">
        <v>6000</v>
      </c>
      <c r="Y6" s="330">
        <v>6000</v>
      </c>
      <c r="Z6" s="403">
        <v>6000</v>
      </c>
      <c r="AA6" s="412">
        <f t="shared" ref="AA6:AA8" si="0">C6/W6</f>
        <v>0</v>
      </c>
      <c r="AB6" s="412">
        <f t="shared" ref="AB6:AB8" si="1">W6/X6</f>
        <v>1</v>
      </c>
    </row>
    <row r="7" spans="1:30" s="404" customFormat="1" ht="89.25" customHeight="1">
      <c r="A7" s="46" t="s">
        <v>22</v>
      </c>
      <c r="B7" s="352" t="s">
        <v>597</v>
      </c>
      <c r="C7" s="46">
        <v>0</v>
      </c>
      <c r="D7" s="46">
        <v>0</v>
      </c>
      <c r="E7" s="46">
        <v>0</v>
      </c>
      <c r="F7" s="46">
        <v>0</v>
      </c>
      <c r="G7" s="330">
        <v>1500</v>
      </c>
      <c r="H7" s="330">
        <v>11500</v>
      </c>
      <c r="I7" s="330">
        <v>1500</v>
      </c>
      <c r="J7" s="330">
        <v>11500</v>
      </c>
      <c r="K7" s="330">
        <v>2500</v>
      </c>
      <c r="L7" s="330">
        <v>11500</v>
      </c>
      <c r="M7" s="330">
        <v>2500</v>
      </c>
      <c r="N7" s="330">
        <v>11500</v>
      </c>
      <c r="O7" s="330">
        <v>5000</v>
      </c>
      <c r="P7" s="330">
        <v>12000</v>
      </c>
      <c r="Q7" s="330">
        <v>5000</v>
      </c>
      <c r="R7" s="330">
        <v>12000</v>
      </c>
      <c r="S7" s="330">
        <v>6000</v>
      </c>
      <c r="T7" s="330">
        <v>12000</v>
      </c>
      <c r="U7" s="330">
        <v>6000</v>
      </c>
      <c r="V7" s="330">
        <v>12000</v>
      </c>
      <c r="W7" s="330">
        <v>8000</v>
      </c>
      <c r="X7" s="330">
        <v>13000</v>
      </c>
      <c r="Y7" s="330">
        <v>8000</v>
      </c>
      <c r="Z7" s="403">
        <v>13000</v>
      </c>
      <c r="AA7" s="412">
        <f t="shared" si="0"/>
        <v>0</v>
      </c>
      <c r="AB7" s="412">
        <f t="shared" si="1"/>
        <v>0.61538461538461542</v>
      </c>
    </row>
    <row r="8" spans="1:30" s="404" customFormat="1" ht="103.5" customHeight="1">
      <c r="A8" s="46" t="s">
        <v>61</v>
      </c>
      <c r="B8" s="352" t="s">
        <v>598</v>
      </c>
      <c r="C8" s="46">
        <v>0</v>
      </c>
      <c r="D8" s="46">
        <v>0</v>
      </c>
      <c r="E8" s="46">
        <v>0</v>
      </c>
      <c r="F8" s="46">
        <v>0</v>
      </c>
      <c r="G8" s="334">
        <v>20000</v>
      </c>
      <c r="H8" s="334">
        <v>20000</v>
      </c>
      <c r="I8" s="334">
        <v>20000</v>
      </c>
      <c r="J8" s="334">
        <v>20000</v>
      </c>
      <c r="K8" s="334">
        <v>25000</v>
      </c>
      <c r="L8" s="334">
        <v>25000</v>
      </c>
      <c r="M8" s="334">
        <v>25000</v>
      </c>
      <c r="N8" s="334">
        <v>25000</v>
      </c>
      <c r="O8" s="334">
        <v>30000</v>
      </c>
      <c r="P8" s="334">
        <v>30000</v>
      </c>
      <c r="Q8" s="334">
        <v>30000</v>
      </c>
      <c r="R8" s="334">
        <v>30000</v>
      </c>
      <c r="S8" s="334">
        <v>35000</v>
      </c>
      <c r="T8" s="334">
        <v>35000</v>
      </c>
      <c r="U8" s="334">
        <v>35000</v>
      </c>
      <c r="V8" s="334">
        <v>35000</v>
      </c>
      <c r="W8" s="334">
        <v>40000</v>
      </c>
      <c r="X8" s="334">
        <v>40000</v>
      </c>
      <c r="Y8" s="334">
        <v>40000</v>
      </c>
      <c r="Z8" s="335">
        <v>40000</v>
      </c>
      <c r="AA8" s="412">
        <f t="shared" si="0"/>
        <v>0</v>
      </c>
      <c r="AB8" s="412">
        <f t="shared" si="1"/>
        <v>1</v>
      </c>
    </row>
    <row r="9" spans="1:30" ht="51">
      <c r="Z9" s="212" t="s">
        <v>123</v>
      </c>
      <c r="AA9" s="413">
        <f>AVERAGE(AA3:AA8)</f>
        <v>0</v>
      </c>
      <c r="AB9" s="413">
        <f>AVERAGE(AB3:AB8)</f>
        <v>0.87179487179487181</v>
      </c>
    </row>
    <row r="10" spans="1:30" ht="22.5">
      <c r="A10" s="665" t="s">
        <v>25</v>
      </c>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414"/>
      <c r="AB10" s="414"/>
    </row>
    <row r="11" spans="1:30" ht="45.75" customHeight="1">
      <c r="A11" s="515" t="s">
        <v>3</v>
      </c>
      <c r="B11" s="518" t="s">
        <v>26</v>
      </c>
      <c r="C11" s="521" t="s">
        <v>27</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711" t="s">
        <v>124</v>
      </c>
      <c r="AB11" s="711" t="s">
        <v>125</v>
      </c>
    </row>
    <row r="12" spans="1:30"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711" t="s">
        <v>124</v>
      </c>
      <c r="AB12" s="711" t="s">
        <v>125</v>
      </c>
    </row>
    <row r="13" spans="1:30" ht="78.75" customHeight="1">
      <c r="A13" s="517"/>
      <c r="B13" s="520"/>
      <c r="C13" s="5" t="s">
        <v>31</v>
      </c>
      <c r="D13" s="5" t="s">
        <v>32</v>
      </c>
      <c r="E13" s="5" t="s">
        <v>33</v>
      </c>
      <c r="F13" s="5" t="s">
        <v>17</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711" t="s">
        <v>124</v>
      </c>
      <c r="AB13" s="711" t="s">
        <v>125</v>
      </c>
    </row>
    <row r="14" spans="1:30" ht="129" customHeight="1">
      <c r="A14" s="177" t="s">
        <v>20</v>
      </c>
      <c r="B14" s="177" t="s">
        <v>761</v>
      </c>
      <c r="C14" s="332"/>
      <c r="D14" s="332"/>
      <c r="E14" s="332"/>
      <c r="F14" s="332"/>
      <c r="G14" s="278"/>
      <c r="H14" s="278"/>
      <c r="I14" s="278"/>
      <c r="J14" s="278"/>
      <c r="K14" s="278"/>
      <c r="L14" s="278"/>
      <c r="M14" s="278"/>
      <c r="N14" s="278"/>
      <c r="O14" s="278"/>
      <c r="P14" s="278"/>
      <c r="Q14" s="278"/>
      <c r="R14" s="278"/>
      <c r="S14" s="278"/>
      <c r="T14" s="278"/>
      <c r="U14" s="278"/>
      <c r="V14" s="278"/>
      <c r="W14" s="278"/>
      <c r="X14" s="278"/>
      <c r="Y14" s="278"/>
      <c r="Z14" s="279"/>
      <c r="AA14" s="413"/>
      <c r="AB14" s="413"/>
    </row>
    <row r="15" spans="1:30" s="405" customFormat="1" ht="102.75" customHeight="1">
      <c r="A15" s="331" t="s">
        <v>36</v>
      </c>
      <c r="B15" s="46" t="s">
        <v>382</v>
      </c>
      <c r="C15" s="332">
        <v>0</v>
      </c>
      <c r="D15" s="332">
        <v>0</v>
      </c>
      <c r="E15" s="332">
        <v>0</v>
      </c>
      <c r="F15" s="332">
        <v>0</v>
      </c>
      <c r="G15" s="334">
        <v>980</v>
      </c>
      <c r="H15" s="334">
        <v>980</v>
      </c>
      <c r="I15" s="334">
        <v>123</v>
      </c>
      <c r="J15" s="334">
        <v>123</v>
      </c>
      <c r="K15" s="334">
        <v>980</v>
      </c>
      <c r="L15" s="334">
        <v>980</v>
      </c>
      <c r="M15" s="334">
        <v>123</v>
      </c>
      <c r="N15" s="334">
        <v>123</v>
      </c>
      <c r="O15" s="334">
        <v>1050</v>
      </c>
      <c r="P15" s="334">
        <v>1050</v>
      </c>
      <c r="Q15" s="334">
        <v>126</v>
      </c>
      <c r="R15" s="334">
        <v>126</v>
      </c>
      <c r="S15" s="334">
        <v>1050</v>
      </c>
      <c r="T15" s="334">
        <v>1050</v>
      </c>
      <c r="U15" s="334">
        <v>126</v>
      </c>
      <c r="V15" s="334">
        <v>126</v>
      </c>
      <c r="W15" s="334">
        <v>1050</v>
      </c>
      <c r="X15" s="334">
        <v>1050</v>
      </c>
      <c r="Y15" s="334">
        <v>126</v>
      </c>
      <c r="Z15" s="335">
        <v>126</v>
      </c>
      <c r="AA15" s="412">
        <f t="shared" ref="AA15:AA20" si="2">C15/W15</f>
        <v>0</v>
      </c>
      <c r="AB15" s="412">
        <f t="shared" ref="AB15:AB20" si="3">W15/X15</f>
        <v>1</v>
      </c>
      <c r="AD15" s="406"/>
    </row>
    <row r="16" spans="1:30" s="405" customFormat="1" ht="155.25" customHeight="1">
      <c r="A16" s="331" t="s">
        <v>38</v>
      </c>
      <c r="B16" s="336" t="s">
        <v>757</v>
      </c>
      <c r="C16" s="332">
        <v>0</v>
      </c>
      <c r="D16" s="332">
        <v>0</v>
      </c>
      <c r="E16" s="332">
        <v>0</v>
      </c>
      <c r="F16" s="332">
        <v>0</v>
      </c>
      <c r="G16" s="334">
        <v>8610</v>
      </c>
      <c r="H16" s="334">
        <v>8610</v>
      </c>
      <c r="I16" s="334">
        <v>123</v>
      </c>
      <c r="J16" s="334">
        <v>123</v>
      </c>
      <c r="K16" s="334">
        <v>8610</v>
      </c>
      <c r="L16" s="334">
        <v>8610</v>
      </c>
      <c r="M16" s="334">
        <v>123</v>
      </c>
      <c r="N16" s="334">
        <v>123</v>
      </c>
      <c r="O16" s="334">
        <v>8820</v>
      </c>
      <c r="P16" s="334">
        <v>8820</v>
      </c>
      <c r="Q16" s="334">
        <v>126</v>
      </c>
      <c r="R16" s="334">
        <v>126</v>
      </c>
      <c r="S16" s="334">
        <v>8820</v>
      </c>
      <c r="T16" s="334">
        <v>8820</v>
      </c>
      <c r="U16" s="334">
        <v>126</v>
      </c>
      <c r="V16" s="334">
        <v>126</v>
      </c>
      <c r="W16" s="334">
        <v>8820</v>
      </c>
      <c r="X16" s="334">
        <v>8820</v>
      </c>
      <c r="Y16" s="334">
        <v>126</v>
      </c>
      <c r="Z16" s="335">
        <v>126</v>
      </c>
      <c r="AA16" s="412">
        <f t="shared" si="2"/>
        <v>0</v>
      </c>
      <c r="AB16" s="412">
        <f t="shared" si="3"/>
        <v>1</v>
      </c>
    </row>
    <row r="17" spans="1:28" s="405" customFormat="1" ht="111" customHeight="1">
      <c r="A17" s="331" t="s">
        <v>73</v>
      </c>
      <c r="B17" s="331" t="s">
        <v>383</v>
      </c>
      <c r="C17" s="332">
        <v>0</v>
      </c>
      <c r="D17" s="332">
        <v>0</v>
      </c>
      <c r="E17" s="332">
        <v>0</v>
      </c>
      <c r="F17" s="332">
        <v>0</v>
      </c>
      <c r="G17" s="334">
        <v>104000</v>
      </c>
      <c r="H17" s="334">
        <v>104000</v>
      </c>
      <c r="I17" s="334">
        <v>1500</v>
      </c>
      <c r="J17" s="334">
        <v>2000</v>
      </c>
      <c r="K17" s="334">
        <v>119000</v>
      </c>
      <c r="L17" s="334">
        <v>119000</v>
      </c>
      <c r="M17" s="334">
        <v>1700</v>
      </c>
      <c r="N17" s="334">
        <v>2200</v>
      </c>
      <c r="O17" s="334">
        <v>140000</v>
      </c>
      <c r="P17" s="334">
        <v>140000</v>
      </c>
      <c r="Q17" s="334">
        <v>2000</v>
      </c>
      <c r="R17" s="334">
        <v>2200</v>
      </c>
      <c r="S17" s="334">
        <v>140000</v>
      </c>
      <c r="T17" s="334">
        <v>140000</v>
      </c>
      <c r="U17" s="334">
        <v>2000</v>
      </c>
      <c r="V17" s="334">
        <v>2200</v>
      </c>
      <c r="W17" s="334">
        <v>175000</v>
      </c>
      <c r="X17" s="334">
        <v>175000</v>
      </c>
      <c r="Y17" s="334">
        <v>2500</v>
      </c>
      <c r="Z17" s="335">
        <v>2700</v>
      </c>
      <c r="AA17" s="412">
        <f t="shared" si="2"/>
        <v>0</v>
      </c>
      <c r="AB17" s="412">
        <f t="shared" si="3"/>
        <v>1</v>
      </c>
    </row>
    <row r="18" spans="1:28" ht="94.5" customHeight="1">
      <c r="A18" s="46" t="s">
        <v>22</v>
      </c>
      <c r="B18" s="46" t="s">
        <v>762</v>
      </c>
      <c r="C18" s="277"/>
      <c r="D18" s="277"/>
      <c r="E18" s="277"/>
      <c r="F18" s="277"/>
      <c r="G18" s="278">
        <v>133</v>
      </c>
      <c r="H18" s="278">
        <v>133</v>
      </c>
      <c r="I18" s="278">
        <v>3000</v>
      </c>
      <c r="J18" s="278">
        <v>3133</v>
      </c>
      <c r="K18" s="278">
        <v>133</v>
      </c>
      <c r="L18" s="278">
        <v>133</v>
      </c>
      <c r="M18" s="278">
        <v>4000</v>
      </c>
      <c r="N18" s="278">
        <v>4133</v>
      </c>
      <c r="O18" s="278">
        <v>133</v>
      </c>
      <c r="P18" s="278">
        <v>133</v>
      </c>
      <c r="Q18" s="278">
        <v>5000</v>
      </c>
      <c r="R18" s="278">
        <v>5133</v>
      </c>
      <c r="S18" s="278">
        <v>133</v>
      </c>
      <c r="T18" s="278">
        <v>133</v>
      </c>
      <c r="U18" s="278">
        <v>6000</v>
      </c>
      <c r="V18" s="278">
        <v>6133</v>
      </c>
      <c r="W18" s="278">
        <v>133</v>
      </c>
      <c r="X18" s="278">
        <v>133</v>
      </c>
      <c r="Y18" s="278">
        <v>7000</v>
      </c>
      <c r="Z18" s="279">
        <v>7133</v>
      </c>
      <c r="AA18" s="412">
        <f t="shared" si="2"/>
        <v>0</v>
      </c>
      <c r="AB18" s="412">
        <f t="shared" si="3"/>
        <v>1</v>
      </c>
    </row>
    <row r="19" spans="1:28" ht="53.25" customHeight="1">
      <c r="A19" s="46" t="s">
        <v>144</v>
      </c>
      <c r="B19" s="46" t="s">
        <v>599</v>
      </c>
      <c r="C19" s="277">
        <v>0</v>
      </c>
      <c r="D19" s="277">
        <v>0</v>
      </c>
      <c r="E19" s="277">
        <v>0</v>
      </c>
      <c r="F19" s="277">
        <v>0</v>
      </c>
      <c r="G19" s="407" t="s">
        <v>763</v>
      </c>
      <c r="H19" s="278">
        <v>12</v>
      </c>
      <c r="I19" s="278">
        <v>300</v>
      </c>
      <c r="J19" s="278">
        <v>300</v>
      </c>
      <c r="K19" s="278">
        <v>13</v>
      </c>
      <c r="L19" s="278">
        <v>13</v>
      </c>
      <c r="M19" s="278">
        <v>400</v>
      </c>
      <c r="N19" s="278">
        <v>400</v>
      </c>
      <c r="O19" s="278">
        <v>14</v>
      </c>
      <c r="P19" s="278">
        <v>14</v>
      </c>
      <c r="Q19" s="278">
        <v>400</v>
      </c>
      <c r="R19" s="278">
        <v>400</v>
      </c>
      <c r="S19" s="278">
        <v>15</v>
      </c>
      <c r="T19" s="278">
        <v>15</v>
      </c>
      <c r="U19" s="278">
        <v>400</v>
      </c>
      <c r="V19" s="278">
        <v>400</v>
      </c>
      <c r="W19" s="278">
        <v>18</v>
      </c>
      <c r="X19" s="278">
        <v>18</v>
      </c>
      <c r="Y19" s="278">
        <v>400</v>
      </c>
      <c r="Z19" s="279">
        <v>400</v>
      </c>
      <c r="AA19" s="412">
        <f t="shared" si="2"/>
        <v>0</v>
      </c>
      <c r="AB19" s="412">
        <f t="shared" si="3"/>
        <v>1</v>
      </c>
    </row>
    <row r="20" spans="1:28" ht="105" customHeight="1">
      <c r="A20" s="46" t="s">
        <v>318</v>
      </c>
      <c r="B20" s="46" t="s">
        <v>600</v>
      </c>
      <c r="C20" s="277">
        <v>0</v>
      </c>
      <c r="D20" s="277">
        <v>0</v>
      </c>
      <c r="E20" s="277">
        <v>0</v>
      </c>
      <c r="F20" s="277">
        <v>0</v>
      </c>
      <c r="G20" s="278">
        <v>130</v>
      </c>
      <c r="H20" s="278">
        <v>130</v>
      </c>
      <c r="I20" s="334">
        <v>10000</v>
      </c>
      <c r="J20" s="334">
        <v>10000</v>
      </c>
      <c r="K20" s="278">
        <v>130</v>
      </c>
      <c r="L20" s="278">
        <v>130</v>
      </c>
      <c r="M20" s="334">
        <v>200000</v>
      </c>
      <c r="N20" s="334">
        <v>20000</v>
      </c>
      <c r="O20" s="278">
        <v>130</v>
      </c>
      <c r="P20" s="278">
        <v>130</v>
      </c>
      <c r="Q20" s="334">
        <v>30000</v>
      </c>
      <c r="R20" s="334">
        <v>30000</v>
      </c>
      <c r="S20" s="334">
        <v>130</v>
      </c>
      <c r="T20" s="334">
        <v>130</v>
      </c>
      <c r="U20" s="334">
        <v>40000</v>
      </c>
      <c r="V20" s="334">
        <v>40000</v>
      </c>
      <c r="W20" s="334">
        <v>130</v>
      </c>
      <c r="X20" s="334">
        <v>130</v>
      </c>
      <c r="Y20" s="334">
        <v>50000</v>
      </c>
      <c r="Z20" s="335">
        <v>50000</v>
      </c>
      <c r="AA20" s="412">
        <f t="shared" si="2"/>
        <v>0</v>
      </c>
      <c r="AB20" s="412">
        <f t="shared" si="3"/>
        <v>1</v>
      </c>
    </row>
    <row r="21" spans="1:28" ht="51">
      <c r="Z21" s="212" t="s">
        <v>123</v>
      </c>
      <c r="AA21" s="413">
        <f>AVERAGE(AA15:AA20)</f>
        <v>0</v>
      </c>
      <c r="AB21" s="413">
        <f>AVERAGE(AB15:AB20)</f>
        <v>1</v>
      </c>
    </row>
    <row r="22" spans="1:28">
      <c r="A22" s="9"/>
      <c r="B22" s="9" t="s">
        <v>40</v>
      </c>
    </row>
    <row r="24" spans="1:28" ht="31.5" customHeight="1">
      <c r="A24" s="408" t="s">
        <v>41</v>
      </c>
      <c r="B24" s="710" t="s">
        <v>42</v>
      </c>
      <c r="C24" s="710"/>
      <c r="D24" s="710"/>
      <c r="E24" s="710"/>
      <c r="F24" s="710"/>
      <c r="G24" s="710"/>
      <c r="H24" s="710"/>
      <c r="I24" s="710"/>
      <c r="J24" s="710"/>
      <c r="K24" s="710"/>
      <c r="L24" s="710"/>
      <c r="M24" s="710"/>
      <c r="N24" s="710"/>
      <c r="O24" s="710"/>
      <c r="P24" s="710"/>
      <c r="Q24" s="710"/>
      <c r="R24" s="710"/>
    </row>
    <row r="25" spans="1:28" ht="31.5" customHeight="1">
      <c r="A25" s="408" t="s">
        <v>43</v>
      </c>
      <c r="B25" s="710" t="s">
        <v>44</v>
      </c>
      <c r="C25" s="710"/>
      <c r="D25" s="710"/>
      <c r="E25" s="710"/>
      <c r="F25" s="710"/>
      <c r="G25" s="710"/>
      <c r="H25" s="710"/>
      <c r="I25" s="710"/>
      <c r="J25" s="710"/>
      <c r="K25" s="710"/>
      <c r="L25" s="710"/>
      <c r="M25" s="710"/>
      <c r="N25" s="710"/>
      <c r="O25" s="710"/>
      <c r="P25" s="710"/>
      <c r="Q25" s="710"/>
      <c r="R25" s="710"/>
    </row>
    <row r="26" spans="1:28" ht="31.5" customHeight="1">
      <c r="B26" s="710" t="s">
        <v>764</v>
      </c>
      <c r="C26" s="710"/>
      <c r="D26" s="710"/>
      <c r="E26" s="710"/>
      <c r="F26" s="710"/>
      <c r="G26" s="710"/>
      <c r="H26" s="710"/>
      <c r="I26" s="710"/>
      <c r="J26" s="710"/>
      <c r="K26" s="710"/>
      <c r="L26" s="710"/>
      <c r="M26" s="710"/>
      <c r="N26" s="710"/>
      <c r="O26" s="710"/>
      <c r="P26" s="710"/>
      <c r="Q26" s="710"/>
      <c r="R26" s="710"/>
    </row>
    <row r="27" spans="1:28" ht="31.5" customHeight="1">
      <c r="B27" s="710" t="s">
        <v>765</v>
      </c>
      <c r="C27" s="710"/>
      <c r="D27" s="710"/>
      <c r="E27" s="710"/>
      <c r="F27" s="710"/>
      <c r="G27" s="710"/>
      <c r="H27" s="710"/>
      <c r="I27" s="710"/>
      <c r="J27" s="710"/>
      <c r="K27" s="710"/>
      <c r="L27" s="710"/>
      <c r="M27" s="710"/>
      <c r="N27" s="710"/>
      <c r="O27" s="710"/>
      <c r="P27" s="710"/>
      <c r="Q27" s="710"/>
      <c r="R27" s="710"/>
    </row>
    <row r="28" spans="1:28" ht="31.5" customHeight="1">
      <c r="B28" s="710" t="s">
        <v>766</v>
      </c>
      <c r="C28" s="710"/>
      <c r="D28" s="710"/>
      <c r="E28" s="710"/>
      <c r="F28" s="710"/>
      <c r="G28" s="710"/>
      <c r="H28" s="710"/>
      <c r="I28" s="710"/>
      <c r="J28" s="710"/>
      <c r="K28" s="710"/>
      <c r="L28" s="710"/>
      <c r="M28" s="710"/>
      <c r="N28" s="710"/>
      <c r="O28" s="710"/>
      <c r="P28" s="710"/>
      <c r="Q28" s="710"/>
      <c r="R28" s="710"/>
    </row>
    <row r="29" spans="1:28" ht="31.5" customHeight="1">
      <c r="B29" s="710" t="s">
        <v>767</v>
      </c>
      <c r="C29" s="710"/>
      <c r="D29" s="710"/>
      <c r="E29" s="710"/>
      <c r="F29" s="710"/>
      <c r="G29" s="710"/>
      <c r="H29" s="710"/>
      <c r="I29" s="710"/>
      <c r="J29" s="710"/>
      <c r="K29" s="710"/>
      <c r="L29" s="710"/>
      <c r="M29" s="710"/>
      <c r="N29" s="710"/>
      <c r="O29" s="710"/>
      <c r="P29" s="710"/>
      <c r="Q29" s="710"/>
      <c r="R29" s="710"/>
    </row>
    <row r="30" spans="1:28" ht="73.5" customHeight="1">
      <c r="B30" s="710" t="s">
        <v>768</v>
      </c>
      <c r="C30" s="710"/>
      <c r="D30" s="710"/>
      <c r="E30" s="710"/>
      <c r="F30" s="710"/>
      <c r="G30" s="710"/>
      <c r="H30" s="710"/>
      <c r="I30" s="710"/>
      <c r="J30" s="710"/>
      <c r="K30" s="710"/>
      <c r="L30" s="710"/>
      <c r="M30" s="710"/>
      <c r="N30" s="710"/>
      <c r="O30" s="710"/>
      <c r="P30" s="710"/>
      <c r="Q30" s="710"/>
      <c r="R30" s="710"/>
    </row>
    <row r="31" spans="1:28" ht="27" customHeight="1">
      <c r="B31" s="710" t="s">
        <v>769</v>
      </c>
      <c r="C31" s="710"/>
      <c r="D31" s="710"/>
      <c r="E31" s="710"/>
      <c r="F31" s="710"/>
      <c r="G31" s="710"/>
      <c r="H31" s="710"/>
      <c r="I31" s="710"/>
      <c r="J31" s="710"/>
      <c r="K31" s="710"/>
      <c r="L31" s="710"/>
      <c r="M31" s="710"/>
      <c r="N31" s="710"/>
      <c r="O31" s="710"/>
      <c r="P31" s="710"/>
      <c r="Q31" s="710"/>
      <c r="R31" s="710"/>
    </row>
    <row r="32" spans="1:28" ht="24" customHeight="1">
      <c r="B32" s="710" t="s">
        <v>770</v>
      </c>
      <c r="C32" s="710"/>
      <c r="D32" s="710"/>
      <c r="E32" s="710"/>
      <c r="F32" s="710"/>
      <c r="G32" s="710"/>
      <c r="H32" s="710"/>
      <c r="I32" s="710"/>
      <c r="J32" s="710"/>
      <c r="K32" s="710"/>
      <c r="L32" s="710"/>
      <c r="M32" s="710"/>
      <c r="N32" s="710"/>
      <c r="O32" s="710"/>
      <c r="P32" s="710"/>
      <c r="Q32" s="710"/>
      <c r="R32" s="710"/>
    </row>
    <row r="33" spans="1:18" ht="29.25" customHeight="1">
      <c r="B33" s="710" t="s">
        <v>601</v>
      </c>
      <c r="C33" s="710"/>
      <c r="D33" s="710"/>
      <c r="E33" s="710"/>
      <c r="F33" s="710"/>
      <c r="G33" s="710"/>
      <c r="H33" s="710"/>
      <c r="I33" s="710"/>
      <c r="J33" s="710"/>
      <c r="K33" s="710"/>
      <c r="L33" s="710"/>
      <c r="M33" s="710"/>
      <c r="N33" s="710"/>
      <c r="O33" s="710"/>
      <c r="P33" s="710"/>
      <c r="Q33" s="710"/>
      <c r="R33" s="710"/>
    </row>
    <row r="34" spans="1:18" ht="24" customHeight="1">
      <c r="B34" s="710" t="s">
        <v>771</v>
      </c>
      <c r="C34" s="710"/>
      <c r="D34" s="710"/>
      <c r="E34" s="710"/>
      <c r="F34" s="710"/>
      <c r="G34" s="710"/>
      <c r="H34" s="710"/>
      <c r="I34" s="710"/>
      <c r="J34" s="710"/>
      <c r="K34" s="710"/>
      <c r="L34" s="710"/>
      <c r="M34" s="710"/>
      <c r="N34" s="710"/>
      <c r="O34" s="710"/>
      <c r="P34" s="710"/>
      <c r="Q34" s="710"/>
      <c r="R34" s="710"/>
    </row>
    <row r="35" spans="1:18" ht="24" customHeight="1">
      <c r="B35" s="710" t="s">
        <v>772</v>
      </c>
      <c r="C35" s="710"/>
      <c r="D35" s="710"/>
      <c r="E35" s="710"/>
      <c r="F35" s="710"/>
      <c r="G35" s="710"/>
      <c r="H35" s="710"/>
      <c r="I35" s="710"/>
      <c r="J35" s="710"/>
      <c r="K35" s="710"/>
      <c r="L35" s="710"/>
      <c r="M35" s="710"/>
      <c r="N35" s="710"/>
      <c r="O35" s="710"/>
      <c r="P35" s="710"/>
      <c r="Q35" s="710"/>
      <c r="R35" s="710"/>
    </row>
    <row r="36" spans="1:18" s="410" customFormat="1" ht="14.25" customHeight="1">
      <c r="A36" s="409" t="s">
        <v>386</v>
      </c>
      <c r="B36" s="712" t="s">
        <v>602</v>
      </c>
      <c r="C36" s="712"/>
      <c r="D36" s="712"/>
      <c r="E36" s="712"/>
      <c r="F36" s="712"/>
      <c r="G36" s="712"/>
      <c r="H36" s="712"/>
      <c r="I36" s="712"/>
      <c r="J36" s="712"/>
      <c r="K36" s="712"/>
      <c r="L36" s="712"/>
      <c r="M36" s="712"/>
      <c r="N36" s="712"/>
      <c r="O36" s="712"/>
      <c r="P36" s="712"/>
      <c r="Q36" s="712"/>
      <c r="R36" s="712"/>
    </row>
    <row r="37" spans="1:18">
      <c r="B37" s="411"/>
    </row>
    <row r="39" spans="1:18">
      <c r="B39" s="411"/>
    </row>
  </sheetData>
  <mergeCells count="39">
    <mergeCell ref="B36:R36"/>
    <mergeCell ref="B30:R30"/>
    <mergeCell ref="B31:R31"/>
    <mergeCell ref="B32:R32"/>
    <mergeCell ref="B33:R33"/>
    <mergeCell ref="B34:R34"/>
    <mergeCell ref="B35:R35"/>
    <mergeCell ref="B29:R29"/>
    <mergeCell ref="AB11:AB13"/>
    <mergeCell ref="G12:J12"/>
    <mergeCell ref="K12:N12"/>
    <mergeCell ref="O12:R12"/>
    <mergeCell ref="S12:V12"/>
    <mergeCell ref="W12:Z12"/>
    <mergeCell ref="AA11:AA13"/>
    <mergeCell ref="B24:R24"/>
    <mergeCell ref="B25:R25"/>
    <mergeCell ref="B26:R26"/>
    <mergeCell ref="B27:R27"/>
    <mergeCell ref="B28:R28"/>
    <mergeCell ref="A10:Z10"/>
    <mergeCell ref="A11:A13"/>
    <mergeCell ref="B11:B13"/>
    <mergeCell ref="C11:F12"/>
    <mergeCell ref="G11:Z11"/>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dimension ref="A1:AB40"/>
  <sheetViews>
    <sheetView topLeftCell="T10" workbookViewId="0">
      <selection activeCell="B25" sqref="B24:R25"/>
    </sheetView>
  </sheetViews>
  <sheetFormatPr defaultRowHeight="15"/>
  <cols>
    <col min="1" max="1" width="5" style="188" customWidth="1"/>
    <col min="2" max="2" width="29.28515625" style="156" customWidth="1"/>
    <col min="3" max="3" width="7.7109375" style="188" customWidth="1"/>
    <col min="4" max="4" width="9.28515625" style="188" customWidth="1"/>
    <col min="5" max="6" width="7.7109375" style="188" customWidth="1"/>
    <col min="7" max="7" width="9" style="188" customWidth="1"/>
    <col min="8" max="8" width="9.5703125" style="188" customWidth="1"/>
    <col min="9" max="9" width="8.7109375" style="188" customWidth="1"/>
    <col min="10" max="10" width="8.42578125" style="188" customWidth="1"/>
    <col min="11" max="12" width="8.7109375" style="188" customWidth="1"/>
    <col min="13" max="13" width="7.42578125" style="188" customWidth="1"/>
    <col min="14" max="14" width="7.7109375" style="156" customWidth="1"/>
    <col min="15" max="16" width="8.85546875" style="188" customWidth="1"/>
    <col min="17" max="17" width="7" style="188" customWidth="1"/>
    <col min="18" max="18" width="7.85546875" style="188" customWidth="1"/>
    <col min="19" max="19" width="8.85546875" style="188" customWidth="1"/>
    <col min="20" max="20" width="9.28515625" style="188" customWidth="1"/>
    <col min="21" max="21" width="7" style="188" customWidth="1"/>
    <col min="22" max="23" width="8.7109375" style="188" customWidth="1"/>
    <col min="24" max="24" width="9.140625" style="188" customWidth="1"/>
    <col min="25" max="25" width="7" style="188" customWidth="1"/>
    <col min="26" max="26" width="8.85546875" style="188" customWidth="1"/>
    <col min="27" max="27" width="10.42578125" style="188" customWidth="1"/>
    <col min="28" max="28" width="10.140625" style="188" customWidth="1"/>
    <col min="29" max="256" width="9.140625" style="188"/>
    <col min="257" max="257" width="5" style="188" customWidth="1"/>
    <col min="258" max="258" width="29.28515625" style="188" customWidth="1"/>
    <col min="259" max="259" width="7.7109375" style="188" customWidth="1"/>
    <col min="260" max="260" width="9.28515625" style="188" customWidth="1"/>
    <col min="261" max="262" width="7.7109375" style="188" customWidth="1"/>
    <col min="263" max="263" width="9" style="188" customWidth="1"/>
    <col min="264" max="264" width="9.5703125" style="188" customWidth="1"/>
    <col min="265" max="265" width="8.7109375" style="188" customWidth="1"/>
    <col min="266" max="266" width="8.42578125" style="188" customWidth="1"/>
    <col min="267" max="268" width="8.7109375" style="188" customWidth="1"/>
    <col min="269" max="269" width="7.42578125" style="188" customWidth="1"/>
    <col min="270" max="270" width="7.7109375" style="188" customWidth="1"/>
    <col min="271" max="272" width="8.85546875" style="188" customWidth="1"/>
    <col min="273" max="273" width="7" style="188" customWidth="1"/>
    <col min="274" max="274" width="7.85546875" style="188" customWidth="1"/>
    <col min="275" max="275" width="8.85546875" style="188" customWidth="1"/>
    <col min="276" max="276" width="9.28515625" style="188" customWidth="1"/>
    <col min="277" max="277" width="7" style="188" customWidth="1"/>
    <col min="278" max="279" width="8.7109375" style="188" customWidth="1"/>
    <col min="280" max="280" width="9.140625" style="188" customWidth="1"/>
    <col min="281" max="281" width="7" style="188" customWidth="1"/>
    <col min="282" max="282" width="8.85546875" style="188" customWidth="1"/>
    <col min="283" max="283" width="10.42578125" style="188" customWidth="1"/>
    <col min="284" max="284" width="10.140625" style="188" customWidth="1"/>
    <col min="285" max="512" width="9.140625" style="188"/>
    <col min="513" max="513" width="5" style="188" customWidth="1"/>
    <col min="514" max="514" width="29.28515625" style="188" customWidth="1"/>
    <col min="515" max="515" width="7.7109375" style="188" customWidth="1"/>
    <col min="516" max="516" width="9.28515625" style="188" customWidth="1"/>
    <col min="517" max="518" width="7.7109375" style="188" customWidth="1"/>
    <col min="519" max="519" width="9" style="188" customWidth="1"/>
    <col min="520" max="520" width="9.5703125" style="188" customWidth="1"/>
    <col min="521" max="521" width="8.7109375" style="188" customWidth="1"/>
    <col min="522" max="522" width="8.42578125" style="188" customWidth="1"/>
    <col min="523" max="524" width="8.7109375" style="188" customWidth="1"/>
    <col min="525" max="525" width="7.42578125" style="188" customWidth="1"/>
    <col min="526" max="526" width="7.7109375" style="188" customWidth="1"/>
    <col min="527" max="528" width="8.85546875" style="188" customWidth="1"/>
    <col min="529" max="529" width="7" style="188" customWidth="1"/>
    <col min="530" max="530" width="7.85546875" style="188" customWidth="1"/>
    <col min="531" max="531" width="8.85546875" style="188" customWidth="1"/>
    <col min="532" max="532" width="9.28515625" style="188" customWidth="1"/>
    <col min="533" max="533" width="7" style="188" customWidth="1"/>
    <col min="534" max="535" width="8.7109375" style="188" customWidth="1"/>
    <col min="536" max="536" width="9.140625" style="188" customWidth="1"/>
    <col min="537" max="537" width="7" style="188" customWidth="1"/>
    <col min="538" max="538" width="8.85546875" style="188" customWidth="1"/>
    <col min="539" max="539" width="10.42578125" style="188" customWidth="1"/>
    <col min="540" max="540" width="10.140625" style="188" customWidth="1"/>
    <col min="541" max="768" width="9.140625" style="188"/>
    <col min="769" max="769" width="5" style="188" customWidth="1"/>
    <col min="770" max="770" width="29.28515625" style="188" customWidth="1"/>
    <col min="771" max="771" width="7.7109375" style="188" customWidth="1"/>
    <col min="772" max="772" width="9.28515625" style="188" customWidth="1"/>
    <col min="773" max="774" width="7.7109375" style="188" customWidth="1"/>
    <col min="775" max="775" width="9" style="188" customWidth="1"/>
    <col min="776" max="776" width="9.5703125" style="188" customWidth="1"/>
    <col min="777" max="777" width="8.7109375" style="188" customWidth="1"/>
    <col min="778" max="778" width="8.42578125" style="188" customWidth="1"/>
    <col min="779" max="780" width="8.7109375" style="188" customWidth="1"/>
    <col min="781" max="781" width="7.42578125" style="188" customWidth="1"/>
    <col min="782" max="782" width="7.7109375" style="188" customWidth="1"/>
    <col min="783" max="784" width="8.85546875" style="188" customWidth="1"/>
    <col min="785" max="785" width="7" style="188" customWidth="1"/>
    <col min="786" max="786" width="7.85546875" style="188" customWidth="1"/>
    <col min="787" max="787" width="8.85546875" style="188" customWidth="1"/>
    <col min="788" max="788" width="9.28515625" style="188" customWidth="1"/>
    <col min="789" max="789" width="7" style="188" customWidth="1"/>
    <col min="790" max="791" width="8.7109375" style="188" customWidth="1"/>
    <col min="792" max="792" width="9.140625" style="188" customWidth="1"/>
    <col min="793" max="793" width="7" style="188" customWidth="1"/>
    <col min="794" max="794" width="8.85546875" style="188" customWidth="1"/>
    <col min="795" max="795" width="10.42578125" style="188" customWidth="1"/>
    <col min="796" max="796" width="10.140625" style="188" customWidth="1"/>
    <col min="797" max="1024" width="9.140625" style="188"/>
    <col min="1025" max="1025" width="5" style="188" customWidth="1"/>
    <col min="1026" max="1026" width="29.28515625" style="188" customWidth="1"/>
    <col min="1027" max="1027" width="7.7109375" style="188" customWidth="1"/>
    <col min="1028" max="1028" width="9.28515625" style="188" customWidth="1"/>
    <col min="1029" max="1030" width="7.7109375" style="188" customWidth="1"/>
    <col min="1031" max="1031" width="9" style="188" customWidth="1"/>
    <col min="1032" max="1032" width="9.5703125" style="188" customWidth="1"/>
    <col min="1033" max="1033" width="8.7109375" style="188" customWidth="1"/>
    <col min="1034" max="1034" width="8.42578125" style="188" customWidth="1"/>
    <col min="1035" max="1036" width="8.7109375" style="188" customWidth="1"/>
    <col min="1037" max="1037" width="7.42578125" style="188" customWidth="1"/>
    <col min="1038" max="1038" width="7.7109375" style="188" customWidth="1"/>
    <col min="1039" max="1040" width="8.85546875" style="188" customWidth="1"/>
    <col min="1041" max="1041" width="7" style="188" customWidth="1"/>
    <col min="1042" max="1042" width="7.85546875" style="188" customWidth="1"/>
    <col min="1043" max="1043" width="8.85546875" style="188" customWidth="1"/>
    <col min="1044" max="1044" width="9.28515625" style="188" customWidth="1"/>
    <col min="1045" max="1045" width="7" style="188" customWidth="1"/>
    <col min="1046" max="1047" width="8.7109375" style="188" customWidth="1"/>
    <col min="1048" max="1048" width="9.140625" style="188" customWidth="1"/>
    <col min="1049" max="1049" width="7" style="188" customWidth="1"/>
    <col min="1050" max="1050" width="8.85546875" style="188" customWidth="1"/>
    <col min="1051" max="1051" width="10.42578125" style="188" customWidth="1"/>
    <col min="1052" max="1052" width="10.140625" style="188" customWidth="1"/>
    <col min="1053" max="1280" width="9.140625" style="188"/>
    <col min="1281" max="1281" width="5" style="188" customWidth="1"/>
    <col min="1282" max="1282" width="29.28515625" style="188" customWidth="1"/>
    <col min="1283" max="1283" width="7.7109375" style="188" customWidth="1"/>
    <col min="1284" max="1284" width="9.28515625" style="188" customWidth="1"/>
    <col min="1285" max="1286" width="7.7109375" style="188" customWidth="1"/>
    <col min="1287" max="1287" width="9" style="188" customWidth="1"/>
    <col min="1288" max="1288" width="9.5703125" style="188" customWidth="1"/>
    <col min="1289" max="1289" width="8.7109375" style="188" customWidth="1"/>
    <col min="1290" max="1290" width="8.42578125" style="188" customWidth="1"/>
    <col min="1291" max="1292" width="8.7109375" style="188" customWidth="1"/>
    <col min="1293" max="1293" width="7.42578125" style="188" customWidth="1"/>
    <col min="1294" max="1294" width="7.7109375" style="188" customWidth="1"/>
    <col min="1295" max="1296" width="8.85546875" style="188" customWidth="1"/>
    <col min="1297" max="1297" width="7" style="188" customWidth="1"/>
    <col min="1298" max="1298" width="7.85546875" style="188" customWidth="1"/>
    <col min="1299" max="1299" width="8.85546875" style="188" customWidth="1"/>
    <col min="1300" max="1300" width="9.28515625" style="188" customWidth="1"/>
    <col min="1301" max="1301" width="7" style="188" customWidth="1"/>
    <col min="1302" max="1303" width="8.7109375" style="188" customWidth="1"/>
    <col min="1304" max="1304" width="9.140625" style="188" customWidth="1"/>
    <col min="1305" max="1305" width="7" style="188" customWidth="1"/>
    <col min="1306" max="1306" width="8.85546875" style="188" customWidth="1"/>
    <col min="1307" max="1307" width="10.42578125" style="188" customWidth="1"/>
    <col min="1308" max="1308" width="10.140625" style="188" customWidth="1"/>
    <col min="1309" max="1536" width="9.140625" style="188"/>
    <col min="1537" max="1537" width="5" style="188" customWidth="1"/>
    <col min="1538" max="1538" width="29.28515625" style="188" customWidth="1"/>
    <col min="1539" max="1539" width="7.7109375" style="188" customWidth="1"/>
    <col min="1540" max="1540" width="9.28515625" style="188" customWidth="1"/>
    <col min="1541" max="1542" width="7.7109375" style="188" customWidth="1"/>
    <col min="1543" max="1543" width="9" style="188" customWidth="1"/>
    <col min="1544" max="1544" width="9.5703125" style="188" customWidth="1"/>
    <col min="1545" max="1545" width="8.7109375" style="188" customWidth="1"/>
    <col min="1546" max="1546" width="8.42578125" style="188" customWidth="1"/>
    <col min="1547" max="1548" width="8.7109375" style="188" customWidth="1"/>
    <col min="1549" max="1549" width="7.42578125" style="188" customWidth="1"/>
    <col min="1550" max="1550" width="7.7109375" style="188" customWidth="1"/>
    <col min="1551" max="1552" width="8.85546875" style="188" customWidth="1"/>
    <col min="1553" max="1553" width="7" style="188" customWidth="1"/>
    <col min="1554" max="1554" width="7.85546875" style="188" customWidth="1"/>
    <col min="1555" max="1555" width="8.85546875" style="188" customWidth="1"/>
    <col min="1556" max="1556" width="9.28515625" style="188" customWidth="1"/>
    <col min="1557" max="1557" width="7" style="188" customWidth="1"/>
    <col min="1558" max="1559" width="8.7109375" style="188" customWidth="1"/>
    <col min="1560" max="1560" width="9.140625" style="188" customWidth="1"/>
    <col min="1561" max="1561" width="7" style="188" customWidth="1"/>
    <col min="1562" max="1562" width="8.85546875" style="188" customWidth="1"/>
    <col min="1563" max="1563" width="10.42578125" style="188" customWidth="1"/>
    <col min="1564" max="1564" width="10.140625" style="188" customWidth="1"/>
    <col min="1565" max="1792" width="9.140625" style="188"/>
    <col min="1793" max="1793" width="5" style="188" customWidth="1"/>
    <col min="1794" max="1794" width="29.28515625" style="188" customWidth="1"/>
    <col min="1795" max="1795" width="7.7109375" style="188" customWidth="1"/>
    <col min="1796" max="1796" width="9.28515625" style="188" customWidth="1"/>
    <col min="1797" max="1798" width="7.7109375" style="188" customWidth="1"/>
    <col min="1799" max="1799" width="9" style="188" customWidth="1"/>
    <col min="1800" max="1800" width="9.5703125" style="188" customWidth="1"/>
    <col min="1801" max="1801" width="8.7109375" style="188" customWidth="1"/>
    <col min="1802" max="1802" width="8.42578125" style="188" customWidth="1"/>
    <col min="1803" max="1804" width="8.7109375" style="188" customWidth="1"/>
    <col min="1805" max="1805" width="7.42578125" style="188" customWidth="1"/>
    <col min="1806" max="1806" width="7.7109375" style="188" customWidth="1"/>
    <col min="1807" max="1808" width="8.85546875" style="188" customWidth="1"/>
    <col min="1809" max="1809" width="7" style="188" customWidth="1"/>
    <col min="1810" max="1810" width="7.85546875" style="188" customWidth="1"/>
    <col min="1811" max="1811" width="8.85546875" style="188" customWidth="1"/>
    <col min="1812" max="1812" width="9.28515625" style="188" customWidth="1"/>
    <col min="1813" max="1813" width="7" style="188" customWidth="1"/>
    <col min="1814" max="1815" width="8.7109375" style="188" customWidth="1"/>
    <col min="1816" max="1816" width="9.140625" style="188" customWidth="1"/>
    <col min="1817" max="1817" width="7" style="188" customWidth="1"/>
    <col min="1818" max="1818" width="8.85546875" style="188" customWidth="1"/>
    <col min="1819" max="1819" width="10.42578125" style="188" customWidth="1"/>
    <col min="1820" max="1820" width="10.140625" style="188" customWidth="1"/>
    <col min="1821" max="2048" width="9.140625" style="188"/>
    <col min="2049" max="2049" width="5" style="188" customWidth="1"/>
    <col min="2050" max="2050" width="29.28515625" style="188" customWidth="1"/>
    <col min="2051" max="2051" width="7.7109375" style="188" customWidth="1"/>
    <col min="2052" max="2052" width="9.28515625" style="188" customWidth="1"/>
    <col min="2053" max="2054" width="7.7109375" style="188" customWidth="1"/>
    <col min="2055" max="2055" width="9" style="188" customWidth="1"/>
    <col min="2056" max="2056" width="9.5703125" style="188" customWidth="1"/>
    <col min="2057" max="2057" width="8.7109375" style="188" customWidth="1"/>
    <col min="2058" max="2058" width="8.42578125" style="188" customWidth="1"/>
    <col min="2059" max="2060" width="8.7109375" style="188" customWidth="1"/>
    <col min="2061" max="2061" width="7.42578125" style="188" customWidth="1"/>
    <col min="2062" max="2062" width="7.7109375" style="188" customWidth="1"/>
    <col min="2063" max="2064" width="8.85546875" style="188" customWidth="1"/>
    <col min="2065" max="2065" width="7" style="188" customWidth="1"/>
    <col min="2066" max="2066" width="7.85546875" style="188" customWidth="1"/>
    <col min="2067" max="2067" width="8.85546875" style="188" customWidth="1"/>
    <col min="2068" max="2068" width="9.28515625" style="188" customWidth="1"/>
    <col min="2069" max="2069" width="7" style="188" customWidth="1"/>
    <col min="2070" max="2071" width="8.7109375" style="188" customWidth="1"/>
    <col min="2072" max="2072" width="9.140625" style="188" customWidth="1"/>
    <col min="2073" max="2073" width="7" style="188" customWidth="1"/>
    <col min="2074" max="2074" width="8.85546875" style="188" customWidth="1"/>
    <col min="2075" max="2075" width="10.42578125" style="188" customWidth="1"/>
    <col min="2076" max="2076" width="10.140625" style="188" customWidth="1"/>
    <col min="2077" max="2304" width="9.140625" style="188"/>
    <col min="2305" max="2305" width="5" style="188" customWidth="1"/>
    <col min="2306" max="2306" width="29.28515625" style="188" customWidth="1"/>
    <col min="2307" max="2307" width="7.7109375" style="188" customWidth="1"/>
    <col min="2308" max="2308" width="9.28515625" style="188" customWidth="1"/>
    <col min="2309" max="2310" width="7.7109375" style="188" customWidth="1"/>
    <col min="2311" max="2311" width="9" style="188" customWidth="1"/>
    <col min="2312" max="2312" width="9.5703125" style="188" customWidth="1"/>
    <col min="2313" max="2313" width="8.7109375" style="188" customWidth="1"/>
    <col min="2314" max="2314" width="8.42578125" style="188" customWidth="1"/>
    <col min="2315" max="2316" width="8.7109375" style="188" customWidth="1"/>
    <col min="2317" max="2317" width="7.42578125" style="188" customWidth="1"/>
    <col min="2318" max="2318" width="7.7109375" style="188" customWidth="1"/>
    <col min="2319" max="2320" width="8.85546875" style="188" customWidth="1"/>
    <col min="2321" max="2321" width="7" style="188" customWidth="1"/>
    <col min="2322" max="2322" width="7.85546875" style="188" customWidth="1"/>
    <col min="2323" max="2323" width="8.85546875" style="188" customWidth="1"/>
    <col min="2324" max="2324" width="9.28515625" style="188" customWidth="1"/>
    <col min="2325" max="2325" width="7" style="188" customWidth="1"/>
    <col min="2326" max="2327" width="8.7109375" style="188" customWidth="1"/>
    <col min="2328" max="2328" width="9.140625" style="188" customWidth="1"/>
    <col min="2329" max="2329" width="7" style="188" customWidth="1"/>
    <col min="2330" max="2330" width="8.85546875" style="188" customWidth="1"/>
    <col min="2331" max="2331" width="10.42578125" style="188" customWidth="1"/>
    <col min="2332" max="2332" width="10.140625" style="188" customWidth="1"/>
    <col min="2333" max="2560" width="9.140625" style="188"/>
    <col min="2561" max="2561" width="5" style="188" customWidth="1"/>
    <col min="2562" max="2562" width="29.28515625" style="188" customWidth="1"/>
    <col min="2563" max="2563" width="7.7109375" style="188" customWidth="1"/>
    <col min="2564" max="2564" width="9.28515625" style="188" customWidth="1"/>
    <col min="2565" max="2566" width="7.7109375" style="188" customWidth="1"/>
    <col min="2567" max="2567" width="9" style="188" customWidth="1"/>
    <col min="2568" max="2568" width="9.5703125" style="188" customWidth="1"/>
    <col min="2569" max="2569" width="8.7109375" style="188" customWidth="1"/>
    <col min="2570" max="2570" width="8.42578125" style="188" customWidth="1"/>
    <col min="2571" max="2572" width="8.7109375" style="188" customWidth="1"/>
    <col min="2573" max="2573" width="7.42578125" style="188" customWidth="1"/>
    <col min="2574" max="2574" width="7.7109375" style="188" customWidth="1"/>
    <col min="2575" max="2576" width="8.85546875" style="188" customWidth="1"/>
    <col min="2577" max="2577" width="7" style="188" customWidth="1"/>
    <col min="2578" max="2578" width="7.85546875" style="188" customWidth="1"/>
    <col min="2579" max="2579" width="8.85546875" style="188" customWidth="1"/>
    <col min="2580" max="2580" width="9.28515625" style="188" customWidth="1"/>
    <col min="2581" max="2581" width="7" style="188" customWidth="1"/>
    <col min="2582" max="2583" width="8.7109375" style="188" customWidth="1"/>
    <col min="2584" max="2584" width="9.140625" style="188" customWidth="1"/>
    <col min="2585" max="2585" width="7" style="188" customWidth="1"/>
    <col min="2586" max="2586" width="8.85546875" style="188" customWidth="1"/>
    <col min="2587" max="2587" width="10.42578125" style="188" customWidth="1"/>
    <col min="2588" max="2588" width="10.140625" style="188" customWidth="1"/>
    <col min="2589" max="2816" width="9.140625" style="188"/>
    <col min="2817" max="2817" width="5" style="188" customWidth="1"/>
    <col min="2818" max="2818" width="29.28515625" style="188" customWidth="1"/>
    <col min="2819" max="2819" width="7.7109375" style="188" customWidth="1"/>
    <col min="2820" max="2820" width="9.28515625" style="188" customWidth="1"/>
    <col min="2821" max="2822" width="7.7109375" style="188" customWidth="1"/>
    <col min="2823" max="2823" width="9" style="188" customWidth="1"/>
    <col min="2824" max="2824" width="9.5703125" style="188" customWidth="1"/>
    <col min="2825" max="2825" width="8.7109375" style="188" customWidth="1"/>
    <col min="2826" max="2826" width="8.42578125" style="188" customWidth="1"/>
    <col min="2827" max="2828" width="8.7109375" style="188" customWidth="1"/>
    <col min="2829" max="2829" width="7.42578125" style="188" customWidth="1"/>
    <col min="2830" max="2830" width="7.7109375" style="188" customWidth="1"/>
    <col min="2831" max="2832" width="8.85546875" style="188" customWidth="1"/>
    <col min="2833" max="2833" width="7" style="188" customWidth="1"/>
    <col min="2834" max="2834" width="7.85546875" style="188" customWidth="1"/>
    <col min="2835" max="2835" width="8.85546875" style="188" customWidth="1"/>
    <col min="2836" max="2836" width="9.28515625" style="188" customWidth="1"/>
    <col min="2837" max="2837" width="7" style="188" customWidth="1"/>
    <col min="2838" max="2839" width="8.7109375" style="188" customWidth="1"/>
    <col min="2840" max="2840" width="9.140625" style="188" customWidth="1"/>
    <col min="2841" max="2841" width="7" style="188" customWidth="1"/>
    <col min="2842" max="2842" width="8.85546875" style="188" customWidth="1"/>
    <col min="2843" max="2843" width="10.42578125" style="188" customWidth="1"/>
    <col min="2844" max="2844" width="10.140625" style="188" customWidth="1"/>
    <col min="2845" max="3072" width="9.140625" style="188"/>
    <col min="3073" max="3073" width="5" style="188" customWidth="1"/>
    <col min="3074" max="3074" width="29.28515625" style="188" customWidth="1"/>
    <col min="3075" max="3075" width="7.7109375" style="188" customWidth="1"/>
    <col min="3076" max="3076" width="9.28515625" style="188" customWidth="1"/>
    <col min="3077" max="3078" width="7.7109375" style="188" customWidth="1"/>
    <col min="3079" max="3079" width="9" style="188" customWidth="1"/>
    <col min="3080" max="3080" width="9.5703125" style="188" customWidth="1"/>
    <col min="3081" max="3081" width="8.7109375" style="188" customWidth="1"/>
    <col min="3082" max="3082" width="8.42578125" style="188" customWidth="1"/>
    <col min="3083" max="3084" width="8.7109375" style="188" customWidth="1"/>
    <col min="3085" max="3085" width="7.42578125" style="188" customWidth="1"/>
    <col min="3086" max="3086" width="7.7109375" style="188" customWidth="1"/>
    <col min="3087" max="3088" width="8.85546875" style="188" customWidth="1"/>
    <col min="3089" max="3089" width="7" style="188" customWidth="1"/>
    <col min="3090" max="3090" width="7.85546875" style="188" customWidth="1"/>
    <col min="3091" max="3091" width="8.85546875" style="188" customWidth="1"/>
    <col min="3092" max="3092" width="9.28515625" style="188" customWidth="1"/>
    <col min="3093" max="3093" width="7" style="188" customWidth="1"/>
    <col min="3094" max="3095" width="8.7109375" style="188" customWidth="1"/>
    <col min="3096" max="3096" width="9.140625" style="188" customWidth="1"/>
    <col min="3097" max="3097" width="7" style="188" customWidth="1"/>
    <col min="3098" max="3098" width="8.85546875" style="188" customWidth="1"/>
    <col min="3099" max="3099" width="10.42578125" style="188" customWidth="1"/>
    <col min="3100" max="3100" width="10.140625" style="188" customWidth="1"/>
    <col min="3101" max="3328" width="9.140625" style="188"/>
    <col min="3329" max="3329" width="5" style="188" customWidth="1"/>
    <col min="3330" max="3330" width="29.28515625" style="188" customWidth="1"/>
    <col min="3331" max="3331" width="7.7109375" style="188" customWidth="1"/>
    <col min="3332" max="3332" width="9.28515625" style="188" customWidth="1"/>
    <col min="3333" max="3334" width="7.7109375" style="188" customWidth="1"/>
    <col min="3335" max="3335" width="9" style="188" customWidth="1"/>
    <col min="3336" max="3336" width="9.5703125" style="188" customWidth="1"/>
    <col min="3337" max="3337" width="8.7109375" style="188" customWidth="1"/>
    <col min="3338" max="3338" width="8.42578125" style="188" customWidth="1"/>
    <col min="3339" max="3340" width="8.7109375" style="188" customWidth="1"/>
    <col min="3341" max="3341" width="7.42578125" style="188" customWidth="1"/>
    <col min="3342" max="3342" width="7.7109375" style="188" customWidth="1"/>
    <col min="3343" max="3344" width="8.85546875" style="188" customWidth="1"/>
    <col min="3345" max="3345" width="7" style="188" customWidth="1"/>
    <col min="3346" max="3346" width="7.85546875" style="188" customWidth="1"/>
    <col min="3347" max="3347" width="8.85546875" style="188" customWidth="1"/>
    <col min="3348" max="3348" width="9.28515625" style="188" customWidth="1"/>
    <col min="3349" max="3349" width="7" style="188" customWidth="1"/>
    <col min="3350" max="3351" width="8.7109375" style="188" customWidth="1"/>
    <col min="3352" max="3352" width="9.140625" style="188" customWidth="1"/>
    <col min="3353" max="3353" width="7" style="188" customWidth="1"/>
    <col min="3354" max="3354" width="8.85546875" style="188" customWidth="1"/>
    <col min="3355" max="3355" width="10.42578125" style="188" customWidth="1"/>
    <col min="3356" max="3356" width="10.140625" style="188" customWidth="1"/>
    <col min="3357" max="3584" width="9.140625" style="188"/>
    <col min="3585" max="3585" width="5" style="188" customWidth="1"/>
    <col min="3586" max="3586" width="29.28515625" style="188" customWidth="1"/>
    <col min="3587" max="3587" width="7.7109375" style="188" customWidth="1"/>
    <col min="3588" max="3588" width="9.28515625" style="188" customWidth="1"/>
    <col min="3589" max="3590" width="7.7109375" style="188" customWidth="1"/>
    <col min="3591" max="3591" width="9" style="188" customWidth="1"/>
    <col min="3592" max="3592" width="9.5703125" style="188" customWidth="1"/>
    <col min="3593" max="3593" width="8.7109375" style="188" customWidth="1"/>
    <col min="3594" max="3594" width="8.42578125" style="188" customWidth="1"/>
    <col min="3595" max="3596" width="8.7109375" style="188" customWidth="1"/>
    <col min="3597" max="3597" width="7.42578125" style="188" customWidth="1"/>
    <col min="3598" max="3598" width="7.7109375" style="188" customWidth="1"/>
    <col min="3599" max="3600" width="8.85546875" style="188" customWidth="1"/>
    <col min="3601" max="3601" width="7" style="188" customWidth="1"/>
    <col min="3602" max="3602" width="7.85546875" style="188" customWidth="1"/>
    <col min="3603" max="3603" width="8.85546875" style="188" customWidth="1"/>
    <col min="3604" max="3604" width="9.28515625" style="188" customWidth="1"/>
    <col min="3605" max="3605" width="7" style="188" customWidth="1"/>
    <col min="3606" max="3607" width="8.7109375" style="188" customWidth="1"/>
    <col min="3608" max="3608" width="9.140625" style="188" customWidth="1"/>
    <col min="3609" max="3609" width="7" style="188" customWidth="1"/>
    <col min="3610" max="3610" width="8.85546875" style="188" customWidth="1"/>
    <col min="3611" max="3611" width="10.42578125" style="188" customWidth="1"/>
    <col min="3612" max="3612" width="10.140625" style="188" customWidth="1"/>
    <col min="3613" max="3840" width="9.140625" style="188"/>
    <col min="3841" max="3841" width="5" style="188" customWidth="1"/>
    <col min="3842" max="3842" width="29.28515625" style="188" customWidth="1"/>
    <col min="3843" max="3843" width="7.7109375" style="188" customWidth="1"/>
    <col min="3844" max="3844" width="9.28515625" style="188" customWidth="1"/>
    <col min="3845" max="3846" width="7.7109375" style="188" customWidth="1"/>
    <col min="3847" max="3847" width="9" style="188" customWidth="1"/>
    <col min="3848" max="3848" width="9.5703125" style="188" customWidth="1"/>
    <col min="3849" max="3849" width="8.7109375" style="188" customWidth="1"/>
    <col min="3850" max="3850" width="8.42578125" style="188" customWidth="1"/>
    <col min="3851" max="3852" width="8.7109375" style="188" customWidth="1"/>
    <col min="3853" max="3853" width="7.42578125" style="188" customWidth="1"/>
    <col min="3854" max="3854" width="7.7109375" style="188" customWidth="1"/>
    <col min="3855" max="3856" width="8.85546875" style="188" customWidth="1"/>
    <col min="3857" max="3857" width="7" style="188" customWidth="1"/>
    <col min="3858" max="3858" width="7.85546875" style="188" customWidth="1"/>
    <col min="3859" max="3859" width="8.85546875" style="188" customWidth="1"/>
    <col min="3860" max="3860" width="9.28515625" style="188" customWidth="1"/>
    <col min="3861" max="3861" width="7" style="188" customWidth="1"/>
    <col min="3862" max="3863" width="8.7109375" style="188" customWidth="1"/>
    <col min="3864" max="3864" width="9.140625" style="188" customWidth="1"/>
    <col min="3865" max="3865" width="7" style="188" customWidth="1"/>
    <col min="3866" max="3866" width="8.85546875" style="188" customWidth="1"/>
    <col min="3867" max="3867" width="10.42578125" style="188" customWidth="1"/>
    <col min="3868" max="3868" width="10.140625" style="188" customWidth="1"/>
    <col min="3869" max="4096" width="9.140625" style="188"/>
    <col min="4097" max="4097" width="5" style="188" customWidth="1"/>
    <col min="4098" max="4098" width="29.28515625" style="188" customWidth="1"/>
    <col min="4099" max="4099" width="7.7109375" style="188" customWidth="1"/>
    <col min="4100" max="4100" width="9.28515625" style="188" customWidth="1"/>
    <col min="4101" max="4102" width="7.7109375" style="188" customWidth="1"/>
    <col min="4103" max="4103" width="9" style="188" customWidth="1"/>
    <col min="4104" max="4104" width="9.5703125" style="188" customWidth="1"/>
    <col min="4105" max="4105" width="8.7109375" style="188" customWidth="1"/>
    <col min="4106" max="4106" width="8.42578125" style="188" customWidth="1"/>
    <col min="4107" max="4108" width="8.7109375" style="188" customWidth="1"/>
    <col min="4109" max="4109" width="7.42578125" style="188" customWidth="1"/>
    <col min="4110" max="4110" width="7.7109375" style="188" customWidth="1"/>
    <col min="4111" max="4112" width="8.85546875" style="188" customWidth="1"/>
    <col min="4113" max="4113" width="7" style="188" customWidth="1"/>
    <col min="4114" max="4114" width="7.85546875" style="188" customWidth="1"/>
    <col min="4115" max="4115" width="8.85546875" style="188" customWidth="1"/>
    <col min="4116" max="4116" width="9.28515625" style="188" customWidth="1"/>
    <col min="4117" max="4117" width="7" style="188" customWidth="1"/>
    <col min="4118" max="4119" width="8.7109375" style="188" customWidth="1"/>
    <col min="4120" max="4120" width="9.140625" style="188" customWidth="1"/>
    <col min="4121" max="4121" width="7" style="188" customWidth="1"/>
    <col min="4122" max="4122" width="8.85546875" style="188" customWidth="1"/>
    <col min="4123" max="4123" width="10.42578125" style="188" customWidth="1"/>
    <col min="4124" max="4124" width="10.140625" style="188" customWidth="1"/>
    <col min="4125" max="4352" width="9.140625" style="188"/>
    <col min="4353" max="4353" width="5" style="188" customWidth="1"/>
    <col min="4354" max="4354" width="29.28515625" style="188" customWidth="1"/>
    <col min="4355" max="4355" width="7.7109375" style="188" customWidth="1"/>
    <col min="4356" max="4356" width="9.28515625" style="188" customWidth="1"/>
    <col min="4357" max="4358" width="7.7109375" style="188" customWidth="1"/>
    <col min="4359" max="4359" width="9" style="188" customWidth="1"/>
    <col min="4360" max="4360" width="9.5703125" style="188" customWidth="1"/>
    <col min="4361" max="4361" width="8.7109375" style="188" customWidth="1"/>
    <col min="4362" max="4362" width="8.42578125" style="188" customWidth="1"/>
    <col min="4363" max="4364" width="8.7109375" style="188" customWidth="1"/>
    <col min="4365" max="4365" width="7.42578125" style="188" customWidth="1"/>
    <col min="4366" max="4366" width="7.7109375" style="188" customWidth="1"/>
    <col min="4367" max="4368" width="8.85546875" style="188" customWidth="1"/>
    <col min="4369" max="4369" width="7" style="188" customWidth="1"/>
    <col min="4370" max="4370" width="7.85546875" style="188" customWidth="1"/>
    <col min="4371" max="4371" width="8.85546875" style="188" customWidth="1"/>
    <col min="4372" max="4372" width="9.28515625" style="188" customWidth="1"/>
    <col min="4373" max="4373" width="7" style="188" customWidth="1"/>
    <col min="4374" max="4375" width="8.7109375" style="188" customWidth="1"/>
    <col min="4376" max="4376" width="9.140625" style="188" customWidth="1"/>
    <col min="4377" max="4377" width="7" style="188" customWidth="1"/>
    <col min="4378" max="4378" width="8.85546875" style="188" customWidth="1"/>
    <col min="4379" max="4379" width="10.42578125" style="188" customWidth="1"/>
    <col min="4380" max="4380" width="10.140625" style="188" customWidth="1"/>
    <col min="4381" max="4608" width="9.140625" style="188"/>
    <col min="4609" max="4609" width="5" style="188" customWidth="1"/>
    <col min="4610" max="4610" width="29.28515625" style="188" customWidth="1"/>
    <col min="4611" max="4611" width="7.7109375" style="188" customWidth="1"/>
    <col min="4612" max="4612" width="9.28515625" style="188" customWidth="1"/>
    <col min="4613" max="4614" width="7.7109375" style="188" customWidth="1"/>
    <col min="4615" max="4615" width="9" style="188" customWidth="1"/>
    <col min="4616" max="4616" width="9.5703125" style="188" customWidth="1"/>
    <col min="4617" max="4617" width="8.7109375" style="188" customWidth="1"/>
    <col min="4618" max="4618" width="8.42578125" style="188" customWidth="1"/>
    <col min="4619" max="4620" width="8.7109375" style="188" customWidth="1"/>
    <col min="4621" max="4621" width="7.42578125" style="188" customWidth="1"/>
    <col min="4622" max="4622" width="7.7109375" style="188" customWidth="1"/>
    <col min="4623" max="4624" width="8.85546875" style="188" customWidth="1"/>
    <col min="4625" max="4625" width="7" style="188" customWidth="1"/>
    <col min="4626" max="4626" width="7.85546875" style="188" customWidth="1"/>
    <col min="4627" max="4627" width="8.85546875" style="188" customWidth="1"/>
    <col min="4628" max="4628" width="9.28515625" style="188" customWidth="1"/>
    <col min="4629" max="4629" width="7" style="188" customWidth="1"/>
    <col min="4630" max="4631" width="8.7109375" style="188" customWidth="1"/>
    <col min="4632" max="4632" width="9.140625" style="188" customWidth="1"/>
    <col min="4633" max="4633" width="7" style="188" customWidth="1"/>
    <col min="4634" max="4634" width="8.85546875" style="188" customWidth="1"/>
    <col min="4635" max="4635" width="10.42578125" style="188" customWidth="1"/>
    <col min="4636" max="4636" width="10.140625" style="188" customWidth="1"/>
    <col min="4637" max="4864" width="9.140625" style="188"/>
    <col min="4865" max="4865" width="5" style="188" customWidth="1"/>
    <col min="4866" max="4866" width="29.28515625" style="188" customWidth="1"/>
    <col min="4867" max="4867" width="7.7109375" style="188" customWidth="1"/>
    <col min="4868" max="4868" width="9.28515625" style="188" customWidth="1"/>
    <col min="4869" max="4870" width="7.7109375" style="188" customWidth="1"/>
    <col min="4871" max="4871" width="9" style="188" customWidth="1"/>
    <col min="4872" max="4872" width="9.5703125" style="188" customWidth="1"/>
    <col min="4873" max="4873" width="8.7109375" style="188" customWidth="1"/>
    <col min="4874" max="4874" width="8.42578125" style="188" customWidth="1"/>
    <col min="4875" max="4876" width="8.7109375" style="188" customWidth="1"/>
    <col min="4877" max="4877" width="7.42578125" style="188" customWidth="1"/>
    <col min="4878" max="4878" width="7.7109375" style="188" customWidth="1"/>
    <col min="4879" max="4880" width="8.85546875" style="188" customWidth="1"/>
    <col min="4881" max="4881" width="7" style="188" customWidth="1"/>
    <col min="4882" max="4882" width="7.85546875" style="188" customWidth="1"/>
    <col min="4883" max="4883" width="8.85546875" style="188" customWidth="1"/>
    <col min="4884" max="4884" width="9.28515625" style="188" customWidth="1"/>
    <col min="4885" max="4885" width="7" style="188" customWidth="1"/>
    <col min="4886" max="4887" width="8.7109375" style="188" customWidth="1"/>
    <col min="4888" max="4888" width="9.140625" style="188" customWidth="1"/>
    <col min="4889" max="4889" width="7" style="188" customWidth="1"/>
    <col min="4890" max="4890" width="8.85546875" style="188" customWidth="1"/>
    <col min="4891" max="4891" width="10.42578125" style="188" customWidth="1"/>
    <col min="4892" max="4892" width="10.140625" style="188" customWidth="1"/>
    <col min="4893" max="5120" width="9.140625" style="188"/>
    <col min="5121" max="5121" width="5" style="188" customWidth="1"/>
    <col min="5122" max="5122" width="29.28515625" style="188" customWidth="1"/>
    <col min="5123" max="5123" width="7.7109375" style="188" customWidth="1"/>
    <col min="5124" max="5124" width="9.28515625" style="188" customWidth="1"/>
    <col min="5125" max="5126" width="7.7109375" style="188" customWidth="1"/>
    <col min="5127" max="5127" width="9" style="188" customWidth="1"/>
    <col min="5128" max="5128" width="9.5703125" style="188" customWidth="1"/>
    <col min="5129" max="5129" width="8.7109375" style="188" customWidth="1"/>
    <col min="5130" max="5130" width="8.42578125" style="188" customWidth="1"/>
    <col min="5131" max="5132" width="8.7109375" style="188" customWidth="1"/>
    <col min="5133" max="5133" width="7.42578125" style="188" customWidth="1"/>
    <col min="5134" max="5134" width="7.7109375" style="188" customWidth="1"/>
    <col min="5135" max="5136" width="8.85546875" style="188" customWidth="1"/>
    <col min="5137" max="5137" width="7" style="188" customWidth="1"/>
    <col min="5138" max="5138" width="7.85546875" style="188" customWidth="1"/>
    <col min="5139" max="5139" width="8.85546875" style="188" customWidth="1"/>
    <col min="5140" max="5140" width="9.28515625" style="188" customWidth="1"/>
    <col min="5141" max="5141" width="7" style="188" customWidth="1"/>
    <col min="5142" max="5143" width="8.7109375" style="188" customWidth="1"/>
    <col min="5144" max="5144" width="9.140625" style="188" customWidth="1"/>
    <col min="5145" max="5145" width="7" style="188" customWidth="1"/>
    <col min="5146" max="5146" width="8.85546875" style="188" customWidth="1"/>
    <col min="5147" max="5147" width="10.42578125" style="188" customWidth="1"/>
    <col min="5148" max="5148" width="10.140625" style="188" customWidth="1"/>
    <col min="5149" max="5376" width="9.140625" style="188"/>
    <col min="5377" max="5377" width="5" style="188" customWidth="1"/>
    <col min="5378" max="5378" width="29.28515625" style="188" customWidth="1"/>
    <col min="5379" max="5379" width="7.7109375" style="188" customWidth="1"/>
    <col min="5380" max="5380" width="9.28515625" style="188" customWidth="1"/>
    <col min="5381" max="5382" width="7.7109375" style="188" customWidth="1"/>
    <col min="5383" max="5383" width="9" style="188" customWidth="1"/>
    <col min="5384" max="5384" width="9.5703125" style="188" customWidth="1"/>
    <col min="5385" max="5385" width="8.7109375" style="188" customWidth="1"/>
    <col min="5386" max="5386" width="8.42578125" style="188" customWidth="1"/>
    <col min="5387" max="5388" width="8.7109375" style="188" customWidth="1"/>
    <col min="5389" max="5389" width="7.42578125" style="188" customWidth="1"/>
    <col min="5390" max="5390" width="7.7109375" style="188" customWidth="1"/>
    <col min="5391" max="5392" width="8.85546875" style="188" customWidth="1"/>
    <col min="5393" max="5393" width="7" style="188" customWidth="1"/>
    <col min="5394" max="5394" width="7.85546875" style="188" customWidth="1"/>
    <col min="5395" max="5395" width="8.85546875" style="188" customWidth="1"/>
    <col min="5396" max="5396" width="9.28515625" style="188" customWidth="1"/>
    <col min="5397" max="5397" width="7" style="188" customWidth="1"/>
    <col min="5398" max="5399" width="8.7109375" style="188" customWidth="1"/>
    <col min="5400" max="5400" width="9.140625" style="188" customWidth="1"/>
    <col min="5401" max="5401" width="7" style="188" customWidth="1"/>
    <col min="5402" max="5402" width="8.85546875" style="188" customWidth="1"/>
    <col min="5403" max="5403" width="10.42578125" style="188" customWidth="1"/>
    <col min="5404" max="5404" width="10.140625" style="188" customWidth="1"/>
    <col min="5405" max="5632" width="9.140625" style="188"/>
    <col min="5633" max="5633" width="5" style="188" customWidth="1"/>
    <col min="5634" max="5634" width="29.28515625" style="188" customWidth="1"/>
    <col min="5635" max="5635" width="7.7109375" style="188" customWidth="1"/>
    <col min="5636" max="5636" width="9.28515625" style="188" customWidth="1"/>
    <col min="5637" max="5638" width="7.7109375" style="188" customWidth="1"/>
    <col min="5639" max="5639" width="9" style="188" customWidth="1"/>
    <col min="5640" max="5640" width="9.5703125" style="188" customWidth="1"/>
    <col min="5641" max="5641" width="8.7109375" style="188" customWidth="1"/>
    <col min="5642" max="5642" width="8.42578125" style="188" customWidth="1"/>
    <col min="5643" max="5644" width="8.7109375" style="188" customWidth="1"/>
    <col min="5645" max="5645" width="7.42578125" style="188" customWidth="1"/>
    <col min="5646" max="5646" width="7.7109375" style="188" customWidth="1"/>
    <col min="5647" max="5648" width="8.85546875" style="188" customWidth="1"/>
    <col min="5649" max="5649" width="7" style="188" customWidth="1"/>
    <col min="5650" max="5650" width="7.85546875" style="188" customWidth="1"/>
    <col min="5651" max="5651" width="8.85546875" style="188" customWidth="1"/>
    <col min="5652" max="5652" width="9.28515625" style="188" customWidth="1"/>
    <col min="5653" max="5653" width="7" style="188" customWidth="1"/>
    <col min="5654" max="5655" width="8.7109375" style="188" customWidth="1"/>
    <col min="5656" max="5656" width="9.140625" style="188" customWidth="1"/>
    <col min="5657" max="5657" width="7" style="188" customWidth="1"/>
    <col min="5658" max="5658" width="8.85546875" style="188" customWidth="1"/>
    <col min="5659" max="5659" width="10.42578125" style="188" customWidth="1"/>
    <col min="5660" max="5660" width="10.140625" style="188" customWidth="1"/>
    <col min="5661" max="5888" width="9.140625" style="188"/>
    <col min="5889" max="5889" width="5" style="188" customWidth="1"/>
    <col min="5890" max="5890" width="29.28515625" style="188" customWidth="1"/>
    <col min="5891" max="5891" width="7.7109375" style="188" customWidth="1"/>
    <col min="5892" max="5892" width="9.28515625" style="188" customWidth="1"/>
    <col min="5893" max="5894" width="7.7109375" style="188" customWidth="1"/>
    <col min="5895" max="5895" width="9" style="188" customWidth="1"/>
    <col min="5896" max="5896" width="9.5703125" style="188" customWidth="1"/>
    <col min="5897" max="5897" width="8.7109375" style="188" customWidth="1"/>
    <col min="5898" max="5898" width="8.42578125" style="188" customWidth="1"/>
    <col min="5899" max="5900" width="8.7109375" style="188" customWidth="1"/>
    <col min="5901" max="5901" width="7.42578125" style="188" customWidth="1"/>
    <col min="5902" max="5902" width="7.7109375" style="188" customWidth="1"/>
    <col min="5903" max="5904" width="8.85546875" style="188" customWidth="1"/>
    <col min="5905" max="5905" width="7" style="188" customWidth="1"/>
    <col min="5906" max="5906" width="7.85546875" style="188" customWidth="1"/>
    <col min="5907" max="5907" width="8.85546875" style="188" customWidth="1"/>
    <col min="5908" max="5908" width="9.28515625" style="188" customWidth="1"/>
    <col min="5909" max="5909" width="7" style="188" customWidth="1"/>
    <col min="5910" max="5911" width="8.7109375" style="188" customWidth="1"/>
    <col min="5912" max="5912" width="9.140625" style="188" customWidth="1"/>
    <col min="5913" max="5913" width="7" style="188" customWidth="1"/>
    <col min="5914" max="5914" width="8.85546875" style="188" customWidth="1"/>
    <col min="5915" max="5915" width="10.42578125" style="188" customWidth="1"/>
    <col min="5916" max="5916" width="10.140625" style="188" customWidth="1"/>
    <col min="5917" max="6144" width="9.140625" style="188"/>
    <col min="6145" max="6145" width="5" style="188" customWidth="1"/>
    <col min="6146" max="6146" width="29.28515625" style="188" customWidth="1"/>
    <col min="6147" max="6147" width="7.7109375" style="188" customWidth="1"/>
    <col min="6148" max="6148" width="9.28515625" style="188" customWidth="1"/>
    <col min="6149" max="6150" width="7.7109375" style="188" customWidth="1"/>
    <col min="6151" max="6151" width="9" style="188" customWidth="1"/>
    <col min="6152" max="6152" width="9.5703125" style="188" customWidth="1"/>
    <col min="6153" max="6153" width="8.7109375" style="188" customWidth="1"/>
    <col min="6154" max="6154" width="8.42578125" style="188" customWidth="1"/>
    <col min="6155" max="6156" width="8.7109375" style="188" customWidth="1"/>
    <col min="6157" max="6157" width="7.42578125" style="188" customWidth="1"/>
    <col min="6158" max="6158" width="7.7109375" style="188" customWidth="1"/>
    <col min="6159" max="6160" width="8.85546875" style="188" customWidth="1"/>
    <col min="6161" max="6161" width="7" style="188" customWidth="1"/>
    <col min="6162" max="6162" width="7.85546875" style="188" customWidth="1"/>
    <col min="6163" max="6163" width="8.85546875" style="188" customWidth="1"/>
    <col min="6164" max="6164" width="9.28515625" style="188" customWidth="1"/>
    <col min="6165" max="6165" width="7" style="188" customWidth="1"/>
    <col min="6166" max="6167" width="8.7109375" style="188" customWidth="1"/>
    <col min="6168" max="6168" width="9.140625" style="188" customWidth="1"/>
    <col min="6169" max="6169" width="7" style="188" customWidth="1"/>
    <col min="6170" max="6170" width="8.85546875" style="188" customWidth="1"/>
    <col min="6171" max="6171" width="10.42578125" style="188" customWidth="1"/>
    <col min="6172" max="6172" width="10.140625" style="188" customWidth="1"/>
    <col min="6173" max="6400" width="9.140625" style="188"/>
    <col min="6401" max="6401" width="5" style="188" customWidth="1"/>
    <col min="6402" max="6402" width="29.28515625" style="188" customWidth="1"/>
    <col min="6403" max="6403" width="7.7109375" style="188" customWidth="1"/>
    <col min="6404" max="6404" width="9.28515625" style="188" customWidth="1"/>
    <col min="6405" max="6406" width="7.7109375" style="188" customWidth="1"/>
    <col min="6407" max="6407" width="9" style="188" customWidth="1"/>
    <col min="6408" max="6408" width="9.5703125" style="188" customWidth="1"/>
    <col min="6409" max="6409" width="8.7109375" style="188" customWidth="1"/>
    <col min="6410" max="6410" width="8.42578125" style="188" customWidth="1"/>
    <col min="6411" max="6412" width="8.7109375" style="188" customWidth="1"/>
    <col min="6413" max="6413" width="7.42578125" style="188" customWidth="1"/>
    <col min="6414" max="6414" width="7.7109375" style="188" customWidth="1"/>
    <col min="6415" max="6416" width="8.85546875" style="188" customWidth="1"/>
    <col min="6417" max="6417" width="7" style="188" customWidth="1"/>
    <col min="6418" max="6418" width="7.85546875" style="188" customWidth="1"/>
    <col min="6419" max="6419" width="8.85546875" style="188" customWidth="1"/>
    <col min="6420" max="6420" width="9.28515625" style="188" customWidth="1"/>
    <col min="6421" max="6421" width="7" style="188" customWidth="1"/>
    <col min="6422" max="6423" width="8.7109375" style="188" customWidth="1"/>
    <col min="6424" max="6424" width="9.140625" style="188" customWidth="1"/>
    <col min="6425" max="6425" width="7" style="188" customWidth="1"/>
    <col min="6426" max="6426" width="8.85546875" style="188" customWidth="1"/>
    <col min="6427" max="6427" width="10.42578125" style="188" customWidth="1"/>
    <col min="6428" max="6428" width="10.140625" style="188" customWidth="1"/>
    <col min="6429" max="6656" width="9.140625" style="188"/>
    <col min="6657" max="6657" width="5" style="188" customWidth="1"/>
    <col min="6658" max="6658" width="29.28515625" style="188" customWidth="1"/>
    <col min="6659" max="6659" width="7.7109375" style="188" customWidth="1"/>
    <col min="6660" max="6660" width="9.28515625" style="188" customWidth="1"/>
    <col min="6661" max="6662" width="7.7109375" style="188" customWidth="1"/>
    <col min="6663" max="6663" width="9" style="188" customWidth="1"/>
    <col min="6664" max="6664" width="9.5703125" style="188" customWidth="1"/>
    <col min="6665" max="6665" width="8.7109375" style="188" customWidth="1"/>
    <col min="6666" max="6666" width="8.42578125" style="188" customWidth="1"/>
    <col min="6667" max="6668" width="8.7109375" style="188" customWidth="1"/>
    <col min="6669" max="6669" width="7.42578125" style="188" customWidth="1"/>
    <col min="6670" max="6670" width="7.7109375" style="188" customWidth="1"/>
    <col min="6671" max="6672" width="8.85546875" style="188" customWidth="1"/>
    <col min="6673" max="6673" width="7" style="188" customWidth="1"/>
    <col min="6674" max="6674" width="7.85546875" style="188" customWidth="1"/>
    <col min="6675" max="6675" width="8.85546875" style="188" customWidth="1"/>
    <col min="6676" max="6676" width="9.28515625" style="188" customWidth="1"/>
    <col min="6677" max="6677" width="7" style="188" customWidth="1"/>
    <col min="6678" max="6679" width="8.7109375" style="188" customWidth="1"/>
    <col min="6680" max="6680" width="9.140625" style="188" customWidth="1"/>
    <col min="6681" max="6681" width="7" style="188" customWidth="1"/>
    <col min="6682" max="6682" width="8.85546875" style="188" customWidth="1"/>
    <col min="6683" max="6683" width="10.42578125" style="188" customWidth="1"/>
    <col min="6684" max="6684" width="10.140625" style="188" customWidth="1"/>
    <col min="6685" max="6912" width="9.140625" style="188"/>
    <col min="6913" max="6913" width="5" style="188" customWidth="1"/>
    <col min="6914" max="6914" width="29.28515625" style="188" customWidth="1"/>
    <col min="6915" max="6915" width="7.7109375" style="188" customWidth="1"/>
    <col min="6916" max="6916" width="9.28515625" style="188" customWidth="1"/>
    <col min="6917" max="6918" width="7.7109375" style="188" customWidth="1"/>
    <col min="6919" max="6919" width="9" style="188" customWidth="1"/>
    <col min="6920" max="6920" width="9.5703125" style="188" customWidth="1"/>
    <col min="6921" max="6921" width="8.7109375" style="188" customWidth="1"/>
    <col min="6922" max="6922" width="8.42578125" style="188" customWidth="1"/>
    <col min="6923" max="6924" width="8.7109375" style="188" customWidth="1"/>
    <col min="6925" max="6925" width="7.42578125" style="188" customWidth="1"/>
    <col min="6926" max="6926" width="7.7109375" style="188" customWidth="1"/>
    <col min="6927" max="6928" width="8.85546875" style="188" customWidth="1"/>
    <col min="6929" max="6929" width="7" style="188" customWidth="1"/>
    <col min="6930" max="6930" width="7.85546875" style="188" customWidth="1"/>
    <col min="6931" max="6931" width="8.85546875" style="188" customWidth="1"/>
    <col min="6932" max="6932" width="9.28515625" style="188" customWidth="1"/>
    <col min="6933" max="6933" width="7" style="188" customWidth="1"/>
    <col min="6934" max="6935" width="8.7109375" style="188" customWidth="1"/>
    <col min="6936" max="6936" width="9.140625" style="188" customWidth="1"/>
    <col min="6937" max="6937" width="7" style="188" customWidth="1"/>
    <col min="6938" max="6938" width="8.85546875" style="188" customWidth="1"/>
    <col min="6939" max="6939" width="10.42578125" style="188" customWidth="1"/>
    <col min="6940" max="6940" width="10.140625" style="188" customWidth="1"/>
    <col min="6941" max="7168" width="9.140625" style="188"/>
    <col min="7169" max="7169" width="5" style="188" customWidth="1"/>
    <col min="7170" max="7170" width="29.28515625" style="188" customWidth="1"/>
    <col min="7171" max="7171" width="7.7109375" style="188" customWidth="1"/>
    <col min="7172" max="7172" width="9.28515625" style="188" customWidth="1"/>
    <col min="7173" max="7174" width="7.7109375" style="188" customWidth="1"/>
    <col min="7175" max="7175" width="9" style="188" customWidth="1"/>
    <col min="7176" max="7176" width="9.5703125" style="188" customWidth="1"/>
    <col min="7177" max="7177" width="8.7109375" style="188" customWidth="1"/>
    <col min="7178" max="7178" width="8.42578125" style="188" customWidth="1"/>
    <col min="7179" max="7180" width="8.7109375" style="188" customWidth="1"/>
    <col min="7181" max="7181" width="7.42578125" style="188" customWidth="1"/>
    <col min="7182" max="7182" width="7.7109375" style="188" customWidth="1"/>
    <col min="7183" max="7184" width="8.85546875" style="188" customWidth="1"/>
    <col min="7185" max="7185" width="7" style="188" customWidth="1"/>
    <col min="7186" max="7186" width="7.85546875" style="188" customWidth="1"/>
    <col min="7187" max="7187" width="8.85546875" style="188" customWidth="1"/>
    <col min="7188" max="7188" width="9.28515625" style="188" customWidth="1"/>
    <col min="7189" max="7189" width="7" style="188" customWidth="1"/>
    <col min="7190" max="7191" width="8.7109375" style="188" customWidth="1"/>
    <col min="7192" max="7192" width="9.140625" style="188" customWidth="1"/>
    <col min="7193" max="7193" width="7" style="188" customWidth="1"/>
    <col min="7194" max="7194" width="8.85546875" style="188" customWidth="1"/>
    <col min="7195" max="7195" width="10.42578125" style="188" customWidth="1"/>
    <col min="7196" max="7196" width="10.140625" style="188" customWidth="1"/>
    <col min="7197" max="7424" width="9.140625" style="188"/>
    <col min="7425" max="7425" width="5" style="188" customWidth="1"/>
    <col min="7426" max="7426" width="29.28515625" style="188" customWidth="1"/>
    <col min="7427" max="7427" width="7.7109375" style="188" customWidth="1"/>
    <col min="7428" max="7428" width="9.28515625" style="188" customWidth="1"/>
    <col min="7429" max="7430" width="7.7109375" style="188" customWidth="1"/>
    <col min="7431" max="7431" width="9" style="188" customWidth="1"/>
    <col min="7432" max="7432" width="9.5703125" style="188" customWidth="1"/>
    <col min="7433" max="7433" width="8.7109375" style="188" customWidth="1"/>
    <col min="7434" max="7434" width="8.42578125" style="188" customWidth="1"/>
    <col min="7435" max="7436" width="8.7109375" style="188" customWidth="1"/>
    <col min="7437" max="7437" width="7.42578125" style="188" customWidth="1"/>
    <col min="7438" max="7438" width="7.7109375" style="188" customWidth="1"/>
    <col min="7439" max="7440" width="8.85546875" style="188" customWidth="1"/>
    <col min="7441" max="7441" width="7" style="188" customWidth="1"/>
    <col min="7442" max="7442" width="7.85546875" style="188" customWidth="1"/>
    <col min="7443" max="7443" width="8.85546875" style="188" customWidth="1"/>
    <col min="7444" max="7444" width="9.28515625" style="188" customWidth="1"/>
    <col min="7445" max="7445" width="7" style="188" customWidth="1"/>
    <col min="7446" max="7447" width="8.7109375" style="188" customWidth="1"/>
    <col min="7448" max="7448" width="9.140625" style="188" customWidth="1"/>
    <col min="7449" max="7449" width="7" style="188" customWidth="1"/>
    <col min="7450" max="7450" width="8.85546875" style="188" customWidth="1"/>
    <col min="7451" max="7451" width="10.42578125" style="188" customWidth="1"/>
    <col min="7452" max="7452" width="10.140625" style="188" customWidth="1"/>
    <col min="7453" max="7680" width="9.140625" style="188"/>
    <col min="7681" max="7681" width="5" style="188" customWidth="1"/>
    <col min="7682" max="7682" width="29.28515625" style="188" customWidth="1"/>
    <col min="7683" max="7683" width="7.7109375" style="188" customWidth="1"/>
    <col min="7684" max="7684" width="9.28515625" style="188" customWidth="1"/>
    <col min="7685" max="7686" width="7.7109375" style="188" customWidth="1"/>
    <col min="7687" max="7687" width="9" style="188" customWidth="1"/>
    <col min="7688" max="7688" width="9.5703125" style="188" customWidth="1"/>
    <col min="7689" max="7689" width="8.7109375" style="188" customWidth="1"/>
    <col min="7690" max="7690" width="8.42578125" style="188" customWidth="1"/>
    <col min="7691" max="7692" width="8.7109375" style="188" customWidth="1"/>
    <col min="7693" max="7693" width="7.42578125" style="188" customWidth="1"/>
    <col min="7694" max="7694" width="7.7109375" style="188" customWidth="1"/>
    <col min="7695" max="7696" width="8.85546875" style="188" customWidth="1"/>
    <col min="7697" max="7697" width="7" style="188" customWidth="1"/>
    <col min="7698" max="7698" width="7.85546875" style="188" customWidth="1"/>
    <col min="7699" max="7699" width="8.85546875" style="188" customWidth="1"/>
    <col min="7700" max="7700" width="9.28515625" style="188" customWidth="1"/>
    <col min="7701" max="7701" width="7" style="188" customWidth="1"/>
    <col min="7702" max="7703" width="8.7109375" style="188" customWidth="1"/>
    <col min="7704" max="7704" width="9.140625" style="188" customWidth="1"/>
    <col min="7705" max="7705" width="7" style="188" customWidth="1"/>
    <col min="7706" max="7706" width="8.85546875" style="188" customWidth="1"/>
    <col min="7707" max="7707" width="10.42578125" style="188" customWidth="1"/>
    <col min="7708" max="7708" width="10.140625" style="188" customWidth="1"/>
    <col min="7709" max="7936" width="9.140625" style="188"/>
    <col min="7937" max="7937" width="5" style="188" customWidth="1"/>
    <col min="7938" max="7938" width="29.28515625" style="188" customWidth="1"/>
    <col min="7939" max="7939" width="7.7109375" style="188" customWidth="1"/>
    <col min="7940" max="7940" width="9.28515625" style="188" customWidth="1"/>
    <col min="7941" max="7942" width="7.7109375" style="188" customWidth="1"/>
    <col min="7943" max="7943" width="9" style="188" customWidth="1"/>
    <col min="7944" max="7944" width="9.5703125" style="188" customWidth="1"/>
    <col min="7945" max="7945" width="8.7109375" style="188" customWidth="1"/>
    <col min="7946" max="7946" width="8.42578125" style="188" customWidth="1"/>
    <col min="7947" max="7948" width="8.7109375" style="188" customWidth="1"/>
    <col min="7949" max="7949" width="7.42578125" style="188" customWidth="1"/>
    <col min="7950" max="7950" width="7.7109375" style="188" customWidth="1"/>
    <col min="7951" max="7952" width="8.85546875" style="188" customWidth="1"/>
    <col min="7953" max="7953" width="7" style="188" customWidth="1"/>
    <col min="7954" max="7954" width="7.85546875" style="188" customWidth="1"/>
    <col min="7955" max="7955" width="8.85546875" style="188" customWidth="1"/>
    <col min="7956" max="7956" width="9.28515625" style="188" customWidth="1"/>
    <col min="7957" max="7957" width="7" style="188" customWidth="1"/>
    <col min="7958" max="7959" width="8.7109375" style="188" customWidth="1"/>
    <col min="7960" max="7960" width="9.140625" style="188" customWidth="1"/>
    <col min="7961" max="7961" width="7" style="188" customWidth="1"/>
    <col min="7962" max="7962" width="8.85546875" style="188" customWidth="1"/>
    <col min="7963" max="7963" width="10.42578125" style="188" customWidth="1"/>
    <col min="7964" max="7964" width="10.140625" style="188" customWidth="1"/>
    <col min="7965" max="8192" width="9.140625" style="188"/>
    <col min="8193" max="8193" width="5" style="188" customWidth="1"/>
    <col min="8194" max="8194" width="29.28515625" style="188" customWidth="1"/>
    <col min="8195" max="8195" width="7.7109375" style="188" customWidth="1"/>
    <col min="8196" max="8196" width="9.28515625" style="188" customWidth="1"/>
    <col min="8197" max="8198" width="7.7109375" style="188" customWidth="1"/>
    <col min="8199" max="8199" width="9" style="188" customWidth="1"/>
    <col min="8200" max="8200" width="9.5703125" style="188" customWidth="1"/>
    <col min="8201" max="8201" width="8.7109375" style="188" customWidth="1"/>
    <col min="8202" max="8202" width="8.42578125" style="188" customWidth="1"/>
    <col min="8203" max="8204" width="8.7109375" style="188" customWidth="1"/>
    <col min="8205" max="8205" width="7.42578125" style="188" customWidth="1"/>
    <col min="8206" max="8206" width="7.7109375" style="188" customWidth="1"/>
    <col min="8207" max="8208" width="8.85546875" style="188" customWidth="1"/>
    <col min="8209" max="8209" width="7" style="188" customWidth="1"/>
    <col min="8210" max="8210" width="7.85546875" style="188" customWidth="1"/>
    <col min="8211" max="8211" width="8.85546875" style="188" customWidth="1"/>
    <col min="8212" max="8212" width="9.28515625" style="188" customWidth="1"/>
    <col min="8213" max="8213" width="7" style="188" customWidth="1"/>
    <col min="8214" max="8215" width="8.7109375" style="188" customWidth="1"/>
    <col min="8216" max="8216" width="9.140625" style="188" customWidth="1"/>
    <col min="8217" max="8217" width="7" style="188" customWidth="1"/>
    <col min="8218" max="8218" width="8.85546875" style="188" customWidth="1"/>
    <col min="8219" max="8219" width="10.42578125" style="188" customWidth="1"/>
    <col min="8220" max="8220" width="10.140625" style="188" customWidth="1"/>
    <col min="8221" max="8448" width="9.140625" style="188"/>
    <col min="8449" max="8449" width="5" style="188" customWidth="1"/>
    <col min="8450" max="8450" width="29.28515625" style="188" customWidth="1"/>
    <col min="8451" max="8451" width="7.7109375" style="188" customWidth="1"/>
    <col min="8452" max="8452" width="9.28515625" style="188" customWidth="1"/>
    <col min="8453" max="8454" width="7.7109375" style="188" customWidth="1"/>
    <col min="8455" max="8455" width="9" style="188" customWidth="1"/>
    <col min="8456" max="8456" width="9.5703125" style="188" customWidth="1"/>
    <col min="8457" max="8457" width="8.7109375" style="188" customWidth="1"/>
    <col min="8458" max="8458" width="8.42578125" style="188" customWidth="1"/>
    <col min="8459" max="8460" width="8.7109375" style="188" customWidth="1"/>
    <col min="8461" max="8461" width="7.42578125" style="188" customWidth="1"/>
    <col min="8462" max="8462" width="7.7109375" style="188" customWidth="1"/>
    <col min="8463" max="8464" width="8.85546875" style="188" customWidth="1"/>
    <col min="8465" max="8465" width="7" style="188" customWidth="1"/>
    <col min="8466" max="8466" width="7.85546875" style="188" customWidth="1"/>
    <col min="8467" max="8467" width="8.85546875" style="188" customWidth="1"/>
    <col min="8468" max="8468" width="9.28515625" style="188" customWidth="1"/>
    <col min="8469" max="8469" width="7" style="188" customWidth="1"/>
    <col min="8470" max="8471" width="8.7109375" style="188" customWidth="1"/>
    <col min="8472" max="8472" width="9.140625" style="188" customWidth="1"/>
    <col min="8473" max="8473" width="7" style="188" customWidth="1"/>
    <col min="8474" max="8474" width="8.85546875" style="188" customWidth="1"/>
    <col min="8475" max="8475" width="10.42578125" style="188" customWidth="1"/>
    <col min="8476" max="8476" width="10.140625" style="188" customWidth="1"/>
    <col min="8477" max="8704" width="9.140625" style="188"/>
    <col min="8705" max="8705" width="5" style="188" customWidth="1"/>
    <col min="8706" max="8706" width="29.28515625" style="188" customWidth="1"/>
    <col min="8707" max="8707" width="7.7109375" style="188" customWidth="1"/>
    <col min="8708" max="8708" width="9.28515625" style="188" customWidth="1"/>
    <col min="8709" max="8710" width="7.7109375" style="188" customWidth="1"/>
    <col min="8711" max="8711" width="9" style="188" customWidth="1"/>
    <col min="8712" max="8712" width="9.5703125" style="188" customWidth="1"/>
    <col min="8713" max="8713" width="8.7109375" style="188" customWidth="1"/>
    <col min="8714" max="8714" width="8.42578125" style="188" customWidth="1"/>
    <col min="8715" max="8716" width="8.7109375" style="188" customWidth="1"/>
    <col min="8717" max="8717" width="7.42578125" style="188" customWidth="1"/>
    <col min="8718" max="8718" width="7.7109375" style="188" customWidth="1"/>
    <col min="8719" max="8720" width="8.85546875" style="188" customWidth="1"/>
    <col min="8721" max="8721" width="7" style="188" customWidth="1"/>
    <col min="8722" max="8722" width="7.85546875" style="188" customWidth="1"/>
    <col min="8723" max="8723" width="8.85546875" style="188" customWidth="1"/>
    <col min="8724" max="8724" width="9.28515625" style="188" customWidth="1"/>
    <col min="8725" max="8725" width="7" style="188" customWidth="1"/>
    <col min="8726" max="8727" width="8.7109375" style="188" customWidth="1"/>
    <col min="8728" max="8728" width="9.140625" style="188" customWidth="1"/>
    <col min="8729" max="8729" width="7" style="188" customWidth="1"/>
    <col min="8730" max="8730" width="8.85546875" style="188" customWidth="1"/>
    <col min="8731" max="8731" width="10.42578125" style="188" customWidth="1"/>
    <col min="8732" max="8732" width="10.140625" style="188" customWidth="1"/>
    <col min="8733" max="8960" width="9.140625" style="188"/>
    <col min="8961" max="8961" width="5" style="188" customWidth="1"/>
    <col min="8962" max="8962" width="29.28515625" style="188" customWidth="1"/>
    <col min="8963" max="8963" width="7.7109375" style="188" customWidth="1"/>
    <col min="8964" max="8964" width="9.28515625" style="188" customWidth="1"/>
    <col min="8965" max="8966" width="7.7109375" style="188" customWidth="1"/>
    <col min="8967" max="8967" width="9" style="188" customWidth="1"/>
    <col min="8968" max="8968" width="9.5703125" style="188" customWidth="1"/>
    <col min="8969" max="8969" width="8.7109375" style="188" customWidth="1"/>
    <col min="8970" max="8970" width="8.42578125" style="188" customWidth="1"/>
    <col min="8971" max="8972" width="8.7109375" style="188" customWidth="1"/>
    <col min="8973" max="8973" width="7.42578125" style="188" customWidth="1"/>
    <col min="8974" max="8974" width="7.7109375" style="188" customWidth="1"/>
    <col min="8975" max="8976" width="8.85546875" style="188" customWidth="1"/>
    <col min="8977" max="8977" width="7" style="188" customWidth="1"/>
    <col min="8978" max="8978" width="7.85546875" style="188" customWidth="1"/>
    <col min="8979" max="8979" width="8.85546875" style="188" customWidth="1"/>
    <col min="8980" max="8980" width="9.28515625" style="188" customWidth="1"/>
    <col min="8981" max="8981" width="7" style="188" customWidth="1"/>
    <col min="8982" max="8983" width="8.7109375" style="188" customWidth="1"/>
    <col min="8984" max="8984" width="9.140625" style="188" customWidth="1"/>
    <col min="8985" max="8985" width="7" style="188" customWidth="1"/>
    <col min="8986" max="8986" width="8.85546875" style="188" customWidth="1"/>
    <col min="8987" max="8987" width="10.42578125" style="188" customWidth="1"/>
    <col min="8988" max="8988" width="10.140625" style="188" customWidth="1"/>
    <col min="8989" max="9216" width="9.140625" style="188"/>
    <col min="9217" max="9217" width="5" style="188" customWidth="1"/>
    <col min="9218" max="9218" width="29.28515625" style="188" customWidth="1"/>
    <col min="9219" max="9219" width="7.7109375" style="188" customWidth="1"/>
    <col min="9220" max="9220" width="9.28515625" style="188" customWidth="1"/>
    <col min="9221" max="9222" width="7.7109375" style="188" customWidth="1"/>
    <col min="9223" max="9223" width="9" style="188" customWidth="1"/>
    <col min="9224" max="9224" width="9.5703125" style="188" customWidth="1"/>
    <col min="9225" max="9225" width="8.7109375" style="188" customWidth="1"/>
    <col min="9226" max="9226" width="8.42578125" style="188" customWidth="1"/>
    <col min="9227" max="9228" width="8.7109375" style="188" customWidth="1"/>
    <col min="9229" max="9229" width="7.42578125" style="188" customWidth="1"/>
    <col min="9230" max="9230" width="7.7109375" style="188" customWidth="1"/>
    <col min="9231" max="9232" width="8.85546875" style="188" customWidth="1"/>
    <col min="9233" max="9233" width="7" style="188" customWidth="1"/>
    <col min="9234" max="9234" width="7.85546875" style="188" customWidth="1"/>
    <col min="9235" max="9235" width="8.85546875" style="188" customWidth="1"/>
    <col min="9236" max="9236" width="9.28515625" style="188" customWidth="1"/>
    <col min="9237" max="9237" width="7" style="188" customWidth="1"/>
    <col min="9238" max="9239" width="8.7109375" style="188" customWidth="1"/>
    <col min="9240" max="9240" width="9.140625" style="188" customWidth="1"/>
    <col min="9241" max="9241" width="7" style="188" customWidth="1"/>
    <col min="9242" max="9242" width="8.85546875" style="188" customWidth="1"/>
    <col min="9243" max="9243" width="10.42578125" style="188" customWidth="1"/>
    <col min="9244" max="9244" width="10.140625" style="188" customWidth="1"/>
    <col min="9245" max="9472" width="9.140625" style="188"/>
    <col min="9473" max="9473" width="5" style="188" customWidth="1"/>
    <col min="9474" max="9474" width="29.28515625" style="188" customWidth="1"/>
    <col min="9475" max="9475" width="7.7109375" style="188" customWidth="1"/>
    <col min="9476" max="9476" width="9.28515625" style="188" customWidth="1"/>
    <col min="9477" max="9478" width="7.7109375" style="188" customWidth="1"/>
    <col min="9479" max="9479" width="9" style="188" customWidth="1"/>
    <col min="9480" max="9480" width="9.5703125" style="188" customWidth="1"/>
    <col min="9481" max="9481" width="8.7109375" style="188" customWidth="1"/>
    <col min="9482" max="9482" width="8.42578125" style="188" customWidth="1"/>
    <col min="9483" max="9484" width="8.7109375" style="188" customWidth="1"/>
    <col min="9485" max="9485" width="7.42578125" style="188" customWidth="1"/>
    <col min="9486" max="9486" width="7.7109375" style="188" customWidth="1"/>
    <col min="9487" max="9488" width="8.85546875" style="188" customWidth="1"/>
    <col min="9489" max="9489" width="7" style="188" customWidth="1"/>
    <col min="9490" max="9490" width="7.85546875" style="188" customWidth="1"/>
    <col min="9491" max="9491" width="8.85546875" style="188" customWidth="1"/>
    <col min="9492" max="9492" width="9.28515625" style="188" customWidth="1"/>
    <col min="9493" max="9493" width="7" style="188" customWidth="1"/>
    <col min="9494" max="9495" width="8.7109375" style="188" customWidth="1"/>
    <col min="9496" max="9496" width="9.140625" style="188" customWidth="1"/>
    <col min="9497" max="9497" width="7" style="188" customWidth="1"/>
    <col min="9498" max="9498" width="8.85546875" style="188" customWidth="1"/>
    <col min="9499" max="9499" width="10.42578125" style="188" customWidth="1"/>
    <col min="9500" max="9500" width="10.140625" style="188" customWidth="1"/>
    <col min="9501" max="9728" width="9.140625" style="188"/>
    <col min="9729" max="9729" width="5" style="188" customWidth="1"/>
    <col min="9730" max="9730" width="29.28515625" style="188" customWidth="1"/>
    <col min="9731" max="9731" width="7.7109375" style="188" customWidth="1"/>
    <col min="9732" max="9732" width="9.28515625" style="188" customWidth="1"/>
    <col min="9733" max="9734" width="7.7109375" style="188" customWidth="1"/>
    <col min="9735" max="9735" width="9" style="188" customWidth="1"/>
    <col min="9736" max="9736" width="9.5703125" style="188" customWidth="1"/>
    <col min="9737" max="9737" width="8.7109375" style="188" customWidth="1"/>
    <col min="9738" max="9738" width="8.42578125" style="188" customWidth="1"/>
    <col min="9739" max="9740" width="8.7109375" style="188" customWidth="1"/>
    <col min="9741" max="9741" width="7.42578125" style="188" customWidth="1"/>
    <col min="9742" max="9742" width="7.7109375" style="188" customWidth="1"/>
    <col min="9743" max="9744" width="8.85546875" style="188" customWidth="1"/>
    <col min="9745" max="9745" width="7" style="188" customWidth="1"/>
    <col min="9746" max="9746" width="7.85546875" style="188" customWidth="1"/>
    <col min="9747" max="9747" width="8.85546875" style="188" customWidth="1"/>
    <col min="9748" max="9748" width="9.28515625" style="188" customWidth="1"/>
    <col min="9749" max="9749" width="7" style="188" customWidth="1"/>
    <col min="9750" max="9751" width="8.7109375" style="188" customWidth="1"/>
    <col min="9752" max="9752" width="9.140625" style="188" customWidth="1"/>
    <col min="9753" max="9753" width="7" style="188" customWidth="1"/>
    <col min="9754" max="9754" width="8.85546875" style="188" customWidth="1"/>
    <col min="9755" max="9755" width="10.42578125" style="188" customWidth="1"/>
    <col min="9756" max="9756" width="10.140625" style="188" customWidth="1"/>
    <col min="9757" max="9984" width="9.140625" style="188"/>
    <col min="9985" max="9985" width="5" style="188" customWidth="1"/>
    <col min="9986" max="9986" width="29.28515625" style="188" customWidth="1"/>
    <col min="9987" max="9987" width="7.7109375" style="188" customWidth="1"/>
    <col min="9988" max="9988" width="9.28515625" style="188" customWidth="1"/>
    <col min="9989" max="9990" width="7.7109375" style="188" customWidth="1"/>
    <col min="9991" max="9991" width="9" style="188" customWidth="1"/>
    <col min="9992" max="9992" width="9.5703125" style="188" customWidth="1"/>
    <col min="9993" max="9993" width="8.7109375" style="188" customWidth="1"/>
    <col min="9994" max="9994" width="8.42578125" style="188" customWidth="1"/>
    <col min="9995" max="9996" width="8.7109375" style="188" customWidth="1"/>
    <col min="9997" max="9997" width="7.42578125" style="188" customWidth="1"/>
    <col min="9998" max="9998" width="7.7109375" style="188" customWidth="1"/>
    <col min="9999" max="10000" width="8.85546875" style="188" customWidth="1"/>
    <col min="10001" max="10001" width="7" style="188" customWidth="1"/>
    <col min="10002" max="10002" width="7.85546875" style="188" customWidth="1"/>
    <col min="10003" max="10003" width="8.85546875" style="188" customWidth="1"/>
    <col min="10004" max="10004" width="9.28515625" style="188" customWidth="1"/>
    <col min="10005" max="10005" width="7" style="188" customWidth="1"/>
    <col min="10006" max="10007" width="8.7109375" style="188" customWidth="1"/>
    <col min="10008" max="10008" width="9.140625" style="188" customWidth="1"/>
    <col min="10009" max="10009" width="7" style="188" customWidth="1"/>
    <col min="10010" max="10010" width="8.85546875" style="188" customWidth="1"/>
    <col min="10011" max="10011" width="10.42578125" style="188" customWidth="1"/>
    <col min="10012" max="10012" width="10.140625" style="188" customWidth="1"/>
    <col min="10013" max="10240" width="9.140625" style="188"/>
    <col min="10241" max="10241" width="5" style="188" customWidth="1"/>
    <col min="10242" max="10242" width="29.28515625" style="188" customWidth="1"/>
    <col min="10243" max="10243" width="7.7109375" style="188" customWidth="1"/>
    <col min="10244" max="10244" width="9.28515625" style="188" customWidth="1"/>
    <col min="10245" max="10246" width="7.7109375" style="188" customWidth="1"/>
    <col min="10247" max="10247" width="9" style="188" customWidth="1"/>
    <col min="10248" max="10248" width="9.5703125" style="188" customWidth="1"/>
    <col min="10249" max="10249" width="8.7109375" style="188" customWidth="1"/>
    <col min="10250" max="10250" width="8.42578125" style="188" customWidth="1"/>
    <col min="10251" max="10252" width="8.7109375" style="188" customWidth="1"/>
    <col min="10253" max="10253" width="7.42578125" style="188" customWidth="1"/>
    <col min="10254" max="10254" width="7.7109375" style="188" customWidth="1"/>
    <col min="10255" max="10256" width="8.85546875" style="188" customWidth="1"/>
    <col min="10257" max="10257" width="7" style="188" customWidth="1"/>
    <col min="10258" max="10258" width="7.85546875" style="188" customWidth="1"/>
    <col min="10259" max="10259" width="8.85546875" style="188" customWidth="1"/>
    <col min="10260" max="10260" width="9.28515625" style="188" customWidth="1"/>
    <col min="10261" max="10261" width="7" style="188" customWidth="1"/>
    <col min="10262" max="10263" width="8.7109375" style="188" customWidth="1"/>
    <col min="10264" max="10264" width="9.140625" style="188" customWidth="1"/>
    <col min="10265" max="10265" width="7" style="188" customWidth="1"/>
    <col min="10266" max="10266" width="8.85546875" style="188" customWidth="1"/>
    <col min="10267" max="10267" width="10.42578125" style="188" customWidth="1"/>
    <col min="10268" max="10268" width="10.140625" style="188" customWidth="1"/>
    <col min="10269" max="10496" width="9.140625" style="188"/>
    <col min="10497" max="10497" width="5" style="188" customWidth="1"/>
    <col min="10498" max="10498" width="29.28515625" style="188" customWidth="1"/>
    <col min="10499" max="10499" width="7.7109375" style="188" customWidth="1"/>
    <col min="10500" max="10500" width="9.28515625" style="188" customWidth="1"/>
    <col min="10501" max="10502" width="7.7109375" style="188" customWidth="1"/>
    <col min="10503" max="10503" width="9" style="188" customWidth="1"/>
    <col min="10504" max="10504" width="9.5703125" style="188" customWidth="1"/>
    <col min="10505" max="10505" width="8.7109375" style="188" customWidth="1"/>
    <col min="10506" max="10506" width="8.42578125" style="188" customWidth="1"/>
    <col min="10507" max="10508" width="8.7109375" style="188" customWidth="1"/>
    <col min="10509" max="10509" width="7.42578125" style="188" customWidth="1"/>
    <col min="10510" max="10510" width="7.7109375" style="188" customWidth="1"/>
    <col min="10511" max="10512" width="8.85546875" style="188" customWidth="1"/>
    <col min="10513" max="10513" width="7" style="188" customWidth="1"/>
    <col min="10514" max="10514" width="7.85546875" style="188" customWidth="1"/>
    <col min="10515" max="10515" width="8.85546875" style="188" customWidth="1"/>
    <col min="10516" max="10516" width="9.28515625" style="188" customWidth="1"/>
    <col min="10517" max="10517" width="7" style="188" customWidth="1"/>
    <col min="10518" max="10519" width="8.7109375" style="188" customWidth="1"/>
    <col min="10520" max="10520" width="9.140625" style="188" customWidth="1"/>
    <col min="10521" max="10521" width="7" style="188" customWidth="1"/>
    <col min="10522" max="10522" width="8.85546875" style="188" customWidth="1"/>
    <col min="10523" max="10523" width="10.42578125" style="188" customWidth="1"/>
    <col min="10524" max="10524" width="10.140625" style="188" customWidth="1"/>
    <col min="10525" max="10752" width="9.140625" style="188"/>
    <col min="10753" max="10753" width="5" style="188" customWidth="1"/>
    <col min="10754" max="10754" width="29.28515625" style="188" customWidth="1"/>
    <col min="10755" max="10755" width="7.7109375" style="188" customWidth="1"/>
    <col min="10756" max="10756" width="9.28515625" style="188" customWidth="1"/>
    <col min="10757" max="10758" width="7.7109375" style="188" customWidth="1"/>
    <col min="10759" max="10759" width="9" style="188" customWidth="1"/>
    <col min="10760" max="10760" width="9.5703125" style="188" customWidth="1"/>
    <col min="10761" max="10761" width="8.7109375" style="188" customWidth="1"/>
    <col min="10762" max="10762" width="8.42578125" style="188" customWidth="1"/>
    <col min="10763" max="10764" width="8.7109375" style="188" customWidth="1"/>
    <col min="10765" max="10765" width="7.42578125" style="188" customWidth="1"/>
    <col min="10766" max="10766" width="7.7109375" style="188" customWidth="1"/>
    <col min="10767" max="10768" width="8.85546875" style="188" customWidth="1"/>
    <col min="10769" max="10769" width="7" style="188" customWidth="1"/>
    <col min="10770" max="10770" width="7.85546875" style="188" customWidth="1"/>
    <col min="10771" max="10771" width="8.85546875" style="188" customWidth="1"/>
    <col min="10772" max="10772" width="9.28515625" style="188" customWidth="1"/>
    <col min="10773" max="10773" width="7" style="188" customWidth="1"/>
    <col min="10774" max="10775" width="8.7109375" style="188" customWidth="1"/>
    <col min="10776" max="10776" width="9.140625" style="188" customWidth="1"/>
    <col min="10777" max="10777" width="7" style="188" customWidth="1"/>
    <col min="10778" max="10778" width="8.85546875" style="188" customWidth="1"/>
    <col min="10779" max="10779" width="10.42578125" style="188" customWidth="1"/>
    <col min="10780" max="10780" width="10.140625" style="188" customWidth="1"/>
    <col min="10781" max="11008" width="9.140625" style="188"/>
    <col min="11009" max="11009" width="5" style="188" customWidth="1"/>
    <col min="11010" max="11010" width="29.28515625" style="188" customWidth="1"/>
    <col min="11011" max="11011" width="7.7109375" style="188" customWidth="1"/>
    <col min="11012" max="11012" width="9.28515625" style="188" customWidth="1"/>
    <col min="11013" max="11014" width="7.7109375" style="188" customWidth="1"/>
    <col min="11015" max="11015" width="9" style="188" customWidth="1"/>
    <col min="11016" max="11016" width="9.5703125" style="188" customWidth="1"/>
    <col min="11017" max="11017" width="8.7109375" style="188" customWidth="1"/>
    <col min="11018" max="11018" width="8.42578125" style="188" customWidth="1"/>
    <col min="11019" max="11020" width="8.7109375" style="188" customWidth="1"/>
    <col min="11021" max="11021" width="7.42578125" style="188" customWidth="1"/>
    <col min="11022" max="11022" width="7.7109375" style="188" customWidth="1"/>
    <col min="11023" max="11024" width="8.85546875" style="188" customWidth="1"/>
    <col min="11025" max="11025" width="7" style="188" customWidth="1"/>
    <col min="11026" max="11026" width="7.85546875" style="188" customWidth="1"/>
    <col min="11027" max="11027" width="8.85546875" style="188" customWidth="1"/>
    <col min="11028" max="11028" width="9.28515625" style="188" customWidth="1"/>
    <col min="11029" max="11029" width="7" style="188" customWidth="1"/>
    <col min="11030" max="11031" width="8.7109375" style="188" customWidth="1"/>
    <col min="11032" max="11032" width="9.140625" style="188" customWidth="1"/>
    <col min="11033" max="11033" width="7" style="188" customWidth="1"/>
    <col min="11034" max="11034" width="8.85546875" style="188" customWidth="1"/>
    <col min="11035" max="11035" width="10.42578125" style="188" customWidth="1"/>
    <col min="11036" max="11036" width="10.140625" style="188" customWidth="1"/>
    <col min="11037" max="11264" width="9.140625" style="188"/>
    <col min="11265" max="11265" width="5" style="188" customWidth="1"/>
    <col min="11266" max="11266" width="29.28515625" style="188" customWidth="1"/>
    <col min="11267" max="11267" width="7.7109375" style="188" customWidth="1"/>
    <col min="11268" max="11268" width="9.28515625" style="188" customWidth="1"/>
    <col min="11269" max="11270" width="7.7109375" style="188" customWidth="1"/>
    <col min="11271" max="11271" width="9" style="188" customWidth="1"/>
    <col min="11272" max="11272" width="9.5703125" style="188" customWidth="1"/>
    <col min="11273" max="11273" width="8.7109375" style="188" customWidth="1"/>
    <col min="11274" max="11274" width="8.42578125" style="188" customWidth="1"/>
    <col min="11275" max="11276" width="8.7109375" style="188" customWidth="1"/>
    <col min="11277" max="11277" width="7.42578125" style="188" customWidth="1"/>
    <col min="11278" max="11278" width="7.7109375" style="188" customWidth="1"/>
    <col min="11279" max="11280" width="8.85546875" style="188" customWidth="1"/>
    <col min="11281" max="11281" width="7" style="188" customWidth="1"/>
    <col min="11282" max="11282" width="7.85546875" style="188" customWidth="1"/>
    <col min="11283" max="11283" width="8.85546875" style="188" customWidth="1"/>
    <col min="11284" max="11284" width="9.28515625" style="188" customWidth="1"/>
    <col min="11285" max="11285" width="7" style="188" customWidth="1"/>
    <col min="11286" max="11287" width="8.7109375" style="188" customWidth="1"/>
    <col min="11288" max="11288" width="9.140625" style="188" customWidth="1"/>
    <col min="11289" max="11289" width="7" style="188" customWidth="1"/>
    <col min="11290" max="11290" width="8.85546875" style="188" customWidth="1"/>
    <col min="11291" max="11291" width="10.42578125" style="188" customWidth="1"/>
    <col min="11292" max="11292" width="10.140625" style="188" customWidth="1"/>
    <col min="11293" max="11520" width="9.140625" style="188"/>
    <col min="11521" max="11521" width="5" style="188" customWidth="1"/>
    <col min="11522" max="11522" width="29.28515625" style="188" customWidth="1"/>
    <col min="11523" max="11523" width="7.7109375" style="188" customWidth="1"/>
    <col min="11524" max="11524" width="9.28515625" style="188" customWidth="1"/>
    <col min="11525" max="11526" width="7.7109375" style="188" customWidth="1"/>
    <col min="11527" max="11527" width="9" style="188" customWidth="1"/>
    <col min="11528" max="11528" width="9.5703125" style="188" customWidth="1"/>
    <col min="11529" max="11529" width="8.7109375" style="188" customWidth="1"/>
    <col min="11530" max="11530" width="8.42578125" style="188" customWidth="1"/>
    <col min="11531" max="11532" width="8.7109375" style="188" customWidth="1"/>
    <col min="11533" max="11533" width="7.42578125" style="188" customWidth="1"/>
    <col min="11534" max="11534" width="7.7109375" style="188" customWidth="1"/>
    <col min="11535" max="11536" width="8.85546875" style="188" customWidth="1"/>
    <col min="11537" max="11537" width="7" style="188" customWidth="1"/>
    <col min="11538" max="11538" width="7.85546875" style="188" customWidth="1"/>
    <col min="11539" max="11539" width="8.85546875" style="188" customWidth="1"/>
    <col min="11540" max="11540" width="9.28515625" style="188" customWidth="1"/>
    <col min="11541" max="11541" width="7" style="188" customWidth="1"/>
    <col min="11542" max="11543" width="8.7109375" style="188" customWidth="1"/>
    <col min="11544" max="11544" width="9.140625" style="188" customWidth="1"/>
    <col min="11545" max="11545" width="7" style="188" customWidth="1"/>
    <col min="11546" max="11546" width="8.85546875" style="188" customWidth="1"/>
    <col min="11547" max="11547" width="10.42578125" style="188" customWidth="1"/>
    <col min="11548" max="11548" width="10.140625" style="188" customWidth="1"/>
    <col min="11549" max="11776" width="9.140625" style="188"/>
    <col min="11777" max="11777" width="5" style="188" customWidth="1"/>
    <col min="11778" max="11778" width="29.28515625" style="188" customWidth="1"/>
    <col min="11779" max="11779" width="7.7109375" style="188" customWidth="1"/>
    <col min="11780" max="11780" width="9.28515625" style="188" customWidth="1"/>
    <col min="11781" max="11782" width="7.7109375" style="188" customWidth="1"/>
    <col min="11783" max="11783" width="9" style="188" customWidth="1"/>
    <col min="11784" max="11784" width="9.5703125" style="188" customWidth="1"/>
    <col min="11785" max="11785" width="8.7109375" style="188" customWidth="1"/>
    <col min="11786" max="11786" width="8.42578125" style="188" customWidth="1"/>
    <col min="11787" max="11788" width="8.7109375" style="188" customWidth="1"/>
    <col min="11789" max="11789" width="7.42578125" style="188" customWidth="1"/>
    <col min="11790" max="11790" width="7.7109375" style="188" customWidth="1"/>
    <col min="11791" max="11792" width="8.85546875" style="188" customWidth="1"/>
    <col min="11793" max="11793" width="7" style="188" customWidth="1"/>
    <col min="11794" max="11794" width="7.85546875" style="188" customWidth="1"/>
    <col min="11795" max="11795" width="8.85546875" style="188" customWidth="1"/>
    <col min="11796" max="11796" width="9.28515625" style="188" customWidth="1"/>
    <col min="11797" max="11797" width="7" style="188" customWidth="1"/>
    <col min="11798" max="11799" width="8.7109375" style="188" customWidth="1"/>
    <col min="11800" max="11800" width="9.140625" style="188" customWidth="1"/>
    <col min="11801" max="11801" width="7" style="188" customWidth="1"/>
    <col min="11802" max="11802" width="8.85546875" style="188" customWidth="1"/>
    <col min="11803" max="11803" width="10.42578125" style="188" customWidth="1"/>
    <col min="11804" max="11804" width="10.140625" style="188" customWidth="1"/>
    <col min="11805" max="12032" width="9.140625" style="188"/>
    <col min="12033" max="12033" width="5" style="188" customWidth="1"/>
    <col min="12034" max="12034" width="29.28515625" style="188" customWidth="1"/>
    <col min="12035" max="12035" width="7.7109375" style="188" customWidth="1"/>
    <col min="12036" max="12036" width="9.28515625" style="188" customWidth="1"/>
    <col min="12037" max="12038" width="7.7109375" style="188" customWidth="1"/>
    <col min="12039" max="12039" width="9" style="188" customWidth="1"/>
    <col min="12040" max="12040" width="9.5703125" style="188" customWidth="1"/>
    <col min="12041" max="12041" width="8.7109375" style="188" customWidth="1"/>
    <col min="12042" max="12042" width="8.42578125" style="188" customWidth="1"/>
    <col min="12043" max="12044" width="8.7109375" style="188" customWidth="1"/>
    <col min="12045" max="12045" width="7.42578125" style="188" customWidth="1"/>
    <col min="12046" max="12046" width="7.7109375" style="188" customWidth="1"/>
    <col min="12047" max="12048" width="8.85546875" style="188" customWidth="1"/>
    <col min="12049" max="12049" width="7" style="188" customWidth="1"/>
    <col min="12050" max="12050" width="7.85546875" style="188" customWidth="1"/>
    <col min="12051" max="12051" width="8.85546875" style="188" customWidth="1"/>
    <col min="12052" max="12052" width="9.28515625" style="188" customWidth="1"/>
    <col min="12053" max="12053" width="7" style="188" customWidth="1"/>
    <col min="12054" max="12055" width="8.7109375" style="188" customWidth="1"/>
    <col min="12056" max="12056" width="9.140625" style="188" customWidth="1"/>
    <col min="12057" max="12057" width="7" style="188" customWidth="1"/>
    <col min="12058" max="12058" width="8.85546875" style="188" customWidth="1"/>
    <col min="12059" max="12059" width="10.42578125" style="188" customWidth="1"/>
    <col min="12060" max="12060" width="10.140625" style="188" customWidth="1"/>
    <col min="12061" max="12288" width="9.140625" style="188"/>
    <col min="12289" max="12289" width="5" style="188" customWidth="1"/>
    <col min="12290" max="12290" width="29.28515625" style="188" customWidth="1"/>
    <col min="12291" max="12291" width="7.7109375" style="188" customWidth="1"/>
    <col min="12292" max="12292" width="9.28515625" style="188" customWidth="1"/>
    <col min="12293" max="12294" width="7.7109375" style="188" customWidth="1"/>
    <col min="12295" max="12295" width="9" style="188" customWidth="1"/>
    <col min="12296" max="12296" width="9.5703125" style="188" customWidth="1"/>
    <col min="12297" max="12297" width="8.7109375" style="188" customWidth="1"/>
    <col min="12298" max="12298" width="8.42578125" style="188" customWidth="1"/>
    <col min="12299" max="12300" width="8.7109375" style="188" customWidth="1"/>
    <col min="12301" max="12301" width="7.42578125" style="188" customWidth="1"/>
    <col min="12302" max="12302" width="7.7109375" style="188" customWidth="1"/>
    <col min="12303" max="12304" width="8.85546875" style="188" customWidth="1"/>
    <col min="12305" max="12305" width="7" style="188" customWidth="1"/>
    <col min="12306" max="12306" width="7.85546875" style="188" customWidth="1"/>
    <col min="12307" max="12307" width="8.85546875" style="188" customWidth="1"/>
    <col min="12308" max="12308" width="9.28515625" style="188" customWidth="1"/>
    <col min="12309" max="12309" width="7" style="188" customWidth="1"/>
    <col min="12310" max="12311" width="8.7109375" style="188" customWidth="1"/>
    <col min="12312" max="12312" width="9.140625" style="188" customWidth="1"/>
    <col min="12313" max="12313" width="7" style="188" customWidth="1"/>
    <col min="12314" max="12314" width="8.85546875" style="188" customWidth="1"/>
    <col min="12315" max="12315" width="10.42578125" style="188" customWidth="1"/>
    <col min="12316" max="12316" width="10.140625" style="188" customWidth="1"/>
    <col min="12317" max="12544" width="9.140625" style="188"/>
    <col min="12545" max="12545" width="5" style="188" customWidth="1"/>
    <col min="12546" max="12546" width="29.28515625" style="188" customWidth="1"/>
    <col min="12547" max="12547" width="7.7109375" style="188" customWidth="1"/>
    <col min="12548" max="12548" width="9.28515625" style="188" customWidth="1"/>
    <col min="12549" max="12550" width="7.7109375" style="188" customWidth="1"/>
    <col min="12551" max="12551" width="9" style="188" customWidth="1"/>
    <col min="12552" max="12552" width="9.5703125" style="188" customWidth="1"/>
    <col min="12553" max="12553" width="8.7109375" style="188" customWidth="1"/>
    <col min="12554" max="12554" width="8.42578125" style="188" customWidth="1"/>
    <col min="12555" max="12556" width="8.7109375" style="188" customWidth="1"/>
    <col min="12557" max="12557" width="7.42578125" style="188" customWidth="1"/>
    <col min="12558" max="12558" width="7.7109375" style="188" customWidth="1"/>
    <col min="12559" max="12560" width="8.85546875" style="188" customWidth="1"/>
    <col min="12561" max="12561" width="7" style="188" customWidth="1"/>
    <col min="12562" max="12562" width="7.85546875" style="188" customWidth="1"/>
    <col min="12563" max="12563" width="8.85546875" style="188" customWidth="1"/>
    <col min="12564" max="12564" width="9.28515625" style="188" customWidth="1"/>
    <col min="12565" max="12565" width="7" style="188" customWidth="1"/>
    <col min="12566" max="12567" width="8.7109375" style="188" customWidth="1"/>
    <col min="12568" max="12568" width="9.140625" style="188" customWidth="1"/>
    <col min="12569" max="12569" width="7" style="188" customWidth="1"/>
    <col min="12570" max="12570" width="8.85546875" style="188" customWidth="1"/>
    <col min="12571" max="12571" width="10.42578125" style="188" customWidth="1"/>
    <col min="12572" max="12572" width="10.140625" style="188" customWidth="1"/>
    <col min="12573" max="12800" width="9.140625" style="188"/>
    <col min="12801" max="12801" width="5" style="188" customWidth="1"/>
    <col min="12802" max="12802" width="29.28515625" style="188" customWidth="1"/>
    <col min="12803" max="12803" width="7.7109375" style="188" customWidth="1"/>
    <col min="12804" max="12804" width="9.28515625" style="188" customWidth="1"/>
    <col min="12805" max="12806" width="7.7109375" style="188" customWidth="1"/>
    <col min="12807" max="12807" width="9" style="188" customWidth="1"/>
    <col min="12808" max="12808" width="9.5703125" style="188" customWidth="1"/>
    <col min="12809" max="12809" width="8.7109375" style="188" customWidth="1"/>
    <col min="12810" max="12810" width="8.42578125" style="188" customWidth="1"/>
    <col min="12811" max="12812" width="8.7109375" style="188" customWidth="1"/>
    <col min="12813" max="12813" width="7.42578125" style="188" customWidth="1"/>
    <col min="12814" max="12814" width="7.7109375" style="188" customWidth="1"/>
    <col min="12815" max="12816" width="8.85546875" style="188" customWidth="1"/>
    <col min="12817" max="12817" width="7" style="188" customWidth="1"/>
    <col min="12818" max="12818" width="7.85546875" style="188" customWidth="1"/>
    <col min="12819" max="12819" width="8.85546875" style="188" customWidth="1"/>
    <col min="12820" max="12820" width="9.28515625" style="188" customWidth="1"/>
    <col min="12821" max="12821" width="7" style="188" customWidth="1"/>
    <col min="12822" max="12823" width="8.7109375" style="188" customWidth="1"/>
    <col min="12824" max="12824" width="9.140625" style="188" customWidth="1"/>
    <col min="12825" max="12825" width="7" style="188" customWidth="1"/>
    <col min="12826" max="12826" width="8.85546875" style="188" customWidth="1"/>
    <col min="12827" max="12827" width="10.42578125" style="188" customWidth="1"/>
    <col min="12828" max="12828" width="10.140625" style="188" customWidth="1"/>
    <col min="12829" max="13056" width="9.140625" style="188"/>
    <col min="13057" max="13057" width="5" style="188" customWidth="1"/>
    <col min="13058" max="13058" width="29.28515625" style="188" customWidth="1"/>
    <col min="13059" max="13059" width="7.7109375" style="188" customWidth="1"/>
    <col min="13060" max="13060" width="9.28515625" style="188" customWidth="1"/>
    <col min="13061" max="13062" width="7.7109375" style="188" customWidth="1"/>
    <col min="13063" max="13063" width="9" style="188" customWidth="1"/>
    <col min="13064" max="13064" width="9.5703125" style="188" customWidth="1"/>
    <col min="13065" max="13065" width="8.7109375" style="188" customWidth="1"/>
    <col min="13066" max="13066" width="8.42578125" style="188" customWidth="1"/>
    <col min="13067" max="13068" width="8.7109375" style="188" customWidth="1"/>
    <col min="13069" max="13069" width="7.42578125" style="188" customWidth="1"/>
    <col min="13070" max="13070" width="7.7109375" style="188" customWidth="1"/>
    <col min="13071" max="13072" width="8.85546875" style="188" customWidth="1"/>
    <col min="13073" max="13073" width="7" style="188" customWidth="1"/>
    <col min="13074" max="13074" width="7.85546875" style="188" customWidth="1"/>
    <col min="13075" max="13075" width="8.85546875" style="188" customWidth="1"/>
    <col min="13076" max="13076" width="9.28515625" style="188" customWidth="1"/>
    <col min="13077" max="13077" width="7" style="188" customWidth="1"/>
    <col min="13078" max="13079" width="8.7109375" style="188" customWidth="1"/>
    <col min="13080" max="13080" width="9.140625" style="188" customWidth="1"/>
    <col min="13081" max="13081" width="7" style="188" customWidth="1"/>
    <col min="13082" max="13082" width="8.85546875" style="188" customWidth="1"/>
    <col min="13083" max="13083" width="10.42578125" style="188" customWidth="1"/>
    <col min="13084" max="13084" width="10.140625" style="188" customWidth="1"/>
    <col min="13085" max="13312" width="9.140625" style="188"/>
    <col min="13313" max="13313" width="5" style="188" customWidth="1"/>
    <col min="13314" max="13314" width="29.28515625" style="188" customWidth="1"/>
    <col min="13315" max="13315" width="7.7109375" style="188" customWidth="1"/>
    <col min="13316" max="13316" width="9.28515625" style="188" customWidth="1"/>
    <col min="13317" max="13318" width="7.7109375" style="188" customWidth="1"/>
    <col min="13319" max="13319" width="9" style="188" customWidth="1"/>
    <col min="13320" max="13320" width="9.5703125" style="188" customWidth="1"/>
    <col min="13321" max="13321" width="8.7109375" style="188" customWidth="1"/>
    <col min="13322" max="13322" width="8.42578125" style="188" customWidth="1"/>
    <col min="13323" max="13324" width="8.7109375" style="188" customWidth="1"/>
    <col min="13325" max="13325" width="7.42578125" style="188" customWidth="1"/>
    <col min="13326" max="13326" width="7.7109375" style="188" customWidth="1"/>
    <col min="13327" max="13328" width="8.85546875" style="188" customWidth="1"/>
    <col min="13329" max="13329" width="7" style="188" customWidth="1"/>
    <col min="13330" max="13330" width="7.85546875" style="188" customWidth="1"/>
    <col min="13331" max="13331" width="8.85546875" style="188" customWidth="1"/>
    <col min="13332" max="13332" width="9.28515625" style="188" customWidth="1"/>
    <col min="13333" max="13333" width="7" style="188" customWidth="1"/>
    <col min="13334" max="13335" width="8.7109375" style="188" customWidth="1"/>
    <col min="13336" max="13336" width="9.140625" style="188" customWidth="1"/>
    <col min="13337" max="13337" width="7" style="188" customWidth="1"/>
    <col min="13338" max="13338" width="8.85546875" style="188" customWidth="1"/>
    <col min="13339" max="13339" width="10.42578125" style="188" customWidth="1"/>
    <col min="13340" max="13340" width="10.140625" style="188" customWidth="1"/>
    <col min="13341" max="13568" width="9.140625" style="188"/>
    <col min="13569" max="13569" width="5" style="188" customWidth="1"/>
    <col min="13570" max="13570" width="29.28515625" style="188" customWidth="1"/>
    <col min="13571" max="13571" width="7.7109375" style="188" customWidth="1"/>
    <col min="13572" max="13572" width="9.28515625" style="188" customWidth="1"/>
    <col min="13573" max="13574" width="7.7109375" style="188" customWidth="1"/>
    <col min="13575" max="13575" width="9" style="188" customWidth="1"/>
    <col min="13576" max="13576" width="9.5703125" style="188" customWidth="1"/>
    <col min="13577" max="13577" width="8.7109375" style="188" customWidth="1"/>
    <col min="13578" max="13578" width="8.42578125" style="188" customWidth="1"/>
    <col min="13579" max="13580" width="8.7109375" style="188" customWidth="1"/>
    <col min="13581" max="13581" width="7.42578125" style="188" customWidth="1"/>
    <col min="13582" max="13582" width="7.7109375" style="188" customWidth="1"/>
    <col min="13583" max="13584" width="8.85546875" style="188" customWidth="1"/>
    <col min="13585" max="13585" width="7" style="188" customWidth="1"/>
    <col min="13586" max="13586" width="7.85546875" style="188" customWidth="1"/>
    <col min="13587" max="13587" width="8.85546875" style="188" customWidth="1"/>
    <col min="13588" max="13588" width="9.28515625" style="188" customWidth="1"/>
    <col min="13589" max="13589" width="7" style="188" customWidth="1"/>
    <col min="13590" max="13591" width="8.7109375" style="188" customWidth="1"/>
    <col min="13592" max="13592" width="9.140625" style="188" customWidth="1"/>
    <col min="13593" max="13593" width="7" style="188" customWidth="1"/>
    <col min="13594" max="13594" width="8.85546875" style="188" customWidth="1"/>
    <col min="13595" max="13595" width="10.42578125" style="188" customWidth="1"/>
    <col min="13596" max="13596" width="10.140625" style="188" customWidth="1"/>
    <col min="13597" max="13824" width="9.140625" style="188"/>
    <col min="13825" max="13825" width="5" style="188" customWidth="1"/>
    <col min="13826" max="13826" width="29.28515625" style="188" customWidth="1"/>
    <col min="13827" max="13827" width="7.7109375" style="188" customWidth="1"/>
    <col min="13828" max="13828" width="9.28515625" style="188" customWidth="1"/>
    <col min="13829" max="13830" width="7.7109375" style="188" customWidth="1"/>
    <col min="13831" max="13831" width="9" style="188" customWidth="1"/>
    <col min="13832" max="13832" width="9.5703125" style="188" customWidth="1"/>
    <col min="13833" max="13833" width="8.7109375" style="188" customWidth="1"/>
    <col min="13834" max="13834" width="8.42578125" style="188" customWidth="1"/>
    <col min="13835" max="13836" width="8.7109375" style="188" customWidth="1"/>
    <col min="13837" max="13837" width="7.42578125" style="188" customWidth="1"/>
    <col min="13838" max="13838" width="7.7109375" style="188" customWidth="1"/>
    <col min="13839" max="13840" width="8.85546875" style="188" customWidth="1"/>
    <col min="13841" max="13841" width="7" style="188" customWidth="1"/>
    <col min="13842" max="13842" width="7.85546875" style="188" customWidth="1"/>
    <col min="13843" max="13843" width="8.85546875" style="188" customWidth="1"/>
    <col min="13844" max="13844" width="9.28515625" style="188" customWidth="1"/>
    <col min="13845" max="13845" width="7" style="188" customWidth="1"/>
    <col min="13846" max="13847" width="8.7109375" style="188" customWidth="1"/>
    <col min="13848" max="13848" width="9.140625" style="188" customWidth="1"/>
    <col min="13849" max="13849" width="7" style="188" customWidth="1"/>
    <col min="13850" max="13850" width="8.85546875" style="188" customWidth="1"/>
    <col min="13851" max="13851" width="10.42578125" style="188" customWidth="1"/>
    <col min="13852" max="13852" width="10.140625" style="188" customWidth="1"/>
    <col min="13853" max="14080" width="9.140625" style="188"/>
    <col min="14081" max="14081" width="5" style="188" customWidth="1"/>
    <col min="14082" max="14082" width="29.28515625" style="188" customWidth="1"/>
    <col min="14083" max="14083" width="7.7109375" style="188" customWidth="1"/>
    <col min="14084" max="14084" width="9.28515625" style="188" customWidth="1"/>
    <col min="14085" max="14086" width="7.7109375" style="188" customWidth="1"/>
    <col min="14087" max="14087" width="9" style="188" customWidth="1"/>
    <col min="14088" max="14088" width="9.5703125" style="188" customWidth="1"/>
    <col min="14089" max="14089" width="8.7109375" style="188" customWidth="1"/>
    <col min="14090" max="14090" width="8.42578125" style="188" customWidth="1"/>
    <col min="14091" max="14092" width="8.7109375" style="188" customWidth="1"/>
    <col min="14093" max="14093" width="7.42578125" style="188" customWidth="1"/>
    <col min="14094" max="14094" width="7.7109375" style="188" customWidth="1"/>
    <col min="14095" max="14096" width="8.85546875" style="188" customWidth="1"/>
    <col min="14097" max="14097" width="7" style="188" customWidth="1"/>
    <col min="14098" max="14098" width="7.85546875" style="188" customWidth="1"/>
    <col min="14099" max="14099" width="8.85546875" style="188" customWidth="1"/>
    <col min="14100" max="14100" width="9.28515625" style="188" customWidth="1"/>
    <col min="14101" max="14101" width="7" style="188" customWidth="1"/>
    <col min="14102" max="14103" width="8.7109375" style="188" customWidth="1"/>
    <col min="14104" max="14104" width="9.140625" style="188" customWidth="1"/>
    <col min="14105" max="14105" width="7" style="188" customWidth="1"/>
    <col min="14106" max="14106" width="8.85546875" style="188" customWidth="1"/>
    <col min="14107" max="14107" width="10.42578125" style="188" customWidth="1"/>
    <col min="14108" max="14108" width="10.140625" style="188" customWidth="1"/>
    <col min="14109" max="14336" width="9.140625" style="188"/>
    <col min="14337" max="14337" width="5" style="188" customWidth="1"/>
    <col min="14338" max="14338" width="29.28515625" style="188" customWidth="1"/>
    <col min="14339" max="14339" width="7.7109375" style="188" customWidth="1"/>
    <col min="14340" max="14340" width="9.28515625" style="188" customWidth="1"/>
    <col min="14341" max="14342" width="7.7109375" style="188" customWidth="1"/>
    <col min="14343" max="14343" width="9" style="188" customWidth="1"/>
    <col min="14344" max="14344" width="9.5703125" style="188" customWidth="1"/>
    <col min="14345" max="14345" width="8.7109375" style="188" customWidth="1"/>
    <col min="14346" max="14346" width="8.42578125" style="188" customWidth="1"/>
    <col min="14347" max="14348" width="8.7109375" style="188" customWidth="1"/>
    <col min="14349" max="14349" width="7.42578125" style="188" customWidth="1"/>
    <col min="14350" max="14350" width="7.7109375" style="188" customWidth="1"/>
    <col min="14351" max="14352" width="8.85546875" style="188" customWidth="1"/>
    <col min="14353" max="14353" width="7" style="188" customWidth="1"/>
    <col min="14354" max="14354" width="7.85546875" style="188" customWidth="1"/>
    <col min="14355" max="14355" width="8.85546875" style="188" customWidth="1"/>
    <col min="14356" max="14356" width="9.28515625" style="188" customWidth="1"/>
    <col min="14357" max="14357" width="7" style="188" customWidth="1"/>
    <col min="14358" max="14359" width="8.7109375" style="188" customWidth="1"/>
    <col min="14360" max="14360" width="9.140625" style="188" customWidth="1"/>
    <col min="14361" max="14361" width="7" style="188" customWidth="1"/>
    <col min="14362" max="14362" width="8.85546875" style="188" customWidth="1"/>
    <col min="14363" max="14363" width="10.42578125" style="188" customWidth="1"/>
    <col min="14364" max="14364" width="10.140625" style="188" customWidth="1"/>
    <col min="14365" max="14592" width="9.140625" style="188"/>
    <col min="14593" max="14593" width="5" style="188" customWidth="1"/>
    <col min="14594" max="14594" width="29.28515625" style="188" customWidth="1"/>
    <col min="14595" max="14595" width="7.7109375" style="188" customWidth="1"/>
    <col min="14596" max="14596" width="9.28515625" style="188" customWidth="1"/>
    <col min="14597" max="14598" width="7.7109375" style="188" customWidth="1"/>
    <col min="14599" max="14599" width="9" style="188" customWidth="1"/>
    <col min="14600" max="14600" width="9.5703125" style="188" customWidth="1"/>
    <col min="14601" max="14601" width="8.7109375" style="188" customWidth="1"/>
    <col min="14602" max="14602" width="8.42578125" style="188" customWidth="1"/>
    <col min="14603" max="14604" width="8.7109375" style="188" customWidth="1"/>
    <col min="14605" max="14605" width="7.42578125" style="188" customWidth="1"/>
    <col min="14606" max="14606" width="7.7109375" style="188" customWidth="1"/>
    <col min="14607" max="14608" width="8.85546875" style="188" customWidth="1"/>
    <col min="14609" max="14609" width="7" style="188" customWidth="1"/>
    <col min="14610" max="14610" width="7.85546875" style="188" customWidth="1"/>
    <col min="14611" max="14611" width="8.85546875" style="188" customWidth="1"/>
    <col min="14612" max="14612" width="9.28515625" style="188" customWidth="1"/>
    <col min="14613" max="14613" width="7" style="188" customWidth="1"/>
    <col min="14614" max="14615" width="8.7109375" style="188" customWidth="1"/>
    <col min="14616" max="14616" width="9.140625" style="188" customWidth="1"/>
    <col min="14617" max="14617" width="7" style="188" customWidth="1"/>
    <col min="14618" max="14618" width="8.85546875" style="188" customWidth="1"/>
    <col min="14619" max="14619" width="10.42578125" style="188" customWidth="1"/>
    <col min="14620" max="14620" width="10.140625" style="188" customWidth="1"/>
    <col min="14621" max="14848" width="9.140625" style="188"/>
    <col min="14849" max="14849" width="5" style="188" customWidth="1"/>
    <col min="14850" max="14850" width="29.28515625" style="188" customWidth="1"/>
    <col min="14851" max="14851" width="7.7109375" style="188" customWidth="1"/>
    <col min="14852" max="14852" width="9.28515625" style="188" customWidth="1"/>
    <col min="14853" max="14854" width="7.7109375" style="188" customWidth="1"/>
    <col min="14855" max="14855" width="9" style="188" customWidth="1"/>
    <col min="14856" max="14856" width="9.5703125" style="188" customWidth="1"/>
    <col min="14857" max="14857" width="8.7109375" style="188" customWidth="1"/>
    <col min="14858" max="14858" width="8.42578125" style="188" customWidth="1"/>
    <col min="14859" max="14860" width="8.7109375" style="188" customWidth="1"/>
    <col min="14861" max="14861" width="7.42578125" style="188" customWidth="1"/>
    <col min="14862" max="14862" width="7.7109375" style="188" customWidth="1"/>
    <col min="14863" max="14864" width="8.85546875" style="188" customWidth="1"/>
    <col min="14865" max="14865" width="7" style="188" customWidth="1"/>
    <col min="14866" max="14866" width="7.85546875" style="188" customWidth="1"/>
    <col min="14867" max="14867" width="8.85546875" style="188" customWidth="1"/>
    <col min="14868" max="14868" width="9.28515625" style="188" customWidth="1"/>
    <col min="14869" max="14869" width="7" style="188" customWidth="1"/>
    <col min="14870" max="14871" width="8.7109375" style="188" customWidth="1"/>
    <col min="14872" max="14872" width="9.140625" style="188" customWidth="1"/>
    <col min="14873" max="14873" width="7" style="188" customWidth="1"/>
    <col min="14874" max="14874" width="8.85546875" style="188" customWidth="1"/>
    <col min="14875" max="14875" width="10.42578125" style="188" customWidth="1"/>
    <col min="14876" max="14876" width="10.140625" style="188" customWidth="1"/>
    <col min="14877" max="15104" width="9.140625" style="188"/>
    <col min="15105" max="15105" width="5" style="188" customWidth="1"/>
    <col min="15106" max="15106" width="29.28515625" style="188" customWidth="1"/>
    <col min="15107" max="15107" width="7.7109375" style="188" customWidth="1"/>
    <col min="15108" max="15108" width="9.28515625" style="188" customWidth="1"/>
    <col min="15109" max="15110" width="7.7109375" style="188" customWidth="1"/>
    <col min="15111" max="15111" width="9" style="188" customWidth="1"/>
    <col min="15112" max="15112" width="9.5703125" style="188" customWidth="1"/>
    <col min="15113" max="15113" width="8.7109375" style="188" customWidth="1"/>
    <col min="15114" max="15114" width="8.42578125" style="188" customWidth="1"/>
    <col min="15115" max="15116" width="8.7109375" style="188" customWidth="1"/>
    <col min="15117" max="15117" width="7.42578125" style="188" customWidth="1"/>
    <col min="15118" max="15118" width="7.7109375" style="188" customWidth="1"/>
    <col min="15119" max="15120" width="8.85546875" style="188" customWidth="1"/>
    <col min="15121" max="15121" width="7" style="188" customWidth="1"/>
    <col min="15122" max="15122" width="7.85546875" style="188" customWidth="1"/>
    <col min="15123" max="15123" width="8.85546875" style="188" customWidth="1"/>
    <col min="15124" max="15124" width="9.28515625" style="188" customWidth="1"/>
    <col min="15125" max="15125" width="7" style="188" customWidth="1"/>
    <col min="15126" max="15127" width="8.7109375" style="188" customWidth="1"/>
    <col min="15128" max="15128" width="9.140625" style="188" customWidth="1"/>
    <col min="15129" max="15129" width="7" style="188" customWidth="1"/>
    <col min="15130" max="15130" width="8.85546875" style="188" customWidth="1"/>
    <col min="15131" max="15131" width="10.42578125" style="188" customWidth="1"/>
    <col min="15132" max="15132" width="10.140625" style="188" customWidth="1"/>
    <col min="15133" max="15360" width="9.140625" style="188"/>
    <col min="15361" max="15361" width="5" style="188" customWidth="1"/>
    <col min="15362" max="15362" width="29.28515625" style="188" customWidth="1"/>
    <col min="15363" max="15363" width="7.7109375" style="188" customWidth="1"/>
    <col min="15364" max="15364" width="9.28515625" style="188" customWidth="1"/>
    <col min="15365" max="15366" width="7.7109375" style="188" customWidth="1"/>
    <col min="15367" max="15367" width="9" style="188" customWidth="1"/>
    <col min="15368" max="15368" width="9.5703125" style="188" customWidth="1"/>
    <col min="15369" max="15369" width="8.7109375" style="188" customWidth="1"/>
    <col min="15370" max="15370" width="8.42578125" style="188" customWidth="1"/>
    <col min="15371" max="15372" width="8.7109375" style="188" customWidth="1"/>
    <col min="15373" max="15373" width="7.42578125" style="188" customWidth="1"/>
    <col min="15374" max="15374" width="7.7109375" style="188" customWidth="1"/>
    <col min="15375" max="15376" width="8.85546875" style="188" customWidth="1"/>
    <col min="15377" max="15377" width="7" style="188" customWidth="1"/>
    <col min="15378" max="15378" width="7.85546875" style="188" customWidth="1"/>
    <col min="15379" max="15379" width="8.85546875" style="188" customWidth="1"/>
    <col min="15380" max="15380" width="9.28515625" style="188" customWidth="1"/>
    <col min="15381" max="15381" width="7" style="188" customWidth="1"/>
    <col min="15382" max="15383" width="8.7109375" style="188" customWidth="1"/>
    <col min="15384" max="15384" width="9.140625" style="188" customWidth="1"/>
    <col min="15385" max="15385" width="7" style="188" customWidth="1"/>
    <col min="15386" max="15386" width="8.85546875" style="188" customWidth="1"/>
    <col min="15387" max="15387" width="10.42578125" style="188" customWidth="1"/>
    <col min="15388" max="15388" width="10.140625" style="188" customWidth="1"/>
    <col min="15389" max="15616" width="9.140625" style="188"/>
    <col min="15617" max="15617" width="5" style="188" customWidth="1"/>
    <col min="15618" max="15618" width="29.28515625" style="188" customWidth="1"/>
    <col min="15619" max="15619" width="7.7109375" style="188" customWidth="1"/>
    <col min="15620" max="15620" width="9.28515625" style="188" customWidth="1"/>
    <col min="15621" max="15622" width="7.7109375" style="188" customWidth="1"/>
    <col min="15623" max="15623" width="9" style="188" customWidth="1"/>
    <col min="15624" max="15624" width="9.5703125" style="188" customWidth="1"/>
    <col min="15625" max="15625" width="8.7109375" style="188" customWidth="1"/>
    <col min="15626" max="15626" width="8.42578125" style="188" customWidth="1"/>
    <col min="15627" max="15628" width="8.7109375" style="188" customWidth="1"/>
    <col min="15629" max="15629" width="7.42578125" style="188" customWidth="1"/>
    <col min="15630" max="15630" width="7.7109375" style="188" customWidth="1"/>
    <col min="15631" max="15632" width="8.85546875" style="188" customWidth="1"/>
    <col min="15633" max="15633" width="7" style="188" customWidth="1"/>
    <col min="15634" max="15634" width="7.85546875" style="188" customWidth="1"/>
    <col min="15635" max="15635" width="8.85546875" style="188" customWidth="1"/>
    <col min="15636" max="15636" width="9.28515625" style="188" customWidth="1"/>
    <col min="15637" max="15637" width="7" style="188" customWidth="1"/>
    <col min="15638" max="15639" width="8.7109375" style="188" customWidth="1"/>
    <col min="15640" max="15640" width="9.140625" style="188" customWidth="1"/>
    <col min="15641" max="15641" width="7" style="188" customWidth="1"/>
    <col min="15642" max="15642" width="8.85546875" style="188" customWidth="1"/>
    <col min="15643" max="15643" width="10.42578125" style="188" customWidth="1"/>
    <col min="15644" max="15644" width="10.140625" style="188" customWidth="1"/>
    <col min="15645" max="15872" width="9.140625" style="188"/>
    <col min="15873" max="15873" width="5" style="188" customWidth="1"/>
    <col min="15874" max="15874" width="29.28515625" style="188" customWidth="1"/>
    <col min="15875" max="15875" width="7.7109375" style="188" customWidth="1"/>
    <col min="15876" max="15876" width="9.28515625" style="188" customWidth="1"/>
    <col min="15877" max="15878" width="7.7109375" style="188" customWidth="1"/>
    <col min="15879" max="15879" width="9" style="188" customWidth="1"/>
    <col min="15880" max="15880" width="9.5703125" style="188" customWidth="1"/>
    <col min="15881" max="15881" width="8.7109375" style="188" customWidth="1"/>
    <col min="15882" max="15882" width="8.42578125" style="188" customWidth="1"/>
    <col min="15883" max="15884" width="8.7109375" style="188" customWidth="1"/>
    <col min="15885" max="15885" width="7.42578125" style="188" customWidth="1"/>
    <col min="15886" max="15886" width="7.7109375" style="188" customWidth="1"/>
    <col min="15887" max="15888" width="8.85546875" style="188" customWidth="1"/>
    <col min="15889" max="15889" width="7" style="188" customWidth="1"/>
    <col min="15890" max="15890" width="7.85546875" style="188" customWidth="1"/>
    <col min="15891" max="15891" width="8.85546875" style="188" customWidth="1"/>
    <col min="15892" max="15892" width="9.28515625" style="188" customWidth="1"/>
    <col min="15893" max="15893" width="7" style="188" customWidth="1"/>
    <col min="15894" max="15895" width="8.7109375" style="188" customWidth="1"/>
    <col min="15896" max="15896" width="9.140625" style="188" customWidth="1"/>
    <col min="15897" max="15897" width="7" style="188" customWidth="1"/>
    <col min="15898" max="15898" width="8.85546875" style="188" customWidth="1"/>
    <col min="15899" max="15899" width="10.42578125" style="188" customWidth="1"/>
    <col min="15900" max="15900" width="10.140625" style="188" customWidth="1"/>
    <col min="15901" max="16128" width="9.140625" style="188"/>
    <col min="16129" max="16129" width="5" style="188" customWidth="1"/>
    <col min="16130" max="16130" width="29.28515625" style="188" customWidth="1"/>
    <col min="16131" max="16131" width="7.7109375" style="188" customWidth="1"/>
    <col min="16132" max="16132" width="9.28515625" style="188" customWidth="1"/>
    <col min="16133" max="16134" width="7.7109375" style="188" customWidth="1"/>
    <col min="16135" max="16135" width="9" style="188" customWidth="1"/>
    <col min="16136" max="16136" width="9.5703125" style="188" customWidth="1"/>
    <col min="16137" max="16137" width="8.7109375" style="188" customWidth="1"/>
    <col min="16138" max="16138" width="8.42578125" style="188" customWidth="1"/>
    <col min="16139" max="16140" width="8.7109375" style="188" customWidth="1"/>
    <col min="16141" max="16141" width="7.42578125" style="188" customWidth="1"/>
    <col min="16142" max="16142" width="7.7109375" style="188" customWidth="1"/>
    <col min="16143" max="16144" width="8.85546875" style="188" customWidth="1"/>
    <col min="16145" max="16145" width="7" style="188" customWidth="1"/>
    <col min="16146" max="16146" width="7.85546875" style="188" customWidth="1"/>
    <col min="16147" max="16147" width="8.85546875" style="188" customWidth="1"/>
    <col min="16148" max="16148" width="9.28515625" style="188" customWidth="1"/>
    <col min="16149" max="16149" width="7" style="188" customWidth="1"/>
    <col min="16150" max="16151" width="8.7109375" style="188" customWidth="1"/>
    <col min="16152" max="16152" width="9.140625" style="188" customWidth="1"/>
    <col min="16153" max="16153" width="7" style="188" customWidth="1"/>
    <col min="16154" max="16154" width="8.85546875" style="188" customWidth="1"/>
    <col min="16155" max="16155" width="10.42578125" style="188" customWidth="1"/>
    <col min="16156" max="16156" width="10.140625" style="188" customWidth="1"/>
    <col min="16157" max="16384" width="9.140625" style="188"/>
  </cols>
  <sheetData>
    <row r="1" spans="1:28" s="66" customFormat="1" ht="47.25" customHeight="1">
      <c r="A1" s="644" t="s">
        <v>0</v>
      </c>
      <c r="B1" s="644"/>
      <c r="C1" s="644"/>
      <c r="D1" s="644"/>
      <c r="E1" s="644"/>
      <c r="F1" s="713" t="s">
        <v>603</v>
      </c>
      <c r="G1" s="713"/>
      <c r="H1" s="713"/>
      <c r="I1" s="713"/>
      <c r="J1" s="713"/>
      <c r="K1" s="713"/>
      <c r="L1" s="713"/>
      <c r="M1" s="713"/>
      <c r="N1" s="713"/>
      <c r="O1" s="713"/>
      <c r="P1" s="713"/>
      <c r="Q1" s="713"/>
      <c r="R1" s="713"/>
    </row>
    <row r="2" spans="1:28" ht="31.5" customHeight="1">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8" s="157" customFormat="1" ht="44.25" customHeight="1">
      <c r="A3" s="589" t="s">
        <v>3</v>
      </c>
      <c r="B3" s="592" t="s">
        <v>52</v>
      </c>
      <c r="C3" s="595" t="s">
        <v>5</v>
      </c>
      <c r="D3" s="596"/>
      <c r="E3" s="596"/>
      <c r="F3" s="597"/>
      <c r="G3" s="601" t="s">
        <v>6</v>
      </c>
      <c r="H3" s="601"/>
      <c r="I3" s="601"/>
      <c r="J3" s="601"/>
      <c r="K3" s="601"/>
      <c r="L3" s="601"/>
      <c r="M3" s="601"/>
      <c r="N3" s="601"/>
      <c r="O3" s="601"/>
      <c r="P3" s="601"/>
      <c r="Q3" s="601"/>
      <c r="R3" s="601"/>
      <c r="S3" s="601"/>
      <c r="T3" s="601"/>
      <c r="U3" s="601"/>
      <c r="V3" s="601"/>
      <c r="W3" s="601"/>
      <c r="X3" s="601"/>
      <c r="Y3" s="601"/>
      <c r="Z3" s="601"/>
      <c r="AA3" s="714" t="s">
        <v>7</v>
      </c>
      <c r="AB3" s="714" t="s">
        <v>7</v>
      </c>
    </row>
    <row r="4" spans="1:28" s="157" customFormat="1" ht="44.25" customHeight="1">
      <c r="A4" s="590"/>
      <c r="B4" s="593"/>
      <c r="C4" s="598"/>
      <c r="D4" s="599"/>
      <c r="E4" s="599"/>
      <c r="F4" s="600"/>
      <c r="G4" s="601" t="s">
        <v>9</v>
      </c>
      <c r="H4" s="601"/>
      <c r="I4" s="601"/>
      <c r="J4" s="601"/>
      <c r="K4" s="601" t="s">
        <v>10</v>
      </c>
      <c r="L4" s="601"/>
      <c r="M4" s="601"/>
      <c r="N4" s="601"/>
      <c r="O4" s="601" t="s">
        <v>11</v>
      </c>
      <c r="P4" s="601"/>
      <c r="Q4" s="601"/>
      <c r="R4" s="601"/>
      <c r="S4" s="601" t="s">
        <v>12</v>
      </c>
      <c r="T4" s="601"/>
      <c r="U4" s="601"/>
      <c r="V4" s="601"/>
      <c r="W4" s="601" t="s">
        <v>13</v>
      </c>
      <c r="X4" s="601"/>
      <c r="Y4" s="601"/>
      <c r="Z4" s="601"/>
      <c r="AA4" s="714"/>
      <c r="AB4" s="714"/>
    </row>
    <row r="5" spans="1:28" s="157" customFormat="1" ht="75.75" customHeight="1">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714"/>
      <c r="AB5" s="714"/>
    </row>
    <row r="6" spans="1:28" s="157" customFormat="1" ht="63.75">
      <c r="A6" s="415" t="s">
        <v>20</v>
      </c>
      <c r="B6" s="415" t="s">
        <v>604</v>
      </c>
      <c r="C6" s="349">
        <v>0</v>
      </c>
      <c r="D6" s="416">
        <f>'[2]izejas info'!$B$13+'[2]izejas info'!$B$14+'[2]izejas info'!$B$17+'[2]izejas info'!$B$21</f>
        <v>14928649.130979547</v>
      </c>
      <c r="E6" s="349">
        <v>0</v>
      </c>
      <c r="F6" s="417">
        <f>'[2]izejas info'!$B$25+'[2]izejas info'!$B$28</f>
        <v>1092069.8402666668</v>
      </c>
      <c r="G6" s="416">
        <f>D6*0.1</f>
        <v>1492864.9130979548</v>
      </c>
      <c r="H6" s="416">
        <f>'[2]izejas info'!$B$13+'[2]izejas info'!$B$14+'[2]izejas info'!$B$17+'[2]izejas info'!$B$21</f>
        <v>14928649.130979547</v>
      </c>
      <c r="I6" s="417">
        <f>'[2]izejas info'!$B$25*0.045+'[2]izejas info'!$B$28*0.1</f>
        <v>49723.945562000001</v>
      </c>
      <c r="J6" s="416">
        <f>'[2]izejas info'!$B$25+'[2]izejas info'!$B$28</f>
        <v>1092069.8402666668</v>
      </c>
      <c r="K6" s="416">
        <f>D6*0.2</f>
        <v>2985729.8261959096</v>
      </c>
      <c r="L6" s="416">
        <f>'[2]izejas info'!$B$13+'[2]izejas info'!$B$14+'[2]izejas info'!$B$17+'[2]izejas info'!$B$21</f>
        <v>14928649.130979547</v>
      </c>
      <c r="M6" s="417">
        <f>'[2]izejas info'!$B$25*0.09+'[2]izejas info'!$B$28*0.2</f>
        <v>99447.891124000002</v>
      </c>
      <c r="N6" s="416">
        <f>'[2]izejas info'!$B$25+'[2]izejas info'!$B$28</f>
        <v>1092069.8402666668</v>
      </c>
      <c r="O6" s="416">
        <f>$D$6*0.5</f>
        <v>7464324.5654897736</v>
      </c>
      <c r="P6" s="416">
        <f>'[2]izejas info'!$B$13+'[2]izejas info'!$B$14+'[2]izejas info'!$B$17+'[2]izejas info'!$B$21</f>
        <v>14928649.130979547</v>
      </c>
      <c r="Q6" s="417">
        <f>'[2]izejas info'!$B$25*0.25+'[2]izejas info'!$B$28*0.5</f>
        <v>275657.47256666672</v>
      </c>
      <c r="R6" s="416">
        <f>'[2]izejas info'!$B$25+'[2]izejas info'!$B$28</f>
        <v>1092069.8402666668</v>
      </c>
      <c r="S6" s="416">
        <f>$D$6*0.55</f>
        <v>8210757.0220387513</v>
      </c>
      <c r="T6" s="416">
        <f>'[2]izejas info'!$B$13+'[2]izejas info'!$B$14+'[2]izejas info'!$B$17+'[2]izejas info'!$B$21</f>
        <v>14928649.130979547</v>
      </c>
      <c r="U6" s="417">
        <f>'[2]izejas info'!$B$25*0.35+'[2]izejas info'!$B$28*0.55</f>
        <v>384336.45409333339</v>
      </c>
      <c r="V6" s="416">
        <f>'[2]izejas info'!$B$25+'[2]izejas info'!$B$28</f>
        <v>1092069.8402666668</v>
      </c>
      <c r="W6" s="416">
        <f>$D$6*0.7</f>
        <v>10450054.391685683</v>
      </c>
      <c r="X6" s="416">
        <f>'[2]izejas info'!$B$13+'[2]izejas info'!$B$14+'[2]izejas info'!$B$17+'[2]izejas info'!$B$21</f>
        <v>14928649.130979547</v>
      </c>
      <c r="Y6" s="417">
        <f>'[2]izejas info'!$B$25*0.45+'[2]izejas info'!$B$28*0.7</f>
        <v>494071.44062000007</v>
      </c>
      <c r="Z6" s="416">
        <f>'[2]izejas info'!$B$25+'[2]izejas info'!$B$28</f>
        <v>1092069.8402666668</v>
      </c>
      <c r="AA6" s="425">
        <f>C6/W6</f>
        <v>0</v>
      </c>
      <c r="AB6" s="425">
        <f t="shared" ref="AB6:AB13" si="0">W6/X6</f>
        <v>0.70000000000000007</v>
      </c>
    </row>
    <row r="7" spans="1:28" s="157" customFormat="1" ht="114.75">
      <c r="A7" s="415" t="s">
        <v>22</v>
      </c>
      <c r="B7" s="415" t="s">
        <v>605</v>
      </c>
      <c r="C7" s="416">
        <v>15000</v>
      </c>
      <c r="D7" s="417">
        <f>'[2]izejas info'!$B$30+'[2]izejas info'!B47</f>
        <v>970588.95805333334</v>
      </c>
      <c r="E7" s="416">
        <f>C7/3</f>
        <v>5000</v>
      </c>
      <c r="F7" s="417">
        <f>'[2]izejas info'!$B$35+'[2]izejas info'!B47+'[2]izejas info'!$B$28*0.25</f>
        <v>311589.97055333335</v>
      </c>
      <c r="G7" s="416">
        <f>D7*0.1</f>
        <v>97058.895805333334</v>
      </c>
      <c r="H7" s="417">
        <f>D7</f>
        <v>970588.95805333334</v>
      </c>
      <c r="I7" s="417">
        <f>'[2]izejas info'!$B$25*0.045+'[2]izejas info'!$B$28*0.1</f>
        <v>49723.945562000001</v>
      </c>
      <c r="J7" s="416">
        <f>'[2]izejas info'!$B$25+'[2]izejas info'!$B$28</f>
        <v>1092069.8402666668</v>
      </c>
      <c r="K7" s="417">
        <f>D7*0.2</f>
        <v>194117.79161066667</v>
      </c>
      <c r="L7" s="417">
        <f>D7</f>
        <v>970588.95805333334</v>
      </c>
      <c r="M7" s="417">
        <f>'[2]izejas info'!$B$25*0.09+'[2]izejas info'!$B$28*0.2</f>
        <v>99447.891124000002</v>
      </c>
      <c r="N7" s="416">
        <f>'[2]izejas info'!$B$25+'[2]izejas info'!$B$28</f>
        <v>1092069.8402666668</v>
      </c>
      <c r="O7" s="417">
        <f>D7*0.5</f>
        <v>485294.47902666667</v>
      </c>
      <c r="P7" s="417">
        <f>D7</f>
        <v>970588.95805333334</v>
      </c>
      <c r="Q7" s="417">
        <f>'[2]izejas info'!$B$25*0.25+'[2]izejas info'!$B$28*0.5</f>
        <v>275657.47256666672</v>
      </c>
      <c r="R7" s="416">
        <f>'[2]izejas info'!$B$25+'[2]izejas info'!$B$28</f>
        <v>1092069.8402666668</v>
      </c>
      <c r="S7" s="417">
        <f>D7*0.55</f>
        <v>533823.92692933336</v>
      </c>
      <c r="T7" s="417">
        <f>D7</f>
        <v>970588.95805333334</v>
      </c>
      <c r="U7" s="417">
        <f>'[2]izejas info'!$B$25*0.35+'[2]izejas info'!$B$28*0.55</f>
        <v>384336.45409333339</v>
      </c>
      <c r="V7" s="416">
        <f>'[2]izejas info'!$B$25+'[2]izejas info'!$B$28</f>
        <v>1092069.8402666668</v>
      </c>
      <c r="W7" s="417">
        <f>D7*0.7</f>
        <v>679412.27063733328</v>
      </c>
      <c r="X7" s="417">
        <f>D7</f>
        <v>970588.95805333334</v>
      </c>
      <c r="Y7" s="417">
        <f>'[2]izejas info'!$B$25*0.45+'[2]izejas info'!$B$28*0.7</f>
        <v>494071.44062000007</v>
      </c>
      <c r="Z7" s="416">
        <f>'[2]izejas info'!$B$25+'[2]izejas info'!$B$28</f>
        <v>1092069.8402666668</v>
      </c>
      <c r="AA7" s="425">
        <f t="shared" ref="AA7:AA13" si="1">C7/W7</f>
        <v>2.2077905637366568E-2</v>
      </c>
      <c r="AB7" s="425">
        <f>W7/X7</f>
        <v>0.7</v>
      </c>
    </row>
    <row r="8" spans="1:28" s="157" customFormat="1" ht="89.25">
      <c r="A8" s="418" t="s">
        <v>61</v>
      </c>
      <c r="B8" s="415" t="s">
        <v>606</v>
      </c>
      <c r="C8" s="416">
        <f>'[2]izejas info'!B23</f>
        <v>47395</v>
      </c>
      <c r="D8" s="416">
        <f>'[2]izejas info'!$B$13+'[2]izejas info'!$B$14+'[2]izejas info'!$B$17+'[2]izejas info'!$B$21</f>
        <v>14928649.130979547</v>
      </c>
      <c r="E8" s="416">
        <f>C8/3</f>
        <v>15798.333333333334</v>
      </c>
      <c r="F8" s="416">
        <f>'[2]izejas info'!B25+'[2]izejas info'!B28</f>
        <v>1092069.8402666668</v>
      </c>
      <c r="G8" s="416">
        <f>D8*0.1</f>
        <v>1492864.9130979548</v>
      </c>
      <c r="H8" s="416">
        <f>'[2]izejas info'!$B$13+'[2]izejas info'!$B$14+'[2]izejas info'!$B$17+'[2]izejas info'!$B$21</f>
        <v>14928649.130979547</v>
      </c>
      <c r="I8" s="417">
        <f>'[2]izejas info'!$B$25*0.045+'[2]izejas info'!$B$28*0.1</f>
        <v>49723.945562000001</v>
      </c>
      <c r="J8" s="417">
        <f>'[2]izejas info'!$B$25+'[2]izejas info'!$B$28</f>
        <v>1092069.8402666668</v>
      </c>
      <c r="K8" s="416">
        <f>D8*0.2</f>
        <v>2985729.8261959096</v>
      </c>
      <c r="L8" s="416">
        <f>'[2]izejas info'!$B$13+'[2]izejas info'!$B$14+'[2]izejas info'!$B$17+'[2]izejas info'!$B$21</f>
        <v>14928649.130979547</v>
      </c>
      <c r="M8" s="417">
        <f>'[2]izejas info'!$B$25*0.09+'[2]izejas info'!$B$28*0.2</f>
        <v>99447.891124000002</v>
      </c>
      <c r="N8" s="417">
        <f>'[2]izejas info'!$B$25+'[2]izejas info'!$B$28</f>
        <v>1092069.8402666668</v>
      </c>
      <c r="O8" s="416">
        <f>D8*0.5</f>
        <v>7464324.5654897736</v>
      </c>
      <c r="P8" s="416">
        <f>'[2]izejas info'!$B$13+'[2]izejas info'!$B$14+'[2]izejas info'!$B$17+'[2]izejas info'!$B$21</f>
        <v>14928649.130979547</v>
      </c>
      <c r="Q8" s="417">
        <f>'[2]izejas info'!$B$25*0.25+'[2]izejas info'!$B$28*0.5</f>
        <v>275657.47256666672</v>
      </c>
      <c r="R8" s="417">
        <f>'[2]izejas info'!$B$25+'[2]izejas info'!$B$28</f>
        <v>1092069.8402666668</v>
      </c>
      <c r="S8" s="416">
        <f>D8*0.55</f>
        <v>8210757.0220387513</v>
      </c>
      <c r="T8" s="416">
        <f>'[2]izejas info'!$B$13+'[2]izejas info'!$B$14+'[2]izejas info'!$B$17+'[2]izejas info'!$B$21</f>
        <v>14928649.130979547</v>
      </c>
      <c r="U8" s="417">
        <f>'[2]izejas info'!$B$25*0.35+'[2]izejas info'!$B$28*0.55</f>
        <v>384336.45409333339</v>
      </c>
      <c r="V8" s="417">
        <f>'[2]izejas info'!$B$25+'[2]izejas info'!$B$28</f>
        <v>1092069.8402666668</v>
      </c>
      <c r="W8" s="416">
        <f>D8*0.7</f>
        <v>10450054.391685683</v>
      </c>
      <c r="X8" s="416">
        <f>'[2]izejas info'!$B$13+'[2]izejas info'!$B$14+'[2]izejas info'!$B$17+'[2]izejas info'!$B$21</f>
        <v>14928649.130979547</v>
      </c>
      <c r="Y8" s="417">
        <f>'[2]izejas info'!$B$25*0.45+'[2]izejas info'!$B$28*0.7</f>
        <v>494071.44062000007</v>
      </c>
      <c r="Z8" s="417">
        <f>'[2]izejas info'!$B$25+'[2]izejas info'!$B$28</f>
        <v>1092069.8402666668</v>
      </c>
      <c r="AA8" s="425">
        <f t="shared" si="1"/>
        <v>4.535383092140517E-3</v>
      </c>
      <c r="AB8" s="425">
        <f t="shared" si="0"/>
        <v>0.70000000000000007</v>
      </c>
    </row>
    <row r="9" spans="1:28" s="157" customFormat="1" ht="89.25">
      <c r="A9" s="418" t="s">
        <v>63</v>
      </c>
      <c r="B9" s="419" t="s">
        <v>607</v>
      </c>
      <c r="C9" s="416">
        <f>'[2]izejas info'!B23*'[2]izejas info'!I15%</f>
        <v>25803.221933999997</v>
      </c>
      <c r="D9" s="416">
        <f>'[2]izejas info'!$B$16</f>
        <v>7622008.7999999998</v>
      </c>
      <c r="E9" s="416">
        <f>C9/3</f>
        <v>8601.0739779999985</v>
      </c>
      <c r="F9" s="416">
        <f>'[2]izejas info'!B25+'[2]izejas info'!B28</f>
        <v>1092069.8402666668</v>
      </c>
      <c r="G9" s="416">
        <f>D9*0.1</f>
        <v>762200.88</v>
      </c>
      <c r="H9" s="416">
        <f>'[2]izejas info'!$B$16</f>
        <v>7622008.7999999998</v>
      </c>
      <c r="I9" s="417">
        <f>'[2]izejas info'!$B$25*0.045+'[2]izejas info'!$B$28*0.1</f>
        <v>49723.945562000001</v>
      </c>
      <c r="J9" s="417">
        <f>'[2]izejas info'!$B$25+'[2]izejas info'!$B$28</f>
        <v>1092069.8402666668</v>
      </c>
      <c r="K9" s="416">
        <f>D9*0.2</f>
        <v>1524401.76</v>
      </c>
      <c r="L9" s="416">
        <f>'[2]izejas info'!$B$16</f>
        <v>7622008.7999999998</v>
      </c>
      <c r="M9" s="417">
        <f>'[2]izejas info'!$B$25*0.09+'[2]izejas info'!$B$28*0.2</f>
        <v>99447.891124000002</v>
      </c>
      <c r="N9" s="417">
        <f>'[2]izejas info'!$B$25+'[2]izejas info'!$B$28</f>
        <v>1092069.8402666668</v>
      </c>
      <c r="O9" s="416">
        <f>D9*0.5</f>
        <v>3811004.4</v>
      </c>
      <c r="P9" s="416">
        <f>'[2]izejas info'!$B$16</f>
        <v>7622008.7999999998</v>
      </c>
      <c r="Q9" s="417">
        <f>'[2]izejas info'!$B$25*0.25+'[2]izejas info'!$B$28*0.5</f>
        <v>275657.47256666672</v>
      </c>
      <c r="R9" s="417">
        <f>'[2]izejas info'!$B$25+'[2]izejas info'!$B$28</f>
        <v>1092069.8402666668</v>
      </c>
      <c r="S9" s="416">
        <f>D9*0.55</f>
        <v>4192104.8400000003</v>
      </c>
      <c r="T9" s="416">
        <f>'[2]izejas info'!$B$16</f>
        <v>7622008.7999999998</v>
      </c>
      <c r="U9" s="417">
        <f>'[2]izejas info'!$B$25*0.35+'[2]izejas info'!$B$28*0.55</f>
        <v>384336.45409333339</v>
      </c>
      <c r="V9" s="417">
        <f>'[2]izejas info'!$B$25+'[2]izejas info'!$B$28</f>
        <v>1092069.8402666668</v>
      </c>
      <c r="W9" s="416">
        <f>D9*0.7</f>
        <v>5335406.1599999992</v>
      </c>
      <c r="X9" s="416">
        <f>'[2]izejas info'!$B$16</f>
        <v>7622008.7999999998</v>
      </c>
      <c r="Y9" s="417">
        <f>'[2]izejas info'!$B$25*0.45+'[2]izejas info'!$B$28*0.7</f>
        <v>494071.44062000007</v>
      </c>
      <c r="Z9" s="417">
        <f>'[2]izejas info'!$B$25+'[2]izejas info'!$B$28</f>
        <v>1092069.8402666668</v>
      </c>
      <c r="AA9" s="425">
        <f t="shared" si="1"/>
        <v>4.8362244897959183E-3</v>
      </c>
      <c r="AB9" s="425">
        <f t="shared" si="0"/>
        <v>0.7</v>
      </c>
    </row>
    <row r="10" spans="1:28" s="157" customFormat="1" ht="127.5">
      <c r="A10" s="418" t="s">
        <v>136</v>
      </c>
      <c r="B10" s="419" t="s">
        <v>608</v>
      </c>
      <c r="C10" s="416">
        <f>'[2]izejas info'!B23*'[2]izejas info'!I13%</f>
        <v>21591.778066000003</v>
      </c>
      <c r="D10" s="416">
        <f>'[2]izejas info'!$B$13+'[2]izejas info'!$B$14+'[2]izejas info'!$B$17+'[2]izejas info'!$B$21</f>
        <v>14928649.130979547</v>
      </c>
      <c r="E10" s="416">
        <f>C10/3</f>
        <v>7197.2593553333345</v>
      </c>
      <c r="F10" s="416">
        <f>'[2]izejas info'!B25+'[2]izejas info'!B28</f>
        <v>1092069.8402666668</v>
      </c>
      <c r="G10" s="416">
        <f>D10*0.1</f>
        <v>1492864.9130979548</v>
      </c>
      <c r="H10" s="416">
        <f>'[2]izejas info'!$B$13+'[2]izejas info'!$B$14+'[2]izejas info'!$B$17+'[2]izejas info'!$B$21</f>
        <v>14928649.130979547</v>
      </c>
      <c r="I10" s="417">
        <f>'[2]izejas info'!$B$25*0.045+'[2]izejas info'!$B$28*0.1</f>
        <v>49723.945562000001</v>
      </c>
      <c r="J10" s="417">
        <f>'[2]izejas info'!$B$25+'[2]izejas info'!$B$28</f>
        <v>1092069.8402666668</v>
      </c>
      <c r="K10" s="416">
        <f>D10*0.2</f>
        <v>2985729.8261959096</v>
      </c>
      <c r="L10" s="416">
        <f>'[2]izejas info'!$B$13+'[2]izejas info'!$B$14+'[2]izejas info'!$B$17+'[2]izejas info'!$B$21</f>
        <v>14928649.130979547</v>
      </c>
      <c r="M10" s="417">
        <f>'[2]izejas info'!$B$25*0.09+'[2]izejas info'!$B$28*0.2</f>
        <v>99447.891124000002</v>
      </c>
      <c r="N10" s="417">
        <f>'[2]izejas info'!$B$25+'[2]izejas info'!$B$28</f>
        <v>1092069.8402666668</v>
      </c>
      <c r="O10" s="416">
        <f>D10*0.5</f>
        <v>7464324.5654897736</v>
      </c>
      <c r="P10" s="416">
        <f>'[2]izejas info'!$B$13+'[2]izejas info'!$B$14+'[2]izejas info'!$B$17+'[2]izejas info'!$B$21</f>
        <v>14928649.130979547</v>
      </c>
      <c r="Q10" s="417">
        <f>'[2]izejas info'!$B$25*0.25+'[2]izejas info'!$B$28*0.5</f>
        <v>275657.47256666672</v>
      </c>
      <c r="R10" s="417">
        <f>'[2]izejas info'!$B$25+'[2]izejas info'!$B$28</f>
        <v>1092069.8402666668</v>
      </c>
      <c r="S10" s="416">
        <f>D10*0.55</f>
        <v>8210757.0220387513</v>
      </c>
      <c r="T10" s="416">
        <f>'[2]izejas info'!$B$13+'[2]izejas info'!$B$14+'[2]izejas info'!$B$17+'[2]izejas info'!$B$21</f>
        <v>14928649.130979547</v>
      </c>
      <c r="U10" s="417">
        <f>'[2]izejas info'!$B$25*0.35+'[2]izejas info'!$B$28*0.55</f>
        <v>384336.45409333339</v>
      </c>
      <c r="V10" s="417">
        <f>'[2]izejas info'!$B$25+'[2]izejas info'!$B$28</f>
        <v>1092069.8402666668</v>
      </c>
      <c r="W10" s="416">
        <f>D10*0.7</f>
        <v>10450054.391685683</v>
      </c>
      <c r="X10" s="416">
        <f>'[2]izejas info'!$B$13+'[2]izejas info'!$B$14+'[2]izejas info'!$B$17+'[2]izejas info'!$B$21</f>
        <v>14928649.130979547</v>
      </c>
      <c r="Y10" s="417">
        <f>'[2]izejas info'!$B$25*0.45+'[2]izejas info'!$B$28*0.7</f>
        <v>494071.44062000007</v>
      </c>
      <c r="Z10" s="417">
        <f>'[2]izejas info'!$B$25+'[2]izejas info'!$B$28</f>
        <v>1092069.8402666668</v>
      </c>
      <c r="AA10" s="425">
        <f t="shared" si="1"/>
        <v>2.066188103592929E-3</v>
      </c>
      <c r="AB10" s="425">
        <f t="shared" si="0"/>
        <v>0.70000000000000007</v>
      </c>
    </row>
    <row r="11" spans="1:28" s="157" customFormat="1" ht="76.5">
      <c r="A11" s="418" t="s">
        <v>155</v>
      </c>
      <c r="B11" s="419" t="s">
        <v>609</v>
      </c>
      <c r="C11" s="349">
        <v>0</v>
      </c>
      <c r="D11" s="349">
        <v>0</v>
      </c>
      <c r="E11" s="349">
        <v>0</v>
      </c>
      <c r="F11" s="349">
        <v>0</v>
      </c>
      <c r="G11" s="417">
        <f>'[2]izejas info'!$B$25*0.045*0.1*2</f>
        <v>9733.5881124000007</v>
      </c>
      <c r="H11" s="417">
        <f>'[2]izejas info'!$B$25*0.045*0.1*2</f>
        <v>9733.5881124000007</v>
      </c>
      <c r="I11" s="417">
        <f>'[2]izejas info'!$B$25*0.045*0.1</f>
        <v>4866.7940562000003</v>
      </c>
      <c r="J11" s="417">
        <f>'[2]izejas info'!$B$25*0.045*0.1</f>
        <v>4866.7940562000003</v>
      </c>
      <c r="K11" s="417">
        <f>'[2]izejas info'!$B$25*0.09*0.2*2</f>
        <v>38934.352449600003</v>
      </c>
      <c r="L11" s="417">
        <f>'[2]izejas info'!$B$25*0.09*0.2*2</f>
        <v>38934.352449600003</v>
      </c>
      <c r="M11" s="417">
        <f>'[2]izejas info'!$B$25*0.09*0.2</f>
        <v>19467.176224800001</v>
      </c>
      <c r="N11" s="417">
        <f>'[2]izejas info'!$B$25*0.09*0.2</f>
        <v>19467.176224800001</v>
      </c>
      <c r="O11" s="417">
        <f>'[2]izejas info'!$B$25*0.25*0.3*2</f>
        <v>162226.46854</v>
      </c>
      <c r="P11" s="417">
        <f>'[2]izejas info'!$B$25*0.25*0.3*2</f>
        <v>162226.46854</v>
      </c>
      <c r="Q11" s="417">
        <f>'[2]izejas info'!$B$25*0.25*0.3</f>
        <v>81113.234270000001</v>
      </c>
      <c r="R11" s="417">
        <f>'[2]izejas info'!$B$25*0.25*0.3</f>
        <v>81113.234270000001</v>
      </c>
      <c r="S11" s="417">
        <f>'[2]izejas info'!$B$25*0.35*0.4*2</f>
        <v>302822.74127466668</v>
      </c>
      <c r="T11" s="417">
        <f>'[2]izejas info'!$B$25*0.35*0.4*2</f>
        <v>302822.74127466668</v>
      </c>
      <c r="U11" s="417">
        <f>'[2]izejas info'!$B$25*0.35*0.4</f>
        <v>151411.37063733334</v>
      </c>
      <c r="V11" s="417">
        <f>'[2]izejas info'!$B$25*0.35*0.4</f>
        <v>151411.37063733334</v>
      </c>
      <c r="W11" s="417">
        <f>'[2]izejas info'!$B$25*0.45*0.5*2</f>
        <v>486679.40562000009</v>
      </c>
      <c r="X11" s="417">
        <f>'[2]izejas info'!$B$25*0.45*0.5*2</f>
        <v>486679.40562000009</v>
      </c>
      <c r="Y11" s="417">
        <f>'[2]izejas info'!$B$25*0.45*0.5</f>
        <v>243339.70281000005</v>
      </c>
      <c r="Z11" s="417">
        <f>'[2]izejas info'!$B$25*0.45*0.5</f>
        <v>243339.70281000005</v>
      </c>
      <c r="AA11" s="425">
        <f t="shared" si="1"/>
        <v>0</v>
      </c>
      <c r="AB11" s="425">
        <f t="shared" si="0"/>
        <v>1</v>
      </c>
    </row>
    <row r="12" spans="1:28" s="157" customFormat="1" ht="25.5">
      <c r="A12" s="420" t="s">
        <v>159</v>
      </c>
      <c r="B12" s="419" t="s">
        <v>610</v>
      </c>
      <c r="C12" s="349">
        <v>0</v>
      </c>
      <c r="D12" s="349">
        <v>0</v>
      </c>
      <c r="E12" s="349">
        <v>0</v>
      </c>
      <c r="F12" s="349">
        <v>0</v>
      </c>
      <c r="G12" s="417">
        <f>'[2]izejas info'!$B$25*0.045*2</f>
        <v>97335.881124000007</v>
      </c>
      <c r="H12" s="417">
        <f>'[2]izejas info'!$B$25*0.045*2</f>
        <v>97335.881124000007</v>
      </c>
      <c r="I12" s="417">
        <f>'[2]izejas info'!$B$25*0.045</f>
        <v>48667.940562000003</v>
      </c>
      <c r="J12" s="417">
        <f>'[2]izejas info'!$B$25*0.045</f>
        <v>48667.940562000003</v>
      </c>
      <c r="K12" s="417">
        <f>'[2]izejas info'!$B$25*0.09*2</f>
        <v>194671.76224800001</v>
      </c>
      <c r="L12" s="417">
        <f>'[2]izejas info'!$B$25*0.09*2</f>
        <v>194671.76224800001</v>
      </c>
      <c r="M12" s="417">
        <f>'[2]izejas info'!$B$25*0.09</f>
        <v>97335.881124000007</v>
      </c>
      <c r="N12" s="417">
        <f>'[2]izejas info'!$B$25*0.09</f>
        <v>97335.881124000007</v>
      </c>
      <c r="O12" s="417">
        <f>'[2]izejas info'!$B$25*0.25*2</f>
        <v>540754.8951333334</v>
      </c>
      <c r="P12" s="417">
        <f>'[2]izejas info'!$B$25*0.25*2</f>
        <v>540754.8951333334</v>
      </c>
      <c r="Q12" s="417">
        <f>'[2]izejas info'!$B$25*0.25</f>
        <v>270377.4475666667</v>
      </c>
      <c r="R12" s="417">
        <f>'[2]izejas info'!$B$25*0.25</f>
        <v>270377.4475666667</v>
      </c>
      <c r="S12" s="417">
        <f>'[2]izejas info'!$B$25*0.35*2</f>
        <v>757056.85318666673</v>
      </c>
      <c r="T12" s="417">
        <f>'[2]izejas info'!$B$25*0.35*2</f>
        <v>757056.85318666673</v>
      </c>
      <c r="U12" s="417">
        <f>'[2]izejas info'!$B$25*0.35</f>
        <v>378528.42659333337</v>
      </c>
      <c r="V12" s="417">
        <f>'[2]izejas info'!$B$25*0.35</f>
        <v>378528.42659333337</v>
      </c>
      <c r="W12" s="417">
        <f>'[2]izejas info'!$B$25*0.45*2</f>
        <v>973358.81124000018</v>
      </c>
      <c r="X12" s="417">
        <f>'[2]izejas info'!$B$25*0.45*2</f>
        <v>973358.81124000018</v>
      </c>
      <c r="Y12" s="417">
        <f>'[2]izejas info'!$B$25*0.45</f>
        <v>486679.40562000009</v>
      </c>
      <c r="Z12" s="417">
        <f>'[2]izejas info'!$B$25*0.45</f>
        <v>486679.40562000009</v>
      </c>
      <c r="AA12" s="425">
        <f t="shared" si="1"/>
        <v>0</v>
      </c>
      <c r="AB12" s="425">
        <f>W12/X12</f>
        <v>1</v>
      </c>
    </row>
    <row r="13" spans="1:28" s="157" customFormat="1" ht="25.5">
      <c r="A13" s="418" t="s">
        <v>244</v>
      </c>
      <c r="B13" s="419" t="s">
        <v>611</v>
      </c>
      <c r="C13" s="349">
        <v>0</v>
      </c>
      <c r="D13" s="349">
        <v>2</v>
      </c>
      <c r="E13" s="349">
        <v>0</v>
      </c>
      <c r="F13" s="349">
        <v>2</v>
      </c>
      <c r="G13" s="417">
        <f>'[2]izejas info'!$B$25*0.045*3</f>
        <v>146003.82168600001</v>
      </c>
      <c r="H13" s="417">
        <f>'[2]izejas info'!$B$25*0.045*3+D13</f>
        <v>146005.82168600001</v>
      </c>
      <c r="I13" s="417">
        <f>'[2]izejas info'!$B$25*0.045</f>
        <v>48667.940562000003</v>
      </c>
      <c r="J13" s="417">
        <f>'[2]izejas info'!$B$25*0.045</f>
        <v>48667.940562000003</v>
      </c>
      <c r="K13" s="417">
        <f>'[2]izejas info'!$B$25*0.09*3</f>
        <v>292007.64337200002</v>
      </c>
      <c r="L13" s="417">
        <f>'[2]izejas info'!$B$25*0.09*3+D13</f>
        <v>292009.64337200002</v>
      </c>
      <c r="M13" s="417">
        <f>'[2]izejas info'!$B$25*0.09</f>
        <v>97335.881124000007</v>
      </c>
      <c r="N13" s="417">
        <f>'[2]izejas info'!$B$25*0.09</f>
        <v>97335.881124000007</v>
      </c>
      <c r="O13" s="417">
        <f>'[2]izejas info'!$B$25*0.25*3</f>
        <v>811132.34270000015</v>
      </c>
      <c r="P13" s="417">
        <f>'[2]izejas info'!$B$25*0.25*3+D13</f>
        <v>811134.34270000015</v>
      </c>
      <c r="Q13" s="417">
        <f>'[2]izejas info'!$B$25*0.25</f>
        <v>270377.4475666667</v>
      </c>
      <c r="R13" s="417">
        <f>'[2]izejas info'!$B$25*0.25</f>
        <v>270377.4475666667</v>
      </c>
      <c r="S13" s="417">
        <f>'[2]izejas info'!$B$25*0.35*3</f>
        <v>1135585.27978</v>
      </c>
      <c r="T13" s="417">
        <f>'[2]izejas info'!$B$25*0.35*3+D13</f>
        <v>1135587.27978</v>
      </c>
      <c r="U13" s="417">
        <f>'[2]izejas info'!$B$25*0.35</f>
        <v>378528.42659333337</v>
      </c>
      <c r="V13" s="417">
        <f>'[2]izejas info'!$B$25*0.35</f>
        <v>378528.42659333337</v>
      </c>
      <c r="W13" s="417">
        <f>'[2]izejas info'!$B$25*0.45*3</f>
        <v>1460038.2168600003</v>
      </c>
      <c r="X13" s="417">
        <f>'[2]izejas info'!$B$25*0.45*3+D13</f>
        <v>1460040.2168600003</v>
      </c>
      <c r="Y13" s="417">
        <f>'[2]izejas info'!$B$25*0.45</f>
        <v>486679.40562000009</v>
      </c>
      <c r="Z13" s="417">
        <f>'[2]izejas info'!$B$25*0.45</f>
        <v>486679.40562000009</v>
      </c>
      <c r="AA13" s="425">
        <f t="shared" si="1"/>
        <v>0</v>
      </c>
      <c r="AB13" s="425">
        <f t="shared" si="0"/>
        <v>0.99999863017471924</v>
      </c>
    </row>
    <row r="14" spans="1:28" s="157" customFormat="1" ht="24">
      <c r="A14" s="74"/>
      <c r="B14" s="235"/>
      <c r="C14" s="74"/>
      <c r="D14" s="74"/>
      <c r="E14" s="74"/>
      <c r="F14" s="74"/>
      <c r="G14" s="74"/>
      <c r="H14" s="74"/>
      <c r="I14" s="74"/>
      <c r="J14" s="74"/>
      <c r="K14" s="74"/>
      <c r="L14" s="74"/>
      <c r="M14" s="74"/>
      <c r="N14" s="236"/>
      <c r="O14" s="74"/>
      <c r="P14" s="74"/>
      <c r="Q14" s="74"/>
      <c r="R14" s="74"/>
      <c r="S14" s="74"/>
      <c r="T14" s="74"/>
      <c r="U14" s="74"/>
      <c r="V14" s="74"/>
      <c r="W14" s="74"/>
      <c r="X14" s="74"/>
      <c r="Y14" s="74"/>
      <c r="Z14" s="63" t="s">
        <v>123</v>
      </c>
      <c r="AA14" s="426">
        <f>AVERAGE(AA6:AA13)</f>
        <v>4.1894626653619918E-3</v>
      </c>
      <c r="AB14" s="426">
        <f>AVERAGE(AB6:AB13)</f>
        <v>0.8124998287718399</v>
      </c>
    </row>
    <row r="15" spans="1:28" s="157" customFormat="1">
      <c r="B15" s="421"/>
      <c r="C15" s="74"/>
      <c r="D15" s="74"/>
      <c r="E15" s="74"/>
      <c r="F15" s="74"/>
      <c r="G15" s="74"/>
      <c r="H15" s="74"/>
      <c r="I15" s="74"/>
      <c r="J15" s="74"/>
      <c r="K15" s="74"/>
      <c r="L15" s="74"/>
      <c r="M15" s="74"/>
      <c r="N15" s="236"/>
      <c r="O15" s="74"/>
      <c r="P15" s="74"/>
      <c r="Q15" s="74"/>
      <c r="R15" s="74"/>
      <c r="S15" s="74"/>
      <c r="T15" s="74"/>
      <c r="U15" s="74"/>
      <c r="V15" s="74"/>
      <c r="W15" s="74"/>
      <c r="X15" s="74"/>
      <c r="Y15" s="74"/>
      <c r="Z15" s="74"/>
      <c r="AA15" s="427"/>
      <c r="AB15" s="427"/>
    </row>
    <row r="16" spans="1:28" s="157" customFormat="1">
      <c r="B16" s="421"/>
      <c r="N16" s="421"/>
      <c r="AA16" s="427"/>
      <c r="AB16" s="427"/>
    </row>
    <row r="17" spans="1:28" s="157" customFormat="1" ht="23.25">
      <c r="A17" s="588"/>
      <c r="B17" s="588"/>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427"/>
      <c r="AB17" s="427"/>
    </row>
    <row r="18" spans="1:28" s="157" customFormat="1" ht="45.75" customHeight="1">
      <c r="A18" s="589" t="s">
        <v>3</v>
      </c>
      <c r="B18" s="715" t="s">
        <v>26</v>
      </c>
      <c r="C18" s="595" t="s">
        <v>27</v>
      </c>
      <c r="D18" s="596"/>
      <c r="E18" s="596"/>
      <c r="F18" s="597"/>
      <c r="G18" s="601" t="s">
        <v>28</v>
      </c>
      <c r="H18" s="601"/>
      <c r="I18" s="601"/>
      <c r="J18" s="601"/>
      <c r="K18" s="601"/>
      <c r="L18" s="601"/>
      <c r="M18" s="601"/>
      <c r="N18" s="601"/>
      <c r="O18" s="601"/>
      <c r="P18" s="601"/>
      <c r="Q18" s="601"/>
      <c r="R18" s="601"/>
      <c r="S18" s="601"/>
      <c r="T18" s="601"/>
      <c r="U18" s="601"/>
      <c r="V18" s="601"/>
      <c r="W18" s="601"/>
      <c r="X18" s="601"/>
      <c r="Y18" s="601"/>
      <c r="Z18" s="601"/>
      <c r="AA18" s="718" t="s">
        <v>124</v>
      </c>
      <c r="AB18" s="718" t="s">
        <v>125</v>
      </c>
    </row>
    <row r="19" spans="1:28" s="157" customFormat="1" ht="45" customHeight="1">
      <c r="A19" s="590"/>
      <c r="B19" s="716"/>
      <c r="C19" s="598"/>
      <c r="D19" s="599"/>
      <c r="E19" s="599"/>
      <c r="F19" s="600"/>
      <c r="G19" s="601" t="s">
        <v>9</v>
      </c>
      <c r="H19" s="601"/>
      <c r="I19" s="601"/>
      <c r="J19" s="601"/>
      <c r="K19" s="601" t="s">
        <v>10</v>
      </c>
      <c r="L19" s="601"/>
      <c r="M19" s="601"/>
      <c r="N19" s="601"/>
      <c r="O19" s="601" t="s">
        <v>11</v>
      </c>
      <c r="P19" s="601"/>
      <c r="Q19" s="601"/>
      <c r="R19" s="601"/>
      <c r="S19" s="601" t="s">
        <v>12</v>
      </c>
      <c r="T19" s="601"/>
      <c r="U19" s="601"/>
      <c r="V19" s="601"/>
      <c r="W19" s="601" t="s">
        <v>13</v>
      </c>
      <c r="X19" s="601"/>
      <c r="Y19" s="601"/>
      <c r="Z19" s="601"/>
      <c r="AA19" s="719"/>
      <c r="AB19" s="719"/>
    </row>
    <row r="20" spans="1:28" s="157" customFormat="1" ht="78.75" customHeight="1">
      <c r="A20" s="591"/>
      <c r="B20" s="717"/>
      <c r="C20" s="68" t="s">
        <v>31</v>
      </c>
      <c r="D20" s="68" t="s">
        <v>32</v>
      </c>
      <c r="E20" s="68" t="s">
        <v>33</v>
      </c>
      <c r="F20" s="68" t="s">
        <v>17</v>
      </c>
      <c r="G20" s="68" t="s">
        <v>34</v>
      </c>
      <c r="H20" s="68" t="s">
        <v>32</v>
      </c>
      <c r="I20" s="68" t="s">
        <v>33</v>
      </c>
      <c r="J20" s="68" t="s">
        <v>19</v>
      </c>
      <c r="K20" s="68" t="s">
        <v>34</v>
      </c>
      <c r="L20" s="68" t="s">
        <v>32</v>
      </c>
      <c r="M20" s="68" t="s">
        <v>33</v>
      </c>
      <c r="N20" s="68" t="s">
        <v>19</v>
      </c>
      <c r="O20" s="68" t="s">
        <v>34</v>
      </c>
      <c r="P20" s="68" t="s">
        <v>32</v>
      </c>
      <c r="Q20" s="68" t="s">
        <v>33</v>
      </c>
      <c r="R20" s="68" t="s">
        <v>19</v>
      </c>
      <c r="S20" s="68" t="s">
        <v>34</v>
      </c>
      <c r="T20" s="68" t="s">
        <v>32</v>
      </c>
      <c r="U20" s="68" t="s">
        <v>33</v>
      </c>
      <c r="V20" s="68" t="s">
        <v>19</v>
      </c>
      <c r="W20" s="68" t="s">
        <v>34</v>
      </c>
      <c r="X20" s="68" t="s">
        <v>32</v>
      </c>
      <c r="Y20" s="68" t="s">
        <v>33</v>
      </c>
      <c r="Z20" s="68" t="s">
        <v>19</v>
      </c>
      <c r="AA20" s="720"/>
      <c r="AB20" s="720"/>
    </row>
    <row r="21" spans="1:28" s="157" customFormat="1" ht="25.5">
      <c r="A21" s="69" t="s">
        <v>20</v>
      </c>
      <c r="B21" s="69" t="s">
        <v>612</v>
      </c>
      <c r="C21" s="68"/>
      <c r="D21" s="68"/>
      <c r="E21" s="68"/>
      <c r="F21" s="68"/>
      <c r="G21" s="68"/>
      <c r="H21" s="68"/>
      <c r="I21" s="68"/>
      <c r="J21" s="68"/>
      <c r="K21" s="68"/>
      <c r="L21" s="68"/>
      <c r="M21" s="68"/>
      <c r="N21" s="68"/>
      <c r="O21" s="68"/>
      <c r="P21" s="68"/>
      <c r="Q21" s="68"/>
      <c r="R21" s="68"/>
      <c r="S21" s="68"/>
      <c r="T21" s="68"/>
      <c r="U21" s="68"/>
      <c r="V21" s="68"/>
      <c r="W21" s="68"/>
      <c r="X21" s="68"/>
      <c r="Y21" s="68"/>
      <c r="Z21" s="68"/>
      <c r="AA21" s="428"/>
      <c r="AB21" s="428"/>
    </row>
    <row r="22" spans="1:28" s="157" customFormat="1" ht="76.5">
      <c r="A22" s="69" t="s">
        <v>36</v>
      </c>
      <c r="B22" s="69" t="s">
        <v>613</v>
      </c>
      <c r="C22" s="415">
        <v>0</v>
      </c>
      <c r="D22" s="417">
        <f>'[2]izejas info'!$B$13+'[2]izejas info'!$B$14+'[2]izejas info'!$B$16+'[2]izejas info'!$B$17+'[2]izejas info'!$B$21+'[2]izejas info'!$B$22</f>
        <v>33550657.930979546</v>
      </c>
      <c r="E22" s="415">
        <v>0</v>
      </c>
      <c r="F22" s="422">
        <f>'[2]izejas info'!$B$25+'[2]izejas info'!$B$28</f>
        <v>1092069.8402666668</v>
      </c>
      <c r="G22" s="422">
        <f>$H$22*0.1</f>
        <v>3355065.7930979547</v>
      </c>
      <c r="H22" s="417">
        <f>'[2]izejas info'!$B$13+'[2]izejas info'!$B$14+'[2]izejas info'!$B$16+'[2]izejas info'!$B$17+'[2]izejas info'!$B$21+'[2]izejas info'!$B$22</f>
        <v>33550657.930979546</v>
      </c>
      <c r="I22" s="417">
        <f>'[2]izejas info'!$B$25*0.045+'[2]izejas info'!$B$28*0.1</f>
        <v>49723.945562000001</v>
      </c>
      <c r="J22" s="416">
        <f>'[2]izejas info'!$B$25+'[2]izejas info'!$B$28</f>
        <v>1092069.8402666668</v>
      </c>
      <c r="K22" s="422">
        <f>$H$22*0.2</f>
        <v>6710131.5861959094</v>
      </c>
      <c r="L22" s="417">
        <f>'[2]izejas info'!$B$13+'[2]izejas info'!$B$14+'[2]izejas info'!$B$16+'[2]izejas info'!$B$17+'[2]izejas info'!$B$21+'[2]izejas info'!$B$22</f>
        <v>33550657.930979546</v>
      </c>
      <c r="M22" s="417">
        <f>'[2]izejas info'!$B$25*0.09+'[2]izejas info'!$B$28*0.2</f>
        <v>99447.891124000002</v>
      </c>
      <c r="N22" s="416">
        <f>'[2]izejas info'!$B$25+'[2]izejas info'!$B$28</f>
        <v>1092069.8402666668</v>
      </c>
      <c r="O22" s="422">
        <f>$H$22*0.5</f>
        <v>16775328.965489773</v>
      </c>
      <c r="P22" s="417">
        <f>'[2]izejas info'!$B$13+'[2]izejas info'!$B$14+'[2]izejas info'!$B$16+'[2]izejas info'!$B$17+'[2]izejas info'!$B$21+'[2]izejas info'!$B$22</f>
        <v>33550657.930979546</v>
      </c>
      <c r="Q22" s="417">
        <f>'[2]izejas info'!$B$25*0.25+'[2]izejas info'!$B$28*0.5</f>
        <v>275657.47256666672</v>
      </c>
      <c r="R22" s="416">
        <f>'[2]izejas info'!$B$25+'[2]izejas info'!$B$28</f>
        <v>1092069.8402666668</v>
      </c>
      <c r="S22" s="422">
        <f>$H$22*0.55</f>
        <v>18452861.86203875</v>
      </c>
      <c r="T22" s="417">
        <f>'[2]izejas info'!$B$13+'[2]izejas info'!$B$14+'[2]izejas info'!$B$16+'[2]izejas info'!$B$17+'[2]izejas info'!$B$21+'[2]izejas info'!$B$22</f>
        <v>33550657.930979546</v>
      </c>
      <c r="U22" s="417">
        <f>'[2]izejas info'!$B$25*0.35+'[2]izejas info'!$B$28*0.55</f>
        <v>384336.45409333339</v>
      </c>
      <c r="V22" s="416">
        <f>'[2]izejas info'!$B$25+'[2]izejas info'!$B$28</f>
        <v>1092069.8402666668</v>
      </c>
      <c r="W22" s="422">
        <f>$H$22*0.7</f>
        <v>23485460.55168568</v>
      </c>
      <c r="X22" s="417">
        <f>'[2]izejas info'!$B$13+'[2]izejas info'!$B$14+'[2]izejas info'!$B$16+'[2]izejas info'!$B$17+'[2]izejas info'!$B$21+'[2]izejas info'!$B$22</f>
        <v>33550657.930979546</v>
      </c>
      <c r="Y22" s="417">
        <f>'[2]izejas info'!$B$25*0.45+'[2]izejas info'!$B$28*0.7</f>
        <v>494071.44062000007</v>
      </c>
      <c r="Z22" s="416">
        <f>'[2]izejas info'!$B$25+'[2]izejas info'!$B$28</f>
        <v>1092069.8402666668</v>
      </c>
      <c r="AA22" s="425">
        <f>C22/W22</f>
        <v>0</v>
      </c>
      <c r="AB22" s="425">
        <f>W22/X22</f>
        <v>0.7</v>
      </c>
    </row>
    <row r="23" spans="1:28" s="157" customFormat="1" ht="15.75">
      <c r="A23" s="69" t="s">
        <v>38</v>
      </c>
      <c r="B23" s="192" t="s">
        <v>614</v>
      </c>
      <c r="C23" s="69"/>
      <c r="D23" s="69"/>
      <c r="E23" s="69"/>
      <c r="F23" s="69"/>
      <c r="G23" s="69"/>
      <c r="H23" s="69"/>
      <c r="I23" s="69"/>
      <c r="J23" s="69"/>
      <c r="K23" s="69"/>
      <c r="L23" s="69"/>
      <c r="M23" s="69"/>
      <c r="N23" s="192"/>
      <c r="O23" s="69"/>
      <c r="P23" s="69"/>
      <c r="Q23" s="69"/>
      <c r="R23" s="69"/>
      <c r="S23" s="69"/>
      <c r="T23" s="69"/>
      <c r="U23" s="69"/>
      <c r="V23" s="69"/>
      <c r="W23" s="69"/>
      <c r="X23" s="69"/>
      <c r="Y23" s="69"/>
      <c r="Z23" s="69"/>
      <c r="AA23" s="428"/>
      <c r="AB23" s="428"/>
    </row>
    <row r="24" spans="1:28" s="157" customFormat="1">
      <c r="A24" s="69" t="s">
        <v>22</v>
      </c>
      <c r="B24" s="69" t="s">
        <v>615</v>
      </c>
      <c r="C24" s="69"/>
      <c r="D24" s="69"/>
      <c r="E24" s="69"/>
      <c r="F24" s="69"/>
      <c r="G24" s="69"/>
      <c r="H24" s="69"/>
      <c r="I24" s="69"/>
      <c r="J24" s="69"/>
      <c r="K24" s="69"/>
      <c r="L24" s="69"/>
      <c r="M24" s="69"/>
      <c r="N24" s="192"/>
      <c r="O24" s="69"/>
      <c r="P24" s="69"/>
      <c r="Q24" s="69"/>
      <c r="R24" s="69"/>
      <c r="S24" s="69"/>
      <c r="T24" s="69"/>
      <c r="U24" s="69"/>
      <c r="V24" s="69"/>
      <c r="W24" s="69"/>
      <c r="X24" s="69"/>
      <c r="Y24" s="69"/>
      <c r="Z24" s="69"/>
      <c r="AA24" s="428"/>
      <c r="AB24" s="428"/>
    </row>
    <row r="25" spans="1:28" s="157" customFormat="1" ht="25.5">
      <c r="A25" s="69" t="s">
        <v>144</v>
      </c>
      <c r="B25" s="423" t="s">
        <v>616</v>
      </c>
      <c r="C25" s="415">
        <v>0</v>
      </c>
      <c r="D25" s="422">
        <f>'[2]izejas info'!B49*F25</f>
        <v>243540</v>
      </c>
      <c r="E25" s="415">
        <v>0</v>
      </c>
      <c r="F25" s="422">
        <f>'[2]izejas info'!$B$29</f>
        <v>4059</v>
      </c>
      <c r="G25" s="422">
        <f>'[2]izejas info'!$B$50*'[2]Projekts Nr19.'!I25</f>
        <v>150183</v>
      </c>
      <c r="H25" s="422">
        <f>'[2]izejas info'!$B$50*'[2]Projekts Nr19.'!J25</f>
        <v>1501830</v>
      </c>
      <c r="I25" s="422">
        <f>$F$25*0.1</f>
        <v>405.90000000000003</v>
      </c>
      <c r="J25" s="422">
        <f>'[2]izejas info'!$B$29</f>
        <v>4059</v>
      </c>
      <c r="K25" s="422">
        <f>('[2]izejas info'!$B$50+'[2]izejas info'!$B$51)*'[2]Projekts Nr19.'!M25</f>
        <v>340956</v>
      </c>
      <c r="L25" s="422">
        <f>('[2]izejas info'!$B$50+'[2]izejas info'!$B$51)*'[2]Projekts Nr19.'!N25</f>
        <v>1704780</v>
      </c>
      <c r="M25" s="422">
        <f>$F$25*0.2</f>
        <v>811.80000000000007</v>
      </c>
      <c r="N25" s="422">
        <f>'[2]izejas info'!$B$29</f>
        <v>4059</v>
      </c>
      <c r="O25" s="422">
        <f>('[2]izejas info'!$B$50+'[2]izejas info'!$B$51)*'[2]Projekts Nr19.'!Q25</f>
        <v>852390</v>
      </c>
      <c r="P25" s="422">
        <f>('[2]izejas info'!$B$50+'[2]izejas info'!$B$51)*'[2]Projekts Nr19.'!R25</f>
        <v>1704780</v>
      </c>
      <c r="Q25" s="422">
        <f>$F$25*0.5</f>
        <v>2029.5</v>
      </c>
      <c r="R25" s="422">
        <f>'[2]izejas info'!$B$29</f>
        <v>4059</v>
      </c>
      <c r="S25" s="422">
        <f>('[2]izejas info'!$B$50+'[2]izejas info'!$B$51)*'[2]Projekts Nr19.'!U25</f>
        <v>937629.00000000012</v>
      </c>
      <c r="T25" s="422">
        <f>('[2]izejas info'!$B$50+'[2]izejas info'!$B$51)*'[2]Projekts Nr19.'!V25</f>
        <v>1704780</v>
      </c>
      <c r="U25" s="422">
        <f>$F$25*0.55</f>
        <v>2232.4500000000003</v>
      </c>
      <c r="V25" s="422">
        <f>'[2]izejas info'!$B$29</f>
        <v>4059</v>
      </c>
      <c r="W25" s="422">
        <f>('[2]izejas info'!$B$50+'[2]izejas info'!$B$51)*'[2]Projekts Nr19.'!Y25</f>
        <v>1193346</v>
      </c>
      <c r="X25" s="422">
        <f>('[2]izejas info'!$B$50+'[2]izejas info'!$B$51)*'[2]Projekts Nr19.'!Z25</f>
        <v>1704780</v>
      </c>
      <c r="Y25" s="422">
        <f>$F$25*0.7</f>
        <v>2841.2999999999997</v>
      </c>
      <c r="Z25" s="422">
        <f>'[2]izejas info'!$B$29</f>
        <v>4059</v>
      </c>
      <c r="AA25" s="425">
        <f>C25/W25</f>
        <v>0</v>
      </c>
      <c r="AB25" s="425">
        <f>W25/X25</f>
        <v>0.7</v>
      </c>
    </row>
    <row r="26" spans="1:28" ht="24">
      <c r="Z26" s="63" t="s">
        <v>123</v>
      </c>
      <c r="AA26" s="426">
        <f>AVERAGE(AA22:AA25)</f>
        <v>0</v>
      </c>
      <c r="AB26" s="426">
        <f>AVERAGE(AB22:AB25)</f>
        <v>0.7</v>
      </c>
    </row>
    <row r="27" spans="1:28">
      <c r="A27" s="77"/>
      <c r="B27" s="237" t="s">
        <v>40</v>
      </c>
      <c r="AA27" s="429"/>
      <c r="AB27" s="429"/>
    </row>
    <row r="28" spans="1:28">
      <c r="AA28" s="429"/>
      <c r="AB28" s="429"/>
    </row>
    <row r="29" spans="1:28" ht="31.5" customHeight="1">
      <c r="A29" s="10" t="s">
        <v>41</v>
      </c>
      <c r="B29" s="602" t="s">
        <v>42</v>
      </c>
      <c r="C29" s="602"/>
      <c r="D29" s="602"/>
      <c r="E29" s="602"/>
      <c r="F29" s="602"/>
      <c r="G29" s="602"/>
      <c r="H29" s="602"/>
      <c r="I29" s="602"/>
      <c r="J29" s="602"/>
      <c r="K29" s="602"/>
      <c r="L29" s="602"/>
      <c r="M29" s="602"/>
      <c r="N29" s="602"/>
      <c r="O29" s="602"/>
      <c r="P29" s="602"/>
      <c r="Q29" s="602"/>
      <c r="R29" s="602"/>
    </row>
    <row r="30" spans="1:28" ht="31.5" customHeight="1">
      <c r="A30" s="10" t="s">
        <v>43</v>
      </c>
      <c r="B30" s="602" t="s">
        <v>44</v>
      </c>
      <c r="C30" s="602"/>
      <c r="D30" s="602"/>
      <c r="E30" s="602"/>
      <c r="F30" s="602"/>
      <c r="G30" s="602"/>
      <c r="H30" s="602"/>
      <c r="I30" s="602"/>
      <c r="J30" s="602"/>
      <c r="K30" s="602"/>
      <c r="L30" s="602"/>
      <c r="M30" s="602"/>
      <c r="N30" s="602"/>
      <c r="O30" s="602"/>
      <c r="P30" s="602"/>
      <c r="Q30" s="602"/>
      <c r="R30" s="602"/>
    </row>
    <row r="31" spans="1:28" ht="31.5" customHeight="1">
      <c r="B31" s="602" t="s">
        <v>45</v>
      </c>
      <c r="C31" s="602"/>
      <c r="D31" s="602"/>
      <c r="E31" s="602"/>
      <c r="F31" s="602"/>
      <c r="G31" s="602"/>
      <c r="H31" s="602"/>
      <c r="I31" s="602"/>
      <c r="J31" s="602"/>
      <c r="K31" s="602"/>
      <c r="L31" s="602"/>
      <c r="M31" s="602"/>
      <c r="N31" s="602"/>
      <c r="O31" s="602"/>
      <c r="P31" s="602"/>
      <c r="Q31" s="602"/>
      <c r="R31" s="602"/>
    </row>
    <row r="32" spans="1:28" ht="31.5" customHeight="1">
      <c r="B32" s="602" t="s">
        <v>46</v>
      </c>
      <c r="C32" s="602"/>
      <c r="D32" s="602"/>
      <c r="E32" s="602"/>
      <c r="F32" s="602"/>
      <c r="G32" s="602"/>
      <c r="H32" s="602"/>
      <c r="I32" s="602"/>
      <c r="J32" s="602"/>
      <c r="K32" s="602"/>
      <c r="L32" s="602"/>
      <c r="M32" s="602"/>
      <c r="N32" s="602"/>
      <c r="O32" s="602"/>
      <c r="P32" s="602"/>
      <c r="Q32" s="602"/>
      <c r="R32" s="602"/>
    </row>
    <row r="33" spans="2:18" ht="31.5" customHeight="1">
      <c r="B33" s="602" t="s">
        <v>47</v>
      </c>
      <c r="C33" s="602"/>
      <c r="D33" s="602"/>
      <c r="E33" s="602"/>
      <c r="F33" s="602"/>
      <c r="G33" s="602"/>
      <c r="H33" s="602"/>
      <c r="I33" s="602"/>
      <c r="J33" s="602"/>
      <c r="K33" s="602"/>
      <c r="L33" s="602"/>
      <c r="M33" s="602"/>
      <c r="N33" s="602"/>
      <c r="O33" s="602"/>
      <c r="P33" s="602"/>
      <c r="Q33" s="602"/>
      <c r="R33" s="602"/>
    </row>
    <row r="34" spans="2:18" ht="31.5" customHeight="1">
      <c r="B34" s="602" t="s">
        <v>48</v>
      </c>
      <c r="C34" s="602"/>
      <c r="D34" s="602"/>
      <c r="E34" s="602"/>
      <c r="F34" s="602"/>
      <c r="G34" s="602"/>
      <c r="H34" s="602"/>
      <c r="I34" s="602"/>
      <c r="J34" s="602"/>
      <c r="K34" s="602"/>
      <c r="L34" s="602"/>
      <c r="M34" s="602"/>
      <c r="N34" s="602"/>
      <c r="O34" s="602"/>
      <c r="P34" s="602"/>
      <c r="Q34" s="602"/>
      <c r="R34" s="602"/>
    </row>
    <row r="35" spans="2:18" ht="73.5" customHeight="1">
      <c r="B35" s="602" t="s">
        <v>49</v>
      </c>
      <c r="C35" s="602"/>
      <c r="D35" s="602"/>
      <c r="E35" s="602"/>
      <c r="F35" s="602"/>
      <c r="G35" s="602"/>
      <c r="H35" s="602"/>
      <c r="I35" s="602"/>
      <c r="J35" s="602"/>
      <c r="K35" s="602"/>
      <c r="L35" s="602"/>
      <c r="M35" s="602"/>
      <c r="N35" s="602"/>
      <c r="O35" s="602"/>
      <c r="P35" s="602"/>
      <c r="Q35" s="602"/>
      <c r="R35" s="602"/>
    </row>
    <row r="36" spans="2:18" ht="39" customHeight="1">
      <c r="B36" s="602" t="s">
        <v>50</v>
      </c>
      <c r="C36" s="602"/>
      <c r="D36" s="602"/>
      <c r="E36" s="602"/>
      <c r="F36" s="602"/>
      <c r="G36" s="602"/>
      <c r="H36" s="602"/>
      <c r="I36" s="602"/>
      <c r="J36" s="602"/>
      <c r="K36" s="602"/>
      <c r="L36" s="602"/>
      <c r="M36" s="602"/>
      <c r="N36" s="602"/>
      <c r="O36" s="602"/>
      <c r="P36" s="602"/>
      <c r="Q36" s="602"/>
      <c r="R36" s="602"/>
    </row>
    <row r="37" spans="2:18">
      <c r="B37" s="238"/>
    </row>
    <row r="38" spans="2:18">
      <c r="B38" s="238"/>
    </row>
    <row r="40" spans="2:18">
      <c r="B40" s="238"/>
    </row>
  </sheetData>
  <mergeCells count="34">
    <mergeCell ref="B35:R35"/>
    <mergeCell ref="B36:R36"/>
    <mergeCell ref="B29:R29"/>
    <mergeCell ref="B30:R30"/>
    <mergeCell ref="B31:R31"/>
    <mergeCell ref="B32:R32"/>
    <mergeCell ref="B33:R33"/>
    <mergeCell ref="B34:R34"/>
    <mergeCell ref="AB18:AB20"/>
    <mergeCell ref="G19:J19"/>
    <mergeCell ref="K19:N19"/>
    <mergeCell ref="O19:R19"/>
    <mergeCell ref="S19:V19"/>
    <mergeCell ref="W19:Z19"/>
    <mergeCell ref="AA18:AA20"/>
    <mergeCell ref="A17:Z17"/>
    <mergeCell ref="A18:A20"/>
    <mergeCell ref="B18:B20"/>
    <mergeCell ref="C18:F19"/>
    <mergeCell ref="G18:Z18"/>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dimension ref="A1:AD52"/>
  <sheetViews>
    <sheetView topLeftCell="P31" workbookViewId="0">
      <selection activeCell="B25" sqref="B24:R25"/>
    </sheetView>
  </sheetViews>
  <sheetFormatPr defaultColWidth="8.5703125" defaultRowHeight="15"/>
  <cols>
    <col min="1" max="16384" width="8.5703125" style="188"/>
  </cols>
  <sheetData>
    <row r="1" spans="1:30" s="1" customFormat="1" ht="30" customHeight="1">
      <c r="A1" s="529" t="s">
        <v>0</v>
      </c>
      <c r="B1" s="529"/>
      <c r="C1" s="529"/>
      <c r="D1" s="529"/>
      <c r="E1" s="529"/>
      <c r="F1" s="721" t="s">
        <v>617</v>
      </c>
      <c r="G1" s="721"/>
      <c r="H1" s="721"/>
      <c r="I1" s="721"/>
      <c r="J1" s="721"/>
      <c r="K1" s="721"/>
      <c r="L1" s="721"/>
      <c r="M1" s="721"/>
      <c r="N1" s="721"/>
      <c r="O1" s="721"/>
      <c r="P1" s="721"/>
      <c r="Q1" s="721"/>
      <c r="R1" s="721"/>
    </row>
    <row r="2" spans="1:30"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39"/>
      <c r="AB2" s="39"/>
    </row>
    <row r="3" spans="1:30"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714" t="s">
        <v>7</v>
      </c>
      <c r="AB3" s="714" t="s">
        <v>7</v>
      </c>
      <c r="AD3" s="11"/>
    </row>
    <row r="4" spans="1:30"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714"/>
      <c r="AB4" s="714"/>
    </row>
    <row r="5" spans="1:30"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714"/>
      <c r="AB5" s="714"/>
    </row>
    <row r="6" spans="1:30" ht="15" customHeight="1">
      <c r="A6" s="6" t="s">
        <v>20</v>
      </c>
      <c r="B6" s="6" t="s">
        <v>618</v>
      </c>
      <c r="C6" s="6">
        <v>0</v>
      </c>
      <c r="D6" s="6">
        <v>0</v>
      </c>
      <c r="E6" s="6">
        <v>0</v>
      </c>
      <c r="F6" s="6">
        <v>0</v>
      </c>
      <c r="G6" s="6">
        <v>2000</v>
      </c>
      <c r="H6" s="6">
        <v>2200</v>
      </c>
      <c r="I6" s="6">
        <v>700</v>
      </c>
      <c r="J6" s="6">
        <v>800</v>
      </c>
      <c r="K6" s="6">
        <v>3000</v>
      </c>
      <c r="L6" s="6">
        <v>3200</v>
      </c>
      <c r="M6" s="6">
        <v>1200</v>
      </c>
      <c r="N6" s="6">
        <v>1300</v>
      </c>
      <c r="O6" s="6">
        <v>4500</v>
      </c>
      <c r="P6" s="6">
        <v>4700</v>
      </c>
      <c r="Q6" s="6">
        <v>1500</v>
      </c>
      <c r="R6" s="6">
        <v>1600</v>
      </c>
      <c r="S6" s="6">
        <v>5000</v>
      </c>
      <c r="T6" s="6">
        <v>5200</v>
      </c>
      <c r="U6" s="6">
        <v>2000</v>
      </c>
      <c r="V6" s="6">
        <v>2100</v>
      </c>
      <c r="W6" s="6">
        <v>5000</v>
      </c>
      <c r="X6" s="6">
        <v>5200</v>
      </c>
      <c r="Y6" s="6">
        <v>2000</v>
      </c>
      <c r="Z6" s="40">
        <v>2100</v>
      </c>
      <c r="AA6" s="431">
        <f>C6/W6</f>
        <v>0</v>
      </c>
      <c r="AB6" s="431">
        <f>W6/X6</f>
        <v>0.96153846153846156</v>
      </c>
    </row>
    <row r="7" spans="1:30" ht="15" customHeight="1">
      <c r="A7" s="6" t="s">
        <v>22</v>
      </c>
      <c r="B7" s="6" t="s">
        <v>619</v>
      </c>
      <c r="C7" s="6">
        <v>0</v>
      </c>
      <c r="D7" s="6">
        <v>0</v>
      </c>
      <c r="E7" s="6">
        <v>0</v>
      </c>
      <c r="F7" s="6">
        <v>0</v>
      </c>
      <c r="G7" s="6">
        <v>820</v>
      </c>
      <c r="H7" s="6">
        <v>820</v>
      </c>
      <c r="I7" s="6">
        <v>820</v>
      </c>
      <c r="J7" s="6">
        <v>820</v>
      </c>
      <c r="K7" s="6">
        <v>820</v>
      </c>
      <c r="L7" s="6">
        <v>820</v>
      </c>
      <c r="M7" s="6">
        <v>820</v>
      </c>
      <c r="N7" s="6">
        <v>820</v>
      </c>
      <c r="O7" s="6">
        <v>820</v>
      </c>
      <c r="P7" s="6">
        <v>820</v>
      </c>
      <c r="Q7" s="6">
        <v>820</v>
      </c>
      <c r="R7" s="6">
        <v>820</v>
      </c>
      <c r="S7" s="6">
        <v>820</v>
      </c>
      <c r="T7" s="6">
        <v>820</v>
      </c>
      <c r="U7" s="6">
        <v>820</v>
      </c>
      <c r="V7" s="6">
        <v>820</v>
      </c>
      <c r="W7" s="6">
        <v>820</v>
      </c>
      <c r="X7" s="6">
        <v>820</v>
      </c>
      <c r="Y7" s="6">
        <v>820</v>
      </c>
      <c r="Z7" s="40">
        <v>820</v>
      </c>
      <c r="AA7" s="431">
        <f t="shared" ref="AA7:AA25" si="0">C7/W7</f>
        <v>0</v>
      </c>
      <c r="AB7" s="431">
        <f t="shared" ref="AB7:AB25" si="1">W7/X7</f>
        <v>1</v>
      </c>
      <c r="AC7" s="188" t="s">
        <v>620</v>
      </c>
    </row>
    <row r="8" spans="1:30" ht="15" customHeight="1">
      <c r="A8" s="6" t="s">
        <v>61</v>
      </c>
      <c r="B8" s="6" t="s">
        <v>621</v>
      </c>
      <c r="C8" s="6">
        <v>0</v>
      </c>
      <c r="D8" s="6">
        <v>0</v>
      </c>
      <c r="E8" s="6">
        <v>0</v>
      </c>
      <c r="F8" s="6">
        <v>0</v>
      </c>
      <c r="G8" s="6">
        <v>1000</v>
      </c>
      <c r="H8" s="6">
        <v>1200</v>
      </c>
      <c r="I8" s="6">
        <v>500</v>
      </c>
      <c r="J8" s="6">
        <v>600</v>
      </c>
      <c r="K8" s="6">
        <v>1000</v>
      </c>
      <c r="L8" s="6">
        <v>1200</v>
      </c>
      <c r="M8" s="6">
        <v>500</v>
      </c>
      <c r="N8" s="6">
        <v>600</v>
      </c>
      <c r="O8" s="6">
        <v>1000</v>
      </c>
      <c r="P8" s="6">
        <v>1200</v>
      </c>
      <c r="Q8" s="6">
        <v>500</v>
      </c>
      <c r="R8" s="6">
        <v>600</v>
      </c>
      <c r="S8" s="6">
        <v>1000</v>
      </c>
      <c r="T8" s="6">
        <v>1200</v>
      </c>
      <c r="U8" s="6">
        <v>500</v>
      </c>
      <c r="V8" s="6">
        <v>600</v>
      </c>
      <c r="W8" s="6">
        <v>1000</v>
      </c>
      <c r="X8" s="6">
        <v>1200</v>
      </c>
      <c r="Y8" s="6">
        <v>500</v>
      </c>
      <c r="Z8" s="40">
        <v>600</v>
      </c>
      <c r="AA8" s="431">
        <f t="shared" si="0"/>
        <v>0</v>
      </c>
      <c r="AB8" s="431">
        <f t="shared" si="1"/>
        <v>0.83333333333333337</v>
      </c>
    </row>
    <row r="9" spans="1:30" ht="15" customHeight="1">
      <c r="A9" s="6" t="s">
        <v>63</v>
      </c>
      <c r="B9" s="6" t="s">
        <v>622</v>
      </c>
      <c r="C9" s="6">
        <v>0</v>
      </c>
      <c r="D9" s="6">
        <v>0</v>
      </c>
      <c r="E9" s="6">
        <v>0</v>
      </c>
      <c r="F9" s="6">
        <v>0</v>
      </c>
      <c r="G9" s="6">
        <v>20000</v>
      </c>
      <c r="H9" s="6">
        <v>20000</v>
      </c>
      <c r="I9" s="6">
        <v>10000</v>
      </c>
      <c r="J9" s="6">
        <v>10000</v>
      </c>
      <c r="K9" s="6">
        <v>25000</v>
      </c>
      <c r="L9" s="6">
        <v>25000</v>
      </c>
      <c r="M9" s="6">
        <v>12000</v>
      </c>
      <c r="N9" s="6">
        <v>12000</v>
      </c>
      <c r="O9" s="6">
        <v>30000</v>
      </c>
      <c r="P9" s="6">
        <v>30000</v>
      </c>
      <c r="Q9" s="6">
        <v>15000</v>
      </c>
      <c r="R9" s="6">
        <v>15000</v>
      </c>
      <c r="S9" s="6">
        <v>30000</v>
      </c>
      <c r="T9" s="6">
        <v>30000</v>
      </c>
      <c r="U9" s="6">
        <v>15000</v>
      </c>
      <c r="V9" s="6">
        <v>15000</v>
      </c>
      <c r="W9" s="6">
        <v>30000</v>
      </c>
      <c r="X9" s="6">
        <v>30000</v>
      </c>
      <c r="Y9" s="6">
        <v>15000</v>
      </c>
      <c r="Z9" s="40">
        <v>15000</v>
      </c>
      <c r="AA9" s="431">
        <f t="shared" si="0"/>
        <v>0</v>
      </c>
      <c r="AB9" s="431">
        <f t="shared" si="1"/>
        <v>1</v>
      </c>
    </row>
    <row r="10" spans="1:30" ht="15" customHeight="1">
      <c r="A10" s="6" t="s">
        <v>136</v>
      </c>
      <c r="B10" s="6" t="s">
        <v>623</v>
      </c>
      <c r="C10" s="6">
        <v>0</v>
      </c>
      <c r="D10" s="6">
        <v>0</v>
      </c>
      <c r="E10" s="6">
        <v>0</v>
      </c>
      <c r="F10" s="6">
        <v>0</v>
      </c>
      <c r="G10" s="6">
        <v>2500</v>
      </c>
      <c r="H10" s="6">
        <v>2500</v>
      </c>
      <c r="I10" s="6">
        <v>2500</v>
      </c>
      <c r="J10" s="6">
        <v>2500</v>
      </c>
      <c r="K10" s="6">
        <v>2500</v>
      </c>
      <c r="L10" s="6">
        <v>2500</v>
      </c>
      <c r="M10" s="6">
        <v>2500</v>
      </c>
      <c r="N10" s="6">
        <v>2500</v>
      </c>
      <c r="O10" s="6">
        <v>2500</v>
      </c>
      <c r="P10" s="6">
        <v>2500</v>
      </c>
      <c r="Q10" s="6">
        <v>2500</v>
      </c>
      <c r="R10" s="6">
        <v>2500</v>
      </c>
      <c r="S10" s="6">
        <v>2500</v>
      </c>
      <c r="T10" s="6">
        <v>2500</v>
      </c>
      <c r="U10" s="6">
        <v>2500</v>
      </c>
      <c r="V10" s="6">
        <v>2500</v>
      </c>
      <c r="W10" s="6">
        <v>2500</v>
      </c>
      <c r="X10" s="6">
        <v>2500</v>
      </c>
      <c r="Y10" s="6">
        <v>2500</v>
      </c>
      <c r="Z10" s="40">
        <v>2500</v>
      </c>
      <c r="AA10" s="431">
        <f t="shared" si="0"/>
        <v>0</v>
      </c>
      <c r="AB10" s="431">
        <f t="shared" si="1"/>
        <v>1</v>
      </c>
      <c r="AC10" s="188" t="s">
        <v>624</v>
      </c>
    </row>
    <row r="11" spans="1:30" ht="15" customHeight="1">
      <c r="A11" s="6" t="s">
        <v>155</v>
      </c>
      <c r="B11" s="6" t="s">
        <v>625</v>
      </c>
      <c r="C11" s="6">
        <v>0</v>
      </c>
      <c r="D11" s="6">
        <v>0</v>
      </c>
      <c r="E11" s="6">
        <v>0</v>
      </c>
      <c r="F11" s="6">
        <v>0</v>
      </c>
      <c r="G11" s="6">
        <v>2500</v>
      </c>
      <c r="H11" s="6">
        <v>2500</v>
      </c>
      <c r="I11" s="6">
        <v>50</v>
      </c>
      <c r="J11" s="6">
        <v>50</v>
      </c>
      <c r="K11" s="6">
        <v>2500</v>
      </c>
      <c r="L11" s="6">
        <v>2500</v>
      </c>
      <c r="M11" s="6">
        <v>50</v>
      </c>
      <c r="N11" s="6">
        <v>50</v>
      </c>
      <c r="O11" s="6">
        <v>2500</v>
      </c>
      <c r="P11" s="6">
        <v>2500</v>
      </c>
      <c r="Q11" s="6">
        <v>50</v>
      </c>
      <c r="R11" s="6">
        <v>50</v>
      </c>
      <c r="S11" s="6">
        <v>2500</v>
      </c>
      <c r="T11" s="6">
        <v>2500</v>
      </c>
      <c r="U11" s="6">
        <v>50</v>
      </c>
      <c r="V11" s="6">
        <v>50</v>
      </c>
      <c r="W11" s="6">
        <v>2500</v>
      </c>
      <c r="X11" s="6">
        <v>2500</v>
      </c>
      <c r="Y11" s="6">
        <v>50</v>
      </c>
      <c r="Z11" s="40">
        <v>50</v>
      </c>
      <c r="AA11" s="431">
        <f t="shared" si="0"/>
        <v>0</v>
      </c>
      <c r="AB11" s="431">
        <f t="shared" si="1"/>
        <v>1</v>
      </c>
      <c r="AC11" s="188" t="s">
        <v>626</v>
      </c>
    </row>
    <row r="12" spans="1:30" ht="15" customHeight="1">
      <c r="A12" s="6" t="s">
        <v>159</v>
      </c>
      <c r="B12" s="6" t="s">
        <v>627</v>
      </c>
      <c r="C12" s="6">
        <v>0</v>
      </c>
      <c r="D12" s="6">
        <v>0</v>
      </c>
      <c r="E12" s="6">
        <v>0</v>
      </c>
      <c r="F12" s="6">
        <v>0</v>
      </c>
      <c r="G12" s="6">
        <v>2500</v>
      </c>
      <c r="H12" s="6">
        <v>2500</v>
      </c>
      <c r="I12" s="6">
        <v>50</v>
      </c>
      <c r="J12" s="6">
        <v>50</v>
      </c>
      <c r="K12" s="6">
        <v>2500</v>
      </c>
      <c r="L12" s="6">
        <v>2500</v>
      </c>
      <c r="M12" s="6">
        <v>50</v>
      </c>
      <c r="N12" s="6">
        <v>50</v>
      </c>
      <c r="O12" s="6">
        <v>2500</v>
      </c>
      <c r="P12" s="6">
        <v>2500</v>
      </c>
      <c r="Q12" s="6">
        <v>50</v>
      </c>
      <c r="R12" s="6">
        <v>50</v>
      </c>
      <c r="S12" s="6">
        <v>2500</v>
      </c>
      <c r="T12" s="6">
        <v>2500</v>
      </c>
      <c r="U12" s="6">
        <v>50</v>
      </c>
      <c r="V12" s="6">
        <v>50</v>
      </c>
      <c r="W12" s="6">
        <v>2500</v>
      </c>
      <c r="X12" s="6">
        <v>2500</v>
      </c>
      <c r="Y12" s="6">
        <v>50</v>
      </c>
      <c r="Z12" s="40">
        <v>50</v>
      </c>
      <c r="AA12" s="431">
        <f t="shared" si="0"/>
        <v>0</v>
      </c>
      <c r="AB12" s="431">
        <f t="shared" si="1"/>
        <v>1</v>
      </c>
      <c r="AC12" s="188" t="s">
        <v>626</v>
      </c>
    </row>
    <row r="13" spans="1:30" ht="15" customHeight="1">
      <c r="A13" s="6" t="s">
        <v>244</v>
      </c>
      <c r="B13" s="6" t="s">
        <v>628</v>
      </c>
      <c r="C13" s="6">
        <v>0</v>
      </c>
      <c r="D13" s="6">
        <v>0</v>
      </c>
      <c r="E13" s="6">
        <v>0</v>
      </c>
      <c r="F13" s="6">
        <v>0</v>
      </c>
      <c r="G13" s="6">
        <v>2500</v>
      </c>
      <c r="H13" s="6">
        <v>2500</v>
      </c>
      <c r="I13" s="6">
        <v>2500</v>
      </c>
      <c r="J13" s="6">
        <v>2500</v>
      </c>
      <c r="K13" s="6">
        <v>2500</v>
      </c>
      <c r="L13" s="6">
        <v>2500</v>
      </c>
      <c r="M13" s="6">
        <v>2500</v>
      </c>
      <c r="N13" s="6">
        <v>2500</v>
      </c>
      <c r="O13" s="6">
        <v>2500</v>
      </c>
      <c r="P13" s="6">
        <v>2500</v>
      </c>
      <c r="Q13" s="6">
        <v>2500</v>
      </c>
      <c r="R13" s="6">
        <v>2500</v>
      </c>
      <c r="S13" s="6">
        <v>2500</v>
      </c>
      <c r="T13" s="6">
        <v>2500</v>
      </c>
      <c r="U13" s="6">
        <v>2500</v>
      </c>
      <c r="V13" s="6">
        <v>2500</v>
      </c>
      <c r="W13" s="6">
        <v>2500</v>
      </c>
      <c r="X13" s="6">
        <v>2500</v>
      </c>
      <c r="Y13" s="6">
        <v>2500</v>
      </c>
      <c r="Z13" s="40">
        <v>2500</v>
      </c>
      <c r="AA13" s="431">
        <f t="shared" si="0"/>
        <v>0</v>
      </c>
      <c r="AB13" s="431">
        <f t="shared" si="1"/>
        <v>1</v>
      </c>
      <c r="AC13" s="188" t="s">
        <v>629</v>
      </c>
    </row>
    <row r="14" spans="1:30" ht="15" customHeight="1">
      <c r="A14" s="6" t="s">
        <v>219</v>
      </c>
      <c r="B14" s="6" t="s">
        <v>630</v>
      </c>
      <c r="C14" s="6">
        <v>0</v>
      </c>
      <c r="D14" s="6">
        <v>0</v>
      </c>
      <c r="E14" s="6">
        <v>0</v>
      </c>
      <c r="F14" s="6">
        <v>0</v>
      </c>
      <c r="G14" s="6">
        <v>150</v>
      </c>
      <c r="H14" s="6">
        <v>150</v>
      </c>
      <c r="I14" s="6">
        <v>150</v>
      </c>
      <c r="J14" s="6">
        <v>150</v>
      </c>
      <c r="K14" s="6">
        <v>150</v>
      </c>
      <c r="L14" s="6">
        <v>150</v>
      </c>
      <c r="M14" s="6">
        <v>150</v>
      </c>
      <c r="N14" s="6">
        <v>150</v>
      </c>
      <c r="O14" s="6">
        <v>150</v>
      </c>
      <c r="P14" s="6">
        <v>150</v>
      </c>
      <c r="Q14" s="6">
        <v>150</v>
      </c>
      <c r="R14" s="6">
        <v>150</v>
      </c>
      <c r="S14" s="6">
        <v>150</v>
      </c>
      <c r="T14" s="6">
        <v>150</v>
      </c>
      <c r="U14" s="6">
        <v>150</v>
      </c>
      <c r="V14" s="6">
        <v>150</v>
      </c>
      <c r="W14" s="6">
        <v>150</v>
      </c>
      <c r="X14" s="6">
        <v>150</v>
      </c>
      <c r="Y14" s="6">
        <v>150</v>
      </c>
      <c r="Z14" s="40">
        <v>150</v>
      </c>
      <c r="AA14" s="431">
        <f t="shared" si="0"/>
        <v>0</v>
      </c>
      <c r="AB14" s="431">
        <f t="shared" si="1"/>
        <v>1</v>
      </c>
    </row>
    <row r="15" spans="1:30" ht="15" customHeight="1">
      <c r="A15" s="6" t="s">
        <v>247</v>
      </c>
      <c r="B15" s="6" t="s">
        <v>631</v>
      </c>
      <c r="C15" s="6">
        <v>0</v>
      </c>
      <c r="D15" s="6">
        <v>0</v>
      </c>
      <c r="E15" s="6">
        <v>0</v>
      </c>
      <c r="F15" s="6">
        <v>0</v>
      </c>
      <c r="G15" s="6">
        <v>200</v>
      </c>
      <c r="H15" s="6">
        <v>200</v>
      </c>
      <c r="I15" s="6">
        <v>200</v>
      </c>
      <c r="J15" s="6">
        <v>200</v>
      </c>
      <c r="K15" s="6">
        <v>200</v>
      </c>
      <c r="L15" s="6">
        <v>200</v>
      </c>
      <c r="M15" s="6">
        <v>200</v>
      </c>
      <c r="N15" s="6">
        <v>200</v>
      </c>
      <c r="O15" s="6">
        <v>200</v>
      </c>
      <c r="P15" s="6">
        <v>200</v>
      </c>
      <c r="Q15" s="6">
        <v>200</v>
      </c>
      <c r="R15" s="6">
        <v>200</v>
      </c>
      <c r="S15" s="6">
        <v>200</v>
      </c>
      <c r="T15" s="6">
        <v>200</v>
      </c>
      <c r="U15" s="6">
        <v>200</v>
      </c>
      <c r="V15" s="6">
        <v>200</v>
      </c>
      <c r="W15" s="6">
        <v>200</v>
      </c>
      <c r="X15" s="6">
        <v>200</v>
      </c>
      <c r="Y15" s="6">
        <v>200</v>
      </c>
      <c r="Z15" s="40">
        <v>200</v>
      </c>
      <c r="AA15" s="431">
        <f t="shared" si="0"/>
        <v>0</v>
      </c>
      <c r="AB15" s="431">
        <f t="shared" si="1"/>
        <v>1</v>
      </c>
    </row>
    <row r="16" spans="1:30" ht="15" customHeight="1">
      <c r="A16" s="6" t="s">
        <v>249</v>
      </c>
      <c r="B16" s="6" t="s">
        <v>632</v>
      </c>
      <c r="C16" s="6">
        <v>0</v>
      </c>
      <c r="D16" s="6">
        <v>0</v>
      </c>
      <c r="E16" s="6">
        <v>0</v>
      </c>
      <c r="F16" s="6">
        <v>0</v>
      </c>
      <c r="G16" s="6">
        <v>20000</v>
      </c>
      <c r="H16" s="6">
        <v>20000</v>
      </c>
      <c r="I16" s="6">
        <v>10000</v>
      </c>
      <c r="J16" s="6">
        <v>10000</v>
      </c>
      <c r="K16" s="6">
        <v>30000</v>
      </c>
      <c r="L16" s="6">
        <v>15000</v>
      </c>
      <c r="M16" s="6">
        <v>15000</v>
      </c>
      <c r="N16" s="6">
        <v>15000</v>
      </c>
      <c r="O16" s="6">
        <v>40000</v>
      </c>
      <c r="P16" s="6">
        <v>40000</v>
      </c>
      <c r="Q16" s="6">
        <v>20000</v>
      </c>
      <c r="R16" s="6">
        <v>20000</v>
      </c>
      <c r="S16" s="6">
        <v>50000</v>
      </c>
      <c r="T16" s="6">
        <v>50000</v>
      </c>
      <c r="U16" s="6">
        <v>25000</v>
      </c>
      <c r="V16" s="6">
        <v>25000</v>
      </c>
      <c r="W16" s="6">
        <v>60000</v>
      </c>
      <c r="X16" s="6">
        <v>60000</v>
      </c>
      <c r="Y16" s="6">
        <v>30000</v>
      </c>
      <c r="Z16" s="40">
        <v>30000</v>
      </c>
      <c r="AA16" s="431">
        <f t="shared" si="0"/>
        <v>0</v>
      </c>
      <c r="AB16" s="431">
        <f t="shared" si="1"/>
        <v>1</v>
      </c>
    </row>
    <row r="17" spans="1:29" ht="76.5">
      <c r="A17" s="6" t="s">
        <v>251</v>
      </c>
      <c r="B17" s="6" t="s">
        <v>633</v>
      </c>
      <c r="C17" s="6">
        <v>0</v>
      </c>
      <c r="D17" s="6">
        <v>0</v>
      </c>
      <c r="E17" s="6">
        <v>0</v>
      </c>
      <c r="F17" s="6">
        <v>0</v>
      </c>
      <c r="G17" s="6">
        <v>300</v>
      </c>
      <c r="H17" s="6">
        <v>300</v>
      </c>
      <c r="I17" s="6">
        <v>300</v>
      </c>
      <c r="J17" s="6">
        <v>300</v>
      </c>
      <c r="K17" s="6">
        <v>1000</v>
      </c>
      <c r="L17" s="6">
        <v>1000</v>
      </c>
      <c r="M17" s="6">
        <v>1000</v>
      </c>
      <c r="N17" s="6">
        <v>1000</v>
      </c>
      <c r="O17" s="6">
        <v>2000</v>
      </c>
      <c r="P17" s="6">
        <v>2000</v>
      </c>
      <c r="Q17" s="6">
        <v>2000</v>
      </c>
      <c r="R17" s="6">
        <v>2000</v>
      </c>
      <c r="S17" s="6">
        <v>3000</v>
      </c>
      <c r="T17" s="6">
        <v>3000</v>
      </c>
      <c r="U17" s="6">
        <v>3000</v>
      </c>
      <c r="V17" s="6">
        <v>3000</v>
      </c>
      <c r="W17" s="6">
        <v>4000</v>
      </c>
      <c r="X17" s="6">
        <v>4000</v>
      </c>
      <c r="Y17" s="6">
        <v>4000</v>
      </c>
      <c r="Z17" s="40">
        <v>4000</v>
      </c>
      <c r="AA17" s="431">
        <f t="shared" si="0"/>
        <v>0</v>
      </c>
      <c r="AB17" s="431">
        <f t="shared" si="1"/>
        <v>1</v>
      </c>
    </row>
    <row r="18" spans="1:29" ht="76.5">
      <c r="A18" s="6" t="s">
        <v>253</v>
      </c>
      <c r="B18" s="6" t="s">
        <v>634</v>
      </c>
      <c r="C18" s="6">
        <v>0</v>
      </c>
      <c r="D18" s="6">
        <v>0</v>
      </c>
      <c r="E18" s="6">
        <v>0</v>
      </c>
      <c r="F18" s="6">
        <v>0</v>
      </c>
      <c r="G18" s="6">
        <v>200</v>
      </c>
      <c r="H18" s="6">
        <v>200</v>
      </c>
      <c r="I18" s="6">
        <v>200</v>
      </c>
      <c r="J18" s="6">
        <v>200</v>
      </c>
      <c r="K18" s="6">
        <v>400</v>
      </c>
      <c r="L18" s="6">
        <v>400</v>
      </c>
      <c r="M18" s="6">
        <v>400</v>
      </c>
      <c r="N18" s="6">
        <v>400</v>
      </c>
      <c r="O18" s="6">
        <v>600</v>
      </c>
      <c r="P18" s="6">
        <v>600</v>
      </c>
      <c r="Q18" s="6">
        <v>600</v>
      </c>
      <c r="R18" s="6">
        <v>600</v>
      </c>
      <c r="S18" s="6">
        <v>800</v>
      </c>
      <c r="T18" s="6">
        <v>800</v>
      </c>
      <c r="U18" s="6">
        <v>800</v>
      </c>
      <c r="V18" s="6">
        <v>800</v>
      </c>
      <c r="W18" s="6">
        <v>1000</v>
      </c>
      <c r="X18" s="6">
        <v>1000</v>
      </c>
      <c r="Y18" s="6">
        <v>1000</v>
      </c>
      <c r="Z18" s="40">
        <v>1000</v>
      </c>
      <c r="AA18" s="431">
        <f t="shared" si="0"/>
        <v>0</v>
      </c>
      <c r="AB18" s="431">
        <f t="shared" si="1"/>
        <v>1</v>
      </c>
    </row>
    <row r="19" spans="1:29" ht="76.5">
      <c r="A19" s="6" t="s">
        <v>255</v>
      </c>
      <c r="B19" s="6" t="s">
        <v>635</v>
      </c>
      <c r="C19" s="6">
        <v>0</v>
      </c>
      <c r="D19" s="6">
        <v>0</v>
      </c>
      <c r="E19" s="6">
        <v>0</v>
      </c>
      <c r="F19" s="6">
        <v>0</v>
      </c>
      <c r="G19" s="6">
        <v>0</v>
      </c>
      <c r="H19" s="6">
        <v>0</v>
      </c>
      <c r="I19" s="6">
        <v>0</v>
      </c>
      <c r="J19" s="6">
        <v>0</v>
      </c>
      <c r="K19" s="6">
        <v>0</v>
      </c>
      <c r="L19" s="6">
        <v>0</v>
      </c>
      <c r="M19" s="6">
        <v>0</v>
      </c>
      <c r="N19" s="6">
        <v>0</v>
      </c>
      <c r="O19" s="6">
        <v>0</v>
      </c>
      <c r="P19" s="6">
        <v>0</v>
      </c>
      <c r="Q19" s="6">
        <v>0</v>
      </c>
      <c r="R19" s="6">
        <v>0</v>
      </c>
      <c r="S19" s="6">
        <v>0</v>
      </c>
      <c r="T19" s="6">
        <v>0</v>
      </c>
      <c r="U19" s="6">
        <v>0</v>
      </c>
      <c r="V19" s="6">
        <v>0</v>
      </c>
      <c r="W19" s="6">
        <v>0</v>
      </c>
      <c r="X19" s="6">
        <v>0</v>
      </c>
      <c r="Y19" s="6">
        <v>0</v>
      </c>
      <c r="Z19" s="40">
        <v>0</v>
      </c>
      <c r="AA19" s="431"/>
      <c r="AB19" s="431"/>
      <c r="AC19" s="188" t="s">
        <v>636</v>
      </c>
    </row>
    <row r="20" spans="1:29" ht="140.25">
      <c r="A20" s="6" t="s">
        <v>257</v>
      </c>
      <c r="B20" s="6" t="s">
        <v>637</v>
      </c>
      <c r="C20" s="6">
        <v>0</v>
      </c>
      <c r="D20" s="6">
        <v>0</v>
      </c>
      <c r="E20" s="6">
        <v>0</v>
      </c>
      <c r="F20" s="6">
        <v>0</v>
      </c>
      <c r="G20" s="6">
        <v>200</v>
      </c>
      <c r="H20" s="6">
        <v>200</v>
      </c>
      <c r="I20" s="6">
        <v>200</v>
      </c>
      <c r="J20" s="6">
        <v>200</v>
      </c>
      <c r="K20" s="6">
        <v>200</v>
      </c>
      <c r="L20" s="6">
        <v>200</v>
      </c>
      <c r="M20" s="6">
        <v>200</v>
      </c>
      <c r="N20" s="6">
        <v>200</v>
      </c>
      <c r="O20" s="6">
        <v>200</v>
      </c>
      <c r="P20" s="6">
        <v>200</v>
      </c>
      <c r="Q20" s="6">
        <v>200</v>
      </c>
      <c r="R20" s="6">
        <v>200</v>
      </c>
      <c r="S20" s="6">
        <v>200</v>
      </c>
      <c r="T20" s="6">
        <v>200</v>
      </c>
      <c r="U20" s="6">
        <v>200</v>
      </c>
      <c r="V20" s="6">
        <v>200</v>
      </c>
      <c r="W20" s="6">
        <v>200</v>
      </c>
      <c r="X20" s="6">
        <v>200</v>
      </c>
      <c r="Y20" s="6">
        <v>200</v>
      </c>
      <c r="Z20" s="40">
        <v>200</v>
      </c>
      <c r="AA20" s="431">
        <f t="shared" si="0"/>
        <v>0</v>
      </c>
      <c r="AB20" s="431">
        <f t="shared" si="1"/>
        <v>1</v>
      </c>
    </row>
    <row r="21" spans="1:29" ht="63.75">
      <c r="A21" s="6" t="s">
        <v>259</v>
      </c>
      <c r="B21" s="6" t="s">
        <v>638</v>
      </c>
      <c r="C21" s="6">
        <v>0</v>
      </c>
      <c r="D21" s="6">
        <v>0</v>
      </c>
      <c r="E21" s="6">
        <v>0</v>
      </c>
      <c r="F21" s="6">
        <v>0</v>
      </c>
      <c r="G21" s="6">
        <v>163</v>
      </c>
      <c r="H21" s="6">
        <v>163</v>
      </c>
      <c r="I21" s="6">
        <v>163</v>
      </c>
      <c r="J21" s="6">
        <v>163</v>
      </c>
      <c r="K21" s="6">
        <v>163</v>
      </c>
      <c r="L21" s="6">
        <v>163</v>
      </c>
      <c r="M21" s="6">
        <v>163</v>
      </c>
      <c r="N21" s="6">
        <v>163</v>
      </c>
      <c r="O21" s="6">
        <v>163</v>
      </c>
      <c r="P21" s="6">
        <v>163</v>
      </c>
      <c r="Q21" s="6">
        <v>163</v>
      </c>
      <c r="R21" s="6">
        <v>163</v>
      </c>
      <c r="S21" s="6">
        <v>163</v>
      </c>
      <c r="T21" s="6">
        <v>163</v>
      </c>
      <c r="U21" s="6">
        <v>163</v>
      </c>
      <c r="V21" s="6">
        <v>163</v>
      </c>
      <c r="W21" s="6">
        <v>163</v>
      </c>
      <c r="X21" s="6">
        <v>163</v>
      </c>
      <c r="Y21" s="6">
        <v>163</v>
      </c>
      <c r="Z21" s="40">
        <v>163</v>
      </c>
      <c r="AA21" s="431">
        <f t="shared" si="0"/>
        <v>0</v>
      </c>
      <c r="AB21" s="431">
        <f t="shared" si="1"/>
        <v>1</v>
      </c>
      <c r="AC21" s="188" t="s">
        <v>639</v>
      </c>
    </row>
    <row r="22" spans="1:29" ht="102">
      <c r="A22" s="6" t="s">
        <v>261</v>
      </c>
      <c r="B22" s="6" t="s">
        <v>640</v>
      </c>
      <c r="C22" s="6">
        <v>0</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40">
        <v>0</v>
      </c>
      <c r="AA22" s="431"/>
      <c r="AB22" s="431"/>
      <c r="AC22" s="188" t="s">
        <v>641</v>
      </c>
    </row>
    <row r="23" spans="1:29" ht="51">
      <c r="A23" s="6" t="s">
        <v>263</v>
      </c>
      <c r="B23" s="6" t="s">
        <v>642</v>
      </c>
      <c r="C23" s="6">
        <v>0</v>
      </c>
      <c r="D23" s="6">
        <v>0</v>
      </c>
      <c r="E23" s="6">
        <v>0</v>
      </c>
      <c r="F23" s="6">
        <v>0</v>
      </c>
      <c r="G23" s="6">
        <v>5000</v>
      </c>
      <c r="H23" s="6">
        <v>5000</v>
      </c>
      <c r="I23" s="6">
        <v>2000</v>
      </c>
      <c r="J23" s="6">
        <v>2000</v>
      </c>
      <c r="K23" s="6">
        <v>6000</v>
      </c>
      <c r="L23" s="6">
        <v>6000</v>
      </c>
      <c r="M23" s="6">
        <v>2500</v>
      </c>
      <c r="N23" s="6">
        <v>2500</v>
      </c>
      <c r="O23" s="6">
        <v>7000</v>
      </c>
      <c r="P23" s="6">
        <v>7000</v>
      </c>
      <c r="Q23" s="6">
        <v>3000</v>
      </c>
      <c r="R23" s="6">
        <v>3000</v>
      </c>
      <c r="S23" s="6">
        <v>7000</v>
      </c>
      <c r="T23" s="6">
        <v>7000</v>
      </c>
      <c r="U23" s="6">
        <v>3000</v>
      </c>
      <c r="V23" s="6">
        <v>3000</v>
      </c>
      <c r="W23" s="6">
        <v>7000</v>
      </c>
      <c r="X23" s="6">
        <v>7000</v>
      </c>
      <c r="Y23" s="6">
        <v>3000</v>
      </c>
      <c r="Z23" s="40">
        <v>3000</v>
      </c>
      <c r="AA23" s="431">
        <f t="shared" si="0"/>
        <v>0</v>
      </c>
      <c r="AB23" s="431">
        <f t="shared" si="1"/>
        <v>1</v>
      </c>
    </row>
    <row r="24" spans="1:29" ht="51">
      <c r="A24" s="6" t="s">
        <v>265</v>
      </c>
      <c r="B24" s="6" t="s">
        <v>643</v>
      </c>
      <c r="C24" s="6">
        <v>360000</v>
      </c>
      <c r="D24" s="6">
        <v>360000</v>
      </c>
      <c r="E24" s="6">
        <v>74000</v>
      </c>
      <c r="F24" s="6">
        <v>74000</v>
      </c>
      <c r="G24" s="6">
        <v>370000</v>
      </c>
      <c r="H24" s="6">
        <v>370000</v>
      </c>
      <c r="I24" s="6">
        <v>80000</v>
      </c>
      <c r="J24" s="6">
        <v>80000</v>
      </c>
      <c r="K24" s="6">
        <v>380000</v>
      </c>
      <c r="L24" s="6">
        <v>380000</v>
      </c>
      <c r="M24" s="6">
        <v>85000</v>
      </c>
      <c r="N24" s="6">
        <v>85000</v>
      </c>
      <c r="O24" s="6">
        <v>380000</v>
      </c>
      <c r="P24" s="6">
        <v>380000</v>
      </c>
      <c r="Q24" s="6">
        <v>85000</v>
      </c>
      <c r="R24" s="6">
        <v>85000</v>
      </c>
      <c r="S24" s="6">
        <v>380000</v>
      </c>
      <c r="T24" s="6">
        <v>380000</v>
      </c>
      <c r="U24" s="6">
        <v>85000</v>
      </c>
      <c r="V24" s="6">
        <v>85000</v>
      </c>
      <c r="W24" s="6">
        <v>380000</v>
      </c>
      <c r="X24" s="6">
        <v>380000</v>
      </c>
      <c r="Y24" s="6">
        <v>85000</v>
      </c>
      <c r="Z24" s="40">
        <v>85000</v>
      </c>
      <c r="AA24" s="431">
        <f t="shared" si="0"/>
        <v>0.94736842105263153</v>
      </c>
      <c r="AB24" s="431">
        <f t="shared" si="1"/>
        <v>1</v>
      </c>
    </row>
    <row r="25" spans="1:29" ht="114.75">
      <c r="A25" s="6" t="s">
        <v>644</v>
      </c>
      <c r="B25" s="6" t="s">
        <v>645</v>
      </c>
      <c r="C25" s="6">
        <v>0</v>
      </c>
      <c r="D25" s="6">
        <v>0</v>
      </c>
      <c r="E25" s="6">
        <v>0</v>
      </c>
      <c r="F25" s="6">
        <v>0</v>
      </c>
      <c r="G25" s="6">
        <v>5000</v>
      </c>
      <c r="H25" s="6">
        <v>5000</v>
      </c>
      <c r="I25" s="6">
        <v>1000</v>
      </c>
      <c r="J25" s="6">
        <v>1000</v>
      </c>
      <c r="K25" s="6">
        <v>6000</v>
      </c>
      <c r="L25" s="6">
        <v>6000</v>
      </c>
      <c r="M25" s="6">
        <v>2000</v>
      </c>
      <c r="N25" s="6">
        <v>2000</v>
      </c>
      <c r="O25" s="6">
        <v>7000</v>
      </c>
      <c r="P25" s="6">
        <v>7000</v>
      </c>
      <c r="Q25" s="6">
        <v>3000</v>
      </c>
      <c r="R25" s="6">
        <v>3000</v>
      </c>
      <c r="S25" s="6">
        <v>7000</v>
      </c>
      <c r="T25" s="6">
        <v>7000</v>
      </c>
      <c r="U25" s="6">
        <v>3000</v>
      </c>
      <c r="V25" s="6">
        <v>3000</v>
      </c>
      <c r="W25" s="6">
        <v>7000</v>
      </c>
      <c r="X25" s="6">
        <v>7000</v>
      </c>
      <c r="Y25" s="6">
        <v>3000</v>
      </c>
      <c r="Z25" s="40">
        <v>3000</v>
      </c>
      <c r="AA25" s="431">
        <f t="shared" si="0"/>
        <v>0</v>
      </c>
      <c r="AB25" s="431">
        <f t="shared" si="1"/>
        <v>1</v>
      </c>
    </row>
    <row r="26" spans="1:29">
      <c r="AA26" s="431">
        <f>AVERAGE(AA6:AA24)</f>
        <v>5.5727554179566562E-2</v>
      </c>
      <c r="AB26" s="431">
        <f>AVERAGE(AB6:AB25)</f>
        <v>0.98860398860398868</v>
      </c>
    </row>
    <row r="27" spans="1:29" ht="23.25">
      <c r="A27" s="514" t="s">
        <v>25</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432"/>
      <c r="AB27" s="432"/>
    </row>
    <row r="28" spans="1:29">
      <c r="A28" s="515" t="s">
        <v>3</v>
      </c>
      <c r="B28" s="518" t="s">
        <v>26</v>
      </c>
      <c r="C28" s="521" t="s">
        <v>139</v>
      </c>
      <c r="D28" s="522"/>
      <c r="E28" s="522"/>
      <c r="F28" s="523"/>
      <c r="G28" s="513" t="s">
        <v>28</v>
      </c>
      <c r="H28" s="513"/>
      <c r="I28" s="513"/>
      <c r="J28" s="513"/>
      <c r="K28" s="513"/>
      <c r="L28" s="513"/>
      <c r="M28" s="513"/>
      <c r="N28" s="513"/>
      <c r="O28" s="513"/>
      <c r="P28" s="513"/>
      <c r="Q28" s="513"/>
      <c r="R28" s="513"/>
      <c r="S28" s="513"/>
      <c r="T28" s="513"/>
      <c r="U28" s="513"/>
      <c r="V28" s="513"/>
      <c r="W28" s="513"/>
      <c r="X28" s="513"/>
      <c r="Y28" s="513"/>
      <c r="Z28" s="513"/>
      <c r="AA28" s="718" t="s">
        <v>124</v>
      </c>
      <c r="AB28" s="718" t="s">
        <v>125</v>
      </c>
    </row>
    <row r="29" spans="1:29">
      <c r="A29" s="516"/>
      <c r="B29" s="519"/>
      <c r="C29" s="524"/>
      <c r="D29" s="525"/>
      <c r="E29" s="525"/>
      <c r="F29" s="526"/>
      <c r="G29" s="513" t="s">
        <v>9</v>
      </c>
      <c r="H29" s="513"/>
      <c r="I29" s="513"/>
      <c r="J29" s="513"/>
      <c r="K29" s="513" t="s">
        <v>10</v>
      </c>
      <c r="L29" s="513"/>
      <c r="M29" s="513"/>
      <c r="N29" s="513"/>
      <c r="O29" s="513" t="s">
        <v>11</v>
      </c>
      <c r="P29" s="513"/>
      <c r="Q29" s="513"/>
      <c r="R29" s="513"/>
      <c r="S29" s="513" t="s">
        <v>12</v>
      </c>
      <c r="T29" s="513"/>
      <c r="U29" s="513"/>
      <c r="V29" s="513"/>
      <c r="W29" s="513" t="s">
        <v>13</v>
      </c>
      <c r="X29" s="513"/>
      <c r="Y29" s="513"/>
      <c r="Z29" s="513"/>
      <c r="AA29" s="719"/>
      <c r="AB29" s="719"/>
    </row>
    <row r="30" spans="1:29" ht="72">
      <c r="A30" s="517"/>
      <c r="B30" s="520"/>
      <c r="C30" s="5" t="s">
        <v>140</v>
      </c>
      <c r="D30" s="5" t="s">
        <v>32</v>
      </c>
      <c r="E30" s="5" t="s">
        <v>33</v>
      </c>
      <c r="F30" s="5" t="s">
        <v>131</v>
      </c>
      <c r="G30" s="5" t="s">
        <v>34</v>
      </c>
      <c r="H30" s="5" t="s">
        <v>32</v>
      </c>
      <c r="I30" s="5" t="s">
        <v>33</v>
      </c>
      <c r="J30" s="5" t="s">
        <v>19</v>
      </c>
      <c r="K30" s="5" t="s">
        <v>34</v>
      </c>
      <c r="L30" s="5" t="s">
        <v>32</v>
      </c>
      <c r="M30" s="5" t="s">
        <v>33</v>
      </c>
      <c r="N30" s="5" t="s">
        <v>19</v>
      </c>
      <c r="O30" s="5" t="s">
        <v>34</v>
      </c>
      <c r="P30" s="5" t="s">
        <v>32</v>
      </c>
      <c r="Q30" s="5" t="s">
        <v>33</v>
      </c>
      <c r="R30" s="5" t="s">
        <v>19</v>
      </c>
      <c r="S30" s="5" t="s">
        <v>34</v>
      </c>
      <c r="T30" s="5" t="s">
        <v>32</v>
      </c>
      <c r="U30" s="5" t="s">
        <v>33</v>
      </c>
      <c r="V30" s="5" t="s">
        <v>19</v>
      </c>
      <c r="W30" s="5" t="s">
        <v>34</v>
      </c>
      <c r="X30" s="5" t="s">
        <v>32</v>
      </c>
      <c r="Y30" s="5" t="s">
        <v>33</v>
      </c>
      <c r="Z30" s="5" t="s">
        <v>19</v>
      </c>
      <c r="AA30" s="720"/>
      <c r="AB30" s="720"/>
    </row>
    <row r="31" spans="1:29" s="240" customFormat="1" ht="51">
      <c r="A31" s="47" t="s">
        <v>20</v>
      </c>
      <c r="B31" s="47" t="s">
        <v>646</v>
      </c>
      <c r="C31" s="47"/>
      <c r="D31" s="47"/>
      <c r="E31" s="47"/>
      <c r="F31" s="47"/>
      <c r="G31" s="47"/>
      <c r="H31" s="47"/>
      <c r="I31" s="47"/>
      <c r="J31" s="47"/>
      <c r="K31" s="47"/>
      <c r="L31" s="47"/>
      <c r="M31" s="47"/>
      <c r="N31" s="47"/>
      <c r="O31" s="47"/>
      <c r="P31" s="47"/>
      <c r="Q31" s="47"/>
      <c r="R31" s="47"/>
      <c r="S31" s="47"/>
      <c r="T31" s="47"/>
      <c r="U31" s="47"/>
      <c r="V31" s="47"/>
      <c r="W31" s="47"/>
      <c r="X31" s="47"/>
      <c r="Y31" s="47"/>
      <c r="Z31" s="47"/>
      <c r="AA31" s="433"/>
      <c r="AB31" s="433"/>
    </row>
    <row r="32" spans="1:29" ht="38.25">
      <c r="A32" s="6" t="s">
        <v>36</v>
      </c>
      <c r="B32" s="6" t="s">
        <v>647</v>
      </c>
      <c r="C32" s="6">
        <v>400000</v>
      </c>
      <c r="D32" s="6">
        <v>400000</v>
      </c>
      <c r="E32" s="6">
        <v>0</v>
      </c>
      <c r="F32" s="6">
        <v>181000</v>
      </c>
      <c r="G32" s="6">
        <v>420000</v>
      </c>
      <c r="H32" s="6">
        <v>420000</v>
      </c>
      <c r="I32" s="6">
        <v>300</v>
      </c>
      <c r="J32" s="6">
        <v>190000</v>
      </c>
      <c r="K32" s="6">
        <v>450000</v>
      </c>
      <c r="L32" s="6">
        <v>450000</v>
      </c>
      <c r="M32" s="6">
        <v>1000</v>
      </c>
      <c r="N32" s="6">
        <v>200000</v>
      </c>
      <c r="O32" s="6">
        <v>480000</v>
      </c>
      <c r="P32" s="6">
        <v>480000</v>
      </c>
      <c r="Q32" s="6">
        <v>2000</v>
      </c>
      <c r="R32" s="6">
        <v>220000</v>
      </c>
      <c r="S32" s="6">
        <v>500000</v>
      </c>
      <c r="T32" s="6">
        <v>500000</v>
      </c>
      <c r="U32" s="6">
        <v>3000</v>
      </c>
      <c r="V32" s="6">
        <v>230000</v>
      </c>
      <c r="W32" s="6">
        <v>525000</v>
      </c>
      <c r="X32" s="6">
        <v>525000</v>
      </c>
      <c r="Y32" s="6">
        <v>4000</v>
      </c>
      <c r="Z32" s="40">
        <v>250000</v>
      </c>
      <c r="AA32" s="434">
        <f>C32/W32</f>
        <v>0.76190476190476186</v>
      </c>
      <c r="AB32" s="431">
        <f>W32/X32</f>
        <v>1</v>
      </c>
      <c r="AC32" s="188" t="s">
        <v>648</v>
      </c>
    </row>
    <row r="33" spans="1:29" ht="63.75">
      <c r="A33" s="6" t="s">
        <v>38</v>
      </c>
      <c r="B33" s="6" t="s">
        <v>649</v>
      </c>
      <c r="C33" s="6">
        <v>1000000</v>
      </c>
      <c r="D33" s="6">
        <v>1000000</v>
      </c>
      <c r="E33" s="6">
        <v>3500</v>
      </c>
      <c r="F33" s="6">
        <v>40000</v>
      </c>
      <c r="G33" s="6">
        <v>1000000</v>
      </c>
      <c r="H33" s="6">
        <v>1000000</v>
      </c>
      <c r="I33" s="6">
        <v>3500</v>
      </c>
      <c r="J33" s="6">
        <v>40000</v>
      </c>
      <c r="K33" s="6">
        <v>1000000</v>
      </c>
      <c r="L33" s="6">
        <v>1000000</v>
      </c>
      <c r="M33" s="6">
        <v>3500</v>
      </c>
      <c r="N33" s="6">
        <v>40000</v>
      </c>
      <c r="O33" s="6">
        <v>1000000</v>
      </c>
      <c r="P33" s="6">
        <v>1000000</v>
      </c>
      <c r="Q33" s="6">
        <v>3500</v>
      </c>
      <c r="R33" s="6">
        <v>40000</v>
      </c>
      <c r="S33" s="6">
        <v>1000000</v>
      </c>
      <c r="T33" s="6">
        <v>1000000</v>
      </c>
      <c r="U33" s="6">
        <v>3500</v>
      </c>
      <c r="V33" s="6">
        <v>40000</v>
      </c>
      <c r="W33" s="6">
        <v>1000000</v>
      </c>
      <c r="X33" s="6">
        <v>1000000</v>
      </c>
      <c r="Y33" s="6">
        <v>3500</v>
      </c>
      <c r="Z33" s="40">
        <v>40000</v>
      </c>
      <c r="AA33" s="434">
        <f t="shared" ref="AA33:AA37" si="2">C33/W33</f>
        <v>1</v>
      </c>
      <c r="AB33" s="431">
        <f t="shared" ref="AB33:AB37" si="3">W33/X33</f>
        <v>1</v>
      </c>
      <c r="AC33" s="188" t="s">
        <v>648</v>
      </c>
    </row>
    <row r="34" spans="1:29" ht="76.5">
      <c r="A34" s="6" t="s">
        <v>73</v>
      </c>
      <c r="B34" s="6" t="s">
        <v>650</v>
      </c>
      <c r="C34" s="6">
        <v>3500</v>
      </c>
      <c r="D34" s="6">
        <v>3500</v>
      </c>
      <c r="E34" s="6">
        <v>3500</v>
      </c>
      <c r="F34" s="6">
        <v>3500</v>
      </c>
      <c r="G34" s="6">
        <v>3500</v>
      </c>
      <c r="H34" s="6">
        <v>3500</v>
      </c>
      <c r="I34" s="6">
        <v>3500</v>
      </c>
      <c r="J34" s="6">
        <v>3500</v>
      </c>
      <c r="K34" s="6">
        <v>3500</v>
      </c>
      <c r="L34" s="6">
        <v>3500</v>
      </c>
      <c r="M34" s="6">
        <v>3500</v>
      </c>
      <c r="N34" s="6">
        <v>3500</v>
      </c>
      <c r="O34" s="6">
        <v>3500</v>
      </c>
      <c r="P34" s="6">
        <v>3500</v>
      </c>
      <c r="Q34" s="6">
        <v>3500</v>
      </c>
      <c r="R34" s="6">
        <v>3500</v>
      </c>
      <c r="S34" s="6">
        <v>3500</v>
      </c>
      <c r="T34" s="6">
        <v>3500</v>
      </c>
      <c r="U34" s="6">
        <v>3500</v>
      </c>
      <c r="V34" s="6">
        <v>3500</v>
      </c>
      <c r="W34" s="6">
        <v>3500</v>
      </c>
      <c r="X34" s="6">
        <v>3500</v>
      </c>
      <c r="Y34" s="6">
        <v>3500</v>
      </c>
      <c r="Z34" s="40">
        <v>3500</v>
      </c>
      <c r="AA34" s="434">
        <f t="shared" si="2"/>
        <v>1</v>
      </c>
      <c r="AB34" s="431">
        <f t="shared" si="3"/>
        <v>1</v>
      </c>
      <c r="AC34" s="188" t="s">
        <v>651</v>
      </c>
    </row>
    <row r="35" spans="1:29" ht="76.5">
      <c r="A35" s="6" t="s">
        <v>75</v>
      </c>
      <c r="B35" s="6" t="s">
        <v>652</v>
      </c>
      <c r="C35" s="6">
        <v>3500</v>
      </c>
      <c r="D35" s="6">
        <v>3500</v>
      </c>
      <c r="E35" s="6">
        <v>3500</v>
      </c>
      <c r="F35" s="6">
        <v>3500</v>
      </c>
      <c r="G35" s="6">
        <v>3500</v>
      </c>
      <c r="H35" s="6">
        <v>3500</v>
      </c>
      <c r="I35" s="6">
        <v>3500</v>
      </c>
      <c r="J35" s="6">
        <v>3500</v>
      </c>
      <c r="K35" s="6">
        <v>3500</v>
      </c>
      <c r="L35" s="6">
        <v>3500</v>
      </c>
      <c r="M35" s="6">
        <v>3500</v>
      </c>
      <c r="N35" s="6">
        <v>3500</v>
      </c>
      <c r="O35" s="6">
        <v>3500</v>
      </c>
      <c r="P35" s="6">
        <v>3500</v>
      </c>
      <c r="Q35" s="6">
        <v>3500</v>
      </c>
      <c r="R35" s="6">
        <v>3500</v>
      </c>
      <c r="S35" s="6">
        <v>3500</v>
      </c>
      <c r="T35" s="6">
        <v>3500</v>
      </c>
      <c r="U35" s="6">
        <v>3500</v>
      </c>
      <c r="V35" s="6">
        <v>3500</v>
      </c>
      <c r="W35" s="6">
        <v>3500</v>
      </c>
      <c r="X35" s="6">
        <v>3500</v>
      </c>
      <c r="Y35" s="6">
        <v>3500</v>
      </c>
      <c r="Z35" s="40">
        <v>3500</v>
      </c>
      <c r="AA35" s="434">
        <f t="shared" si="2"/>
        <v>1</v>
      </c>
      <c r="AB35" s="431">
        <f t="shared" si="3"/>
        <v>1</v>
      </c>
    </row>
    <row r="36" spans="1:29" s="240" customFormat="1" ht="63.75">
      <c r="A36" s="47" t="s">
        <v>22</v>
      </c>
      <c r="B36" s="47" t="s">
        <v>653</v>
      </c>
      <c r="C36" s="47"/>
      <c r="D36" s="47"/>
      <c r="E36" s="47"/>
      <c r="F36" s="47"/>
      <c r="G36" s="47"/>
      <c r="H36" s="47"/>
      <c r="I36" s="47"/>
      <c r="J36" s="47"/>
      <c r="K36" s="47"/>
      <c r="L36" s="47"/>
      <c r="M36" s="47"/>
      <c r="N36" s="47"/>
      <c r="O36" s="47"/>
      <c r="P36" s="47"/>
      <c r="Q36" s="47"/>
      <c r="R36" s="47"/>
      <c r="S36" s="47"/>
      <c r="T36" s="47"/>
      <c r="U36" s="47"/>
      <c r="V36" s="47"/>
      <c r="W36" s="47"/>
      <c r="X36" s="47"/>
      <c r="Y36" s="47"/>
      <c r="Z36" s="205"/>
      <c r="AA36" s="434"/>
      <c r="AB36" s="431"/>
    </row>
    <row r="37" spans="1:29" ht="102">
      <c r="A37" s="6" t="s">
        <v>144</v>
      </c>
      <c r="B37" s="6" t="s">
        <v>654</v>
      </c>
      <c r="C37" s="6">
        <v>7500</v>
      </c>
      <c r="D37" s="6">
        <v>7500</v>
      </c>
      <c r="E37" s="6">
        <v>2550</v>
      </c>
      <c r="F37" s="6">
        <v>2550</v>
      </c>
      <c r="G37" s="6">
        <v>7500</v>
      </c>
      <c r="H37" s="6">
        <v>7500</v>
      </c>
      <c r="I37" s="6">
        <v>2550</v>
      </c>
      <c r="J37" s="6">
        <v>2550</v>
      </c>
      <c r="K37" s="6">
        <v>7500</v>
      </c>
      <c r="L37" s="6">
        <v>7500</v>
      </c>
      <c r="M37" s="6">
        <v>2550</v>
      </c>
      <c r="N37" s="6">
        <v>2550</v>
      </c>
      <c r="O37" s="6">
        <v>7500</v>
      </c>
      <c r="P37" s="6">
        <v>7500</v>
      </c>
      <c r="Q37" s="6">
        <v>2550</v>
      </c>
      <c r="R37" s="6">
        <v>2550</v>
      </c>
      <c r="S37" s="6">
        <v>7500</v>
      </c>
      <c r="T37" s="6">
        <v>7500</v>
      </c>
      <c r="U37" s="6">
        <v>2550</v>
      </c>
      <c r="V37" s="6">
        <v>2550</v>
      </c>
      <c r="W37" s="6">
        <v>7500</v>
      </c>
      <c r="X37" s="6">
        <v>7500</v>
      </c>
      <c r="Y37" s="6">
        <v>2550</v>
      </c>
      <c r="Z37" s="40">
        <v>2550</v>
      </c>
      <c r="AA37" s="434">
        <f t="shared" si="2"/>
        <v>1</v>
      </c>
      <c r="AB37" s="431">
        <f t="shared" si="3"/>
        <v>1</v>
      </c>
    </row>
    <row r="38" spans="1:29">
      <c r="AA38" s="434">
        <f>AVERAGE(AA32:AA37)</f>
        <v>0.95238095238095233</v>
      </c>
      <c r="AB38" s="434">
        <f>AVERAGE(AB32:AB37)</f>
        <v>1</v>
      </c>
      <c r="AC38" s="188" t="s">
        <v>655</v>
      </c>
    </row>
    <row r="39" spans="1:29" ht="25.5">
      <c r="A39" s="9"/>
      <c r="B39" s="9" t="s">
        <v>40</v>
      </c>
    </row>
    <row r="41" spans="1:29">
      <c r="A41" s="10" t="s">
        <v>41</v>
      </c>
      <c r="B41" s="509" t="s">
        <v>42</v>
      </c>
      <c r="C41" s="509"/>
      <c r="D41" s="509"/>
      <c r="E41" s="509"/>
      <c r="F41" s="509"/>
      <c r="G41" s="509"/>
      <c r="H41" s="509"/>
      <c r="I41" s="509"/>
      <c r="J41" s="509"/>
      <c r="K41" s="509"/>
      <c r="L41" s="509"/>
      <c r="M41" s="509"/>
      <c r="N41" s="509"/>
      <c r="O41" s="509"/>
      <c r="P41" s="509"/>
      <c r="Q41" s="509"/>
      <c r="R41" s="509"/>
    </row>
    <row r="42" spans="1:29">
      <c r="A42" s="10" t="s">
        <v>43</v>
      </c>
      <c r="B42" s="509" t="s">
        <v>44</v>
      </c>
      <c r="C42" s="509"/>
      <c r="D42" s="509"/>
      <c r="E42" s="509"/>
      <c r="F42" s="509"/>
      <c r="G42" s="509"/>
      <c r="H42" s="509"/>
      <c r="I42" s="509"/>
      <c r="J42" s="509"/>
      <c r="K42" s="509"/>
      <c r="L42" s="509"/>
      <c r="M42" s="509"/>
      <c r="N42" s="509"/>
      <c r="O42" s="509"/>
      <c r="P42" s="509"/>
      <c r="Q42" s="509"/>
      <c r="R42" s="509"/>
    </row>
    <row r="43" spans="1:29">
      <c r="B43" s="509" t="s">
        <v>164</v>
      </c>
      <c r="C43" s="509"/>
      <c r="D43" s="509"/>
      <c r="E43" s="509"/>
      <c r="F43" s="509"/>
      <c r="G43" s="509"/>
      <c r="H43" s="509"/>
      <c r="I43" s="509"/>
      <c r="J43" s="509"/>
      <c r="K43" s="509"/>
      <c r="L43" s="509"/>
      <c r="M43" s="509"/>
      <c r="N43" s="509"/>
      <c r="O43" s="509"/>
      <c r="P43" s="509"/>
      <c r="Q43" s="509"/>
      <c r="R43" s="509"/>
    </row>
    <row r="44" spans="1:29">
      <c r="B44" s="509" t="s">
        <v>165</v>
      </c>
      <c r="C44" s="509"/>
      <c r="D44" s="509"/>
      <c r="E44" s="509"/>
      <c r="F44" s="509"/>
      <c r="G44" s="509"/>
      <c r="H44" s="509"/>
      <c r="I44" s="509"/>
      <c r="J44" s="509"/>
      <c r="K44" s="509"/>
      <c r="L44" s="509"/>
      <c r="M44" s="509"/>
      <c r="N44" s="509"/>
      <c r="O44" s="509"/>
      <c r="P44" s="509"/>
      <c r="Q44" s="509"/>
      <c r="R44" s="509"/>
    </row>
    <row r="45" spans="1:29">
      <c r="B45" s="509" t="s">
        <v>166</v>
      </c>
      <c r="C45" s="509"/>
      <c r="D45" s="509"/>
      <c r="E45" s="509"/>
      <c r="F45" s="509"/>
      <c r="G45" s="509"/>
      <c r="H45" s="509"/>
      <c r="I45" s="509"/>
      <c r="J45" s="509"/>
      <c r="K45" s="509"/>
      <c r="L45" s="509"/>
      <c r="M45" s="509"/>
      <c r="N45" s="509"/>
      <c r="O45" s="509"/>
      <c r="P45" s="509"/>
      <c r="Q45" s="509"/>
      <c r="R45" s="509"/>
    </row>
    <row r="46" spans="1:29">
      <c r="B46" s="509" t="s">
        <v>167</v>
      </c>
      <c r="C46" s="509"/>
      <c r="D46" s="509"/>
      <c r="E46" s="509"/>
      <c r="F46" s="509"/>
      <c r="G46" s="509"/>
      <c r="H46" s="509"/>
      <c r="I46" s="509"/>
      <c r="J46" s="509"/>
      <c r="K46" s="509"/>
      <c r="L46" s="509"/>
      <c r="M46" s="509"/>
      <c r="N46" s="509"/>
      <c r="O46" s="509"/>
      <c r="P46" s="509"/>
      <c r="Q46" s="509"/>
      <c r="R46" s="509"/>
    </row>
    <row r="47" spans="1:29">
      <c r="B47" s="509" t="s">
        <v>168</v>
      </c>
      <c r="C47" s="509"/>
      <c r="D47" s="509"/>
      <c r="E47" s="509"/>
      <c r="F47" s="509"/>
      <c r="G47" s="509"/>
      <c r="H47" s="509"/>
      <c r="I47" s="509"/>
      <c r="J47" s="509"/>
      <c r="K47" s="509"/>
      <c r="L47" s="509"/>
      <c r="M47" s="509"/>
      <c r="N47" s="509"/>
      <c r="O47" s="509"/>
      <c r="P47" s="509"/>
      <c r="Q47" s="509"/>
      <c r="R47" s="509"/>
    </row>
    <row r="48" spans="1:29">
      <c r="B48" s="509" t="s">
        <v>169</v>
      </c>
      <c r="C48" s="509"/>
      <c r="D48" s="509"/>
      <c r="E48" s="509"/>
      <c r="F48" s="509"/>
      <c r="G48" s="509"/>
      <c r="H48" s="509"/>
      <c r="I48" s="509"/>
      <c r="J48" s="509"/>
      <c r="K48" s="509"/>
      <c r="L48" s="509"/>
      <c r="M48" s="509"/>
      <c r="N48" s="509"/>
      <c r="O48" s="509"/>
      <c r="P48" s="509"/>
      <c r="Q48" s="509"/>
      <c r="R48" s="509"/>
    </row>
    <row r="49" spans="2:2">
      <c r="B49" s="11"/>
    </row>
    <row r="50" spans="2:2">
      <c r="B50" s="11"/>
    </row>
    <row r="52" spans="2:2">
      <c r="B52" s="11"/>
    </row>
  </sheetData>
  <mergeCells count="34">
    <mergeCell ref="B46:R46"/>
    <mergeCell ref="B47:R47"/>
    <mergeCell ref="B48:R48"/>
    <mergeCell ref="S29:V29"/>
    <mergeCell ref="B41:R41"/>
    <mergeCell ref="B42:R42"/>
    <mergeCell ref="B43:R43"/>
    <mergeCell ref="B44:R44"/>
    <mergeCell ref="B45:R45"/>
    <mergeCell ref="A27:Z27"/>
    <mergeCell ref="A28:A30"/>
    <mergeCell ref="B28:B30"/>
    <mergeCell ref="C28:F29"/>
    <mergeCell ref="G28:Z28"/>
    <mergeCell ref="G29:J29"/>
    <mergeCell ref="K29:N29"/>
    <mergeCell ref="O29:R29"/>
    <mergeCell ref="W29:Z29"/>
    <mergeCell ref="AA3:AA5"/>
    <mergeCell ref="AB3:AB5"/>
    <mergeCell ref="AA28:AA30"/>
    <mergeCell ref="AB28:AB30"/>
    <mergeCell ref="A1:E1"/>
    <mergeCell ref="F1:R1"/>
    <mergeCell ref="A2:Z2"/>
    <mergeCell ref="A3:A5"/>
    <mergeCell ref="B3:B5"/>
    <mergeCell ref="C3:F4"/>
    <mergeCell ref="G3:Z3"/>
    <mergeCell ref="G4:J4"/>
    <mergeCell ref="K4:N4"/>
    <mergeCell ref="O4:R4"/>
    <mergeCell ref="S4:V4"/>
    <mergeCell ref="W4:Z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AC33"/>
  <sheetViews>
    <sheetView topLeftCell="K4" workbookViewId="0">
      <selection activeCell="B25" sqref="B24:R25"/>
    </sheetView>
  </sheetViews>
  <sheetFormatPr defaultRowHeight="15"/>
  <cols>
    <col min="1" max="1" width="5" style="188" customWidth="1"/>
    <col min="2" max="2" width="15.85546875" style="188" customWidth="1"/>
    <col min="3" max="3" width="11.28515625" style="188" customWidth="1"/>
    <col min="4" max="4" width="9.5703125" style="188" customWidth="1"/>
    <col min="5" max="6" width="7.7109375" style="188" customWidth="1"/>
    <col min="7" max="7" width="8.42578125" style="188" customWidth="1"/>
    <col min="8" max="8" width="10" style="188" customWidth="1"/>
    <col min="9" max="10" width="7" style="188" customWidth="1"/>
    <col min="11" max="11" width="8.5703125" style="188" customWidth="1"/>
    <col min="12" max="12" width="9.85546875" style="188" customWidth="1"/>
    <col min="13" max="14" width="7" style="188" customWidth="1"/>
    <col min="15" max="15" width="8.7109375" style="188" customWidth="1"/>
    <col min="16" max="16" width="8.5703125" style="188" customWidth="1"/>
    <col min="17" max="18" width="7" style="188" customWidth="1"/>
    <col min="19" max="19" width="7.85546875" style="188" customWidth="1"/>
    <col min="20" max="20" width="9.42578125" style="188" customWidth="1"/>
    <col min="21" max="21" width="7" style="188" customWidth="1"/>
    <col min="22" max="22" width="6.85546875" style="188" customWidth="1"/>
    <col min="23" max="23" width="8.5703125" style="188" customWidth="1"/>
    <col min="24" max="24" width="9.42578125" style="188" customWidth="1"/>
    <col min="25" max="26" width="7" style="188" customWidth="1"/>
    <col min="27" max="16384" width="9.140625" style="188"/>
  </cols>
  <sheetData>
    <row r="1" spans="1:29" s="1" customFormat="1" ht="42" customHeight="1">
      <c r="A1" s="529" t="s">
        <v>0</v>
      </c>
      <c r="B1" s="529"/>
      <c r="C1" s="529"/>
      <c r="D1" s="529"/>
      <c r="E1" s="529"/>
      <c r="F1" s="530" t="s">
        <v>656</v>
      </c>
      <c r="G1" s="530"/>
      <c r="H1" s="530"/>
      <c r="I1" s="530"/>
      <c r="J1" s="530"/>
      <c r="K1" s="530"/>
      <c r="L1" s="530"/>
      <c r="M1" s="530"/>
      <c r="N1" s="530"/>
      <c r="O1" s="530"/>
      <c r="P1" s="530"/>
      <c r="Q1" s="530"/>
      <c r="R1" s="530"/>
    </row>
    <row r="2" spans="1:29"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9"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604"/>
      <c r="AA3" s="562" t="s">
        <v>7</v>
      </c>
      <c r="AB3" s="635" t="s">
        <v>8</v>
      </c>
    </row>
    <row r="4" spans="1:29"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604"/>
      <c r="AA4" s="563"/>
      <c r="AB4" s="636"/>
    </row>
    <row r="5" spans="1:29" ht="120.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84" t="s">
        <v>19</v>
      </c>
      <c r="AA5" s="564"/>
      <c r="AB5" s="637"/>
    </row>
    <row r="6" spans="1:29" ht="38.25">
      <c r="A6" s="6" t="s">
        <v>20</v>
      </c>
      <c r="B6" s="177" t="s">
        <v>657</v>
      </c>
      <c r="C6" s="177">
        <v>0</v>
      </c>
      <c r="D6" s="177">
        <v>3670</v>
      </c>
      <c r="E6" s="177">
        <v>0</v>
      </c>
      <c r="F6" s="177">
        <v>3670</v>
      </c>
      <c r="G6" s="177">
        <v>4500</v>
      </c>
      <c r="H6" s="177">
        <v>7000</v>
      </c>
      <c r="I6" s="177">
        <v>3000</v>
      </c>
      <c r="J6" s="177">
        <v>4900</v>
      </c>
      <c r="K6" s="177">
        <v>5000</v>
      </c>
      <c r="L6" s="177">
        <v>7200</v>
      </c>
      <c r="M6" s="177">
        <v>3500</v>
      </c>
      <c r="N6" s="177">
        <v>5400</v>
      </c>
      <c r="O6" s="177">
        <v>5500</v>
      </c>
      <c r="P6" s="177">
        <v>7400</v>
      </c>
      <c r="Q6" s="177">
        <v>3850</v>
      </c>
      <c r="R6" s="177">
        <v>5180</v>
      </c>
      <c r="S6" s="177">
        <v>6000</v>
      </c>
      <c r="T6" s="177">
        <v>7600</v>
      </c>
      <c r="U6" s="177">
        <v>4200</v>
      </c>
      <c r="V6" s="177">
        <v>5320</v>
      </c>
      <c r="W6" s="177">
        <v>6500</v>
      </c>
      <c r="X6" s="177">
        <v>7800</v>
      </c>
      <c r="Y6" s="177">
        <v>4550</v>
      </c>
      <c r="Z6" s="241">
        <v>5460</v>
      </c>
      <c r="AA6" s="436">
        <f>C6/W6</f>
        <v>0</v>
      </c>
      <c r="AB6" s="436">
        <f>W6/X6</f>
        <v>0.83333333333333337</v>
      </c>
    </row>
    <row r="7" spans="1:29" ht="39.75" customHeight="1">
      <c r="A7" s="6" t="s">
        <v>22</v>
      </c>
      <c r="B7" s="177" t="s">
        <v>658</v>
      </c>
      <c r="C7" s="177">
        <v>5300</v>
      </c>
      <c r="D7" s="129">
        <v>180000</v>
      </c>
      <c r="E7" s="177">
        <v>1</v>
      </c>
      <c r="F7" s="177">
        <v>71000</v>
      </c>
      <c r="G7" s="177">
        <v>30400</v>
      </c>
      <c r="H7" s="129">
        <v>190000</v>
      </c>
      <c r="I7" s="177">
        <v>500</v>
      </c>
      <c r="J7" s="177">
        <v>72420</v>
      </c>
      <c r="K7" s="177">
        <v>64000</v>
      </c>
      <c r="L7" s="129">
        <v>200000</v>
      </c>
      <c r="M7" s="177">
        <v>1000</v>
      </c>
      <c r="N7" s="177">
        <v>738684</v>
      </c>
      <c r="O7" s="177">
        <v>100800</v>
      </c>
      <c r="P7" s="129">
        <v>210000</v>
      </c>
      <c r="Q7" s="177">
        <v>10000</v>
      </c>
      <c r="R7" s="177">
        <v>75345</v>
      </c>
      <c r="S7" s="177">
        <v>140800</v>
      </c>
      <c r="T7" s="129">
        <v>220000</v>
      </c>
      <c r="U7" s="177">
        <v>30000</v>
      </c>
      <c r="V7" s="177">
        <v>76851</v>
      </c>
      <c r="W7" s="177">
        <v>184000</v>
      </c>
      <c r="X7" s="129">
        <v>230000</v>
      </c>
      <c r="Y7" s="177">
        <v>50000</v>
      </c>
      <c r="Z7" s="241">
        <v>78388</v>
      </c>
      <c r="AA7" s="436">
        <f t="shared" ref="AA7:AA10" si="0">C7/W7</f>
        <v>2.8804347826086957E-2</v>
      </c>
      <c r="AB7" s="436">
        <f t="shared" ref="AB7:AB10" si="1">W7/X7</f>
        <v>0.8</v>
      </c>
    </row>
    <row r="8" spans="1:29" ht="38.25" customHeight="1">
      <c r="A8" s="6" t="s">
        <v>61</v>
      </c>
      <c r="B8" s="177" t="s">
        <v>659</v>
      </c>
      <c r="C8" s="177">
        <v>0</v>
      </c>
      <c r="D8" s="177">
        <v>0</v>
      </c>
      <c r="E8" s="177">
        <v>0</v>
      </c>
      <c r="F8" s="177">
        <v>0</v>
      </c>
      <c r="G8" s="177">
        <v>20</v>
      </c>
      <c r="H8" s="177">
        <v>120</v>
      </c>
      <c r="I8" s="177">
        <v>20</v>
      </c>
      <c r="J8" s="177">
        <v>35</v>
      </c>
      <c r="K8" s="177">
        <v>22</v>
      </c>
      <c r="L8" s="177">
        <v>125</v>
      </c>
      <c r="M8" s="177">
        <v>22</v>
      </c>
      <c r="N8" s="177">
        <v>37</v>
      </c>
      <c r="O8" s="177">
        <v>25</v>
      </c>
      <c r="P8" s="177">
        <v>127</v>
      </c>
      <c r="Q8" s="177">
        <v>25</v>
      </c>
      <c r="R8" s="177">
        <v>40</v>
      </c>
      <c r="S8" s="177">
        <v>27</v>
      </c>
      <c r="T8" s="177">
        <v>131</v>
      </c>
      <c r="U8" s="177">
        <v>27</v>
      </c>
      <c r="V8" s="177">
        <v>42</v>
      </c>
      <c r="W8" s="177">
        <v>30</v>
      </c>
      <c r="X8" s="177">
        <v>135</v>
      </c>
      <c r="Y8" s="177">
        <v>30</v>
      </c>
      <c r="Z8" s="241">
        <v>45</v>
      </c>
      <c r="AA8" s="436">
        <f t="shared" si="0"/>
        <v>0</v>
      </c>
      <c r="AB8" s="362">
        <f t="shared" si="1"/>
        <v>0.22222222222222221</v>
      </c>
    </row>
    <row r="9" spans="1:29" ht="39" customHeight="1">
      <c r="A9" s="6" t="s">
        <v>63</v>
      </c>
      <c r="B9" s="177" t="s">
        <v>660</v>
      </c>
      <c r="C9" s="129">
        <v>1473100</v>
      </c>
      <c r="D9" s="129">
        <v>1475100</v>
      </c>
      <c r="E9" s="177">
        <v>50000</v>
      </c>
      <c r="F9" s="177">
        <v>52000</v>
      </c>
      <c r="G9" s="177">
        <v>1502562</v>
      </c>
      <c r="H9" s="177">
        <v>1504522</v>
      </c>
      <c r="I9" s="177">
        <v>52500</v>
      </c>
      <c r="J9" s="177">
        <v>54460</v>
      </c>
      <c r="K9" s="177">
        <v>1532613</v>
      </c>
      <c r="L9" s="177">
        <v>1534534</v>
      </c>
      <c r="M9" s="177">
        <v>55125</v>
      </c>
      <c r="N9" s="177">
        <v>57045</v>
      </c>
      <c r="O9" s="177">
        <v>1563265</v>
      </c>
      <c r="P9" s="177">
        <v>1565147</v>
      </c>
      <c r="Q9" s="177">
        <v>57881</v>
      </c>
      <c r="R9" s="177">
        <v>59763</v>
      </c>
      <c r="S9" s="177">
        <v>1594530</v>
      </c>
      <c r="T9" s="177">
        <v>1596374</v>
      </c>
      <c r="U9" s="177">
        <v>60775</v>
      </c>
      <c r="V9" s="177">
        <v>62619</v>
      </c>
      <c r="W9" s="177">
        <v>1626421</v>
      </c>
      <c r="X9" s="177">
        <v>1628228</v>
      </c>
      <c r="Y9" s="177">
        <v>63813</v>
      </c>
      <c r="Z9" s="241">
        <v>65620</v>
      </c>
      <c r="AA9" s="436">
        <f t="shared" si="0"/>
        <v>0.90573104995570031</v>
      </c>
      <c r="AB9" s="436">
        <f t="shared" si="1"/>
        <v>0.99889020456594535</v>
      </c>
    </row>
    <row r="10" spans="1:29" ht="45.75" customHeight="1">
      <c r="A10" s="49" t="s">
        <v>136</v>
      </c>
      <c r="B10" s="242" t="s">
        <v>661</v>
      </c>
      <c r="C10" s="243">
        <v>0</v>
      </c>
      <c r="D10" s="243">
        <v>30</v>
      </c>
      <c r="E10" s="243">
        <v>0</v>
      </c>
      <c r="F10" s="243">
        <v>30</v>
      </c>
      <c r="G10" s="243">
        <v>1000</v>
      </c>
      <c r="H10" s="243">
        <v>1030</v>
      </c>
      <c r="I10" s="243">
        <v>800</v>
      </c>
      <c r="J10" s="243">
        <v>830</v>
      </c>
      <c r="K10" s="243">
        <v>1500</v>
      </c>
      <c r="L10" s="243">
        <v>1525</v>
      </c>
      <c r="M10" s="243">
        <v>1200</v>
      </c>
      <c r="N10" s="243">
        <v>1225</v>
      </c>
      <c r="O10" s="243">
        <v>3000</v>
      </c>
      <c r="P10" s="243">
        <v>3020</v>
      </c>
      <c r="Q10" s="243">
        <v>2400</v>
      </c>
      <c r="R10" s="243">
        <v>2420</v>
      </c>
      <c r="S10" s="243">
        <v>3500</v>
      </c>
      <c r="T10" s="243">
        <v>3520</v>
      </c>
      <c r="U10" s="243">
        <v>2800</v>
      </c>
      <c r="V10" s="243">
        <v>2820</v>
      </c>
      <c r="W10" s="243">
        <v>4000</v>
      </c>
      <c r="X10" s="243">
        <v>4015</v>
      </c>
      <c r="Y10" s="243">
        <v>3200</v>
      </c>
      <c r="Z10" s="244">
        <v>3215</v>
      </c>
      <c r="AA10" s="436">
        <f t="shared" si="0"/>
        <v>0</v>
      </c>
      <c r="AB10" s="436">
        <f t="shared" si="1"/>
        <v>0.99626400996264008</v>
      </c>
    </row>
    <row r="11" spans="1:29" ht="19.5" customHeight="1">
      <c r="A11" s="245"/>
      <c r="B11" s="246"/>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42" t="s">
        <v>138</v>
      </c>
      <c r="AA11" s="436">
        <f>AVERAGE(AA6:AA10)</f>
        <v>0.18690707955635746</v>
      </c>
      <c r="AB11" s="436">
        <f>AVERAGE(AB6:AB10)</f>
        <v>0.77014195401682817</v>
      </c>
    </row>
    <row r="12" spans="1:29" ht="23.25">
      <c r="A12" s="722" t="s">
        <v>25</v>
      </c>
      <c r="B12" s="722"/>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82"/>
    </row>
    <row r="13" spans="1:29" ht="45.75" customHeight="1">
      <c r="A13" s="515" t="s">
        <v>3</v>
      </c>
      <c r="B13" s="518" t="s">
        <v>26</v>
      </c>
      <c r="C13" s="521" t="s">
        <v>139</v>
      </c>
      <c r="D13" s="522"/>
      <c r="E13" s="522"/>
      <c r="F13" s="523"/>
      <c r="G13" s="513" t="s">
        <v>28</v>
      </c>
      <c r="H13" s="513"/>
      <c r="I13" s="513"/>
      <c r="J13" s="513"/>
      <c r="K13" s="513"/>
      <c r="L13" s="513"/>
      <c r="M13" s="513"/>
      <c r="N13" s="513"/>
      <c r="O13" s="513"/>
      <c r="P13" s="513"/>
      <c r="Q13" s="513"/>
      <c r="R13" s="513"/>
      <c r="S13" s="513"/>
      <c r="T13" s="513"/>
      <c r="U13" s="513"/>
      <c r="V13" s="513"/>
      <c r="W13" s="513"/>
      <c r="X13" s="513"/>
      <c r="Y13" s="513"/>
      <c r="Z13" s="513"/>
      <c r="AA13" s="562" t="s">
        <v>29</v>
      </c>
      <c r="AB13" s="635" t="s">
        <v>30</v>
      </c>
    </row>
    <row r="14" spans="1:29" ht="45" customHeight="1">
      <c r="A14" s="516"/>
      <c r="B14" s="519"/>
      <c r="C14" s="524"/>
      <c r="D14" s="525"/>
      <c r="E14" s="525"/>
      <c r="F14" s="526"/>
      <c r="G14" s="513" t="s">
        <v>9</v>
      </c>
      <c r="H14" s="513"/>
      <c r="I14" s="513"/>
      <c r="J14" s="513"/>
      <c r="K14" s="513" t="s">
        <v>10</v>
      </c>
      <c r="L14" s="513"/>
      <c r="M14" s="513"/>
      <c r="N14" s="513"/>
      <c r="O14" s="513" t="s">
        <v>11</v>
      </c>
      <c r="P14" s="513"/>
      <c r="Q14" s="513"/>
      <c r="R14" s="513"/>
      <c r="S14" s="513" t="s">
        <v>12</v>
      </c>
      <c r="T14" s="513"/>
      <c r="U14" s="513"/>
      <c r="V14" s="513"/>
      <c r="W14" s="513" t="s">
        <v>13</v>
      </c>
      <c r="X14" s="513"/>
      <c r="Y14" s="513"/>
      <c r="Z14" s="513"/>
      <c r="AA14" s="563"/>
      <c r="AB14" s="636"/>
    </row>
    <row r="15" spans="1:29" ht="155.25" customHeight="1">
      <c r="A15" s="517"/>
      <c r="B15" s="520"/>
      <c r="C15" s="5" t="s">
        <v>140</v>
      </c>
      <c r="D15" s="5" t="s">
        <v>32</v>
      </c>
      <c r="E15" s="5" t="s">
        <v>33</v>
      </c>
      <c r="F15" s="5" t="s">
        <v>131</v>
      </c>
      <c r="G15" s="5" t="s">
        <v>34</v>
      </c>
      <c r="H15" s="5" t="s">
        <v>32</v>
      </c>
      <c r="I15" s="5" t="s">
        <v>33</v>
      </c>
      <c r="J15" s="5" t="s">
        <v>19</v>
      </c>
      <c r="K15" s="5" t="s">
        <v>34</v>
      </c>
      <c r="L15" s="5" t="s">
        <v>32</v>
      </c>
      <c r="M15" s="5" t="s">
        <v>33</v>
      </c>
      <c r="N15" s="5" t="s">
        <v>19</v>
      </c>
      <c r="O15" s="5" t="s">
        <v>34</v>
      </c>
      <c r="P15" s="5" t="s">
        <v>32</v>
      </c>
      <c r="Q15" s="5" t="s">
        <v>33</v>
      </c>
      <c r="R15" s="5" t="s">
        <v>19</v>
      </c>
      <c r="S15" s="5" t="s">
        <v>34</v>
      </c>
      <c r="T15" s="5" t="s">
        <v>32</v>
      </c>
      <c r="U15" s="5" t="s">
        <v>33</v>
      </c>
      <c r="V15" s="5" t="s">
        <v>19</v>
      </c>
      <c r="W15" s="5" t="s">
        <v>34</v>
      </c>
      <c r="X15" s="5" t="s">
        <v>32</v>
      </c>
      <c r="Y15" s="5" t="s">
        <v>33</v>
      </c>
      <c r="Z15" s="5" t="s">
        <v>19</v>
      </c>
      <c r="AA15" s="564"/>
      <c r="AB15" s="637"/>
    </row>
    <row r="16" spans="1:29" ht="38.25">
      <c r="A16" s="6" t="s">
        <v>20</v>
      </c>
      <c r="B16" s="6" t="s">
        <v>662</v>
      </c>
      <c r="C16" s="6"/>
      <c r="D16" s="6"/>
      <c r="E16" s="6"/>
      <c r="F16" s="6"/>
      <c r="G16" s="6"/>
      <c r="H16" s="6"/>
      <c r="I16" s="6"/>
      <c r="J16" s="6"/>
      <c r="K16" s="6"/>
      <c r="L16" s="6"/>
      <c r="M16" s="6"/>
      <c r="N16" s="6"/>
      <c r="O16" s="6"/>
      <c r="P16" s="6"/>
      <c r="Q16" s="6"/>
      <c r="R16" s="6"/>
      <c r="S16" s="6"/>
      <c r="T16" s="6"/>
      <c r="U16" s="6"/>
      <c r="V16" s="6"/>
      <c r="W16" s="6"/>
      <c r="X16" s="6"/>
      <c r="Y16" s="6"/>
      <c r="Z16" s="6"/>
      <c r="AA16" s="436"/>
      <c r="AB16" s="436"/>
    </row>
    <row r="17" spans="1:28" ht="38.25">
      <c r="A17" s="6" t="s">
        <v>36</v>
      </c>
      <c r="B17" s="6" t="s">
        <v>663</v>
      </c>
      <c r="C17" s="177">
        <v>5300</v>
      </c>
      <c r="D17" s="129">
        <v>180000</v>
      </c>
      <c r="E17" s="177">
        <v>1</v>
      </c>
      <c r="F17" s="177">
        <v>71000</v>
      </c>
      <c r="G17" s="177">
        <v>30400</v>
      </c>
      <c r="H17" s="129">
        <v>190000</v>
      </c>
      <c r="I17" s="177">
        <v>500</v>
      </c>
      <c r="J17" s="177">
        <v>72420</v>
      </c>
      <c r="K17" s="177">
        <v>64000</v>
      </c>
      <c r="L17" s="129">
        <v>200000</v>
      </c>
      <c r="M17" s="177">
        <v>1000</v>
      </c>
      <c r="N17" s="177">
        <v>738684</v>
      </c>
      <c r="O17" s="177">
        <v>100800</v>
      </c>
      <c r="P17" s="129">
        <v>210000</v>
      </c>
      <c r="Q17" s="177">
        <v>10000</v>
      </c>
      <c r="R17" s="177">
        <v>75345</v>
      </c>
      <c r="S17" s="177">
        <v>140800</v>
      </c>
      <c r="T17" s="129">
        <v>220000</v>
      </c>
      <c r="U17" s="177">
        <v>30000</v>
      </c>
      <c r="V17" s="177">
        <v>76851</v>
      </c>
      <c r="W17" s="177">
        <v>184000</v>
      </c>
      <c r="X17" s="129">
        <v>230000</v>
      </c>
      <c r="Y17" s="177">
        <v>50000</v>
      </c>
      <c r="Z17" s="177">
        <v>78388</v>
      </c>
      <c r="AA17" s="436">
        <f>C17/W17</f>
        <v>2.8804347826086957E-2</v>
      </c>
      <c r="AB17" s="436">
        <f>W17/X17</f>
        <v>0.8</v>
      </c>
    </row>
    <row r="18" spans="1:28" ht="38.25">
      <c r="A18" s="6" t="s">
        <v>38</v>
      </c>
      <c r="B18" s="6" t="s">
        <v>664</v>
      </c>
      <c r="C18" s="129">
        <v>1473100</v>
      </c>
      <c r="D18" s="129">
        <v>1475100</v>
      </c>
      <c r="E18" s="177">
        <v>50000</v>
      </c>
      <c r="F18" s="177">
        <v>52000</v>
      </c>
      <c r="G18" s="177">
        <v>1502562</v>
      </c>
      <c r="H18" s="177">
        <v>1504522</v>
      </c>
      <c r="I18" s="177">
        <v>52500</v>
      </c>
      <c r="J18" s="177">
        <v>54460</v>
      </c>
      <c r="K18" s="177">
        <v>1532613</v>
      </c>
      <c r="L18" s="177">
        <v>1534534</v>
      </c>
      <c r="M18" s="177">
        <v>55125</v>
      </c>
      <c r="N18" s="177">
        <v>57045</v>
      </c>
      <c r="O18" s="177">
        <v>1563265</v>
      </c>
      <c r="P18" s="177">
        <v>1565147</v>
      </c>
      <c r="Q18" s="177">
        <v>57881</v>
      </c>
      <c r="R18" s="177">
        <v>59763</v>
      </c>
      <c r="S18" s="177">
        <v>1594530</v>
      </c>
      <c r="T18" s="177">
        <v>1596374</v>
      </c>
      <c r="U18" s="177">
        <v>60775</v>
      </c>
      <c r="V18" s="177">
        <v>62619</v>
      </c>
      <c r="W18" s="177">
        <v>1626421</v>
      </c>
      <c r="X18" s="177">
        <v>1628228</v>
      </c>
      <c r="Y18" s="177">
        <v>63813</v>
      </c>
      <c r="Z18" s="177">
        <v>65620</v>
      </c>
      <c r="AA18" s="436">
        <f>C18/W18</f>
        <v>0.90573104995570031</v>
      </c>
      <c r="AB18" s="436">
        <f>W18/X18</f>
        <v>0.99889020456594535</v>
      </c>
    </row>
    <row r="19" spans="1:28">
      <c r="Z19" s="42" t="s">
        <v>138</v>
      </c>
      <c r="AA19" s="436">
        <f>AVERAGE(AA17:AA18)</f>
        <v>0.46726769889089365</v>
      </c>
      <c r="AB19" s="436">
        <f>AVERAGE(AB17:AB18)</f>
        <v>0.8994451022829727</v>
      </c>
    </row>
    <row r="20" spans="1:28">
      <c r="A20" s="9"/>
      <c r="B20" s="9" t="s">
        <v>40</v>
      </c>
    </row>
    <row r="22" spans="1:28" ht="31.5" customHeight="1">
      <c r="A22" s="10" t="s">
        <v>41</v>
      </c>
      <c r="B22" s="509" t="s">
        <v>42</v>
      </c>
      <c r="C22" s="509"/>
      <c r="D22" s="509"/>
      <c r="E22" s="509"/>
      <c r="F22" s="509"/>
      <c r="G22" s="509"/>
      <c r="H22" s="509"/>
      <c r="I22" s="509"/>
      <c r="J22" s="509"/>
      <c r="K22" s="509"/>
      <c r="L22" s="509"/>
      <c r="M22" s="509"/>
      <c r="N22" s="509"/>
      <c r="O22" s="509"/>
      <c r="P22" s="509"/>
      <c r="Q22" s="509"/>
      <c r="R22" s="509"/>
    </row>
    <row r="23" spans="1:28" ht="31.5" customHeight="1">
      <c r="A23" s="10" t="s">
        <v>43</v>
      </c>
      <c r="B23" s="509" t="s">
        <v>44</v>
      </c>
      <c r="C23" s="509"/>
      <c r="D23" s="509"/>
      <c r="E23" s="509"/>
      <c r="F23" s="509"/>
      <c r="G23" s="509"/>
      <c r="H23" s="509"/>
      <c r="I23" s="509"/>
      <c r="J23" s="509"/>
      <c r="K23" s="509"/>
      <c r="L23" s="509"/>
      <c r="M23" s="509"/>
      <c r="N23" s="509"/>
      <c r="O23" s="509"/>
      <c r="P23" s="509"/>
      <c r="Q23" s="509"/>
      <c r="R23" s="509"/>
    </row>
    <row r="24" spans="1:28" ht="31.5" customHeight="1">
      <c r="B24" s="509" t="s">
        <v>164</v>
      </c>
      <c r="C24" s="509"/>
      <c r="D24" s="509"/>
      <c r="E24" s="509"/>
      <c r="F24" s="509"/>
      <c r="G24" s="509"/>
      <c r="H24" s="509"/>
      <c r="I24" s="509"/>
      <c r="J24" s="509"/>
      <c r="K24" s="509"/>
      <c r="L24" s="509"/>
      <c r="M24" s="509"/>
      <c r="N24" s="509"/>
      <c r="O24" s="509"/>
      <c r="P24" s="509"/>
      <c r="Q24" s="509"/>
      <c r="R24" s="509"/>
    </row>
    <row r="25" spans="1:28" ht="31.5" customHeight="1">
      <c r="B25" s="509" t="s">
        <v>165</v>
      </c>
      <c r="C25" s="509"/>
      <c r="D25" s="509"/>
      <c r="E25" s="509"/>
      <c r="F25" s="509"/>
      <c r="G25" s="509"/>
      <c r="H25" s="509"/>
      <c r="I25" s="509"/>
      <c r="J25" s="509"/>
      <c r="K25" s="509"/>
      <c r="L25" s="509"/>
      <c r="M25" s="509"/>
      <c r="N25" s="509"/>
      <c r="O25" s="509"/>
      <c r="P25" s="509"/>
      <c r="Q25" s="509"/>
      <c r="R25" s="509"/>
    </row>
    <row r="26" spans="1:28" ht="31.5" customHeight="1">
      <c r="B26" s="509" t="s">
        <v>166</v>
      </c>
      <c r="C26" s="509"/>
      <c r="D26" s="509"/>
      <c r="E26" s="509"/>
      <c r="F26" s="509"/>
      <c r="G26" s="509"/>
      <c r="H26" s="509"/>
      <c r="I26" s="509"/>
      <c r="J26" s="509"/>
      <c r="K26" s="509"/>
      <c r="L26" s="509"/>
      <c r="M26" s="509"/>
      <c r="N26" s="509"/>
      <c r="O26" s="509"/>
      <c r="P26" s="509"/>
      <c r="Q26" s="509"/>
      <c r="R26" s="509"/>
    </row>
    <row r="27" spans="1:28" ht="31.5" customHeight="1">
      <c r="B27" s="509" t="s">
        <v>167</v>
      </c>
      <c r="C27" s="509"/>
      <c r="D27" s="509"/>
      <c r="E27" s="509"/>
      <c r="F27" s="509"/>
      <c r="G27" s="509"/>
      <c r="H27" s="509"/>
      <c r="I27" s="509"/>
      <c r="J27" s="509"/>
      <c r="K27" s="509"/>
      <c r="L27" s="509"/>
      <c r="M27" s="509"/>
      <c r="N27" s="509"/>
      <c r="O27" s="509"/>
      <c r="P27" s="509"/>
      <c r="Q27" s="509"/>
      <c r="R27" s="509"/>
    </row>
    <row r="28" spans="1:28" ht="73.5" customHeight="1">
      <c r="B28" s="509" t="s">
        <v>168</v>
      </c>
      <c r="C28" s="509"/>
      <c r="D28" s="509"/>
      <c r="E28" s="509"/>
      <c r="F28" s="509"/>
      <c r="G28" s="509"/>
      <c r="H28" s="509"/>
      <c r="I28" s="509"/>
      <c r="J28" s="509"/>
      <c r="K28" s="509"/>
      <c r="L28" s="509"/>
      <c r="M28" s="509"/>
      <c r="N28" s="509"/>
      <c r="O28" s="509"/>
      <c r="P28" s="509"/>
      <c r="Q28" s="509"/>
      <c r="R28" s="509"/>
    </row>
    <row r="29" spans="1:28" ht="39" customHeight="1">
      <c r="B29" s="509" t="s">
        <v>169</v>
      </c>
      <c r="C29" s="509"/>
      <c r="D29" s="509"/>
      <c r="E29" s="509"/>
      <c r="F29" s="509"/>
      <c r="G29" s="509"/>
      <c r="H29" s="509"/>
      <c r="I29" s="509"/>
      <c r="J29" s="509"/>
      <c r="K29" s="509"/>
      <c r="L29" s="509"/>
      <c r="M29" s="509"/>
      <c r="N29" s="509"/>
      <c r="O29" s="509"/>
      <c r="P29" s="509"/>
      <c r="Q29" s="509"/>
      <c r="R29" s="509"/>
    </row>
    <row r="30" spans="1:28">
      <c r="B30" s="11"/>
    </row>
    <row r="31" spans="1:28">
      <c r="B31" s="11"/>
    </row>
    <row r="33" spans="2:2">
      <c r="B33" s="11"/>
    </row>
  </sheetData>
  <mergeCells count="34">
    <mergeCell ref="B27:R27"/>
    <mergeCell ref="B28:R28"/>
    <mergeCell ref="B29:R29"/>
    <mergeCell ref="S14:V14"/>
    <mergeCell ref="B22:R22"/>
    <mergeCell ref="B23:R23"/>
    <mergeCell ref="B24:R24"/>
    <mergeCell ref="B25:R25"/>
    <mergeCell ref="B26:R26"/>
    <mergeCell ref="A12:AB12"/>
    <mergeCell ref="A13:A15"/>
    <mergeCell ref="B13:B15"/>
    <mergeCell ref="C13:F14"/>
    <mergeCell ref="G13:Z13"/>
    <mergeCell ref="AA13:AA15"/>
    <mergeCell ref="AB13:AB15"/>
    <mergeCell ref="G14:J14"/>
    <mergeCell ref="K14:N14"/>
    <mergeCell ref="O14:R14"/>
    <mergeCell ref="W14:Z14"/>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AC33"/>
  <sheetViews>
    <sheetView topLeftCell="F13" workbookViewId="0">
      <selection activeCell="B25" sqref="B24:R25"/>
    </sheetView>
  </sheetViews>
  <sheetFormatPr defaultRowHeight="15"/>
  <cols>
    <col min="1" max="1" width="5" style="188" customWidth="1"/>
    <col min="2" max="2" width="15.85546875" style="188" customWidth="1"/>
    <col min="3" max="6" width="7.7109375" style="188" customWidth="1"/>
    <col min="7" max="24" width="7" style="188" customWidth="1"/>
    <col min="25" max="25" width="5.5703125" style="188" customWidth="1"/>
    <col min="26" max="26" width="7" style="188" customWidth="1"/>
    <col min="27" max="16384" width="9.140625" style="188"/>
  </cols>
  <sheetData>
    <row r="1" spans="1:29" s="66" customFormat="1" ht="61.5" customHeight="1">
      <c r="A1" s="644" t="s">
        <v>0</v>
      </c>
      <c r="B1" s="644"/>
      <c r="C1" s="644"/>
      <c r="D1" s="644"/>
      <c r="E1" s="644"/>
      <c r="F1" s="586" t="s">
        <v>665</v>
      </c>
      <c r="G1" s="586"/>
      <c r="H1" s="586"/>
      <c r="I1" s="586"/>
      <c r="J1" s="586"/>
      <c r="K1" s="586"/>
      <c r="L1" s="586"/>
      <c r="M1" s="586"/>
      <c r="N1" s="586"/>
      <c r="O1" s="586"/>
      <c r="P1" s="586"/>
      <c r="Q1" s="586"/>
      <c r="R1" s="586"/>
    </row>
    <row r="2" spans="1:29" ht="31.5" customHeight="1">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9" ht="44.25" customHeight="1">
      <c r="A3" s="589" t="s">
        <v>3</v>
      </c>
      <c r="B3" s="592" t="s">
        <v>4</v>
      </c>
      <c r="C3" s="595" t="s">
        <v>5</v>
      </c>
      <c r="D3" s="596"/>
      <c r="E3" s="596"/>
      <c r="F3" s="597"/>
      <c r="G3" s="601" t="s">
        <v>6</v>
      </c>
      <c r="H3" s="601"/>
      <c r="I3" s="601"/>
      <c r="J3" s="601"/>
      <c r="K3" s="601"/>
      <c r="L3" s="601"/>
      <c r="M3" s="601"/>
      <c r="N3" s="601"/>
      <c r="O3" s="601"/>
      <c r="P3" s="601"/>
      <c r="Q3" s="601"/>
      <c r="R3" s="601"/>
      <c r="S3" s="601"/>
      <c r="T3" s="601"/>
      <c r="U3" s="601"/>
      <c r="V3" s="601"/>
      <c r="W3" s="601"/>
      <c r="X3" s="601"/>
      <c r="Y3" s="601"/>
      <c r="Z3" s="601"/>
      <c r="AA3" s="723" t="s">
        <v>119</v>
      </c>
      <c r="AB3" s="726" t="s">
        <v>120</v>
      </c>
    </row>
    <row r="4" spans="1:29" ht="44.25" customHeight="1">
      <c r="A4" s="590"/>
      <c r="B4" s="593"/>
      <c r="C4" s="598"/>
      <c r="D4" s="599"/>
      <c r="E4" s="599"/>
      <c r="F4" s="600"/>
      <c r="G4" s="601" t="s">
        <v>9</v>
      </c>
      <c r="H4" s="601"/>
      <c r="I4" s="601"/>
      <c r="J4" s="601"/>
      <c r="K4" s="601" t="s">
        <v>10</v>
      </c>
      <c r="L4" s="601"/>
      <c r="M4" s="601"/>
      <c r="N4" s="601"/>
      <c r="O4" s="601" t="s">
        <v>11</v>
      </c>
      <c r="P4" s="601"/>
      <c r="Q4" s="601"/>
      <c r="R4" s="601"/>
      <c r="S4" s="601" t="s">
        <v>12</v>
      </c>
      <c r="T4" s="601"/>
      <c r="U4" s="601"/>
      <c r="V4" s="601"/>
      <c r="W4" s="601" t="s">
        <v>13</v>
      </c>
      <c r="X4" s="601"/>
      <c r="Y4" s="601"/>
      <c r="Z4" s="601"/>
      <c r="AA4" s="724"/>
      <c r="AB4" s="726"/>
    </row>
    <row r="5" spans="1:29" ht="75.75" customHeight="1">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725"/>
      <c r="AB5" s="726"/>
    </row>
    <row r="6" spans="1:29" ht="76.5">
      <c r="A6" s="69" t="s">
        <v>20</v>
      </c>
      <c r="B6" s="69" t="s">
        <v>666</v>
      </c>
      <c r="C6" s="69">
        <v>0</v>
      </c>
      <c r="D6" s="69">
        <v>460</v>
      </c>
      <c r="E6" s="69">
        <v>0</v>
      </c>
      <c r="F6" s="69">
        <v>450</v>
      </c>
      <c r="G6" s="69">
        <v>50</v>
      </c>
      <c r="H6" s="69">
        <v>450</v>
      </c>
      <c r="I6" s="69">
        <v>30</v>
      </c>
      <c r="J6" s="69">
        <v>440</v>
      </c>
      <c r="K6" s="69">
        <v>80</v>
      </c>
      <c r="L6" s="69">
        <v>440</v>
      </c>
      <c r="M6" s="69">
        <v>60</v>
      </c>
      <c r="N6" s="69">
        <v>430</v>
      </c>
      <c r="O6" s="69">
        <v>115</v>
      </c>
      <c r="P6" s="69">
        <v>430</v>
      </c>
      <c r="Q6" s="69">
        <v>90</v>
      </c>
      <c r="R6" s="69">
        <v>420</v>
      </c>
      <c r="S6" s="69">
        <v>135</v>
      </c>
      <c r="T6" s="69">
        <v>420</v>
      </c>
      <c r="U6" s="69">
        <v>120</v>
      </c>
      <c r="V6" s="69">
        <v>410</v>
      </c>
      <c r="W6" s="69">
        <v>170</v>
      </c>
      <c r="X6" s="69">
        <v>410</v>
      </c>
      <c r="Y6" s="69">
        <v>150</v>
      </c>
      <c r="Z6" s="69">
        <v>400</v>
      </c>
      <c r="AA6" s="437">
        <f>C6/W6</f>
        <v>0</v>
      </c>
      <c r="AB6" s="437">
        <f>W6/X6</f>
        <v>0.41463414634146339</v>
      </c>
    </row>
    <row r="7" spans="1:29" ht="89.25">
      <c r="A7" s="69" t="s">
        <v>22</v>
      </c>
      <c r="B7" s="69" t="s">
        <v>667</v>
      </c>
      <c r="C7" s="69">
        <v>0</v>
      </c>
      <c r="D7" s="69">
        <v>350</v>
      </c>
      <c r="E7" s="69">
        <v>0</v>
      </c>
      <c r="F7" s="69">
        <v>350</v>
      </c>
      <c r="G7" s="69">
        <v>110</v>
      </c>
      <c r="H7" s="69">
        <v>350</v>
      </c>
      <c r="I7" s="69">
        <v>100</v>
      </c>
      <c r="J7" s="69">
        <v>350</v>
      </c>
      <c r="K7" s="69">
        <v>130</v>
      </c>
      <c r="L7" s="69">
        <v>350</v>
      </c>
      <c r="M7" s="69">
        <v>120</v>
      </c>
      <c r="N7" s="69">
        <v>350</v>
      </c>
      <c r="O7" s="69">
        <v>140</v>
      </c>
      <c r="P7" s="69">
        <v>350</v>
      </c>
      <c r="Q7" s="69">
        <v>130</v>
      </c>
      <c r="R7" s="69">
        <v>350</v>
      </c>
      <c r="S7" s="69">
        <v>150</v>
      </c>
      <c r="T7" s="69">
        <v>350</v>
      </c>
      <c r="U7" s="69">
        <v>140</v>
      </c>
      <c r="V7" s="69">
        <v>350</v>
      </c>
      <c r="W7" s="69">
        <v>160</v>
      </c>
      <c r="X7" s="69">
        <v>350</v>
      </c>
      <c r="Y7" s="69">
        <v>150</v>
      </c>
      <c r="Z7" s="69">
        <v>350</v>
      </c>
      <c r="AA7" s="437">
        <f t="shared" ref="AA7:AA10" si="0">C7/W7</f>
        <v>0</v>
      </c>
      <c r="AB7" s="437">
        <f t="shared" ref="AB7:AB10" si="1">W7/X7</f>
        <v>0.45714285714285713</v>
      </c>
    </row>
    <row r="8" spans="1:29" ht="89.25">
      <c r="A8" s="69" t="s">
        <v>61</v>
      </c>
      <c r="B8" s="69" t="s">
        <v>668</v>
      </c>
      <c r="C8" s="69">
        <v>0</v>
      </c>
      <c r="D8" s="69">
        <v>290</v>
      </c>
      <c r="E8" s="69">
        <v>0</v>
      </c>
      <c r="F8" s="69">
        <v>290</v>
      </c>
      <c r="G8" s="69">
        <v>70</v>
      </c>
      <c r="H8" s="69">
        <v>290</v>
      </c>
      <c r="I8" s="69">
        <v>60</v>
      </c>
      <c r="J8" s="69">
        <v>290</v>
      </c>
      <c r="K8" s="69">
        <v>90</v>
      </c>
      <c r="L8" s="69">
        <v>290</v>
      </c>
      <c r="M8" s="69">
        <v>80</v>
      </c>
      <c r="N8" s="69">
        <v>290</v>
      </c>
      <c r="O8" s="69">
        <v>110</v>
      </c>
      <c r="P8" s="69">
        <v>290</v>
      </c>
      <c r="Q8" s="69">
        <v>100</v>
      </c>
      <c r="R8" s="69">
        <v>290</v>
      </c>
      <c r="S8" s="69">
        <v>130</v>
      </c>
      <c r="T8" s="69">
        <v>290</v>
      </c>
      <c r="U8" s="69">
        <v>120</v>
      </c>
      <c r="V8" s="69">
        <v>290</v>
      </c>
      <c r="W8" s="69">
        <v>150</v>
      </c>
      <c r="X8" s="69">
        <v>290</v>
      </c>
      <c r="Y8" s="69">
        <v>140</v>
      </c>
      <c r="Z8" s="69">
        <v>290</v>
      </c>
      <c r="AA8" s="437">
        <f t="shared" si="0"/>
        <v>0</v>
      </c>
      <c r="AB8" s="437">
        <f t="shared" si="1"/>
        <v>0.51724137931034486</v>
      </c>
    </row>
    <row r="9" spans="1:29" ht="51">
      <c r="A9" s="69" t="s">
        <v>63</v>
      </c>
      <c r="B9" s="69" t="s">
        <v>669</v>
      </c>
      <c r="C9" s="69">
        <v>1870</v>
      </c>
      <c r="D9" s="69">
        <v>1870</v>
      </c>
      <c r="E9" s="69">
        <v>0</v>
      </c>
      <c r="F9" s="69">
        <v>300</v>
      </c>
      <c r="G9" s="69">
        <v>1870</v>
      </c>
      <c r="H9" s="69">
        <v>1870</v>
      </c>
      <c r="I9" s="69">
        <v>220</v>
      </c>
      <c r="J9" s="69">
        <v>300</v>
      </c>
      <c r="K9" s="69">
        <v>1870</v>
      </c>
      <c r="L9" s="69">
        <v>1870</v>
      </c>
      <c r="M9" s="69">
        <v>240</v>
      </c>
      <c r="N9" s="69">
        <v>300</v>
      </c>
      <c r="O9" s="69">
        <v>1870</v>
      </c>
      <c r="P9" s="69">
        <v>1870</v>
      </c>
      <c r="Q9" s="69">
        <v>260</v>
      </c>
      <c r="R9" s="69">
        <v>300</v>
      </c>
      <c r="S9" s="69">
        <v>1870</v>
      </c>
      <c r="T9" s="69">
        <v>1870</v>
      </c>
      <c r="U9" s="69">
        <v>280</v>
      </c>
      <c r="V9" s="69">
        <v>300</v>
      </c>
      <c r="W9" s="69">
        <v>1870</v>
      </c>
      <c r="X9" s="69">
        <v>1870</v>
      </c>
      <c r="Y9" s="69">
        <v>300</v>
      </c>
      <c r="Z9" s="69">
        <v>300</v>
      </c>
      <c r="AA9" s="437">
        <f t="shared" si="0"/>
        <v>1</v>
      </c>
      <c r="AB9" s="437">
        <f t="shared" si="1"/>
        <v>1</v>
      </c>
    </row>
    <row r="10" spans="1:29" ht="51">
      <c r="A10" s="69" t="s">
        <v>136</v>
      </c>
      <c r="B10" s="69" t="s">
        <v>670</v>
      </c>
      <c r="C10" s="69">
        <v>0</v>
      </c>
      <c r="D10" s="69">
        <v>222</v>
      </c>
      <c r="E10" s="69">
        <v>0</v>
      </c>
      <c r="F10" s="69">
        <v>200</v>
      </c>
      <c r="G10" s="69">
        <v>50</v>
      </c>
      <c r="H10" s="69">
        <v>222</v>
      </c>
      <c r="I10" s="69">
        <v>50</v>
      </c>
      <c r="J10" s="69">
        <v>200</v>
      </c>
      <c r="K10" s="69">
        <v>80</v>
      </c>
      <c r="L10" s="69">
        <v>222</v>
      </c>
      <c r="M10" s="69">
        <v>80</v>
      </c>
      <c r="N10" s="69">
        <v>200</v>
      </c>
      <c r="O10" s="69">
        <v>110</v>
      </c>
      <c r="P10" s="69">
        <v>222</v>
      </c>
      <c r="Q10" s="69">
        <v>110</v>
      </c>
      <c r="R10" s="69">
        <v>200</v>
      </c>
      <c r="S10" s="69">
        <v>140</v>
      </c>
      <c r="T10" s="69">
        <v>222</v>
      </c>
      <c r="U10" s="69">
        <v>140</v>
      </c>
      <c r="V10" s="69">
        <v>200</v>
      </c>
      <c r="W10" s="69">
        <v>170</v>
      </c>
      <c r="X10" s="69">
        <v>222</v>
      </c>
      <c r="Y10" s="69">
        <v>170</v>
      </c>
      <c r="Z10" s="69">
        <v>200</v>
      </c>
      <c r="AA10" s="437">
        <f t="shared" si="0"/>
        <v>0</v>
      </c>
      <c r="AB10" s="437">
        <f t="shared" si="1"/>
        <v>0.76576576576576572</v>
      </c>
    </row>
    <row r="11" spans="1:29" ht="51">
      <c r="Z11" s="439" t="s">
        <v>123</v>
      </c>
      <c r="AA11" s="438">
        <f>AVERAGE(AA6:AA10)</f>
        <v>0.2</v>
      </c>
      <c r="AB11" s="438">
        <f>AVERAGE(AB6:AB10)</f>
        <v>0.63095682971208622</v>
      </c>
    </row>
    <row r="12" spans="1:29">
      <c r="Z12" s="248"/>
      <c r="AA12" s="249"/>
      <c r="AB12" s="249"/>
      <c r="AC12" s="51"/>
    </row>
    <row r="13" spans="1:29" ht="23.25">
      <c r="A13" s="588" t="s">
        <v>25</v>
      </c>
      <c r="B13" s="588"/>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row>
    <row r="14" spans="1:29" ht="45.75" customHeight="1">
      <c r="A14" s="589" t="s">
        <v>3</v>
      </c>
      <c r="B14" s="592" t="s">
        <v>26</v>
      </c>
      <c r="C14" s="595" t="s">
        <v>27</v>
      </c>
      <c r="D14" s="596"/>
      <c r="E14" s="596"/>
      <c r="F14" s="597"/>
      <c r="G14" s="601" t="s">
        <v>28</v>
      </c>
      <c r="H14" s="601"/>
      <c r="I14" s="601"/>
      <c r="J14" s="601"/>
      <c r="K14" s="601"/>
      <c r="L14" s="601"/>
      <c r="M14" s="601"/>
      <c r="N14" s="601"/>
      <c r="O14" s="601"/>
      <c r="P14" s="601"/>
      <c r="Q14" s="601"/>
      <c r="R14" s="601"/>
      <c r="S14" s="601"/>
      <c r="T14" s="601"/>
      <c r="U14" s="601"/>
      <c r="V14" s="601"/>
      <c r="W14" s="601"/>
      <c r="X14" s="601"/>
      <c r="Y14" s="601"/>
      <c r="Z14" s="601"/>
      <c r="AA14" s="723" t="s">
        <v>124</v>
      </c>
      <c r="AB14" s="723" t="s">
        <v>125</v>
      </c>
    </row>
    <row r="15" spans="1:29" ht="45" customHeight="1">
      <c r="A15" s="590"/>
      <c r="B15" s="593"/>
      <c r="C15" s="598"/>
      <c r="D15" s="599"/>
      <c r="E15" s="599"/>
      <c r="F15" s="600"/>
      <c r="G15" s="601" t="s">
        <v>9</v>
      </c>
      <c r="H15" s="601"/>
      <c r="I15" s="601"/>
      <c r="J15" s="601"/>
      <c r="K15" s="601" t="s">
        <v>10</v>
      </c>
      <c r="L15" s="601"/>
      <c r="M15" s="601"/>
      <c r="N15" s="601"/>
      <c r="O15" s="601" t="s">
        <v>11</v>
      </c>
      <c r="P15" s="601"/>
      <c r="Q15" s="601"/>
      <c r="R15" s="601"/>
      <c r="S15" s="601" t="s">
        <v>12</v>
      </c>
      <c r="T15" s="601"/>
      <c r="U15" s="601"/>
      <c r="V15" s="601"/>
      <c r="W15" s="601" t="s">
        <v>13</v>
      </c>
      <c r="X15" s="601"/>
      <c r="Y15" s="601"/>
      <c r="Z15" s="601"/>
      <c r="AA15" s="724"/>
      <c r="AB15" s="724"/>
    </row>
    <row r="16" spans="1:29" ht="78.75" customHeight="1">
      <c r="A16" s="591"/>
      <c r="B16" s="594"/>
      <c r="C16" s="68" t="s">
        <v>31</v>
      </c>
      <c r="D16" s="68" t="s">
        <v>32</v>
      </c>
      <c r="E16" s="68" t="s">
        <v>33</v>
      </c>
      <c r="F16" s="68" t="s">
        <v>17</v>
      </c>
      <c r="G16" s="68" t="s">
        <v>34</v>
      </c>
      <c r="H16" s="68" t="s">
        <v>32</v>
      </c>
      <c r="I16" s="68" t="s">
        <v>33</v>
      </c>
      <c r="J16" s="68" t="s">
        <v>19</v>
      </c>
      <c r="K16" s="68" t="s">
        <v>34</v>
      </c>
      <c r="L16" s="68" t="s">
        <v>32</v>
      </c>
      <c r="M16" s="68" t="s">
        <v>33</v>
      </c>
      <c r="N16" s="68" t="s">
        <v>19</v>
      </c>
      <c r="O16" s="68" t="s">
        <v>34</v>
      </c>
      <c r="P16" s="68" t="s">
        <v>32</v>
      </c>
      <c r="Q16" s="68" t="s">
        <v>33</v>
      </c>
      <c r="R16" s="68" t="s">
        <v>19</v>
      </c>
      <c r="S16" s="68" t="s">
        <v>34</v>
      </c>
      <c r="T16" s="68" t="s">
        <v>32</v>
      </c>
      <c r="U16" s="68" t="s">
        <v>33</v>
      </c>
      <c r="V16" s="68" t="s">
        <v>19</v>
      </c>
      <c r="W16" s="68" t="s">
        <v>34</v>
      </c>
      <c r="X16" s="68" t="s">
        <v>32</v>
      </c>
      <c r="Y16" s="68" t="s">
        <v>33</v>
      </c>
      <c r="Z16" s="68" t="s">
        <v>19</v>
      </c>
      <c r="AA16" s="725"/>
      <c r="AB16" s="725"/>
    </row>
    <row r="17" spans="1:28" ht="51">
      <c r="A17" s="69" t="s">
        <v>20</v>
      </c>
      <c r="B17" s="69" t="s">
        <v>671</v>
      </c>
      <c r="C17" s="69"/>
      <c r="D17" s="69"/>
      <c r="E17" s="69">
        <v>100</v>
      </c>
      <c r="F17" s="69">
        <v>300</v>
      </c>
      <c r="G17" s="69"/>
      <c r="H17" s="69"/>
      <c r="I17" s="69">
        <v>100</v>
      </c>
      <c r="J17" s="69"/>
      <c r="K17" s="69"/>
      <c r="L17" s="69"/>
      <c r="M17" s="69">
        <v>100</v>
      </c>
      <c r="N17" s="69"/>
      <c r="O17" s="69"/>
      <c r="P17" s="69"/>
      <c r="Q17" s="69">
        <v>100</v>
      </c>
      <c r="R17" s="69"/>
      <c r="S17" s="69"/>
      <c r="T17" s="69"/>
      <c r="U17" s="69">
        <v>100</v>
      </c>
      <c r="V17" s="69"/>
      <c r="W17" s="69"/>
      <c r="X17" s="69"/>
      <c r="Y17" s="69">
        <v>100</v>
      </c>
      <c r="Z17" s="69"/>
      <c r="AA17" s="251"/>
      <c r="AB17" s="251"/>
    </row>
    <row r="18" spans="1:28" ht="28.5">
      <c r="A18" s="69" t="s">
        <v>36</v>
      </c>
      <c r="B18" s="69" t="s">
        <v>614</v>
      </c>
      <c r="C18" s="69"/>
      <c r="D18" s="69"/>
      <c r="E18" s="69"/>
      <c r="F18" s="69"/>
      <c r="G18" s="69"/>
      <c r="H18" s="69"/>
      <c r="I18" s="69"/>
      <c r="J18" s="69"/>
      <c r="K18" s="69"/>
      <c r="L18" s="69"/>
      <c r="M18" s="69"/>
      <c r="N18" s="69"/>
      <c r="O18" s="69"/>
      <c r="P18" s="69"/>
      <c r="Q18" s="69"/>
      <c r="R18" s="69"/>
      <c r="S18" s="69"/>
      <c r="T18" s="69"/>
      <c r="U18" s="69"/>
      <c r="V18" s="69"/>
      <c r="W18" s="69"/>
      <c r="X18" s="69"/>
      <c r="Y18" s="69"/>
      <c r="Z18" s="69"/>
      <c r="AA18" s="251"/>
      <c r="AB18" s="251"/>
    </row>
    <row r="19" spans="1:28" ht="42" customHeight="1">
      <c r="Z19" s="439" t="s">
        <v>123</v>
      </c>
      <c r="AA19" s="250"/>
      <c r="AB19" s="250"/>
    </row>
    <row r="20" spans="1:28">
      <c r="A20" s="77"/>
      <c r="B20" s="77" t="s">
        <v>40</v>
      </c>
    </row>
    <row r="22" spans="1:28" ht="31.5" customHeight="1">
      <c r="A22" s="10" t="s">
        <v>41</v>
      </c>
      <c r="B22" s="602" t="s">
        <v>42</v>
      </c>
      <c r="C22" s="602"/>
      <c r="D22" s="602"/>
      <c r="E22" s="602"/>
      <c r="F22" s="602"/>
      <c r="G22" s="602"/>
      <c r="H22" s="602"/>
      <c r="I22" s="602"/>
      <c r="J22" s="602"/>
      <c r="K22" s="602"/>
      <c r="L22" s="602"/>
      <c r="M22" s="602"/>
      <c r="N22" s="602"/>
      <c r="O22" s="602"/>
      <c r="P22" s="602"/>
      <c r="Q22" s="602"/>
      <c r="R22" s="602"/>
    </row>
    <row r="23" spans="1:28" ht="31.5" customHeight="1">
      <c r="A23" s="10" t="s">
        <v>43</v>
      </c>
      <c r="B23" s="602" t="s">
        <v>44</v>
      </c>
      <c r="C23" s="602"/>
      <c r="D23" s="602"/>
      <c r="E23" s="602"/>
      <c r="F23" s="602"/>
      <c r="G23" s="602"/>
      <c r="H23" s="602"/>
      <c r="I23" s="602"/>
      <c r="J23" s="602"/>
      <c r="K23" s="602"/>
      <c r="L23" s="602"/>
      <c r="M23" s="602"/>
      <c r="N23" s="602"/>
      <c r="O23" s="602"/>
      <c r="P23" s="602"/>
      <c r="Q23" s="602"/>
      <c r="R23" s="602"/>
    </row>
    <row r="24" spans="1:28" ht="31.5" customHeight="1">
      <c r="B24" s="602" t="s">
        <v>45</v>
      </c>
      <c r="C24" s="602"/>
      <c r="D24" s="602"/>
      <c r="E24" s="602"/>
      <c r="F24" s="602"/>
      <c r="G24" s="602"/>
      <c r="H24" s="602"/>
      <c r="I24" s="602"/>
      <c r="J24" s="602"/>
      <c r="K24" s="602"/>
      <c r="L24" s="602"/>
      <c r="M24" s="602"/>
      <c r="N24" s="602"/>
      <c r="O24" s="602"/>
      <c r="P24" s="602"/>
      <c r="Q24" s="602"/>
      <c r="R24" s="602"/>
    </row>
    <row r="25" spans="1:28" ht="31.5" customHeight="1">
      <c r="B25" s="602" t="s">
        <v>46</v>
      </c>
      <c r="C25" s="602"/>
      <c r="D25" s="602"/>
      <c r="E25" s="602"/>
      <c r="F25" s="602"/>
      <c r="G25" s="602"/>
      <c r="H25" s="602"/>
      <c r="I25" s="602"/>
      <c r="J25" s="602"/>
      <c r="K25" s="602"/>
      <c r="L25" s="602"/>
      <c r="M25" s="602"/>
      <c r="N25" s="602"/>
      <c r="O25" s="602"/>
      <c r="P25" s="602"/>
      <c r="Q25" s="602"/>
      <c r="R25" s="602"/>
    </row>
    <row r="26" spans="1:28" ht="31.5" customHeight="1">
      <c r="B26" s="602" t="s">
        <v>47</v>
      </c>
      <c r="C26" s="602"/>
      <c r="D26" s="602"/>
      <c r="E26" s="602"/>
      <c r="F26" s="602"/>
      <c r="G26" s="602"/>
      <c r="H26" s="602"/>
      <c r="I26" s="602"/>
      <c r="J26" s="602"/>
      <c r="K26" s="602"/>
      <c r="L26" s="602"/>
      <c r="M26" s="602"/>
      <c r="N26" s="602"/>
      <c r="O26" s="602"/>
      <c r="P26" s="602"/>
      <c r="Q26" s="602"/>
      <c r="R26" s="602"/>
    </row>
    <row r="27" spans="1:28" ht="31.5" customHeight="1">
      <c r="B27" s="602" t="s">
        <v>48</v>
      </c>
      <c r="C27" s="602"/>
      <c r="D27" s="602"/>
      <c r="E27" s="602"/>
      <c r="F27" s="602"/>
      <c r="G27" s="602"/>
      <c r="H27" s="602"/>
      <c r="I27" s="602"/>
      <c r="J27" s="602"/>
      <c r="K27" s="602"/>
      <c r="L27" s="602"/>
      <c r="M27" s="602"/>
      <c r="N27" s="602"/>
      <c r="O27" s="602"/>
      <c r="P27" s="602"/>
      <c r="Q27" s="602"/>
      <c r="R27" s="602"/>
    </row>
    <row r="28" spans="1:28" ht="73.5" customHeight="1">
      <c r="B28" s="602" t="s">
        <v>49</v>
      </c>
      <c r="C28" s="602"/>
      <c r="D28" s="602"/>
      <c r="E28" s="602"/>
      <c r="F28" s="602"/>
      <c r="G28" s="602"/>
      <c r="H28" s="602"/>
      <c r="I28" s="602"/>
      <c r="J28" s="602"/>
      <c r="K28" s="602"/>
      <c r="L28" s="602"/>
      <c r="M28" s="602"/>
      <c r="N28" s="602"/>
      <c r="O28" s="602"/>
      <c r="P28" s="602"/>
      <c r="Q28" s="602"/>
      <c r="R28" s="602"/>
    </row>
    <row r="29" spans="1:28" ht="39" customHeight="1">
      <c r="B29" s="602" t="s">
        <v>50</v>
      </c>
      <c r="C29" s="602"/>
      <c r="D29" s="602"/>
      <c r="E29" s="602"/>
      <c r="F29" s="602"/>
      <c r="G29" s="602"/>
      <c r="H29" s="602"/>
      <c r="I29" s="602"/>
      <c r="J29" s="602"/>
      <c r="K29" s="602"/>
      <c r="L29" s="602"/>
      <c r="M29" s="602"/>
      <c r="N29" s="602"/>
      <c r="O29" s="602"/>
      <c r="P29" s="602"/>
      <c r="Q29" s="602"/>
      <c r="R29" s="602"/>
    </row>
    <row r="30" spans="1:28">
      <c r="B30" s="78"/>
    </row>
    <row r="31" spans="1:28">
      <c r="B31" s="78"/>
    </row>
    <row r="33" spans="2:2">
      <c r="B33" s="78"/>
    </row>
  </sheetData>
  <mergeCells count="34">
    <mergeCell ref="B28:R28"/>
    <mergeCell ref="B29:R29"/>
    <mergeCell ref="B22:R22"/>
    <mergeCell ref="B23:R23"/>
    <mergeCell ref="B24:R24"/>
    <mergeCell ref="B25:R25"/>
    <mergeCell ref="B26:R26"/>
    <mergeCell ref="B27:R27"/>
    <mergeCell ref="AB14:AB16"/>
    <mergeCell ref="G15:J15"/>
    <mergeCell ref="K15:N15"/>
    <mergeCell ref="O15:R15"/>
    <mergeCell ref="S15:V15"/>
    <mergeCell ref="W15:Z15"/>
    <mergeCell ref="AA14:AA16"/>
    <mergeCell ref="A13:Z13"/>
    <mergeCell ref="A14:A16"/>
    <mergeCell ref="B14:B16"/>
    <mergeCell ref="C14:F15"/>
    <mergeCell ref="G14:Z14"/>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AK34"/>
  <sheetViews>
    <sheetView topLeftCell="V2" workbookViewId="0">
      <selection activeCell="B25" sqref="B24:R25"/>
    </sheetView>
  </sheetViews>
  <sheetFormatPr defaultRowHeight="15"/>
  <cols>
    <col min="1" max="1" width="4.140625" style="188" customWidth="1"/>
    <col min="2" max="2" width="31.42578125" style="188" customWidth="1"/>
    <col min="3" max="18" width="10.5703125" style="188" customWidth="1"/>
    <col min="19" max="19" width="4.28515625" style="188" hidden="1" customWidth="1"/>
    <col min="20" max="20" width="32.7109375" style="188" hidden="1" customWidth="1"/>
    <col min="21" max="28" width="10.5703125" style="188" customWidth="1"/>
    <col min="29" max="16384" width="9.140625" style="188"/>
  </cols>
  <sheetData>
    <row r="1" spans="1:37" ht="18.75">
      <c r="R1" s="252" t="s">
        <v>672</v>
      </c>
      <c r="AK1" s="253"/>
    </row>
    <row r="2" spans="1:37" ht="28.5" customHeight="1">
      <c r="R2" s="252" t="s">
        <v>673</v>
      </c>
      <c r="AK2" s="253"/>
    </row>
    <row r="4" spans="1:37" ht="18.75">
      <c r="A4" s="254" t="s">
        <v>674</v>
      </c>
      <c r="B4" s="254"/>
      <c r="C4" s="255"/>
      <c r="S4" s="254" t="s">
        <v>674</v>
      </c>
    </row>
    <row r="5" spans="1:37" ht="37.5" customHeight="1">
      <c r="A5" s="256" t="s">
        <v>675</v>
      </c>
      <c r="C5" s="34"/>
      <c r="S5" s="256" t="s">
        <v>676</v>
      </c>
    </row>
    <row r="6" spans="1:37" s="157" customFormat="1" ht="22.5" customHeight="1">
      <c r="A6" s="574" t="s">
        <v>3</v>
      </c>
      <c r="B6" s="557" t="s">
        <v>52</v>
      </c>
      <c r="C6" s="727" t="s">
        <v>677</v>
      </c>
      <c r="D6" s="727"/>
      <c r="E6" s="727"/>
      <c r="F6" s="727"/>
      <c r="G6" s="728" t="s">
        <v>6</v>
      </c>
      <c r="H6" s="729"/>
      <c r="I6" s="729"/>
      <c r="J6" s="729"/>
      <c r="K6" s="729"/>
      <c r="L6" s="729"/>
      <c r="M6" s="729"/>
      <c r="N6" s="729"/>
      <c r="O6" s="729"/>
      <c r="P6" s="729"/>
      <c r="Q6" s="729"/>
      <c r="R6" s="729"/>
      <c r="S6" s="574" t="s">
        <v>3</v>
      </c>
      <c r="T6" s="557" t="s">
        <v>52</v>
      </c>
      <c r="U6" s="728" t="s">
        <v>6</v>
      </c>
      <c r="V6" s="729"/>
      <c r="W6" s="729"/>
      <c r="X6" s="729"/>
      <c r="Y6" s="729"/>
      <c r="Z6" s="729"/>
      <c r="AA6" s="729"/>
      <c r="AB6" s="730"/>
      <c r="AC6" s="557" t="s">
        <v>7</v>
      </c>
      <c r="AD6" s="557" t="s">
        <v>8</v>
      </c>
    </row>
    <row r="7" spans="1:37" s="157" customFormat="1">
      <c r="A7" s="574"/>
      <c r="B7" s="558"/>
      <c r="C7" s="727"/>
      <c r="D7" s="727"/>
      <c r="E7" s="727"/>
      <c r="F7" s="727"/>
      <c r="G7" s="727" t="s">
        <v>9</v>
      </c>
      <c r="H7" s="727"/>
      <c r="I7" s="727"/>
      <c r="J7" s="727"/>
      <c r="K7" s="727" t="s">
        <v>10</v>
      </c>
      <c r="L7" s="727"/>
      <c r="M7" s="727"/>
      <c r="N7" s="727"/>
      <c r="O7" s="727" t="s">
        <v>11</v>
      </c>
      <c r="P7" s="727"/>
      <c r="Q7" s="727"/>
      <c r="R7" s="727"/>
      <c r="S7" s="574"/>
      <c r="T7" s="558"/>
      <c r="U7" s="727" t="s">
        <v>12</v>
      </c>
      <c r="V7" s="727"/>
      <c r="W7" s="727"/>
      <c r="X7" s="727"/>
      <c r="Y7" s="727" t="s">
        <v>13</v>
      </c>
      <c r="Z7" s="727"/>
      <c r="AA7" s="727"/>
      <c r="AB7" s="727"/>
      <c r="AC7" s="558"/>
      <c r="AD7" s="558"/>
    </row>
    <row r="8" spans="1:37" s="157" customFormat="1" ht="183" customHeight="1">
      <c r="A8" s="574"/>
      <c r="B8" s="559"/>
      <c r="C8" s="342" t="s">
        <v>14</v>
      </c>
      <c r="D8" s="342" t="s">
        <v>15</v>
      </c>
      <c r="E8" s="342" t="s">
        <v>18</v>
      </c>
      <c r="F8" s="342" t="s">
        <v>19</v>
      </c>
      <c r="G8" s="342" t="s">
        <v>14</v>
      </c>
      <c r="H8" s="342" t="s">
        <v>15</v>
      </c>
      <c r="I8" s="342" t="s">
        <v>18</v>
      </c>
      <c r="J8" s="342" t="s">
        <v>19</v>
      </c>
      <c r="K8" s="342" t="s">
        <v>14</v>
      </c>
      <c r="L8" s="342" t="s">
        <v>15</v>
      </c>
      <c r="M8" s="342" t="s">
        <v>18</v>
      </c>
      <c r="N8" s="342" t="s">
        <v>19</v>
      </c>
      <c r="O8" s="342" t="s">
        <v>14</v>
      </c>
      <c r="P8" s="342" t="s">
        <v>15</v>
      </c>
      <c r="Q8" s="342" t="s">
        <v>18</v>
      </c>
      <c r="R8" s="342" t="s">
        <v>19</v>
      </c>
      <c r="S8" s="574"/>
      <c r="T8" s="559"/>
      <c r="U8" s="342" t="s">
        <v>14</v>
      </c>
      <c r="V8" s="342" t="s">
        <v>15</v>
      </c>
      <c r="W8" s="342" t="s">
        <v>18</v>
      </c>
      <c r="X8" s="342" t="s">
        <v>19</v>
      </c>
      <c r="Y8" s="342" t="s">
        <v>14</v>
      </c>
      <c r="Z8" s="342" t="s">
        <v>15</v>
      </c>
      <c r="AA8" s="342" t="s">
        <v>18</v>
      </c>
      <c r="AB8" s="342" t="s">
        <v>19</v>
      </c>
      <c r="AC8" s="559"/>
      <c r="AD8" s="559"/>
    </row>
    <row r="9" spans="1:37" s="157" customFormat="1" ht="25.5">
      <c r="A9" s="440" t="s">
        <v>20</v>
      </c>
      <c r="B9" s="440" t="s">
        <v>678</v>
      </c>
      <c r="C9" s="342">
        <v>0</v>
      </c>
      <c r="D9" s="342">
        <v>18937</v>
      </c>
      <c r="E9" s="342">
        <v>0</v>
      </c>
      <c r="F9" s="342">
        <v>18937</v>
      </c>
      <c r="G9" s="441">
        <f>H9*0.4</f>
        <v>11816.688000000002</v>
      </c>
      <c r="H9" s="441">
        <f>J9+J9*0.3</f>
        <v>29541.72</v>
      </c>
      <c r="I9" s="441">
        <f>J9*0.4</f>
        <v>9089.76</v>
      </c>
      <c r="J9" s="441">
        <f>F9+F9*0.2</f>
        <v>22724.400000000001</v>
      </c>
      <c r="K9" s="441">
        <f>L9*0.6</f>
        <v>17997.7248</v>
      </c>
      <c r="L9" s="441">
        <f>N9+N9*0.2</f>
        <v>29996.207999999999</v>
      </c>
      <c r="M9" s="441">
        <f>N9*0.6</f>
        <v>14998.103999999999</v>
      </c>
      <c r="N9" s="441">
        <f>J9+J9*0.1</f>
        <v>24996.84</v>
      </c>
      <c r="O9" s="441">
        <f>P9*0.7</f>
        <v>25021.83684</v>
      </c>
      <c r="P9" s="441">
        <f>R9+R9*0.3</f>
        <v>35745.481200000002</v>
      </c>
      <c r="Q9" s="441">
        <f>R9*0.7</f>
        <v>19247.566800000001</v>
      </c>
      <c r="R9" s="441">
        <f>N9+N9*0.1</f>
        <v>27496.524000000001</v>
      </c>
      <c r="S9" s="440" t="s">
        <v>20</v>
      </c>
      <c r="T9" s="440" t="s">
        <v>678</v>
      </c>
      <c r="U9" s="441">
        <f>V9*0.8</f>
        <v>27716.496192000006</v>
      </c>
      <c r="V9" s="441">
        <f>X9+X9*0.2</f>
        <v>34645.620240000004</v>
      </c>
      <c r="W9" s="441">
        <f>X9*0.8</f>
        <v>23097.080160000001</v>
      </c>
      <c r="X9" s="441">
        <f>R9+R9*0.05</f>
        <v>28871.350200000001</v>
      </c>
      <c r="Y9" s="441">
        <f>Z9*0.9</f>
        <v>32740.111126800002</v>
      </c>
      <c r="Z9" s="441">
        <f>AB9+AB9*0.2</f>
        <v>36377.901252000003</v>
      </c>
      <c r="AA9" s="441">
        <f>AB9*0.9</f>
        <v>27283.425939000001</v>
      </c>
      <c r="AB9" s="441">
        <f>X9+X9*0.05</f>
        <v>30314.917710000002</v>
      </c>
      <c r="AC9" s="435">
        <f>C9/Y9</f>
        <v>0</v>
      </c>
      <c r="AD9" s="435">
        <f>Y9/Z9</f>
        <v>0.9</v>
      </c>
    </row>
    <row r="10" spans="1:37" s="157" customFormat="1" ht="25.5">
      <c r="A10" s="440" t="s">
        <v>22</v>
      </c>
      <c r="B10" s="440" t="s">
        <v>679</v>
      </c>
      <c r="C10" s="342">
        <v>0</v>
      </c>
      <c r="D10" s="342">
        <v>391</v>
      </c>
      <c r="E10" s="342">
        <v>0</v>
      </c>
      <c r="F10" s="342">
        <v>205</v>
      </c>
      <c r="G10" s="441">
        <f>H10*0.4</f>
        <v>127.92000000000002</v>
      </c>
      <c r="H10" s="441">
        <f>J10+J10*0.3</f>
        <v>319.8</v>
      </c>
      <c r="I10" s="441">
        <f>J10*0.4</f>
        <v>98.4</v>
      </c>
      <c r="J10" s="342">
        <f>F10+F10*0.2</f>
        <v>246</v>
      </c>
      <c r="K10" s="441">
        <f>L10*0.6</f>
        <v>230.25599999999997</v>
      </c>
      <c r="L10" s="441">
        <f>N10+N10*0.3</f>
        <v>383.76</v>
      </c>
      <c r="M10" s="441">
        <f>N10*0.6</f>
        <v>177.11999999999998</v>
      </c>
      <c r="N10" s="441">
        <f>J10+J10*0.2</f>
        <v>295.2</v>
      </c>
      <c r="O10" s="441">
        <f>P10*0.7</f>
        <v>322.35839999999996</v>
      </c>
      <c r="P10" s="441">
        <f>R10+R10*0.3</f>
        <v>460.512</v>
      </c>
      <c r="Q10" s="441">
        <f>R10*0.7</f>
        <v>247.96799999999999</v>
      </c>
      <c r="R10" s="441">
        <f>N10+N10*0.2</f>
        <v>354.24</v>
      </c>
      <c r="S10" s="440" t="s">
        <v>22</v>
      </c>
      <c r="T10" s="440" t="s">
        <v>679</v>
      </c>
      <c r="U10" s="441">
        <f>V10*0.8</f>
        <v>423.67104</v>
      </c>
      <c r="V10" s="441">
        <f>X10+X10*0.3</f>
        <v>529.58879999999999</v>
      </c>
      <c r="W10" s="441">
        <f>X10*0.8</f>
        <v>325.90080000000006</v>
      </c>
      <c r="X10" s="441">
        <f>R10+R10*0.15</f>
        <v>407.37600000000003</v>
      </c>
      <c r="Y10" s="441">
        <f>Z10*0.9</f>
        <v>524.292912</v>
      </c>
      <c r="Z10" s="441">
        <f>AB10+AB10*0.3</f>
        <v>582.54768000000001</v>
      </c>
      <c r="AA10" s="441">
        <f>AB10*0.9</f>
        <v>403.30224000000004</v>
      </c>
      <c r="AB10" s="441">
        <f>X10+X10*0.1</f>
        <v>448.11360000000002</v>
      </c>
      <c r="AC10" s="435">
        <f t="shared" ref="AC10:AC11" si="0">C10/Y10</f>
        <v>0</v>
      </c>
      <c r="AD10" s="435">
        <f t="shared" ref="AD10:AD11" si="1">Y10/Z10</f>
        <v>0.9</v>
      </c>
    </row>
    <row r="11" spans="1:37" s="157" customFormat="1" ht="25.5">
      <c r="A11" s="440" t="s">
        <v>61</v>
      </c>
      <c r="B11" s="440" t="s">
        <v>680</v>
      </c>
      <c r="C11" s="342">
        <v>0</v>
      </c>
      <c r="D11" s="342">
        <f>182*3+182*7</f>
        <v>1820</v>
      </c>
      <c r="E11" s="342">
        <v>0</v>
      </c>
      <c r="F11" s="342">
        <f>D11</f>
        <v>1820</v>
      </c>
      <c r="G11" s="441">
        <f>I11</f>
        <v>1310.3999999999999</v>
      </c>
      <c r="H11" s="342">
        <f>J11</f>
        <v>2184</v>
      </c>
      <c r="I11" s="441">
        <f>J11*0.6</f>
        <v>1310.3999999999999</v>
      </c>
      <c r="J11" s="342">
        <f>F11+F11*0.2</f>
        <v>2184</v>
      </c>
      <c r="K11" s="441">
        <f>M11</f>
        <v>1834.56</v>
      </c>
      <c r="L11" s="441">
        <f>N11</f>
        <v>2620.8000000000002</v>
      </c>
      <c r="M11" s="441">
        <f>N11*0.7</f>
        <v>1834.56</v>
      </c>
      <c r="N11" s="441">
        <f>J11+J11*0.2</f>
        <v>2620.8000000000002</v>
      </c>
      <c r="O11" s="441">
        <f>Q11</f>
        <v>2411.136</v>
      </c>
      <c r="P11" s="441">
        <f>R11</f>
        <v>3013.92</v>
      </c>
      <c r="Q11" s="441">
        <f>R11*0.8</f>
        <v>2411.136</v>
      </c>
      <c r="R11" s="441">
        <f>N11+N11*0.15</f>
        <v>3013.92</v>
      </c>
      <c r="S11" s="440" t="s">
        <v>61</v>
      </c>
      <c r="T11" s="440" t="s">
        <v>680</v>
      </c>
      <c r="U11" s="441">
        <f>W11</f>
        <v>2946.1068</v>
      </c>
      <c r="V11" s="441">
        <f>X11</f>
        <v>3466.0080000000003</v>
      </c>
      <c r="W11" s="441">
        <f>X11*0.85</f>
        <v>2946.1068</v>
      </c>
      <c r="X11" s="441">
        <f>R11+R11*0.15</f>
        <v>3466.0080000000003</v>
      </c>
      <c r="Y11" s="441">
        <f>AA11</f>
        <v>3431.3479200000006</v>
      </c>
      <c r="Z11" s="441">
        <f>AB11</f>
        <v>3812.6088000000004</v>
      </c>
      <c r="AA11" s="441">
        <f>AB11*0.9</f>
        <v>3431.3479200000006</v>
      </c>
      <c r="AB11" s="441">
        <f>X11+X11*0.1</f>
        <v>3812.6088000000004</v>
      </c>
      <c r="AC11" s="435">
        <f t="shared" si="0"/>
        <v>0</v>
      </c>
      <c r="AD11" s="435">
        <f t="shared" si="1"/>
        <v>0.9</v>
      </c>
    </row>
    <row r="12" spans="1:37">
      <c r="AB12" s="54" t="s">
        <v>138</v>
      </c>
      <c r="AC12" s="413">
        <f>AVERAGE(AC9:AC11)</f>
        <v>0</v>
      </c>
      <c r="AD12" s="413">
        <f>AVERAGE(AD9:AD11)</f>
        <v>0.9</v>
      </c>
    </row>
    <row r="14" spans="1:37" ht="28.5" customHeight="1">
      <c r="A14" s="256" t="s">
        <v>25</v>
      </c>
      <c r="S14" s="256" t="s">
        <v>681</v>
      </c>
    </row>
    <row r="15" spans="1:37" s="135" customFormat="1" ht="28.5" customHeight="1">
      <c r="A15" s="731" t="s">
        <v>3</v>
      </c>
      <c r="B15" s="557" t="s">
        <v>52</v>
      </c>
      <c r="C15" s="574" t="s">
        <v>677</v>
      </c>
      <c r="D15" s="574"/>
      <c r="E15" s="574"/>
      <c r="F15" s="574"/>
      <c r="G15" s="728" t="s">
        <v>6</v>
      </c>
      <c r="H15" s="729"/>
      <c r="I15" s="729"/>
      <c r="J15" s="729"/>
      <c r="K15" s="729"/>
      <c r="L15" s="729"/>
      <c r="M15" s="729"/>
      <c r="N15" s="729"/>
      <c r="O15" s="729"/>
      <c r="P15" s="729"/>
      <c r="Q15" s="729"/>
      <c r="R15" s="729"/>
      <c r="S15" s="574" t="s">
        <v>3</v>
      </c>
      <c r="T15" s="557" t="s">
        <v>52</v>
      </c>
      <c r="U15" s="728" t="s">
        <v>6</v>
      </c>
      <c r="V15" s="729"/>
      <c r="W15" s="729"/>
      <c r="X15" s="729"/>
      <c r="Y15" s="729"/>
      <c r="Z15" s="729"/>
      <c r="AA15" s="729"/>
      <c r="AB15" s="730"/>
      <c r="AC15" s="557" t="s">
        <v>29</v>
      </c>
      <c r="AD15" s="732" t="s">
        <v>30</v>
      </c>
    </row>
    <row r="16" spans="1:37" s="135" customFormat="1" ht="28.5" customHeight="1">
      <c r="A16" s="731"/>
      <c r="B16" s="558"/>
      <c r="C16" s="574"/>
      <c r="D16" s="574"/>
      <c r="E16" s="574"/>
      <c r="F16" s="574"/>
      <c r="G16" s="574" t="s">
        <v>9</v>
      </c>
      <c r="H16" s="574"/>
      <c r="I16" s="574"/>
      <c r="J16" s="574"/>
      <c r="K16" s="574" t="s">
        <v>10</v>
      </c>
      <c r="L16" s="574"/>
      <c r="M16" s="574"/>
      <c r="N16" s="574"/>
      <c r="O16" s="574" t="s">
        <v>11</v>
      </c>
      <c r="P16" s="574"/>
      <c r="Q16" s="574"/>
      <c r="R16" s="574"/>
      <c r="S16" s="574"/>
      <c r="T16" s="558"/>
      <c r="U16" s="574" t="s">
        <v>12</v>
      </c>
      <c r="V16" s="574"/>
      <c r="W16" s="574"/>
      <c r="X16" s="574"/>
      <c r="Y16" s="574" t="s">
        <v>13</v>
      </c>
      <c r="Z16" s="574"/>
      <c r="AA16" s="574"/>
      <c r="AB16" s="574"/>
      <c r="AC16" s="558"/>
      <c r="AD16" s="733"/>
      <c r="AH16" s="87"/>
    </row>
    <row r="17" spans="1:30" s="135" customFormat="1" ht="194.25" customHeight="1">
      <c r="A17" s="731"/>
      <c r="B17" s="559"/>
      <c r="C17" s="342" t="s">
        <v>34</v>
      </c>
      <c r="D17" s="342" t="s">
        <v>682</v>
      </c>
      <c r="E17" s="342" t="s">
        <v>33</v>
      </c>
      <c r="F17" s="342" t="s">
        <v>19</v>
      </c>
      <c r="G17" s="342" t="s">
        <v>34</v>
      </c>
      <c r="H17" s="342" t="s">
        <v>682</v>
      </c>
      <c r="I17" s="342" t="s">
        <v>33</v>
      </c>
      <c r="J17" s="342" t="s">
        <v>19</v>
      </c>
      <c r="K17" s="342" t="s">
        <v>34</v>
      </c>
      <c r="L17" s="342" t="s">
        <v>682</v>
      </c>
      <c r="M17" s="342" t="s">
        <v>33</v>
      </c>
      <c r="N17" s="342" t="s">
        <v>19</v>
      </c>
      <c r="O17" s="342" t="s">
        <v>34</v>
      </c>
      <c r="P17" s="342" t="s">
        <v>682</v>
      </c>
      <c r="Q17" s="342" t="s">
        <v>33</v>
      </c>
      <c r="R17" s="342" t="s">
        <v>19</v>
      </c>
      <c r="S17" s="574"/>
      <c r="T17" s="559"/>
      <c r="U17" s="342" t="s">
        <v>34</v>
      </c>
      <c r="V17" s="342" t="s">
        <v>682</v>
      </c>
      <c r="W17" s="342" t="s">
        <v>33</v>
      </c>
      <c r="X17" s="342" t="s">
        <v>19</v>
      </c>
      <c r="Y17" s="342" t="s">
        <v>34</v>
      </c>
      <c r="Z17" s="342" t="s">
        <v>682</v>
      </c>
      <c r="AA17" s="342" t="s">
        <v>33</v>
      </c>
      <c r="AB17" s="342" t="s">
        <v>19</v>
      </c>
      <c r="AC17" s="559"/>
      <c r="AD17" s="734"/>
    </row>
    <row r="18" spans="1:30" ht="28.5" customHeight="1">
      <c r="A18" s="257" t="s">
        <v>20</v>
      </c>
      <c r="B18" s="258" t="s">
        <v>683</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60"/>
      <c r="AC18" s="319"/>
      <c r="AD18" s="319"/>
    </row>
    <row r="19" spans="1:30" ht="28.5" customHeight="1">
      <c r="A19" s="257" t="s">
        <v>36</v>
      </c>
      <c r="B19" s="442" t="s">
        <v>684</v>
      </c>
      <c r="C19" s="342">
        <v>0</v>
      </c>
      <c r="D19" s="342">
        <v>10554</v>
      </c>
      <c r="E19" s="342">
        <v>0</v>
      </c>
      <c r="F19" s="342">
        <v>1680</v>
      </c>
      <c r="G19" s="441">
        <f>H19*0.8</f>
        <v>8865.36</v>
      </c>
      <c r="H19" s="441">
        <f>D19+D19*0.05</f>
        <v>11081.7</v>
      </c>
      <c r="I19" s="441">
        <v>1680</v>
      </c>
      <c r="J19" s="441">
        <v>1680</v>
      </c>
      <c r="K19" s="441">
        <f>L19*0.85</f>
        <v>10361.389500000001</v>
      </c>
      <c r="L19" s="441">
        <f>H19+H19*0.1</f>
        <v>12189.87</v>
      </c>
      <c r="M19" s="441">
        <f t="shared" ref="M19:N23" si="2">I19</f>
        <v>1680</v>
      </c>
      <c r="N19" s="441">
        <f t="shared" si="2"/>
        <v>1680</v>
      </c>
      <c r="O19" s="441">
        <f>P19*0.9</f>
        <v>12067.971300000001</v>
      </c>
      <c r="P19" s="441">
        <f>L19+L19*0.1</f>
        <v>13408.857</v>
      </c>
      <c r="Q19" s="441">
        <v>1680</v>
      </c>
      <c r="R19" s="441">
        <v>1680</v>
      </c>
      <c r="S19" s="442" t="s">
        <v>36</v>
      </c>
      <c r="T19" s="442" t="s">
        <v>684</v>
      </c>
      <c r="U19" s="441">
        <f>V19</f>
        <v>14749.742700000001</v>
      </c>
      <c r="V19" s="441">
        <f>P19+P19*0.1</f>
        <v>14749.742700000001</v>
      </c>
      <c r="W19" s="441">
        <v>1680</v>
      </c>
      <c r="X19" s="441">
        <v>1680</v>
      </c>
      <c r="Y19" s="441">
        <f>Z19</f>
        <v>15487.229835</v>
      </c>
      <c r="Z19" s="441">
        <f>V19+V19*0.05</f>
        <v>15487.229835</v>
      </c>
      <c r="AA19" s="441">
        <v>1680</v>
      </c>
      <c r="AB19" s="441">
        <v>1680</v>
      </c>
      <c r="AC19" s="435">
        <f>C19/Y19</f>
        <v>0</v>
      </c>
      <c r="AD19" s="435">
        <f>Y19/Z19</f>
        <v>1</v>
      </c>
    </row>
    <row r="20" spans="1:30" ht="28.5" customHeight="1">
      <c r="A20" s="257" t="s">
        <v>38</v>
      </c>
      <c r="B20" s="443" t="s">
        <v>685</v>
      </c>
      <c r="C20" s="342">
        <v>0</v>
      </c>
      <c r="D20" s="342">
        <v>32559</v>
      </c>
      <c r="E20" s="342">
        <v>0</v>
      </c>
      <c r="F20" s="342">
        <v>1680</v>
      </c>
      <c r="G20" s="441">
        <f>H20*0.9</f>
        <v>30768.254999999997</v>
      </c>
      <c r="H20" s="441">
        <f>D20+D20*0.05</f>
        <v>34186.949999999997</v>
      </c>
      <c r="I20" s="441">
        <v>1680</v>
      </c>
      <c r="J20" s="441">
        <v>1680</v>
      </c>
      <c r="K20" s="441">
        <f>L20*0.9</f>
        <v>31075.937549999999</v>
      </c>
      <c r="L20" s="441">
        <f>H20+H20*0.01</f>
        <v>34528.819499999998</v>
      </c>
      <c r="M20" s="441">
        <f t="shared" si="2"/>
        <v>1680</v>
      </c>
      <c r="N20" s="441">
        <f t="shared" si="2"/>
        <v>1680</v>
      </c>
      <c r="O20" s="441">
        <f>P20*0.9</f>
        <v>33872.771929499999</v>
      </c>
      <c r="P20" s="441">
        <f>L20+L20*0.09</f>
        <v>37636.413254999999</v>
      </c>
      <c r="Q20" s="441">
        <v>1680</v>
      </c>
      <c r="R20" s="441">
        <v>1680</v>
      </c>
      <c r="S20" s="442" t="s">
        <v>38</v>
      </c>
      <c r="T20" s="443" t="s">
        <v>685</v>
      </c>
      <c r="U20" s="441">
        <f>V20</f>
        <v>38012.777387549999</v>
      </c>
      <c r="V20" s="441">
        <f>P20+P20*0.01</f>
        <v>38012.777387549999</v>
      </c>
      <c r="W20" s="441">
        <v>1680</v>
      </c>
      <c r="X20" s="441">
        <v>1680</v>
      </c>
      <c r="Y20" s="441">
        <f>Z20</f>
        <v>37252.521839798996</v>
      </c>
      <c r="Z20" s="441">
        <f>V20-V20*0.02</f>
        <v>37252.521839798996</v>
      </c>
      <c r="AA20" s="441">
        <v>1680</v>
      </c>
      <c r="AB20" s="441">
        <v>1680</v>
      </c>
      <c r="AC20" s="435">
        <f t="shared" ref="AC20:AC23" si="3">C20/Y20</f>
        <v>0</v>
      </c>
      <c r="AD20" s="435">
        <f t="shared" ref="AD20:AD23" si="4">Y20/Z20</f>
        <v>1</v>
      </c>
    </row>
    <row r="21" spans="1:30" ht="28.5" customHeight="1">
      <c r="A21" s="257" t="s">
        <v>73</v>
      </c>
      <c r="B21" s="443" t="s">
        <v>686</v>
      </c>
      <c r="C21" s="342">
        <v>0</v>
      </c>
      <c r="D21" s="342">
        <v>457946</v>
      </c>
      <c r="E21" s="342">
        <v>0</v>
      </c>
      <c r="F21" s="342">
        <v>300</v>
      </c>
      <c r="G21" s="441">
        <f>H21*0.5</f>
        <v>240421.65</v>
      </c>
      <c r="H21" s="441">
        <f>D21+D21*0.05</f>
        <v>480843.3</v>
      </c>
      <c r="I21" s="441">
        <v>300</v>
      </c>
      <c r="J21" s="441">
        <v>300</v>
      </c>
      <c r="K21" s="441">
        <f>L21*0.7</f>
        <v>319760.79449999996</v>
      </c>
      <c r="L21" s="441">
        <f>H21-H21*0.05</f>
        <v>456801.13500000001</v>
      </c>
      <c r="M21" s="441">
        <f t="shared" si="2"/>
        <v>300</v>
      </c>
      <c r="N21" s="441">
        <f t="shared" si="2"/>
        <v>300</v>
      </c>
      <c r="O21" s="441">
        <f>P21*0.8</f>
        <v>420257.0442</v>
      </c>
      <c r="P21" s="441">
        <f>L21+L21*0.15</f>
        <v>525321.30524999998</v>
      </c>
      <c r="Q21" s="441">
        <v>300</v>
      </c>
      <c r="R21" s="441">
        <v>300</v>
      </c>
      <c r="S21" s="442" t="s">
        <v>73</v>
      </c>
      <c r="T21" s="443" t="s">
        <v>686</v>
      </c>
      <c r="U21" s="441">
        <f>V21*0.9</f>
        <v>458605.49948324997</v>
      </c>
      <c r="V21" s="441">
        <f>P21-P21*0.03</f>
        <v>509561.66609249997</v>
      </c>
      <c r="W21" s="441">
        <v>300</v>
      </c>
      <c r="X21" s="441">
        <v>300</v>
      </c>
      <c r="Y21" s="441">
        <f>Z21</f>
        <v>510326.0085916387</v>
      </c>
      <c r="Z21" s="441">
        <f>V21+V21*0.0015</f>
        <v>510326.0085916387</v>
      </c>
      <c r="AA21" s="441">
        <v>300</v>
      </c>
      <c r="AB21" s="441">
        <v>300</v>
      </c>
      <c r="AC21" s="435">
        <f t="shared" si="3"/>
        <v>0</v>
      </c>
      <c r="AD21" s="435">
        <f t="shared" si="4"/>
        <v>1</v>
      </c>
    </row>
    <row r="22" spans="1:30" ht="56.25" customHeight="1">
      <c r="A22" s="257" t="s">
        <v>75</v>
      </c>
      <c r="B22" s="443" t="s">
        <v>687</v>
      </c>
      <c r="C22" s="342">
        <v>0</v>
      </c>
      <c r="D22" s="342">
        <v>2268</v>
      </c>
      <c r="E22" s="342">
        <v>0</v>
      </c>
      <c r="F22" s="342">
        <v>250</v>
      </c>
      <c r="G22" s="441">
        <f>H22*0.6</f>
        <v>1496.88</v>
      </c>
      <c r="H22" s="441">
        <f>D22+D22*0.1</f>
        <v>2494.8000000000002</v>
      </c>
      <c r="I22" s="441">
        <v>250</v>
      </c>
      <c r="J22" s="441">
        <v>250</v>
      </c>
      <c r="K22" s="441">
        <f>L22*0.8</f>
        <v>2015.7984000000001</v>
      </c>
      <c r="L22" s="441">
        <f>H22+H22*0.01</f>
        <v>2519.748</v>
      </c>
      <c r="M22" s="441">
        <f t="shared" si="2"/>
        <v>250</v>
      </c>
      <c r="N22" s="441">
        <f t="shared" si="2"/>
        <v>250</v>
      </c>
      <c r="O22" s="441">
        <f>P22*0.9</f>
        <v>2313.1286640000003</v>
      </c>
      <c r="P22" s="441">
        <f>L22+L22*0.02</f>
        <v>2570.1429600000001</v>
      </c>
      <c r="Q22" s="441">
        <v>250</v>
      </c>
      <c r="R22" s="441">
        <v>250</v>
      </c>
      <c r="S22" s="442" t="s">
        <v>75</v>
      </c>
      <c r="T22" s="443" t="s">
        <v>687</v>
      </c>
      <c r="U22" s="441">
        <f>V22</f>
        <v>2595.8443896000003</v>
      </c>
      <c r="V22" s="441">
        <f>P22+P22*0.01</f>
        <v>2595.8443896000003</v>
      </c>
      <c r="W22" s="441">
        <v>250</v>
      </c>
      <c r="X22" s="441">
        <v>250</v>
      </c>
      <c r="Y22" s="441">
        <f>Z22</f>
        <v>2601.0360783792003</v>
      </c>
      <c r="Z22" s="441">
        <f>V22+V22*0.002</f>
        <v>2601.0360783792003</v>
      </c>
      <c r="AA22" s="441">
        <v>250</v>
      </c>
      <c r="AB22" s="441">
        <v>250</v>
      </c>
      <c r="AC22" s="435">
        <f t="shared" si="3"/>
        <v>0</v>
      </c>
      <c r="AD22" s="435">
        <f t="shared" si="4"/>
        <v>1</v>
      </c>
    </row>
    <row r="23" spans="1:30" ht="43.5" customHeight="1">
      <c r="A23" s="257" t="s">
        <v>78</v>
      </c>
      <c r="B23" s="443" t="s">
        <v>688</v>
      </c>
      <c r="C23" s="342">
        <v>0</v>
      </c>
      <c r="D23" s="342">
        <v>503</v>
      </c>
      <c r="E23" s="342">
        <v>0</v>
      </c>
      <c r="F23" s="342">
        <v>100</v>
      </c>
      <c r="G23" s="441">
        <f>H23*0.7</f>
        <v>387.30999999999995</v>
      </c>
      <c r="H23" s="441">
        <f>D23+D23*0.1</f>
        <v>553.29999999999995</v>
      </c>
      <c r="I23" s="441">
        <v>100</v>
      </c>
      <c r="J23" s="441">
        <v>100</v>
      </c>
      <c r="K23" s="441">
        <f>L23*0.8</f>
        <v>486.904</v>
      </c>
      <c r="L23" s="441">
        <f>H23+H23*0.1</f>
        <v>608.63</v>
      </c>
      <c r="M23" s="441">
        <f t="shared" si="2"/>
        <v>100</v>
      </c>
      <c r="N23" s="441">
        <f t="shared" si="2"/>
        <v>100</v>
      </c>
      <c r="O23" s="441">
        <f>P23*0.8</f>
        <v>496.64208000000002</v>
      </c>
      <c r="P23" s="441">
        <f>L23+L23*0.02</f>
        <v>620.80259999999998</v>
      </c>
      <c r="Q23" s="441">
        <v>100</v>
      </c>
      <c r="R23" s="441">
        <v>100</v>
      </c>
      <c r="S23" s="442" t="s">
        <v>78</v>
      </c>
      <c r="T23" s="443" t="s">
        <v>688</v>
      </c>
      <c r="U23" s="441">
        <f>V23</f>
        <v>633.21865200000002</v>
      </c>
      <c r="V23" s="441">
        <f>P23+P23*0.02</f>
        <v>633.21865200000002</v>
      </c>
      <c r="W23" s="441">
        <v>100</v>
      </c>
      <c r="X23" s="441">
        <v>100</v>
      </c>
      <c r="Y23" s="441">
        <f>Z23</f>
        <v>638.91761986799997</v>
      </c>
      <c r="Z23" s="441">
        <f>V23+V23*0.009</f>
        <v>638.91761986799997</v>
      </c>
      <c r="AA23" s="441">
        <v>100</v>
      </c>
      <c r="AB23" s="441">
        <v>100</v>
      </c>
      <c r="AC23" s="435">
        <f t="shared" si="3"/>
        <v>0</v>
      </c>
      <c r="AD23" s="435">
        <f t="shared" si="4"/>
        <v>1</v>
      </c>
    </row>
    <row r="24" spans="1:30">
      <c r="AB24" s="54" t="s">
        <v>138</v>
      </c>
      <c r="AC24" s="435">
        <f>AVERAGE(AC19:AC23)</f>
        <v>0</v>
      </c>
      <c r="AD24" s="435">
        <f>AVERAGE(AD19:AD23)</f>
        <v>1</v>
      </c>
    </row>
    <row r="25" spans="1:30" ht="15.75">
      <c r="A25" s="261" t="s">
        <v>689</v>
      </c>
    </row>
    <row r="26" spans="1:30" ht="9" customHeight="1">
      <c r="A26" s="261"/>
    </row>
    <row r="27" spans="1:30" ht="15.75">
      <c r="A27" s="261" t="s">
        <v>690</v>
      </c>
    </row>
    <row r="28" spans="1:30" ht="15.75">
      <c r="A28" s="261" t="s">
        <v>691</v>
      </c>
    </row>
    <row r="29" spans="1:30" ht="15.75">
      <c r="A29" s="261" t="s">
        <v>692</v>
      </c>
      <c r="E29" s="261" t="s">
        <v>693</v>
      </c>
    </row>
    <row r="30" spans="1:30" ht="9.75" customHeight="1">
      <c r="A30" s="261"/>
    </row>
    <row r="31" spans="1:30" ht="15.75">
      <c r="A31" s="261" t="s">
        <v>694</v>
      </c>
    </row>
    <row r="32" spans="1:30" ht="15.75">
      <c r="A32" s="261" t="s">
        <v>695</v>
      </c>
    </row>
    <row r="34" spans="1:1" ht="15.75">
      <c r="A34" s="261" t="s">
        <v>696</v>
      </c>
    </row>
  </sheetData>
  <mergeCells count="28">
    <mergeCell ref="U15:AB15"/>
    <mergeCell ref="AC15:AC17"/>
    <mergeCell ref="AD15:AD17"/>
    <mergeCell ref="G16:J16"/>
    <mergeCell ref="K16:N16"/>
    <mergeCell ref="O16:R16"/>
    <mergeCell ref="U16:X16"/>
    <mergeCell ref="Y16:AB16"/>
    <mergeCell ref="T15:T17"/>
    <mergeCell ref="A15:A17"/>
    <mergeCell ref="B15:B17"/>
    <mergeCell ref="C15:F16"/>
    <mergeCell ref="G15:R15"/>
    <mergeCell ref="S15:S17"/>
    <mergeCell ref="U6:AB6"/>
    <mergeCell ref="AC6:AC8"/>
    <mergeCell ref="AD6:AD8"/>
    <mergeCell ref="G7:J7"/>
    <mergeCell ref="K7:N7"/>
    <mergeCell ref="O7:R7"/>
    <mergeCell ref="U7:X7"/>
    <mergeCell ref="Y7:AB7"/>
    <mergeCell ref="T6:T8"/>
    <mergeCell ref="A6:A8"/>
    <mergeCell ref="B6:B8"/>
    <mergeCell ref="C6:F7"/>
    <mergeCell ref="G6:R6"/>
    <mergeCell ref="S6:S8"/>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1:AB39"/>
  <sheetViews>
    <sheetView topLeftCell="L13" workbookViewId="0">
      <selection activeCell="B25" sqref="B24:R25"/>
    </sheetView>
  </sheetViews>
  <sheetFormatPr defaultRowHeight="15"/>
  <cols>
    <col min="1" max="1" width="5" style="188" customWidth="1"/>
    <col min="2" max="2" width="19.85546875" style="188" customWidth="1"/>
    <col min="3" max="6" width="7.7109375" style="188" customWidth="1"/>
    <col min="7" max="7" width="9" style="188" customWidth="1"/>
    <col min="8" max="8" width="9.28515625" style="188" customWidth="1"/>
    <col min="9" max="10" width="7" style="188" customWidth="1"/>
    <col min="11" max="11" width="9.28515625" style="188" customWidth="1"/>
    <col min="12" max="12" width="9.140625" style="188"/>
    <col min="13" max="13" width="7.85546875" style="188" customWidth="1"/>
    <col min="14" max="14" width="8.28515625" style="188" customWidth="1"/>
    <col min="15" max="15" width="8.7109375" style="188" customWidth="1"/>
    <col min="16" max="16" width="8.28515625" style="188" customWidth="1"/>
    <col min="17" max="18" width="7" style="188" customWidth="1"/>
    <col min="19" max="19" width="9.140625" style="188"/>
    <col min="20" max="20" width="8.28515625" style="188" customWidth="1"/>
    <col min="21" max="22" width="7.7109375" style="188" customWidth="1"/>
    <col min="23" max="24" width="8.85546875" style="188" customWidth="1"/>
    <col min="25" max="25" width="7.85546875" style="188" customWidth="1"/>
    <col min="26" max="26" width="7" style="188" customWidth="1"/>
    <col min="27" max="256" width="9.140625" style="188"/>
    <col min="257" max="257" width="5" style="188" customWidth="1"/>
    <col min="258" max="258" width="19.85546875" style="188" customWidth="1"/>
    <col min="259" max="262" width="7.7109375" style="188" customWidth="1"/>
    <col min="263" max="263" width="9" style="188" customWidth="1"/>
    <col min="264" max="264" width="9.28515625" style="188" customWidth="1"/>
    <col min="265" max="266" width="7" style="188" customWidth="1"/>
    <col min="267" max="267" width="9.28515625" style="188" customWidth="1"/>
    <col min="268" max="268" width="9.140625" style="188"/>
    <col min="269" max="269" width="7.85546875" style="188" customWidth="1"/>
    <col min="270" max="270" width="8.28515625" style="188" customWidth="1"/>
    <col min="271" max="271" width="8.7109375" style="188" customWidth="1"/>
    <col min="272" max="272" width="8.28515625" style="188" customWidth="1"/>
    <col min="273" max="274" width="7" style="188" customWidth="1"/>
    <col min="275" max="275" width="9.140625" style="188"/>
    <col min="276" max="276" width="8.28515625" style="188" customWidth="1"/>
    <col min="277" max="278" width="7.7109375" style="188" customWidth="1"/>
    <col min="279" max="280" width="8.85546875" style="188" customWidth="1"/>
    <col min="281" max="281" width="7.85546875" style="188" customWidth="1"/>
    <col min="282" max="282" width="7" style="188" customWidth="1"/>
    <col min="283" max="512" width="9.140625" style="188"/>
    <col min="513" max="513" width="5" style="188" customWidth="1"/>
    <col min="514" max="514" width="19.85546875" style="188" customWidth="1"/>
    <col min="515" max="518" width="7.7109375" style="188" customWidth="1"/>
    <col min="519" max="519" width="9" style="188" customWidth="1"/>
    <col min="520" max="520" width="9.28515625" style="188" customWidth="1"/>
    <col min="521" max="522" width="7" style="188" customWidth="1"/>
    <col min="523" max="523" width="9.28515625" style="188" customWidth="1"/>
    <col min="524" max="524" width="9.140625" style="188"/>
    <col min="525" max="525" width="7.85546875" style="188" customWidth="1"/>
    <col min="526" max="526" width="8.28515625" style="188" customWidth="1"/>
    <col min="527" max="527" width="8.7109375" style="188" customWidth="1"/>
    <col min="528" max="528" width="8.28515625" style="188" customWidth="1"/>
    <col min="529" max="530" width="7" style="188" customWidth="1"/>
    <col min="531" max="531" width="9.140625" style="188"/>
    <col min="532" max="532" width="8.28515625" style="188" customWidth="1"/>
    <col min="533" max="534" width="7.7109375" style="188" customWidth="1"/>
    <col min="535" max="536" width="8.85546875" style="188" customWidth="1"/>
    <col min="537" max="537" width="7.85546875" style="188" customWidth="1"/>
    <col min="538" max="538" width="7" style="188" customWidth="1"/>
    <col min="539" max="768" width="9.140625" style="188"/>
    <col min="769" max="769" width="5" style="188" customWidth="1"/>
    <col min="770" max="770" width="19.85546875" style="188" customWidth="1"/>
    <col min="771" max="774" width="7.7109375" style="188" customWidth="1"/>
    <col min="775" max="775" width="9" style="188" customWidth="1"/>
    <col min="776" max="776" width="9.28515625" style="188" customWidth="1"/>
    <col min="777" max="778" width="7" style="188" customWidth="1"/>
    <col min="779" max="779" width="9.28515625" style="188" customWidth="1"/>
    <col min="780" max="780" width="9.140625" style="188"/>
    <col min="781" max="781" width="7.85546875" style="188" customWidth="1"/>
    <col min="782" max="782" width="8.28515625" style="188" customWidth="1"/>
    <col min="783" max="783" width="8.7109375" style="188" customWidth="1"/>
    <col min="784" max="784" width="8.28515625" style="188" customWidth="1"/>
    <col min="785" max="786" width="7" style="188" customWidth="1"/>
    <col min="787" max="787" width="9.140625" style="188"/>
    <col min="788" max="788" width="8.28515625" style="188" customWidth="1"/>
    <col min="789" max="790" width="7.7109375" style="188" customWidth="1"/>
    <col min="791" max="792" width="8.85546875" style="188" customWidth="1"/>
    <col min="793" max="793" width="7.85546875" style="188" customWidth="1"/>
    <col min="794" max="794" width="7" style="188" customWidth="1"/>
    <col min="795" max="1024" width="9.140625" style="188"/>
    <col min="1025" max="1025" width="5" style="188" customWidth="1"/>
    <col min="1026" max="1026" width="19.85546875" style="188" customWidth="1"/>
    <col min="1027" max="1030" width="7.7109375" style="188" customWidth="1"/>
    <col min="1031" max="1031" width="9" style="188" customWidth="1"/>
    <col min="1032" max="1032" width="9.28515625" style="188" customWidth="1"/>
    <col min="1033" max="1034" width="7" style="188" customWidth="1"/>
    <col min="1035" max="1035" width="9.28515625" style="188" customWidth="1"/>
    <col min="1036" max="1036" width="9.140625" style="188"/>
    <col min="1037" max="1037" width="7.85546875" style="188" customWidth="1"/>
    <col min="1038" max="1038" width="8.28515625" style="188" customWidth="1"/>
    <col min="1039" max="1039" width="8.7109375" style="188" customWidth="1"/>
    <col min="1040" max="1040" width="8.28515625" style="188" customWidth="1"/>
    <col min="1041" max="1042" width="7" style="188" customWidth="1"/>
    <col min="1043" max="1043" width="9.140625" style="188"/>
    <col min="1044" max="1044" width="8.28515625" style="188" customWidth="1"/>
    <col min="1045" max="1046" width="7.7109375" style="188" customWidth="1"/>
    <col min="1047" max="1048" width="8.85546875" style="188" customWidth="1"/>
    <col min="1049" max="1049" width="7.85546875" style="188" customWidth="1"/>
    <col min="1050" max="1050" width="7" style="188" customWidth="1"/>
    <col min="1051" max="1280" width="9.140625" style="188"/>
    <col min="1281" max="1281" width="5" style="188" customWidth="1"/>
    <col min="1282" max="1282" width="19.85546875" style="188" customWidth="1"/>
    <col min="1283" max="1286" width="7.7109375" style="188" customWidth="1"/>
    <col min="1287" max="1287" width="9" style="188" customWidth="1"/>
    <col min="1288" max="1288" width="9.28515625" style="188" customWidth="1"/>
    <col min="1289" max="1290" width="7" style="188" customWidth="1"/>
    <col min="1291" max="1291" width="9.28515625" style="188" customWidth="1"/>
    <col min="1292" max="1292" width="9.140625" style="188"/>
    <col min="1293" max="1293" width="7.85546875" style="188" customWidth="1"/>
    <col min="1294" max="1294" width="8.28515625" style="188" customWidth="1"/>
    <col min="1295" max="1295" width="8.7109375" style="188" customWidth="1"/>
    <col min="1296" max="1296" width="8.28515625" style="188" customWidth="1"/>
    <col min="1297" max="1298" width="7" style="188" customWidth="1"/>
    <col min="1299" max="1299" width="9.140625" style="188"/>
    <col min="1300" max="1300" width="8.28515625" style="188" customWidth="1"/>
    <col min="1301" max="1302" width="7.7109375" style="188" customWidth="1"/>
    <col min="1303" max="1304" width="8.85546875" style="188" customWidth="1"/>
    <col min="1305" max="1305" width="7.85546875" style="188" customWidth="1"/>
    <col min="1306" max="1306" width="7" style="188" customWidth="1"/>
    <col min="1307" max="1536" width="9.140625" style="188"/>
    <col min="1537" max="1537" width="5" style="188" customWidth="1"/>
    <col min="1538" max="1538" width="19.85546875" style="188" customWidth="1"/>
    <col min="1539" max="1542" width="7.7109375" style="188" customWidth="1"/>
    <col min="1543" max="1543" width="9" style="188" customWidth="1"/>
    <col min="1544" max="1544" width="9.28515625" style="188" customWidth="1"/>
    <col min="1545" max="1546" width="7" style="188" customWidth="1"/>
    <col min="1547" max="1547" width="9.28515625" style="188" customWidth="1"/>
    <col min="1548" max="1548" width="9.140625" style="188"/>
    <col min="1549" max="1549" width="7.85546875" style="188" customWidth="1"/>
    <col min="1550" max="1550" width="8.28515625" style="188" customWidth="1"/>
    <col min="1551" max="1551" width="8.7109375" style="188" customWidth="1"/>
    <col min="1552" max="1552" width="8.28515625" style="188" customWidth="1"/>
    <col min="1553" max="1554" width="7" style="188" customWidth="1"/>
    <col min="1555" max="1555" width="9.140625" style="188"/>
    <col min="1556" max="1556" width="8.28515625" style="188" customWidth="1"/>
    <col min="1557" max="1558" width="7.7109375" style="188" customWidth="1"/>
    <col min="1559" max="1560" width="8.85546875" style="188" customWidth="1"/>
    <col min="1561" max="1561" width="7.85546875" style="188" customWidth="1"/>
    <col min="1562" max="1562" width="7" style="188" customWidth="1"/>
    <col min="1563" max="1792" width="9.140625" style="188"/>
    <col min="1793" max="1793" width="5" style="188" customWidth="1"/>
    <col min="1794" max="1794" width="19.85546875" style="188" customWidth="1"/>
    <col min="1795" max="1798" width="7.7109375" style="188" customWidth="1"/>
    <col min="1799" max="1799" width="9" style="188" customWidth="1"/>
    <col min="1800" max="1800" width="9.28515625" style="188" customWidth="1"/>
    <col min="1801" max="1802" width="7" style="188" customWidth="1"/>
    <col min="1803" max="1803" width="9.28515625" style="188" customWidth="1"/>
    <col min="1804" max="1804" width="9.140625" style="188"/>
    <col min="1805" max="1805" width="7.85546875" style="188" customWidth="1"/>
    <col min="1806" max="1806" width="8.28515625" style="188" customWidth="1"/>
    <col min="1807" max="1807" width="8.7109375" style="188" customWidth="1"/>
    <col min="1808" max="1808" width="8.28515625" style="188" customWidth="1"/>
    <col min="1809" max="1810" width="7" style="188" customWidth="1"/>
    <col min="1811" max="1811" width="9.140625" style="188"/>
    <col min="1812" max="1812" width="8.28515625" style="188" customWidth="1"/>
    <col min="1813" max="1814" width="7.7109375" style="188" customWidth="1"/>
    <col min="1815" max="1816" width="8.85546875" style="188" customWidth="1"/>
    <col min="1817" max="1817" width="7.85546875" style="188" customWidth="1"/>
    <col min="1818" max="1818" width="7" style="188" customWidth="1"/>
    <col min="1819" max="2048" width="9.140625" style="188"/>
    <col min="2049" max="2049" width="5" style="188" customWidth="1"/>
    <col min="2050" max="2050" width="19.85546875" style="188" customWidth="1"/>
    <col min="2051" max="2054" width="7.7109375" style="188" customWidth="1"/>
    <col min="2055" max="2055" width="9" style="188" customWidth="1"/>
    <col min="2056" max="2056" width="9.28515625" style="188" customWidth="1"/>
    <col min="2057" max="2058" width="7" style="188" customWidth="1"/>
    <col min="2059" max="2059" width="9.28515625" style="188" customWidth="1"/>
    <col min="2060" max="2060" width="9.140625" style="188"/>
    <col min="2061" max="2061" width="7.85546875" style="188" customWidth="1"/>
    <col min="2062" max="2062" width="8.28515625" style="188" customWidth="1"/>
    <col min="2063" max="2063" width="8.7109375" style="188" customWidth="1"/>
    <col min="2064" max="2064" width="8.28515625" style="188" customWidth="1"/>
    <col min="2065" max="2066" width="7" style="188" customWidth="1"/>
    <col min="2067" max="2067" width="9.140625" style="188"/>
    <col min="2068" max="2068" width="8.28515625" style="188" customWidth="1"/>
    <col min="2069" max="2070" width="7.7109375" style="188" customWidth="1"/>
    <col min="2071" max="2072" width="8.85546875" style="188" customWidth="1"/>
    <col min="2073" max="2073" width="7.85546875" style="188" customWidth="1"/>
    <col min="2074" max="2074" width="7" style="188" customWidth="1"/>
    <col min="2075" max="2304" width="9.140625" style="188"/>
    <col min="2305" max="2305" width="5" style="188" customWidth="1"/>
    <col min="2306" max="2306" width="19.85546875" style="188" customWidth="1"/>
    <col min="2307" max="2310" width="7.7109375" style="188" customWidth="1"/>
    <col min="2311" max="2311" width="9" style="188" customWidth="1"/>
    <col min="2312" max="2312" width="9.28515625" style="188" customWidth="1"/>
    <col min="2313" max="2314" width="7" style="188" customWidth="1"/>
    <col min="2315" max="2315" width="9.28515625" style="188" customWidth="1"/>
    <col min="2316" max="2316" width="9.140625" style="188"/>
    <col min="2317" max="2317" width="7.85546875" style="188" customWidth="1"/>
    <col min="2318" max="2318" width="8.28515625" style="188" customWidth="1"/>
    <col min="2319" max="2319" width="8.7109375" style="188" customWidth="1"/>
    <col min="2320" max="2320" width="8.28515625" style="188" customWidth="1"/>
    <col min="2321" max="2322" width="7" style="188" customWidth="1"/>
    <col min="2323" max="2323" width="9.140625" style="188"/>
    <col min="2324" max="2324" width="8.28515625" style="188" customWidth="1"/>
    <col min="2325" max="2326" width="7.7109375" style="188" customWidth="1"/>
    <col min="2327" max="2328" width="8.85546875" style="188" customWidth="1"/>
    <col min="2329" max="2329" width="7.85546875" style="188" customWidth="1"/>
    <col min="2330" max="2330" width="7" style="188" customWidth="1"/>
    <col min="2331" max="2560" width="9.140625" style="188"/>
    <col min="2561" max="2561" width="5" style="188" customWidth="1"/>
    <col min="2562" max="2562" width="19.85546875" style="188" customWidth="1"/>
    <col min="2563" max="2566" width="7.7109375" style="188" customWidth="1"/>
    <col min="2567" max="2567" width="9" style="188" customWidth="1"/>
    <col min="2568" max="2568" width="9.28515625" style="188" customWidth="1"/>
    <col min="2569" max="2570" width="7" style="188" customWidth="1"/>
    <col min="2571" max="2571" width="9.28515625" style="188" customWidth="1"/>
    <col min="2572" max="2572" width="9.140625" style="188"/>
    <col min="2573" max="2573" width="7.85546875" style="188" customWidth="1"/>
    <col min="2574" max="2574" width="8.28515625" style="188" customWidth="1"/>
    <col min="2575" max="2575" width="8.7109375" style="188" customWidth="1"/>
    <col min="2576" max="2576" width="8.28515625" style="188" customWidth="1"/>
    <col min="2577" max="2578" width="7" style="188" customWidth="1"/>
    <col min="2579" max="2579" width="9.140625" style="188"/>
    <col min="2580" max="2580" width="8.28515625" style="188" customWidth="1"/>
    <col min="2581" max="2582" width="7.7109375" style="188" customWidth="1"/>
    <col min="2583" max="2584" width="8.85546875" style="188" customWidth="1"/>
    <col min="2585" max="2585" width="7.85546875" style="188" customWidth="1"/>
    <col min="2586" max="2586" width="7" style="188" customWidth="1"/>
    <col min="2587" max="2816" width="9.140625" style="188"/>
    <col min="2817" max="2817" width="5" style="188" customWidth="1"/>
    <col min="2818" max="2818" width="19.85546875" style="188" customWidth="1"/>
    <col min="2819" max="2822" width="7.7109375" style="188" customWidth="1"/>
    <col min="2823" max="2823" width="9" style="188" customWidth="1"/>
    <col min="2824" max="2824" width="9.28515625" style="188" customWidth="1"/>
    <col min="2825" max="2826" width="7" style="188" customWidth="1"/>
    <col min="2827" max="2827" width="9.28515625" style="188" customWidth="1"/>
    <col min="2828" max="2828" width="9.140625" style="188"/>
    <col min="2829" max="2829" width="7.85546875" style="188" customWidth="1"/>
    <col min="2830" max="2830" width="8.28515625" style="188" customWidth="1"/>
    <col min="2831" max="2831" width="8.7109375" style="188" customWidth="1"/>
    <col min="2832" max="2832" width="8.28515625" style="188" customWidth="1"/>
    <col min="2833" max="2834" width="7" style="188" customWidth="1"/>
    <col min="2835" max="2835" width="9.140625" style="188"/>
    <col min="2836" max="2836" width="8.28515625" style="188" customWidth="1"/>
    <col min="2837" max="2838" width="7.7109375" style="188" customWidth="1"/>
    <col min="2839" max="2840" width="8.85546875" style="188" customWidth="1"/>
    <col min="2841" max="2841" width="7.85546875" style="188" customWidth="1"/>
    <col min="2842" max="2842" width="7" style="188" customWidth="1"/>
    <col min="2843" max="3072" width="9.140625" style="188"/>
    <col min="3073" max="3073" width="5" style="188" customWidth="1"/>
    <col min="3074" max="3074" width="19.85546875" style="188" customWidth="1"/>
    <col min="3075" max="3078" width="7.7109375" style="188" customWidth="1"/>
    <col min="3079" max="3079" width="9" style="188" customWidth="1"/>
    <col min="3080" max="3080" width="9.28515625" style="188" customWidth="1"/>
    <col min="3081" max="3082" width="7" style="188" customWidth="1"/>
    <col min="3083" max="3083" width="9.28515625" style="188" customWidth="1"/>
    <col min="3084" max="3084" width="9.140625" style="188"/>
    <col min="3085" max="3085" width="7.85546875" style="188" customWidth="1"/>
    <col min="3086" max="3086" width="8.28515625" style="188" customWidth="1"/>
    <col min="3087" max="3087" width="8.7109375" style="188" customWidth="1"/>
    <col min="3088" max="3088" width="8.28515625" style="188" customWidth="1"/>
    <col min="3089" max="3090" width="7" style="188" customWidth="1"/>
    <col min="3091" max="3091" width="9.140625" style="188"/>
    <col min="3092" max="3092" width="8.28515625" style="188" customWidth="1"/>
    <col min="3093" max="3094" width="7.7109375" style="188" customWidth="1"/>
    <col min="3095" max="3096" width="8.85546875" style="188" customWidth="1"/>
    <col min="3097" max="3097" width="7.85546875" style="188" customWidth="1"/>
    <col min="3098" max="3098" width="7" style="188" customWidth="1"/>
    <col min="3099" max="3328" width="9.140625" style="188"/>
    <col min="3329" max="3329" width="5" style="188" customWidth="1"/>
    <col min="3330" max="3330" width="19.85546875" style="188" customWidth="1"/>
    <col min="3331" max="3334" width="7.7109375" style="188" customWidth="1"/>
    <col min="3335" max="3335" width="9" style="188" customWidth="1"/>
    <col min="3336" max="3336" width="9.28515625" style="188" customWidth="1"/>
    <col min="3337" max="3338" width="7" style="188" customWidth="1"/>
    <col min="3339" max="3339" width="9.28515625" style="188" customWidth="1"/>
    <col min="3340" max="3340" width="9.140625" style="188"/>
    <col min="3341" max="3341" width="7.85546875" style="188" customWidth="1"/>
    <col min="3342" max="3342" width="8.28515625" style="188" customWidth="1"/>
    <col min="3343" max="3343" width="8.7109375" style="188" customWidth="1"/>
    <col min="3344" max="3344" width="8.28515625" style="188" customWidth="1"/>
    <col min="3345" max="3346" width="7" style="188" customWidth="1"/>
    <col min="3347" max="3347" width="9.140625" style="188"/>
    <col min="3348" max="3348" width="8.28515625" style="188" customWidth="1"/>
    <col min="3349" max="3350" width="7.7109375" style="188" customWidth="1"/>
    <col min="3351" max="3352" width="8.85546875" style="188" customWidth="1"/>
    <col min="3353" max="3353" width="7.85546875" style="188" customWidth="1"/>
    <col min="3354" max="3354" width="7" style="188" customWidth="1"/>
    <col min="3355" max="3584" width="9.140625" style="188"/>
    <col min="3585" max="3585" width="5" style="188" customWidth="1"/>
    <col min="3586" max="3586" width="19.85546875" style="188" customWidth="1"/>
    <col min="3587" max="3590" width="7.7109375" style="188" customWidth="1"/>
    <col min="3591" max="3591" width="9" style="188" customWidth="1"/>
    <col min="3592" max="3592" width="9.28515625" style="188" customWidth="1"/>
    <col min="3593" max="3594" width="7" style="188" customWidth="1"/>
    <col min="3595" max="3595" width="9.28515625" style="188" customWidth="1"/>
    <col min="3596" max="3596" width="9.140625" style="188"/>
    <col min="3597" max="3597" width="7.85546875" style="188" customWidth="1"/>
    <col min="3598" max="3598" width="8.28515625" style="188" customWidth="1"/>
    <col min="3599" max="3599" width="8.7109375" style="188" customWidth="1"/>
    <col min="3600" max="3600" width="8.28515625" style="188" customWidth="1"/>
    <col min="3601" max="3602" width="7" style="188" customWidth="1"/>
    <col min="3603" max="3603" width="9.140625" style="188"/>
    <col min="3604" max="3604" width="8.28515625" style="188" customWidth="1"/>
    <col min="3605" max="3606" width="7.7109375" style="188" customWidth="1"/>
    <col min="3607" max="3608" width="8.85546875" style="188" customWidth="1"/>
    <col min="3609" max="3609" width="7.85546875" style="188" customWidth="1"/>
    <col min="3610" max="3610" width="7" style="188" customWidth="1"/>
    <col min="3611" max="3840" width="9.140625" style="188"/>
    <col min="3841" max="3841" width="5" style="188" customWidth="1"/>
    <col min="3842" max="3842" width="19.85546875" style="188" customWidth="1"/>
    <col min="3843" max="3846" width="7.7109375" style="188" customWidth="1"/>
    <col min="3847" max="3847" width="9" style="188" customWidth="1"/>
    <col min="3848" max="3848" width="9.28515625" style="188" customWidth="1"/>
    <col min="3849" max="3850" width="7" style="188" customWidth="1"/>
    <col min="3851" max="3851" width="9.28515625" style="188" customWidth="1"/>
    <col min="3852" max="3852" width="9.140625" style="188"/>
    <col min="3853" max="3853" width="7.85546875" style="188" customWidth="1"/>
    <col min="3854" max="3854" width="8.28515625" style="188" customWidth="1"/>
    <col min="3855" max="3855" width="8.7109375" style="188" customWidth="1"/>
    <col min="3856" max="3856" width="8.28515625" style="188" customWidth="1"/>
    <col min="3857" max="3858" width="7" style="188" customWidth="1"/>
    <col min="3859" max="3859" width="9.140625" style="188"/>
    <col min="3860" max="3860" width="8.28515625" style="188" customWidth="1"/>
    <col min="3861" max="3862" width="7.7109375" style="188" customWidth="1"/>
    <col min="3863" max="3864" width="8.85546875" style="188" customWidth="1"/>
    <col min="3865" max="3865" width="7.85546875" style="188" customWidth="1"/>
    <col min="3866" max="3866" width="7" style="188" customWidth="1"/>
    <col min="3867" max="4096" width="9.140625" style="188"/>
    <col min="4097" max="4097" width="5" style="188" customWidth="1"/>
    <col min="4098" max="4098" width="19.85546875" style="188" customWidth="1"/>
    <col min="4099" max="4102" width="7.7109375" style="188" customWidth="1"/>
    <col min="4103" max="4103" width="9" style="188" customWidth="1"/>
    <col min="4104" max="4104" width="9.28515625" style="188" customWidth="1"/>
    <col min="4105" max="4106" width="7" style="188" customWidth="1"/>
    <col min="4107" max="4107" width="9.28515625" style="188" customWidth="1"/>
    <col min="4108" max="4108" width="9.140625" style="188"/>
    <col min="4109" max="4109" width="7.85546875" style="188" customWidth="1"/>
    <col min="4110" max="4110" width="8.28515625" style="188" customWidth="1"/>
    <col min="4111" max="4111" width="8.7109375" style="188" customWidth="1"/>
    <col min="4112" max="4112" width="8.28515625" style="188" customWidth="1"/>
    <col min="4113" max="4114" width="7" style="188" customWidth="1"/>
    <col min="4115" max="4115" width="9.140625" style="188"/>
    <col min="4116" max="4116" width="8.28515625" style="188" customWidth="1"/>
    <col min="4117" max="4118" width="7.7109375" style="188" customWidth="1"/>
    <col min="4119" max="4120" width="8.85546875" style="188" customWidth="1"/>
    <col min="4121" max="4121" width="7.85546875" style="188" customWidth="1"/>
    <col min="4122" max="4122" width="7" style="188" customWidth="1"/>
    <col min="4123" max="4352" width="9.140625" style="188"/>
    <col min="4353" max="4353" width="5" style="188" customWidth="1"/>
    <col min="4354" max="4354" width="19.85546875" style="188" customWidth="1"/>
    <col min="4355" max="4358" width="7.7109375" style="188" customWidth="1"/>
    <col min="4359" max="4359" width="9" style="188" customWidth="1"/>
    <col min="4360" max="4360" width="9.28515625" style="188" customWidth="1"/>
    <col min="4361" max="4362" width="7" style="188" customWidth="1"/>
    <col min="4363" max="4363" width="9.28515625" style="188" customWidth="1"/>
    <col min="4364" max="4364" width="9.140625" style="188"/>
    <col min="4365" max="4365" width="7.85546875" style="188" customWidth="1"/>
    <col min="4366" max="4366" width="8.28515625" style="188" customWidth="1"/>
    <col min="4367" max="4367" width="8.7109375" style="188" customWidth="1"/>
    <col min="4368" max="4368" width="8.28515625" style="188" customWidth="1"/>
    <col min="4369" max="4370" width="7" style="188" customWidth="1"/>
    <col min="4371" max="4371" width="9.140625" style="188"/>
    <col min="4372" max="4372" width="8.28515625" style="188" customWidth="1"/>
    <col min="4373" max="4374" width="7.7109375" style="188" customWidth="1"/>
    <col min="4375" max="4376" width="8.85546875" style="188" customWidth="1"/>
    <col min="4377" max="4377" width="7.85546875" style="188" customWidth="1"/>
    <col min="4378" max="4378" width="7" style="188" customWidth="1"/>
    <col min="4379" max="4608" width="9.140625" style="188"/>
    <col min="4609" max="4609" width="5" style="188" customWidth="1"/>
    <col min="4610" max="4610" width="19.85546875" style="188" customWidth="1"/>
    <col min="4611" max="4614" width="7.7109375" style="188" customWidth="1"/>
    <col min="4615" max="4615" width="9" style="188" customWidth="1"/>
    <col min="4616" max="4616" width="9.28515625" style="188" customWidth="1"/>
    <col min="4617" max="4618" width="7" style="188" customWidth="1"/>
    <col min="4619" max="4619" width="9.28515625" style="188" customWidth="1"/>
    <col min="4620" max="4620" width="9.140625" style="188"/>
    <col min="4621" max="4621" width="7.85546875" style="188" customWidth="1"/>
    <col min="4622" max="4622" width="8.28515625" style="188" customWidth="1"/>
    <col min="4623" max="4623" width="8.7109375" style="188" customWidth="1"/>
    <col min="4624" max="4624" width="8.28515625" style="188" customWidth="1"/>
    <col min="4625" max="4626" width="7" style="188" customWidth="1"/>
    <col min="4627" max="4627" width="9.140625" style="188"/>
    <col min="4628" max="4628" width="8.28515625" style="188" customWidth="1"/>
    <col min="4629" max="4630" width="7.7109375" style="188" customWidth="1"/>
    <col min="4631" max="4632" width="8.85546875" style="188" customWidth="1"/>
    <col min="4633" max="4633" width="7.85546875" style="188" customWidth="1"/>
    <col min="4634" max="4634" width="7" style="188" customWidth="1"/>
    <col min="4635" max="4864" width="9.140625" style="188"/>
    <col min="4865" max="4865" width="5" style="188" customWidth="1"/>
    <col min="4866" max="4866" width="19.85546875" style="188" customWidth="1"/>
    <col min="4867" max="4870" width="7.7109375" style="188" customWidth="1"/>
    <col min="4871" max="4871" width="9" style="188" customWidth="1"/>
    <col min="4872" max="4872" width="9.28515625" style="188" customWidth="1"/>
    <col min="4873" max="4874" width="7" style="188" customWidth="1"/>
    <col min="4875" max="4875" width="9.28515625" style="188" customWidth="1"/>
    <col min="4876" max="4876" width="9.140625" style="188"/>
    <col min="4877" max="4877" width="7.85546875" style="188" customWidth="1"/>
    <col min="4878" max="4878" width="8.28515625" style="188" customWidth="1"/>
    <col min="4879" max="4879" width="8.7109375" style="188" customWidth="1"/>
    <col min="4880" max="4880" width="8.28515625" style="188" customWidth="1"/>
    <col min="4881" max="4882" width="7" style="188" customWidth="1"/>
    <col min="4883" max="4883" width="9.140625" style="188"/>
    <col min="4884" max="4884" width="8.28515625" style="188" customWidth="1"/>
    <col min="4885" max="4886" width="7.7109375" style="188" customWidth="1"/>
    <col min="4887" max="4888" width="8.85546875" style="188" customWidth="1"/>
    <col min="4889" max="4889" width="7.85546875" style="188" customWidth="1"/>
    <col min="4890" max="4890" width="7" style="188" customWidth="1"/>
    <col min="4891" max="5120" width="9.140625" style="188"/>
    <col min="5121" max="5121" width="5" style="188" customWidth="1"/>
    <col min="5122" max="5122" width="19.85546875" style="188" customWidth="1"/>
    <col min="5123" max="5126" width="7.7109375" style="188" customWidth="1"/>
    <col min="5127" max="5127" width="9" style="188" customWidth="1"/>
    <col min="5128" max="5128" width="9.28515625" style="188" customWidth="1"/>
    <col min="5129" max="5130" width="7" style="188" customWidth="1"/>
    <col min="5131" max="5131" width="9.28515625" style="188" customWidth="1"/>
    <col min="5132" max="5132" width="9.140625" style="188"/>
    <col min="5133" max="5133" width="7.85546875" style="188" customWidth="1"/>
    <col min="5134" max="5134" width="8.28515625" style="188" customWidth="1"/>
    <col min="5135" max="5135" width="8.7109375" style="188" customWidth="1"/>
    <col min="5136" max="5136" width="8.28515625" style="188" customWidth="1"/>
    <col min="5137" max="5138" width="7" style="188" customWidth="1"/>
    <col min="5139" max="5139" width="9.140625" style="188"/>
    <col min="5140" max="5140" width="8.28515625" style="188" customWidth="1"/>
    <col min="5141" max="5142" width="7.7109375" style="188" customWidth="1"/>
    <col min="5143" max="5144" width="8.85546875" style="188" customWidth="1"/>
    <col min="5145" max="5145" width="7.85546875" style="188" customWidth="1"/>
    <col min="5146" max="5146" width="7" style="188" customWidth="1"/>
    <col min="5147" max="5376" width="9.140625" style="188"/>
    <col min="5377" max="5377" width="5" style="188" customWidth="1"/>
    <col min="5378" max="5378" width="19.85546875" style="188" customWidth="1"/>
    <col min="5379" max="5382" width="7.7109375" style="188" customWidth="1"/>
    <col min="5383" max="5383" width="9" style="188" customWidth="1"/>
    <col min="5384" max="5384" width="9.28515625" style="188" customWidth="1"/>
    <col min="5385" max="5386" width="7" style="188" customWidth="1"/>
    <col min="5387" max="5387" width="9.28515625" style="188" customWidth="1"/>
    <col min="5388" max="5388" width="9.140625" style="188"/>
    <col min="5389" max="5389" width="7.85546875" style="188" customWidth="1"/>
    <col min="5390" max="5390" width="8.28515625" style="188" customWidth="1"/>
    <col min="5391" max="5391" width="8.7109375" style="188" customWidth="1"/>
    <col min="5392" max="5392" width="8.28515625" style="188" customWidth="1"/>
    <col min="5393" max="5394" width="7" style="188" customWidth="1"/>
    <col min="5395" max="5395" width="9.140625" style="188"/>
    <col min="5396" max="5396" width="8.28515625" style="188" customWidth="1"/>
    <col min="5397" max="5398" width="7.7109375" style="188" customWidth="1"/>
    <col min="5399" max="5400" width="8.85546875" style="188" customWidth="1"/>
    <col min="5401" max="5401" width="7.85546875" style="188" customWidth="1"/>
    <col min="5402" max="5402" width="7" style="188" customWidth="1"/>
    <col min="5403" max="5632" width="9.140625" style="188"/>
    <col min="5633" max="5633" width="5" style="188" customWidth="1"/>
    <col min="5634" max="5634" width="19.85546875" style="188" customWidth="1"/>
    <col min="5635" max="5638" width="7.7109375" style="188" customWidth="1"/>
    <col min="5639" max="5639" width="9" style="188" customWidth="1"/>
    <col min="5640" max="5640" width="9.28515625" style="188" customWidth="1"/>
    <col min="5641" max="5642" width="7" style="188" customWidth="1"/>
    <col min="5643" max="5643" width="9.28515625" style="188" customWidth="1"/>
    <col min="5644" max="5644" width="9.140625" style="188"/>
    <col min="5645" max="5645" width="7.85546875" style="188" customWidth="1"/>
    <col min="5646" max="5646" width="8.28515625" style="188" customWidth="1"/>
    <col min="5647" max="5647" width="8.7109375" style="188" customWidth="1"/>
    <col min="5648" max="5648" width="8.28515625" style="188" customWidth="1"/>
    <col min="5649" max="5650" width="7" style="188" customWidth="1"/>
    <col min="5651" max="5651" width="9.140625" style="188"/>
    <col min="5652" max="5652" width="8.28515625" style="188" customWidth="1"/>
    <col min="5653" max="5654" width="7.7109375" style="188" customWidth="1"/>
    <col min="5655" max="5656" width="8.85546875" style="188" customWidth="1"/>
    <col min="5657" max="5657" width="7.85546875" style="188" customWidth="1"/>
    <col min="5658" max="5658" width="7" style="188" customWidth="1"/>
    <col min="5659" max="5888" width="9.140625" style="188"/>
    <col min="5889" max="5889" width="5" style="188" customWidth="1"/>
    <col min="5890" max="5890" width="19.85546875" style="188" customWidth="1"/>
    <col min="5891" max="5894" width="7.7109375" style="188" customWidth="1"/>
    <col min="5895" max="5895" width="9" style="188" customWidth="1"/>
    <col min="5896" max="5896" width="9.28515625" style="188" customWidth="1"/>
    <col min="5897" max="5898" width="7" style="188" customWidth="1"/>
    <col min="5899" max="5899" width="9.28515625" style="188" customWidth="1"/>
    <col min="5900" max="5900" width="9.140625" style="188"/>
    <col min="5901" max="5901" width="7.85546875" style="188" customWidth="1"/>
    <col min="5902" max="5902" width="8.28515625" style="188" customWidth="1"/>
    <col min="5903" max="5903" width="8.7109375" style="188" customWidth="1"/>
    <col min="5904" max="5904" width="8.28515625" style="188" customWidth="1"/>
    <col min="5905" max="5906" width="7" style="188" customWidth="1"/>
    <col min="5907" max="5907" width="9.140625" style="188"/>
    <col min="5908" max="5908" width="8.28515625" style="188" customWidth="1"/>
    <col min="5909" max="5910" width="7.7109375" style="188" customWidth="1"/>
    <col min="5911" max="5912" width="8.85546875" style="188" customWidth="1"/>
    <col min="5913" max="5913" width="7.85546875" style="188" customWidth="1"/>
    <col min="5914" max="5914" width="7" style="188" customWidth="1"/>
    <col min="5915" max="6144" width="9.140625" style="188"/>
    <col min="6145" max="6145" width="5" style="188" customWidth="1"/>
    <col min="6146" max="6146" width="19.85546875" style="188" customWidth="1"/>
    <col min="6147" max="6150" width="7.7109375" style="188" customWidth="1"/>
    <col min="6151" max="6151" width="9" style="188" customWidth="1"/>
    <col min="6152" max="6152" width="9.28515625" style="188" customWidth="1"/>
    <col min="6153" max="6154" width="7" style="188" customWidth="1"/>
    <col min="6155" max="6155" width="9.28515625" style="188" customWidth="1"/>
    <col min="6156" max="6156" width="9.140625" style="188"/>
    <col min="6157" max="6157" width="7.85546875" style="188" customWidth="1"/>
    <col min="6158" max="6158" width="8.28515625" style="188" customWidth="1"/>
    <col min="6159" max="6159" width="8.7109375" style="188" customWidth="1"/>
    <col min="6160" max="6160" width="8.28515625" style="188" customWidth="1"/>
    <col min="6161" max="6162" width="7" style="188" customWidth="1"/>
    <col min="6163" max="6163" width="9.140625" style="188"/>
    <col min="6164" max="6164" width="8.28515625" style="188" customWidth="1"/>
    <col min="6165" max="6166" width="7.7109375" style="188" customWidth="1"/>
    <col min="6167" max="6168" width="8.85546875" style="188" customWidth="1"/>
    <col min="6169" max="6169" width="7.85546875" style="188" customWidth="1"/>
    <col min="6170" max="6170" width="7" style="188" customWidth="1"/>
    <col min="6171" max="6400" width="9.140625" style="188"/>
    <col min="6401" max="6401" width="5" style="188" customWidth="1"/>
    <col min="6402" max="6402" width="19.85546875" style="188" customWidth="1"/>
    <col min="6403" max="6406" width="7.7109375" style="188" customWidth="1"/>
    <col min="6407" max="6407" width="9" style="188" customWidth="1"/>
    <col min="6408" max="6408" width="9.28515625" style="188" customWidth="1"/>
    <col min="6409" max="6410" width="7" style="188" customWidth="1"/>
    <col min="6411" max="6411" width="9.28515625" style="188" customWidth="1"/>
    <col min="6412" max="6412" width="9.140625" style="188"/>
    <col min="6413" max="6413" width="7.85546875" style="188" customWidth="1"/>
    <col min="6414" max="6414" width="8.28515625" style="188" customWidth="1"/>
    <col min="6415" max="6415" width="8.7109375" style="188" customWidth="1"/>
    <col min="6416" max="6416" width="8.28515625" style="188" customWidth="1"/>
    <col min="6417" max="6418" width="7" style="188" customWidth="1"/>
    <col min="6419" max="6419" width="9.140625" style="188"/>
    <col min="6420" max="6420" width="8.28515625" style="188" customWidth="1"/>
    <col min="6421" max="6422" width="7.7109375" style="188" customWidth="1"/>
    <col min="6423" max="6424" width="8.85546875" style="188" customWidth="1"/>
    <col min="6425" max="6425" width="7.85546875" style="188" customWidth="1"/>
    <col min="6426" max="6426" width="7" style="188" customWidth="1"/>
    <col min="6427" max="6656" width="9.140625" style="188"/>
    <col min="6657" max="6657" width="5" style="188" customWidth="1"/>
    <col min="6658" max="6658" width="19.85546875" style="188" customWidth="1"/>
    <col min="6659" max="6662" width="7.7109375" style="188" customWidth="1"/>
    <col min="6663" max="6663" width="9" style="188" customWidth="1"/>
    <col min="6664" max="6664" width="9.28515625" style="188" customWidth="1"/>
    <col min="6665" max="6666" width="7" style="188" customWidth="1"/>
    <col min="6667" max="6667" width="9.28515625" style="188" customWidth="1"/>
    <col min="6668" max="6668" width="9.140625" style="188"/>
    <col min="6669" max="6669" width="7.85546875" style="188" customWidth="1"/>
    <col min="6670" max="6670" width="8.28515625" style="188" customWidth="1"/>
    <col min="6671" max="6671" width="8.7109375" style="188" customWidth="1"/>
    <col min="6672" max="6672" width="8.28515625" style="188" customWidth="1"/>
    <col min="6673" max="6674" width="7" style="188" customWidth="1"/>
    <col min="6675" max="6675" width="9.140625" style="188"/>
    <col min="6676" max="6676" width="8.28515625" style="188" customWidth="1"/>
    <col min="6677" max="6678" width="7.7109375" style="188" customWidth="1"/>
    <col min="6679" max="6680" width="8.85546875" style="188" customWidth="1"/>
    <col min="6681" max="6681" width="7.85546875" style="188" customWidth="1"/>
    <col min="6682" max="6682" width="7" style="188" customWidth="1"/>
    <col min="6683" max="6912" width="9.140625" style="188"/>
    <col min="6913" max="6913" width="5" style="188" customWidth="1"/>
    <col min="6914" max="6914" width="19.85546875" style="188" customWidth="1"/>
    <col min="6915" max="6918" width="7.7109375" style="188" customWidth="1"/>
    <col min="6919" max="6919" width="9" style="188" customWidth="1"/>
    <col min="6920" max="6920" width="9.28515625" style="188" customWidth="1"/>
    <col min="6921" max="6922" width="7" style="188" customWidth="1"/>
    <col min="6923" max="6923" width="9.28515625" style="188" customWidth="1"/>
    <col min="6924" max="6924" width="9.140625" style="188"/>
    <col min="6925" max="6925" width="7.85546875" style="188" customWidth="1"/>
    <col min="6926" max="6926" width="8.28515625" style="188" customWidth="1"/>
    <col min="6927" max="6927" width="8.7109375" style="188" customWidth="1"/>
    <col min="6928" max="6928" width="8.28515625" style="188" customWidth="1"/>
    <col min="6929" max="6930" width="7" style="188" customWidth="1"/>
    <col min="6931" max="6931" width="9.140625" style="188"/>
    <col min="6932" max="6932" width="8.28515625" style="188" customWidth="1"/>
    <col min="6933" max="6934" width="7.7109375" style="188" customWidth="1"/>
    <col min="6935" max="6936" width="8.85546875" style="188" customWidth="1"/>
    <col min="6937" max="6937" width="7.85546875" style="188" customWidth="1"/>
    <col min="6938" max="6938" width="7" style="188" customWidth="1"/>
    <col min="6939" max="7168" width="9.140625" style="188"/>
    <col min="7169" max="7169" width="5" style="188" customWidth="1"/>
    <col min="7170" max="7170" width="19.85546875" style="188" customWidth="1"/>
    <col min="7171" max="7174" width="7.7109375" style="188" customWidth="1"/>
    <col min="7175" max="7175" width="9" style="188" customWidth="1"/>
    <col min="7176" max="7176" width="9.28515625" style="188" customWidth="1"/>
    <col min="7177" max="7178" width="7" style="188" customWidth="1"/>
    <col min="7179" max="7179" width="9.28515625" style="188" customWidth="1"/>
    <col min="7180" max="7180" width="9.140625" style="188"/>
    <col min="7181" max="7181" width="7.85546875" style="188" customWidth="1"/>
    <col min="7182" max="7182" width="8.28515625" style="188" customWidth="1"/>
    <col min="7183" max="7183" width="8.7109375" style="188" customWidth="1"/>
    <col min="7184" max="7184" width="8.28515625" style="188" customWidth="1"/>
    <col min="7185" max="7186" width="7" style="188" customWidth="1"/>
    <col min="7187" max="7187" width="9.140625" style="188"/>
    <col min="7188" max="7188" width="8.28515625" style="188" customWidth="1"/>
    <col min="7189" max="7190" width="7.7109375" style="188" customWidth="1"/>
    <col min="7191" max="7192" width="8.85546875" style="188" customWidth="1"/>
    <col min="7193" max="7193" width="7.85546875" style="188" customWidth="1"/>
    <col min="7194" max="7194" width="7" style="188" customWidth="1"/>
    <col min="7195" max="7424" width="9.140625" style="188"/>
    <col min="7425" max="7425" width="5" style="188" customWidth="1"/>
    <col min="7426" max="7426" width="19.85546875" style="188" customWidth="1"/>
    <col min="7427" max="7430" width="7.7109375" style="188" customWidth="1"/>
    <col min="7431" max="7431" width="9" style="188" customWidth="1"/>
    <col min="7432" max="7432" width="9.28515625" style="188" customWidth="1"/>
    <col min="7433" max="7434" width="7" style="188" customWidth="1"/>
    <col min="7435" max="7435" width="9.28515625" style="188" customWidth="1"/>
    <col min="7436" max="7436" width="9.140625" style="188"/>
    <col min="7437" max="7437" width="7.85546875" style="188" customWidth="1"/>
    <col min="7438" max="7438" width="8.28515625" style="188" customWidth="1"/>
    <col min="7439" max="7439" width="8.7109375" style="188" customWidth="1"/>
    <col min="7440" max="7440" width="8.28515625" style="188" customWidth="1"/>
    <col min="7441" max="7442" width="7" style="188" customWidth="1"/>
    <col min="7443" max="7443" width="9.140625" style="188"/>
    <col min="7444" max="7444" width="8.28515625" style="188" customWidth="1"/>
    <col min="7445" max="7446" width="7.7109375" style="188" customWidth="1"/>
    <col min="7447" max="7448" width="8.85546875" style="188" customWidth="1"/>
    <col min="7449" max="7449" width="7.85546875" style="188" customWidth="1"/>
    <col min="7450" max="7450" width="7" style="188" customWidth="1"/>
    <col min="7451" max="7680" width="9.140625" style="188"/>
    <col min="7681" max="7681" width="5" style="188" customWidth="1"/>
    <col min="7682" max="7682" width="19.85546875" style="188" customWidth="1"/>
    <col min="7683" max="7686" width="7.7109375" style="188" customWidth="1"/>
    <col min="7687" max="7687" width="9" style="188" customWidth="1"/>
    <col min="7688" max="7688" width="9.28515625" style="188" customWidth="1"/>
    <col min="7689" max="7690" width="7" style="188" customWidth="1"/>
    <col min="7691" max="7691" width="9.28515625" style="188" customWidth="1"/>
    <col min="7692" max="7692" width="9.140625" style="188"/>
    <col min="7693" max="7693" width="7.85546875" style="188" customWidth="1"/>
    <col min="7694" max="7694" width="8.28515625" style="188" customWidth="1"/>
    <col min="7695" max="7695" width="8.7109375" style="188" customWidth="1"/>
    <col min="7696" max="7696" width="8.28515625" style="188" customWidth="1"/>
    <col min="7697" max="7698" width="7" style="188" customWidth="1"/>
    <col min="7699" max="7699" width="9.140625" style="188"/>
    <col min="7700" max="7700" width="8.28515625" style="188" customWidth="1"/>
    <col min="7701" max="7702" width="7.7109375" style="188" customWidth="1"/>
    <col min="7703" max="7704" width="8.85546875" style="188" customWidth="1"/>
    <col min="7705" max="7705" width="7.85546875" style="188" customWidth="1"/>
    <col min="7706" max="7706" width="7" style="188" customWidth="1"/>
    <col min="7707" max="7936" width="9.140625" style="188"/>
    <col min="7937" max="7937" width="5" style="188" customWidth="1"/>
    <col min="7938" max="7938" width="19.85546875" style="188" customWidth="1"/>
    <col min="7939" max="7942" width="7.7109375" style="188" customWidth="1"/>
    <col min="7943" max="7943" width="9" style="188" customWidth="1"/>
    <col min="7944" max="7944" width="9.28515625" style="188" customWidth="1"/>
    <col min="7945" max="7946" width="7" style="188" customWidth="1"/>
    <col min="7947" max="7947" width="9.28515625" style="188" customWidth="1"/>
    <col min="7948" max="7948" width="9.140625" style="188"/>
    <col min="7949" max="7949" width="7.85546875" style="188" customWidth="1"/>
    <col min="7950" max="7950" width="8.28515625" style="188" customWidth="1"/>
    <col min="7951" max="7951" width="8.7109375" style="188" customWidth="1"/>
    <col min="7952" max="7952" width="8.28515625" style="188" customWidth="1"/>
    <col min="7953" max="7954" width="7" style="188" customWidth="1"/>
    <col min="7955" max="7955" width="9.140625" style="188"/>
    <col min="7956" max="7956" width="8.28515625" style="188" customWidth="1"/>
    <col min="7957" max="7958" width="7.7109375" style="188" customWidth="1"/>
    <col min="7959" max="7960" width="8.85546875" style="188" customWidth="1"/>
    <col min="7961" max="7961" width="7.85546875" style="188" customWidth="1"/>
    <col min="7962" max="7962" width="7" style="188" customWidth="1"/>
    <col min="7963" max="8192" width="9.140625" style="188"/>
    <col min="8193" max="8193" width="5" style="188" customWidth="1"/>
    <col min="8194" max="8194" width="19.85546875" style="188" customWidth="1"/>
    <col min="8195" max="8198" width="7.7109375" style="188" customWidth="1"/>
    <col min="8199" max="8199" width="9" style="188" customWidth="1"/>
    <col min="8200" max="8200" width="9.28515625" style="188" customWidth="1"/>
    <col min="8201" max="8202" width="7" style="188" customWidth="1"/>
    <col min="8203" max="8203" width="9.28515625" style="188" customWidth="1"/>
    <col min="8204" max="8204" width="9.140625" style="188"/>
    <col min="8205" max="8205" width="7.85546875" style="188" customWidth="1"/>
    <col min="8206" max="8206" width="8.28515625" style="188" customWidth="1"/>
    <col min="8207" max="8207" width="8.7109375" style="188" customWidth="1"/>
    <col min="8208" max="8208" width="8.28515625" style="188" customWidth="1"/>
    <col min="8209" max="8210" width="7" style="188" customWidth="1"/>
    <col min="8211" max="8211" width="9.140625" style="188"/>
    <col min="8212" max="8212" width="8.28515625" style="188" customWidth="1"/>
    <col min="8213" max="8214" width="7.7109375" style="188" customWidth="1"/>
    <col min="8215" max="8216" width="8.85546875" style="188" customWidth="1"/>
    <col min="8217" max="8217" width="7.85546875" style="188" customWidth="1"/>
    <col min="8218" max="8218" width="7" style="188" customWidth="1"/>
    <col min="8219" max="8448" width="9.140625" style="188"/>
    <col min="8449" max="8449" width="5" style="188" customWidth="1"/>
    <col min="8450" max="8450" width="19.85546875" style="188" customWidth="1"/>
    <col min="8451" max="8454" width="7.7109375" style="188" customWidth="1"/>
    <col min="8455" max="8455" width="9" style="188" customWidth="1"/>
    <col min="8456" max="8456" width="9.28515625" style="188" customWidth="1"/>
    <col min="8457" max="8458" width="7" style="188" customWidth="1"/>
    <col min="8459" max="8459" width="9.28515625" style="188" customWidth="1"/>
    <col min="8460" max="8460" width="9.140625" style="188"/>
    <col min="8461" max="8461" width="7.85546875" style="188" customWidth="1"/>
    <col min="8462" max="8462" width="8.28515625" style="188" customWidth="1"/>
    <col min="8463" max="8463" width="8.7109375" style="188" customWidth="1"/>
    <col min="8464" max="8464" width="8.28515625" style="188" customWidth="1"/>
    <col min="8465" max="8466" width="7" style="188" customWidth="1"/>
    <col min="8467" max="8467" width="9.140625" style="188"/>
    <col min="8468" max="8468" width="8.28515625" style="188" customWidth="1"/>
    <col min="8469" max="8470" width="7.7109375" style="188" customWidth="1"/>
    <col min="8471" max="8472" width="8.85546875" style="188" customWidth="1"/>
    <col min="8473" max="8473" width="7.85546875" style="188" customWidth="1"/>
    <col min="8474" max="8474" width="7" style="188" customWidth="1"/>
    <col min="8475" max="8704" width="9.140625" style="188"/>
    <col min="8705" max="8705" width="5" style="188" customWidth="1"/>
    <col min="8706" max="8706" width="19.85546875" style="188" customWidth="1"/>
    <col min="8707" max="8710" width="7.7109375" style="188" customWidth="1"/>
    <col min="8711" max="8711" width="9" style="188" customWidth="1"/>
    <col min="8712" max="8712" width="9.28515625" style="188" customWidth="1"/>
    <col min="8713" max="8714" width="7" style="188" customWidth="1"/>
    <col min="8715" max="8715" width="9.28515625" style="188" customWidth="1"/>
    <col min="8716" max="8716" width="9.140625" style="188"/>
    <col min="8717" max="8717" width="7.85546875" style="188" customWidth="1"/>
    <col min="8718" max="8718" width="8.28515625" style="188" customWidth="1"/>
    <col min="8719" max="8719" width="8.7109375" style="188" customWidth="1"/>
    <col min="8720" max="8720" width="8.28515625" style="188" customWidth="1"/>
    <col min="8721" max="8722" width="7" style="188" customWidth="1"/>
    <col min="8723" max="8723" width="9.140625" style="188"/>
    <col min="8724" max="8724" width="8.28515625" style="188" customWidth="1"/>
    <col min="8725" max="8726" width="7.7109375" style="188" customWidth="1"/>
    <col min="8727" max="8728" width="8.85546875" style="188" customWidth="1"/>
    <col min="8729" max="8729" width="7.85546875" style="188" customWidth="1"/>
    <col min="8730" max="8730" width="7" style="188" customWidth="1"/>
    <col min="8731" max="8960" width="9.140625" style="188"/>
    <col min="8961" max="8961" width="5" style="188" customWidth="1"/>
    <col min="8962" max="8962" width="19.85546875" style="188" customWidth="1"/>
    <col min="8963" max="8966" width="7.7109375" style="188" customWidth="1"/>
    <col min="8967" max="8967" width="9" style="188" customWidth="1"/>
    <col min="8968" max="8968" width="9.28515625" style="188" customWidth="1"/>
    <col min="8969" max="8970" width="7" style="188" customWidth="1"/>
    <col min="8971" max="8971" width="9.28515625" style="188" customWidth="1"/>
    <col min="8972" max="8972" width="9.140625" style="188"/>
    <col min="8973" max="8973" width="7.85546875" style="188" customWidth="1"/>
    <col min="8974" max="8974" width="8.28515625" style="188" customWidth="1"/>
    <col min="8975" max="8975" width="8.7109375" style="188" customWidth="1"/>
    <col min="8976" max="8976" width="8.28515625" style="188" customWidth="1"/>
    <col min="8977" max="8978" width="7" style="188" customWidth="1"/>
    <col min="8979" max="8979" width="9.140625" style="188"/>
    <col min="8980" max="8980" width="8.28515625" style="188" customWidth="1"/>
    <col min="8981" max="8982" width="7.7109375" style="188" customWidth="1"/>
    <col min="8983" max="8984" width="8.85546875" style="188" customWidth="1"/>
    <col min="8985" max="8985" width="7.85546875" style="188" customWidth="1"/>
    <col min="8986" max="8986" width="7" style="188" customWidth="1"/>
    <col min="8987" max="9216" width="9.140625" style="188"/>
    <col min="9217" max="9217" width="5" style="188" customWidth="1"/>
    <col min="9218" max="9218" width="19.85546875" style="188" customWidth="1"/>
    <col min="9219" max="9222" width="7.7109375" style="188" customWidth="1"/>
    <col min="9223" max="9223" width="9" style="188" customWidth="1"/>
    <col min="9224" max="9224" width="9.28515625" style="188" customWidth="1"/>
    <col min="9225" max="9226" width="7" style="188" customWidth="1"/>
    <col min="9227" max="9227" width="9.28515625" style="188" customWidth="1"/>
    <col min="9228" max="9228" width="9.140625" style="188"/>
    <col min="9229" max="9229" width="7.85546875" style="188" customWidth="1"/>
    <col min="9230" max="9230" width="8.28515625" style="188" customWidth="1"/>
    <col min="9231" max="9231" width="8.7109375" style="188" customWidth="1"/>
    <col min="9232" max="9232" width="8.28515625" style="188" customWidth="1"/>
    <col min="9233" max="9234" width="7" style="188" customWidth="1"/>
    <col min="9235" max="9235" width="9.140625" style="188"/>
    <col min="9236" max="9236" width="8.28515625" style="188" customWidth="1"/>
    <col min="9237" max="9238" width="7.7109375" style="188" customWidth="1"/>
    <col min="9239" max="9240" width="8.85546875" style="188" customWidth="1"/>
    <col min="9241" max="9241" width="7.85546875" style="188" customWidth="1"/>
    <col min="9242" max="9242" width="7" style="188" customWidth="1"/>
    <col min="9243" max="9472" width="9.140625" style="188"/>
    <col min="9473" max="9473" width="5" style="188" customWidth="1"/>
    <col min="9474" max="9474" width="19.85546875" style="188" customWidth="1"/>
    <col min="9475" max="9478" width="7.7109375" style="188" customWidth="1"/>
    <col min="9479" max="9479" width="9" style="188" customWidth="1"/>
    <col min="9480" max="9480" width="9.28515625" style="188" customWidth="1"/>
    <col min="9481" max="9482" width="7" style="188" customWidth="1"/>
    <col min="9483" max="9483" width="9.28515625" style="188" customWidth="1"/>
    <col min="9484" max="9484" width="9.140625" style="188"/>
    <col min="9485" max="9485" width="7.85546875" style="188" customWidth="1"/>
    <col min="9486" max="9486" width="8.28515625" style="188" customWidth="1"/>
    <col min="9487" max="9487" width="8.7109375" style="188" customWidth="1"/>
    <col min="9488" max="9488" width="8.28515625" style="188" customWidth="1"/>
    <col min="9489" max="9490" width="7" style="188" customWidth="1"/>
    <col min="9491" max="9491" width="9.140625" style="188"/>
    <col min="9492" max="9492" width="8.28515625" style="188" customWidth="1"/>
    <col min="9493" max="9494" width="7.7109375" style="188" customWidth="1"/>
    <col min="9495" max="9496" width="8.85546875" style="188" customWidth="1"/>
    <col min="9497" max="9497" width="7.85546875" style="188" customWidth="1"/>
    <col min="9498" max="9498" width="7" style="188" customWidth="1"/>
    <col min="9499" max="9728" width="9.140625" style="188"/>
    <col min="9729" max="9729" width="5" style="188" customWidth="1"/>
    <col min="9730" max="9730" width="19.85546875" style="188" customWidth="1"/>
    <col min="9731" max="9734" width="7.7109375" style="188" customWidth="1"/>
    <col min="9735" max="9735" width="9" style="188" customWidth="1"/>
    <col min="9736" max="9736" width="9.28515625" style="188" customWidth="1"/>
    <col min="9737" max="9738" width="7" style="188" customWidth="1"/>
    <col min="9739" max="9739" width="9.28515625" style="188" customWidth="1"/>
    <col min="9740" max="9740" width="9.140625" style="188"/>
    <col min="9741" max="9741" width="7.85546875" style="188" customWidth="1"/>
    <col min="9742" max="9742" width="8.28515625" style="188" customWidth="1"/>
    <col min="9743" max="9743" width="8.7109375" style="188" customWidth="1"/>
    <col min="9744" max="9744" width="8.28515625" style="188" customWidth="1"/>
    <col min="9745" max="9746" width="7" style="188" customWidth="1"/>
    <col min="9747" max="9747" width="9.140625" style="188"/>
    <col min="9748" max="9748" width="8.28515625" style="188" customWidth="1"/>
    <col min="9749" max="9750" width="7.7109375" style="188" customWidth="1"/>
    <col min="9751" max="9752" width="8.85546875" style="188" customWidth="1"/>
    <col min="9753" max="9753" width="7.85546875" style="188" customWidth="1"/>
    <col min="9754" max="9754" width="7" style="188" customWidth="1"/>
    <col min="9755" max="9984" width="9.140625" style="188"/>
    <col min="9985" max="9985" width="5" style="188" customWidth="1"/>
    <col min="9986" max="9986" width="19.85546875" style="188" customWidth="1"/>
    <col min="9987" max="9990" width="7.7109375" style="188" customWidth="1"/>
    <col min="9991" max="9991" width="9" style="188" customWidth="1"/>
    <col min="9992" max="9992" width="9.28515625" style="188" customWidth="1"/>
    <col min="9993" max="9994" width="7" style="188" customWidth="1"/>
    <col min="9995" max="9995" width="9.28515625" style="188" customWidth="1"/>
    <col min="9996" max="9996" width="9.140625" style="188"/>
    <col min="9997" max="9997" width="7.85546875" style="188" customWidth="1"/>
    <col min="9998" max="9998" width="8.28515625" style="188" customWidth="1"/>
    <col min="9999" max="9999" width="8.7109375" style="188" customWidth="1"/>
    <col min="10000" max="10000" width="8.28515625" style="188" customWidth="1"/>
    <col min="10001" max="10002" width="7" style="188" customWidth="1"/>
    <col min="10003" max="10003" width="9.140625" style="188"/>
    <col min="10004" max="10004" width="8.28515625" style="188" customWidth="1"/>
    <col min="10005" max="10006" width="7.7109375" style="188" customWidth="1"/>
    <col min="10007" max="10008" width="8.85546875" style="188" customWidth="1"/>
    <col min="10009" max="10009" width="7.85546875" style="188" customWidth="1"/>
    <col min="10010" max="10010" width="7" style="188" customWidth="1"/>
    <col min="10011" max="10240" width="9.140625" style="188"/>
    <col min="10241" max="10241" width="5" style="188" customWidth="1"/>
    <col min="10242" max="10242" width="19.85546875" style="188" customWidth="1"/>
    <col min="10243" max="10246" width="7.7109375" style="188" customWidth="1"/>
    <col min="10247" max="10247" width="9" style="188" customWidth="1"/>
    <col min="10248" max="10248" width="9.28515625" style="188" customWidth="1"/>
    <col min="10249" max="10250" width="7" style="188" customWidth="1"/>
    <col min="10251" max="10251" width="9.28515625" style="188" customWidth="1"/>
    <col min="10252" max="10252" width="9.140625" style="188"/>
    <col min="10253" max="10253" width="7.85546875" style="188" customWidth="1"/>
    <col min="10254" max="10254" width="8.28515625" style="188" customWidth="1"/>
    <col min="10255" max="10255" width="8.7109375" style="188" customWidth="1"/>
    <col min="10256" max="10256" width="8.28515625" style="188" customWidth="1"/>
    <col min="10257" max="10258" width="7" style="188" customWidth="1"/>
    <col min="10259" max="10259" width="9.140625" style="188"/>
    <col min="10260" max="10260" width="8.28515625" style="188" customWidth="1"/>
    <col min="10261" max="10262" width="7.7109375" style="188" customWidth="1"/>
    <col min="10263" max="10264" width="8.85546875" style="188" customWidth="1"/>
    <col min="10265" max="10265" width="7.85546875" style="188" customWidth="1"/>
    <col min="10266" max="10266" width="7" style="188" customWidth="1"/>
    <col min="10267" max="10496" width="9.140625" style="188"/>
    <col min="10497" max="10497" width="5" style="188" customWidth="1"/>
    <col min="10498" max="10498" width="19.85546875" style="188" customWidth="1"/>
    <col min="10499" max="10502" width="7.7109375" style="188" customWidth="1"/>
    <col min="10503" max="10503" width="9" style="188" customWidth="1"/>
    <col min="10504" max="10504" width="9.28515625" style="188" customWidth="1"/>
    <col min="10505" max="10506" width="7" style="188" customWidth="1"/>
    <col min="10507" max="10507" width="9.28515625" style="188" customWidth="1"/>
    <col min="10508" max="10508" width="9.140625" style="188"/>
    <col min="10509" max="10509" width="7.85546875" style="188" customWidth="1"/>
    <col min="10510" max="10510" width="8.28515625" style="188" customWidth="1"/>
    <col min="10511" max="10511" width="8.7109375" style="188" customWidth="1"/>
    <col min="10512" max="10512" width="8.28515625" style="188" customWidth="1"/>
    <col min="10513" max="10514" width="7" style="188" customWidth="1"/>
    <col min="10515" max="10515" width="9.140625" style="188"/>
    <col min="10516" max="10516" width="8.28515625" style="188" customWidth="1"/>
    <col min="10517" max="10518" width="7.7109375" style="188" customWidth="1"/>
    <col min="10519" max="10520" width="8.85546875" style="188" customWidth="1"/>
    <col min="10521" max="10521" width="7.85546875" style="188" customWidth="1"/>
    <col min="10522" max="10522" width="7" style="188" customWidth="1"/>
    <col min="10523" max="10752" width="9.140625" style="188"/>
    <col min="10753" max="10753" width="5" style="188" customWidth="1"/>
    <col min="10754" max="10754" width="19.85546875" style="188" customWidth="1"/>
    <col min="10755" max="10758" width="7.7109375" style="188" customWidth="1"/>
    <col min="10759" max="10759" width="9" style="188" customWidth="1"/>
    <col min="10760" max="10760" width="9.28515625" style="188" customWidth="1"/>
    <col min="10761" max="10762" width="7" style="188" customWidth="1"/>
    <col min="10763" max="10763" width="9.28515625" style="188" customWidth="1"/>
    <col min="10764" max="10764" width="9.140625" style="188"/>
    <col min="10765" max="10765" width="7.85546875" style="188" customWidth="1"/>
    <col min="10766" max="10766" width="8.28515625" style="188" customWidth="1"/>
    <col min="10767" max="10767" width="8.7109375" style="188" customWidth="1"/>
    <col min="10768" max="10768" width="8.28515625" style="188" customWidth="1"/>
    <col min="10769" max="10770" width="7" style="188" customWidth="1"/>
    <col min="10771" max="10771" width="9.140625" style="188"/>
    <col min="10772" max="10772" width="8.28515625" style="188" customWidth="1"/>
    <col min="10773" max="10774" width="7.7109375" style="188" customWidth="1"/>
    <col min="10775" max="10776" width="8.85546875" style="188" customWidth="1"/>
    <col min="10777" max="10777" width="7.85546875" style="188" customWidth="1"/>
    <col min="10778" max="10778" width="7" style="188" customWidth="1"/>
    <col min="10779" max="11008" width="9.140625" style="188"/>
    <col min="11009" max="11009" width="5" style="188" customWidth="1"/>
    <col min="11010" max="11010" width="19.85546875" style="188" customWidth="1"/>
    <col min="11011" max="11014" width="7.7109375" style="188" customWidth="1"/>
    <col min="11015" max="11015" width="9" style="188" customWidth="1"/>
    <col min="11016" max="11016" width="9.28515625" style="188" customWidth="1"/>
    <col min="11017" max="11018" width="7" style="188" customWidth="1"/>
    <col min="11019" max="11019" width="9.28515625" style="188" customWidth="1"/>
    <col min="11020" max="11020" width="9.140625" style="188"/>
    <col min="11021" max="11021" width="7.85546875" style="188" customWidth="1"/>
    <col min="11022" max="11022" width="8.28515625" style="188" customWidth="1"/>
    <col min="11023" max="11023" width="8.7109375" style="188" customWidth="1"/>
    <col min="11024" max="11024" width="8.28515625" style="188" customWidth="1"/>
    <col min="11025" max="11026" width="7" style="188" customWidth="1"/>
    <col min="11027" max="11027" width="9.140625" style="188"/>
    <col min="11028" max="11028" width="8.28515625" style="188" customWidth="1"/>
    <col min="11029" max="11030" width="7.7109375" style="188" customWidth="1"/>
    <col min="11031" max="11032" width="8.85546875" style="188" customWidth="1"/>
    <col min="11033" max="11033" width="7.85546875" style="188" customWidth="1"/>
    <col min="11034" max="11034" width="7" style="188" customWidth="1"/>
    <col min="11035" max="11264" width="9.140625" style="188"/>
    <col min="11265" max="11265" width="5" style="188" customWidth="1"/>
    <col min="11266" max="11266" width="19.85546875" style="188" customWidth="1"/>
    <col min="11267" max="11270" width="7.7109375" style="188" customWidth="1"/>
    <col min="11271" max="11271" width="9" style="188" customWidth="1"/>
    <col min="11272" max="11272" width="9.28515625" style="188" customWidth="1"/>
    <col min="11273" max="11274" width="7" style="188" customWidth="1"/>
    <col min="11275" max="11275" width="9.28515625" style="188" customWidth="1"/>
    <col min="11276" max="11276" width="9.140625" style="188"/>
    <col min="11277" max="11277" width="7.85546875" style="188" customWidth="1"/>
    <col min="11278" max="11278" width="8.28515625" style="188" customWidth="1"/>
    <col min="11279" max="11279" width="8.7109375" style="188" customWidth="1"/>
    <col min="11280" max="11280" width="8.28515625" style="188" customWidth="1"/>
    <col min="11281" max="11282" width="7" style="188" customWidth="1"/>
    <col min="11283" max="11283" width="9.140625" style="188"/>
    <col min="11284" max="11284" width="8.28515625" style="188" customWidth="1"/>
    <col min="11285" max="11286" width="7.7109375" style="188" customWidth="1"/>
    <col min="11287" max="11288" width="8.85546875" style="188" customWidth="1"/>
    <col min="11289" max="11289" width="7.85546875" style="188" customWidth="1"/>
    <col min="11290" max="11290" width="7" style="188" customWidth="1"/>
    <col min="11291" max="11520" width="9.140625" style="188"/>
    <col min="11521" max="11521" width="5" style="188" customWidth="1"/>
    <col min="11522" max="11522" width="19.85546875" style="188" customWidth="1"/>
    <col min="11523" max="11526" width="7.7109375" style="188" customWidth="1"/>
    <col min="11527" max="11527" width="9" style="188" customWidth="1"/>
    <col min="11528" max="11528" width="9.28515625" style="188" customWidth="1"/>
    <col min="11529" max="11530" width="7" style="188" customWidth="1"/>
    <col min="11531" max="11531" width="9.28515625" style="188" customWidth="1"/>
    <col min="11532" max="11532" width="9.140625" style="188"/>
    <col min="11533" max="11533" width="7.85546875" style="188" customWidth="1"/>
    <col min="11534" max="11534" width="8.28515625" style="188" customWidth="1"/>
    <col min="11535" max="11535" width="8.7109375" style="188" customWidth="1"/>
    <col min="11536" max="11536" width="8.28515625" style="188" customWidth="1"/>
    <col min="11537" max="11538" width="7" style="188" customWidth="1"/>
    <col min="11539" max="11539" width="9.140625" style="188"/>
    <col min="11540" max="11540" width="8.28515625" style="188" customWidth="1"/>
    <col min="11541" max="11542" width="7.7109375" style="188" customWidth="1"/>
    <col min="11543" max="11544" width="8.85546875" style="188" customWidth="1"/>
    <col min="11545" max="11545" width="7.85546875" style="188" customWidth="1"/>
    <col min="11546" max="11546" width="7" style="188" customWidth="1"/>
    <col min="11547" max="11776" width="9.140625" style="188"/>
    <col min="11777" max="11777" width="5" style="188" customWidth="1"/>
    <col min="11778" max="11778" width="19.85546875" style="188" customWidth="1"/>
    <col min="11779" max="11782" width="7.7109375" style="188" customWidth="1"/>
    <col min="11783" max="11783" width="9" style="188" customWidth="1"/>
    <col min="11784" max="11784" width="9.28515625" style="188" customWidth="1"/>
    <col min="11785" max="11786" width="7" style="188" customWidth="1"/>
    <col min="11787" max="11787" width="9.28515625" style="188" customWidth="1"/>
    <col min="11788" max="11788" width="9.140625" style="188"/>
    <col min="11789" max="11789" width="7.85546875" style="188" customWidth="1"/>
    <col min="11790" max="11790" width="8.28515625" style="188" customWidth="1"/>
    <col min="11791" max="11791" width="8.7109375" style="188" customWidth="1"/>
    <col min="11792" max="11792" width="8.28515625" style="188" customWidth="1"/>
    <col min="11793" max="11794" width="7" style="188" customWidth="1"/>
    <col min="11795" max="11795" width="9.140625" style="188"/>
    <col min="11796" max="11796" width="8.28515625" style="188" customWidth="1"/>
    <col min="11797" max="11798" width="7.7109375" style="188" customWidth="1"/>
    <col min="11799" max="11800" width="8.85546875" style="188" customWidth="1"/>
    <col min="11801" max="11801" width="7.85546875" style="188" customWidth="1"/>
    <col min="11802" max="11802" width="7" style="188" customWidth="1"/>
    <col min="11803" max="12032" width="9.140625" style="188"/>
    <col min="12033" max="12033" width="5" style="188" customWidth="1"/>
    <col min="12034" max="12034" width="19.85546875" style="188" customWidth="1"/>
    <col min="12035" max="12038" width="7.7109375" style="188" customWidth="1"/>
    <col min="12039" max="12039" width="9" style="188" customWidth="1"/>
    <col min="12040" max="12040" width="9.28515625" style="188" customWidth="1"/>
    <col min="12041" max="12042" width="7" style="188" customWidth="1"/>
    <col min="12043" max="12043" width="9.28515625" style="188" customWidth="1"/>
    <col min="12044" max="12044" width="9.140625" style="188"/>
    <col min="12045" max="12045" width="7.85546875" style="188" customWidth="1"/>
    <col min="12046" max="12046" width="8.28515625" style="188" customWidth="1"/>
    <col min="12047" max="12047" width="8.7109375" style="188" customWidth="1"/>
    <col min="12048" max="12048" width="8.28515625" style="188" customWidth="1"/>
    <col min="12049" max="12050" width="7" style="188" customWidth="1"/>
    <col min="12051" max="12051" width="9.140625" style="188"/>
    <col min="12052" max="12052" width="8.28515625" style="188" customWidth="1"/>
    <col min="12053" max="12054" width="7.7109375" style="188" customWidth="1"/>
    <col min="12055" max="12056" width="8.85546875" style="188" customWidth="1"/>
    <col min="12057" max="12057" width="7.85546875" style="188" customWidth="1"/>
    <col min="12058" max="12058" width="7" style="188" customWidth="1"/>
    <col min="12059" max="12288" width="9.140625" style="188"/>
    <col min="12289" max="12289" width="5" style="188" customWidth="1"/>
    <col min="12290" max="12290" width="19.85546875" style="188" customWidth="1"/>
    <col min="12291" max="12294" width="7.7109375" style="188" customWidth="1"/>
    <col min="12295" max="12295" width="9" style="188" customWidth="1"/>
    <col min="12296" max="12296" width="9.28515625" style="188" customWidth="1"/>
    <col min="12297" max="12298" width="7" style="188" customWidth="1"/>
    <col min="12299" max="12299" width="9.28515625" style="188" customWidth="1"/>
    <col min="12300" max="12300" width="9.140625" style="188"/>
    <col min="12301" max="12301" width="7.85546875" style="188" customWidth="1"/>
    <col min="12302" max="12302" width="8.28515625" style="188" customWidth="1"/>
    <col min="12303" max="12303" width="8.7109375" style="188" customWidth="1"/>
    <col min="12304" max="12304" width="8.28515625" style="188" customWidth="1"/>
    <col min="12305" max="12306" width="7" style="188" customWidth="1"/>
    <col min="12307" max="12307" width="9.140625" style="188"/>
    <col min="12308" max="12308" width="8.28515625" style="188" customWidth="1"/>
    <col min="12309" max="12310" width="7.7109375" style="188" customWidth="1"/>
    <col min="12311" max="12312" width="8.85546875" style="188" customWidth="1"/>
    <col min="12313" max="12313" width="7.85546875" style="188" customWidth="1"/>
    <col min="12314" max="12314" width="7" style="188" customWidth="1"/>
    <col min="12315" max="12544" width="9.140625" style="188"/>
    <col min="12545" max="12545" width="5" style="188" customWidth="1"/>
    <col min="12546" max="12546" width="19.85546875" style="188" customWidth="1"/>
    <col min="12547" max="12550" width="7.7109375" style="188" customWidth="1"/>
    <col min="12551" max="12551" width="9" style="188" customWidth="1"/>
    <col min="12552" max="12552" width="9.28515625" style="188" customWidth="1"/>
    <col min="12553" max="12554" width="7" style="188" customWidth="1"/>
    <col min="12555" max="12555" width="9.28515625" style="188" customWidth="1"/>
    <col min="12556" max="12556" width="9.140625" style="188"/>
    <col min="12557" max="12557" width="7.85546875" style="188" customWidth="1"/>
    <col min="12558" max="12558" width="8.28515625" style="188" customWidth="1"/>
    <col min="12559" max="12559" width="8.7109375" style="188" customWidth="1"/>
    <col min="12560" max="12560" width="8.28515625" style="188" customWidth="1"/>
    <col min="12561" max="12562" width="7" style="188" customWidth="1"/>
    <col min="12563" max="12563" width="9.140625" style="188"/>
    <col min="12564" max="12564" width="8.28515625" style="188" customWidth="1"/>
    <col min="12565" max="12566" width="7.7109375" style="188" customWidth="1"/>
    <col min="12567" max="12568" width="8.85546875" style="188" customWidth="1"/>
    <col min="12569" max="12569" width="7.85546875" style="188" customWidth="1"/>
    <col min="12570" max="12570" width="7" style="188" customWidth="1"/>
    <col min="12571" max="12800" width="9.140625" style="188"/>
    <col min="12801" max="12801" width="5" style="188" customWidth="1"/>
    <col min="12802" max="12802" width="19.85546875" style="188" customWidth="1"/>
    <col min="12803" max="12806" width="7.7109375" style="188" customWidth="1"/>
    <col min="12807" max="12807" width="9" style="188" customWidth="1"/>
    <col min="12808" max="12808" width="9.28515625" style="188" customWidth="1"/>
    <col min="12809" max="12810" width="7" style="188" customWidth="1"/>
    <col min="12811" max="12811" width="9.28515625" style="188" customWidth="1"/>
    <col min="12812" max="12812" width="9.140625" style="188"/>
    <col min="12813" max="12813" width="7.85546875" style="188" customWidth="1"/>
    <col min="12814" max="12814" width="8.28515625" style="188" customWidth="1"/>
    <col min="12815" max="12815" width="8.7109375" style="188" customWidth="1"/>
    <col min="12816" max="12816" width="8.28515625" style="188" customWidth="1"/>
    <col min="12817" max="12818" width="7" style="188" customWidth="1"/>
    <col min="12819" max="12819" width="9.140625" style="188"/>
    <col min="12820" max="12820" width="8.28515625" style="188" customWidth="1"/>
    <col min="12821" max="12822" width="7.7109375" style="188" customWidth="1"/>
    <col min="12823" max="12824" width="8.85546875" style="188" customWidth="1"/>
    <col min="12825" max="12825" width="7.85546875" style="188" customWidth="1"/>
    <col min="12826" max="12826" width="7" style="188" customWidth="1"/>
    <col min="12827" max="13056" width="9.140625" style="188"/>
    <col min="13057" max="13057" width="5" style="188" customWidth="1"/>
    <col min="13058" max="13058" width="19.85546875" style="188" customWidth="1"/>
    <col min="13059" max="13062" width="7.7109375" style="188" customWidth="1"/>
    <col min="13063" max="13063" width="9" style="188" customWidth="1"/>
    <col min="13064" max="13064" width="9.28515625" style="188" customWidth="1"/>
    <col min="13065" max="13066" width="7" style="188" customWidth="1"/>
    <col min="13067" max="13067" width="9.28515625" style="188" customWidth="1"/>
    <col min="13068" max="13068" width="9.140625" style="188"/>
    <col min="13069" max="13069" width="7.85546875" style="188" customWidth="1"/>
    <col min="13070" max="13070" width="8.28515625" style="188" customWidth="1"/>
    <col min="13071" max="13071" width="8.7109375" style="188" customWidth="1"/>
    <col min="13072" max="13072" width="8.28515625" style="188" customWidth="1"/>
    <col min="13073" max="13074" width="7" style="188" customWidth="1"/>
    <col min="13075" max="13075" width="9.140625" style="188"/>
    <col min="13076" max="13076" width="8.28515625" style="188" customWidth="1"/>
    <col min="13077" max="13078" width="7.7109375" style="188" customWidth="1"/>
    <col min="13079" max="13080" width="8.85546875" style="188" customWidth="1"/>
    <col min="13081" max="13081" width="7.85546875" style="188" customWidth="1"/>
    <col min="13082" max="13082" width="7" style="188" customWidth="1"/>
    <col min="13083" max="13312" width="9.140625" style="188"/>
    <col min="13313" max="13313" width="5" style="188" customWidth="1"/>
    <col min="13314" max="13314" width="19.85546875" style="188" customWidth="1"/>
    <col min="13315" max="13318" width="7.7109375" style="188" customWidth="1"/>
    <col min="13319" max="13319" width="9" style="188" customWidth="1"/>
    <col min="13320" max="13320" width="9.28515625" style="188" customWidth="1"/>
    <col min="13321" max="13322" width="7" style="188" customWidth="1"/>
    <col min="13323" max="13323" width="9.28515625" style="188" customWidth="1"/>
    <col min="13324" max="13324" width="9.140625" style="188"/>
    <col min="13325" max="13325" width="7.85546875" style="188" customWidth="1"/>
    <col min="13326" max="13326" width="8.28515625" style="188" customWidth="1"/>
    <col min="13327" max="13327" width="8.7109375" style="188" customWidth="1"/>
    <col min="13328" max="13328" width="8.28515625" style="188" customWidth="1"/>
    <col min="13329" max="13330" width="7" style="188" customWidth="1"/>
    <col min="13331" max="13331" width="9.140625" style="188"/>
    <col min="13332" max="13332" width="8.28515625" style="188" customWidth="1"/>
    <col min="13333" max="13334" width="7.7109375" style="188" customWidth="1"/>
    <col min="13335" max="13336" width="8.85546875" style="188" customWidth="1"/>
    <col min="13337" max="13337" width="7.85546875" style="188" customWidth="1"/>
    <col min="13338" max="13338" width="7" style="188" customWidth="1"/>
    <col min="13339" max="13568" width="9.140625" style="188"/>
    <col min="13569" max="13569" width="5" style="188" customWidth="1"/>
    <col min="13570" max="13570" width="19.85546875" style="188" customWidth="1"/>
    <col min="13571" max="13574" width="7.7109375" style="188" customWidth="1"/>
    <col min="13575" max="13575" width="9" style="188" customWidth="1"/>
    <col min="13576" max="13576" width="9.28515625" style="188" customWidth="1"/>
    <col min="13577" max="13578" width="7" style="188" customWidth="1"/>
    <col min="13579" max="13579" width="9.28515625" style="188" customWidth="1"/>
    <col min="13580" max="13580" width="9.140625" style="188"/>
    <col min="13581" max="13581" width="7.85546875" style="188" customWidth="1"/>
    <col min="13582" max="13582" width="8.28515625" style="188" customWidth="1"/>
    <col min="13583" max="13583" width="8.7109375" style="188" customWidth="1"/>
    <col min="13584" max="13584" width="8.28515625" style="188" customWidth="1"/>
    <col min="13585" max="13586" width="7" style="188" customWidth="1"/>
    <col min="13587" max="13587" width="9.140625" style="188"/>
    <col min="13588" max="13588" width="8.28515625" style="188" customWidth="1"/>
    <col min="13589" max="13590" width="7.7109375" style="188" customWidth="1"/>
    <col min="13591" max="13592" width="8.85546875" style="188" customWidth="1"/>
    <col min="13593" max="13593" width="7.85546875" style="188" customWidth="1"/>
    <col min="13594" max="13594" width="7" style="188" customWidth="1"/>
    <col min="13595" max="13824" width="9.140625" style="188"/>
    <col min="13825" max="13825" width="5" style="188" customWidth="1"/>
    <col min="13826" max="13826" width="19.85546875" style="188" customWidth="1"/>
    <col min="13827" max="13830" width="7.7109375" style="188" customWidth="1"/>
    <col min="13831" max="13831" width="9" style="188" customWidth="1"/>
    <col min="13832" max="13832" width="9.28515625" style="188" customWidth="1"/>
    <col min="13833" max="13834" width="7" style="188" customWidth="1"/>
    <col min="13835" max="13835" width="9.28515625" style="188" customWidth="1"/>
    <col min="13836" max="13836" width="9.140625" style="188"/>
    <col min="13837" max="13837" width="7.85546875" style="188" customWidth="1"/>
    <col min="13838" max="13838" width="8.28515625" style="188" customWidth="1"/>
    <col min="13839" max="13839" width="8.7109375" style="188" customWidth="1"/>
    <col min="13840" max="13840" width="8.28515625" style="188" customWidth="1"/>
    <col min="13841" max="13842" width="7" style="188" customWidth="1"/>
    <col min="13843" max="13843" width="9.140625" style="188"/>
    <col min="13844" max="13844" width="8.28515625" style="188" customWidth="1"/>
    <col min="13845" max="13846" width="7.7109375" style="188" customWidth="1"/>
    <col min="13847" max="13848" width="8.85546875" style="188" customWidth="1"/>
    <col min="13849" max="13849" width="7.85546875" style="188" customWidth="1"/>
    <col min="13850" max="13850" width="7" style="188" customWidth="1"/>
    <col min="13851" max="14080" width="9.140625" style="188"/>
    <col min="14081" max="14081" width="5" style="188" customWidth="1"/>
    <col min="14082" max="14082" width="19.85546875" style="188" customWidth="1"/>
    <col min="14083" max="14086" width="7.7109375" style="188" customWidth="1"/>
    <col min="14087" max="14087" width="9" style="188" customWidth="1"/>
    <col min="14088" max="14088" width="9.28515625" style="188" customWidth="1"/>
    <col min="14089" max="14090" width="7" style="188" customWidth="1"/>
    <col min="14091" max="14091" width="9.28515625" style="188" customWidth="1"/>
    <col min="14092" max="14092" width="9.140625" style="188"/>
    <col min="14093" max="14093" width="7.85546875" style="188" customWidth="1"/>
    <col min="14094" max="14094" width="8.28515625" style="188" customWidth="1"/>
    <col min="14095" max="14095" width="8.7109375" style="188" customWidth="1"/>
    <col min="14096" max="14096" width="8.28515625" style="188" customWidth="1"/>
    <col min="14097" max="14098" width="7" style="188" customWidth="1"/>
    <col min="14099" max="14099" width="9.140625" style="188"/>
    <col min="14100" max="14100" width="8.28515625" style="188" customWidth="1"/>
    <col min="14101" max="14102" width="7.7109375" style="188" customWidth="1"/>
    <col min="14103" max="14104" width="8.85546875" style="188" customWidth="1"/>
    <col min="14105" max="14105" width="7.85546875" style="188" customWidth="1"/>
    <col min="14106" max="14106" width="7" style="188" customWidth="1"/>
    <col min="14107" max="14336" width="9.140625" style="188"/>
    <col min="14337" max="14337" width="5" style="188" customWidth="1"/>
    <col min="14338" max="14338" width="19.85546875" style="188" customWidth="1"/>
    <col min="14339" max="14342" width="7.7109375" style="188" customWidth="1"/>
    <col min="14343" max="14343" width="9" style="188" customWidth="1"/>
    <col min="14344" max="14344" width="9.28515625" style="188" customWidth="1"/>
    <col min="14345" max="14346" width="7" style="188" customWidth="1"/>
    <col min="14347" max="14347" width="9.28515625" style="188" customWidth="1"/>
    <col min="14348" max="14348" width="9.140625" style="188"/>
    <col min="14349" max="14349" width="7.85546875" style="188" customWidth="1"/>
    <col min="14350" max="14350" width="8.28515625" style="188" customWidth="1"/>
    <col min="14351" max="14351" width="8.7109375" style="188" customWidth="1"/>
    <col min="14352" max="14352" width="8.28515625" style="188" customWidth="1"/>
    <col min="14353" max="14354" width="7" style="188" customWidth="1"/>
    <col min="14355" max="14355" width="9.140625" style="188"/>
    <col min="14356" max="14356" width="8.28515625" style="188" customWidth="1"/>
    <col min="14357" max="14358" width="7.7109375" style="188" customWidth="1"/>
    <col min="14359" max="14360" width="8.85546875" style="188" customWidth="1"/>
    <col min="14361" max="14361" width="7.85546875" style="188" customWidth="1"/>
    <col min="14362" max="14362" width="7" style="188" customWidth="1"/>
    <col min="14363" max="14592" width="9.140625" style="188"/>
    <col min="14593" max="14593" width="5" style="188" customWidth="1"/>
    <col min="14594" max="14594" width="19.85546875" style="188" customWidth="1"/>
    <col min="14595" max="14598" width="7.7109375" style="188" customWidth="1"/>
    <col min="14599" max="14599" width="9" style="188" customWidth="1"/>
    <col min="14600" max="14600" width="9.28515625" style="188" customWidth="1"/>
    <col min="14601" max="14602" width="7" style="188" customWidth="1"/>
    <col min="14603" max="14603" width="9.28515625" style="188" customWidth="1"/>
    <col min="14604" max="14604" width="9.140625" style="188"/>
    <col min="14605" max="14605" width="7.85546875" style="188" customWidth="1"/>
    <col min="14606" max="14606" width="8.28515625" style="188" customWidth="1"/>
    <col min="14607" max="14607" width="8.7109375" style="188" customWidth="1"/>
    <col min="14608" max="14608" width="8.28515625" style="188" customWidth="1"/>
    <col min="14609" max="14610" width="7" style="188" customWidth="1"/>
    <col min="14611" max="14611" width="9.140625" style="188"/>
    <col min="14612" max="14612" width="8.28515625" style="188" customWidth="1"/>
    <col min="14613" max="14614" width="7.7109375" style="188" customWidth="1"/>
    <col min="14615" max="14616" width="8.85546875" style="188" customWidth="1"/>
    <col min="14617" max="14617" width="7.85546875" style="188" customWidth="1"/>
    <col min="14618" max="14618" width="7" style="188" customWidth="1"/>
    <col min="14619" max="14848" width="9.140625" style="188"/>
    <col min="14849" max="14849" width="5" style="188" customWidth="1"/>
    <col min="14850" max="14850" width="19.85546875" style="188" customWidth="1"/>
    <col min="14851" max="14854" width="7.7109375" style="188" customWidth="1"/>
    <col min="14855" max="14855" width="9" style="188" customWidth="1"/>
    <col min="14856" max="14856" width="9.28515625" style="188" customWidth="1"/>
    <col min="14857" max="14858" width="7" style="188" customWidth="1"/>
    <col min="14859" max="14859" width="9.28515625" style="188" customWidth="1"/>
    <col min="14860" max="14860" width="9.140625" style="188"/>
    <col min="14861" max="14861" width="7.85546875" style="188" customWidth="1"/>
    <col min="14862" max="14862" width="8.28515625" style="188" customWidth="1"/>
    <col min="14863" max="14863" width="8.7109375" style="188" customWidth="1"/>
    <col min="14864" max="14864" width="8.28515625" style="188" customWidth="1"/>
    <col min="14865" max="14866" width="7" style="188" customWidth="1"/>
    <col min="14867" max="14867" width="9.140625" style="188"/>
    <col min="14868" max="14868" width="8.28515625" style="188" customWidth="1"/>
    <col min="14869" max="14870" width="7.7109375" style="188" customWidth="1"/>
    <col min="14871" max="14872" width="8.85546875" style="188" customWidth="1"/>
    <col min="14873" max="14873" width="7.85546875" style="188" customWidth="1"/>
    <col min="14874" max="14874" width="7" style="188" customWidth="1"/>
    <col min="14875" max="15104" width="9.140625" style="188"/>
    <col min="15105" max="15105" width="5" style="188" customWidth="1"/>
    <col min="15106" max="15106" width="19.85546875" style="188" customWidth="1"/>
    <col min="15107" max="15110" width="7.7109375" style="188" customWidth="1"/>
    <col min="15111" max="15111" width="9" style="188" customWidth="1"/>
    <col min="15112" max="15112" width="9.28515625" style="188" customWidth="1"/>
    <col min="15113" max="15114" width="7" style="188" customWidth="1"/>
    <col min="15115" max="15115" width="9.28515625" style="188" customWidth="1"/>
    <col min="15116" max="15116" width="9.140625" style="188"/>
    <col min="15117" max="15117" width="7.85546875" style="188" customWidth="1"/>
    <col min="15118" max="15118" width="8.28515625" style="188" customWidth="1"/>
    <col min="15119" max="15119" width="8.7109375" style="188" customWidth="1"/>
    <col min="15120" max="15120" width="8.28515625" style="188" customWidth="1"/>
    <col min="15121" max="15122" width="7" style="188" customWidth="1"/>
    <col min="15123" max="15123" width="9.140625" style="188"/>
    <col min="15124" max="15124" width="8.28515625" style="188" customWidth="1"/>
    <col min="15125" max="15126" width="7.7109375" style="188" customWidth="1"/>
    <col min="15127" max="15128" width="8.85546875" style="188" customWidth="1"/>
    <col min="15129" max="15129" width="7.85546875" style="188" customWidth="1"/>
    <col min="15130" max="15130" width="7" style="188" customWidth="1"/>
    <col min="15131" max="15360" width="9.140625" style="188"/>
    <col min="15361" max="15361" width="5" style="188" customWidth="1"/>
    <col min="15362" max="15362" width="19.85546875" style="188" customWidth="1"/>
    <col min="15363" max="15366" width="7.7109375" style="188" customWidth="1"/>
    <col min="15367" max="15367" width="9" style="188" customWidth="1"/>
    <col min="15368" max="15368" width="9.28515625" style="188" customWidth="1"/>
    <col min="15369" max="15370" width="7" style="188" customWidth="1"/>
    <col min="15371" max="15371" width="9.28515625" style="188" customWidth="1"/>
    <col min="15372" max="15372" width="9.140625" style="188"/>
    <col min="15373" max="15373" width="7.85546875" style="188" customWidth="1"/>
    <col min="15374" max="15374" width="8.28515625" style="188" customWidth="1"/>
    <col min="15375" max="15375" width="8.7109375" style="188" customWidth="1"/>
    <col min="15376" max="15376" width="8.28515625" style="188" customWidth="1"/>
    <col min="15377" max="15378" width="7" style="188" customWidth="1"/>
    <col min="15379" max="15379" width="9.140625" style="188"/>
    <col min="15380" max="15380" width="8.28515625" style="188" customWidth="1"/>
    <col min="15381" max="15382" width="7.7109375" style="188" customWidth="1"/>
    <col min="15383" max="15384" width="8.85546875" style="188" customWidth="1"/>
    <col min="15385" max="15385" width="7.85546875" style="188" customWidth="1"/>
    <col min="15386" max="15386" width="7" style="188" customWidth="1"/>
    <col min="15387" max="15616" width="9.140625" style="188"/>
    <col min="15617" max="15617" width="5" style="188" customWidth="1"/>
    <col min="15618" max="15618" width="19.85546875" style="188" customWidth="1"/>
    <col min="15619" max="15622" width="7.7109375" style="188" customWidth="1"/>
    <col min="15623" max="15623" width="9" style="188" customWidth="1"/>
    <col min="15624" max="15624" width="9.28515625" style="188" customWidth="1"/>
    <col min="15625" max="15626" width="7" style="188" customWidth="1"/>
    <col min="15627" max="15627" width="9.28515625" style="188" customWidth="1"/>
    <col min="15628" max="15628" width="9.140625" style="188"/>
    <col min="15629" max="15629" width="7.85546875" style="188" customWidth="1"/>
    <col min="15630" max="15630" width="8.28515625" style="188" customWidth="1"/>
    <col min="15631" max="15631" width="8.7109375" style="188" customWidth="1"/>
    <col min="15632" max="15632" width="8.28515625" style="188" customWidth="1"/>
    <col min="15633" max="15634" width="7" style="188" customWidth="1"/>
    <col min="15635" max="15635" width="9.140625" style="188"/>
    <col min="15636" max="15636" width="8.28515625" style="188" customWidth="1"/>
    <col min="15637" max="15638" width="7.7109375" style="188" customWidth="1"/>
    <col min="15639" max="15640" width="8.85546875" style="188" customWidth="1"/>
    <col min="15641" max="15641" width="7.85546875" style="188" customWidth="1"/>
    <col min="15642" max="15642" width="7" style="188" customWidth="1"/>
    <col min="15643" max="15872" width="9.140625" style="188"/>
    <col min="15873" max="15873" width="5" style="188" customWidth="1"/>
    <col min="15874" max="15874" width="19.85546875" style="188" customWidth="1"/>
    <col min="15875" max="15878" width="7.7109375" style="188" customWidth="1"/>
    <col min="15879" max="15879" width="9" style="188" customWidth="1"/>
    <col min="15880" max="15880" width="9.28515625" style="188" customWidth="1"/>
    <col min="15881" max="15882" width="7" style="188" customWidth="1"/>
    <col min="15883" max="15883" width="9.28515625" style="188" customWidth="1"/>
    <col min="15884" max="15884" width="9.140625" style="188"/>
    <col min="15885" max="15885" width="7.85546875" style="188" customWidth="1"/>
    <col min="15886" max="15886" width="8.28515625" style="188" customWidth="1"/>
    <col min="15887" max="15887" width="8.7109375" style="188" customWidth="1"/>
    <col min="15888" max="15888" width="8.28515625" style="188" customWidth="1"/>
    <col min="15889" max="15890" width="7" style="188" customWidth="1"/>
    <col min="15891" max="15891" width="9.140625" style="188"/>
    <col min="15892" max="15892" width="8.28515625" style="188" customWidth="1"/>
    <col min="15893" max="15894" width="7.7109375" style="188" customWidth="1"/>
    <col min="15895" max="15896" width="8.85546875" style="188" customWidth="1"/>
    <col min="15897" max="15897" width="7.85546875" style="188" customWidth="1"/>
    <col min="15898" max="15898" width="7" style="188" customWidth="1"/>
    <col min="15899" max="16128" width="9.140625" style="188"/>
    <col min="16129" max="16129" width="5" style="188" customWidth="1"/>
    <col min="16130" max="16130" width="19.85546875" style="188" customWidth="1"/>
    <col min="16131" max="16134" width="7.7109375" style="188" customWidth="1"/>
    <col min="16135" max="16135" width="9" style="188" customWidth="1"/>
    <col min="16136" max="16136" width="9.28515625" style="188" customWidth="1"/>
    <col min="16137" max="16138" width="7" style="188" customWidth="1"/>
    <col min="16139" max="16139" width="9.28515625" style="188" customWidth="1"/>
    <col min="16140" max="16140" width="9.140625" style="188"/>
    <col min="16141" max="16141" width="7.85546875" style="188" customWidth="1"/>
    <col min="16142" max="16142" width="8.28515625" style="188" customWidth="1"/>
    <col min="16143" max="16143" width="8.7109375" style="188" customWidth="1"/>
    <col min="16144" max="16144" width="8.28515625" style="188" customWidth="1"/>
    <col min="16145" max="16146" width="7" style="188" customWidth="1"/>
    <col min="16147" max="16147" width="9.140625" style="188"/>
    <col min="16148" max="16148" width="8.28515625" style="188" customWidth="1"/>
    <col min="16149" max="16150" width="7.7109375" style="188" customWidth="1"/>
    <col min="16151" max="16152" width="8.85546875" style="188" customWidth="1"/>
    <col min="16153" max="16153" width="7.85546875" style="188" customWidth="1"/>
    <col min="16154" max="16154" width="7" style="188" customWidth="1"/>
    <col min="16155" max="16384" width="9.140625" style="188"/>
  </cols>
  <sheetData>
    <row r="1" spans="1:28" s="66" customFormat="1" ht="34.5" customHeight="1">
      <c r="A1" s="644" t="s">
        <v>0</v>
      </c>
      <c r="B1" s="644"/>
      <c r="C1" s="644"/>
      <c r="D1" s="644"/>
      <c r="E1" s="644"/>
      <c r="F1" s="586" t="s">
        <v>697</v>
      </c>
      <c r="G1" s="586"/>
      <c r="H1" s="586"/>
      <c r="I1" s="586"/>
      <c r="J1" s="586"/>
      <c r="K1" s="586"/>
      <c r="L1" s="586"/>
      <c r="M1" s="586"/>
      <c r="N1" s="586"/>
      <c r="O1" s="586"/>
      <c r="P1" s="586"/>
      <c r="Q1" s="586"/>
      <c r="R1" s="586"/>
    </row>
    <row r="2" spans="1:28" ht="31.5" customHeight="1">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8" s="157" customFormat="1" ht="44.25" customHeight="1">
      <c r="A3" s="589" t="s">
        <v>3</v>
      </c>
      <c r="B3" s="592" t="s">
        <v>52</v>
      </c>
      <c r="C3" s="595" t="s">
        <v>5</v>
      </c>
      <c r="D3" s="596"/>
      <c r="E3" s="596"/>
      <c r="F3" s="597"/>
      <c r="G3" s="642" t="s">
        <v>6</v>
      </c>
      <c r="H3" s="643"/>
      <c r="I3" s="643"/>
      <c r="J3" s="643"/>
      <c r="K3" s="735"/>
      <c r="L3" s="735"/>
      <c r="M3" s="735"/>
      <c r="N3" s="735"/>
      <c r="O3" s="735"/>
      <c r="P3" s="735"/>
      <c r="Q3" s="735"/>
      <c r="R3" s="735"/>
      <c r="S3" s="735"/>
      <c r="T3" s="735"/>
      <c r="U3" s="735"/>
      <c r="V3" s="735"/>
      <c r="W3" s="735"/>
      <c r="X3" s="735"/>
      <c r="Y3" s="735"/>
      <c r="Z3" s="736"/>
      <c r="AA3" s="513" t="s">
        <v>119</v>
      </c>
      <c r="AB3" s="513" t="s">
        <v>120</v>
      </c>
    </row>
    <row r="4" spans="1:28" s="157" customFormat="1" ht="44.25" customHeight="1">
      <c r="A4" s="590"/>
      <c r="B4" s="593"/>
      <c r="C4" s="598"/>
      <c r="D4" s="599"/>
      <c r="E4" s="599"/>
      <c r="F4" s="600"/>
      <c r="G4" s="601" t="s">
        <v>9</v>
      </c>
      <c r="H4" s="601"/>
      <c r="I4" s="601"/>
      <c r="J4" s="601"/>
      <c r="K4" s="601" t="s">
        <v>10</v>
      </c>
      <c r="L4" s="601"/>
      <c r="M4" s="601"/>
      <c r="N4" s="601"/>
      <c r="O4" s="601" t="s">
        <v>11</v>
      </c>
      <c r="P4" s="601"/>
      <c r="Q4" s="601"/>
      <c r="R4" s="601"/>
      <c r="S4" s="601" t="s">
        <v>12</v>
      </c>
      <c r="T4" s="601"/>
      <c r="U4" s="601"/>
      <c r="V4" s="601"/>
      <c r="W4" s="601" t="s">
        <v>13</v>
      </c>
      <c r="X4" s="601"/>
      <c r="Y4" s="601"/>
      <c r="Z4" s="601"/>
      <c r="AA4" s="513"/>
      <c r="AB4" s="513"/>
    </row>
    <row r="5" spans="1:28" s="157" customFormat="1" ht="75.75" customHeight="1">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513"/>
      <c r="AB5" s="513"/>
    </row>
    <row r="6" spans="1:28" s="157" customFormat="1" ht="35.25" customHeight="1">
      <c r="A6" s="349">
        <v>1</v>
      </c>
      <c r="B6" s="444" t="s">
        <v>698</v>
      </c>
      <c r="C6" s="69">
        <v>0</v>
      </c>
      <c r="D6" s="69" t="s">
        <v>699</v>
      </c>
      <c r="E6" s="69">
        <v>0</v>
      </c>
      <c r="F6" s="69">
        <v>800</v>
      </c>
      <c r="G6" s="69">
        <v>800</v>
      </c>
      <c r="H6" s="69">
        <v>800</v>
      </c>
      <c r="I6" s="69">
        <v>800</v>
      </c>
      <c r="J6" s="69">
        <v>800</v>
      </c>
      <c r="K6" s="69">
        <v>820</v>
      </c>
      <c r="L6" s="69">
        <v>820</v>
      </c>
      <c r="M6" s="69">
        <v>820</v>
      </c>
      <c r="N6" s="69">
        <v>820</v>
      </c>
      <c r="O6" s="69">
        <v>830</v>
      </c>
      <c r="P6" s="69">
        <v>830</v>
      </c>
      <c r="Q6" s="69">
        <v>830</v>
      </c>
      <c r="R6" s="69">
        <v>830</v>
      </c>
      <c r="S6" s="69">
        <v>840</v>
      </c>
      <c r="T6" s="69">
        <v>840</v>
      </c>
      <c r="U6" s="69">
        <v>840</v>
      </c>
      <c r="V6" s="69">
        <v>840</v>
      </c>
      <c r="W6" s="69">
        <v>850</v>
      </c>
      <c r="X6" s="69">
        <v>850</v>
      </c>
      <c r="Y6" s="69">
        <v>850</v>
      </c>
      <c r="Z6" s="69">
        <v>850</v>
      </c>
      <c r="AA6" s="446">
        <f t="shared" ref="AA6:AA11" si="0">C6/W6</f>
        <v>0</v>
      </c>
      <c r="AB6" s="446">
        <f t="shared" ref="AB6:AB11" si="1">W6/X6</f>
        <v>1</v>
      </c>
    </row>
    <row r="7" spans="1:28" s="157" customFormat="1" ht="31.5">
      <c r="A7" s="349">
        <v>2</v>
      </c>
      <c r="B7" s="444" t="s">
        <v>700</v>
      </c>
      <c r="C7" s="69">
        <v>0</v>
      </c>
      <c r="D7" s="69">
        <v>250</v>
      </c>
      <c r="E7" s="69">
        <v>0</v>
      </c>
      <c r="F7" s="69">
        <v>250</v>
      </c>
      <c r="G7" s="69">
        <v>250</v>
      </c>
      <c r="H7" s="69">
        <v>250</v>
      </c>
      <c r="I7" s="69">
        <v>250</v>
      </c>
      <c r="J7" s="69">
        <v>250</v>
      </c>
      <c r="K7" s="69">
        <v>260</v>
      </c>
      <c r="L7" s="69">
        <v>260</v>
      </c>
      <c r="M7" s="69">
        <v>260</v>
      </c>
      <c r="N7" s="69">
        <v>260</v>
      </c>
      <c r="O7" s="69">
        <v>270</v>
      </c>
      <c r="P7" s="69">
        <v>270</v>
      </c>
      <c r="Q7" s="69">
        <v>270</v>
      </c>
      <c r="R7" s="69">
        <v>270</v>
      </c>
      <c r="S7" s="69">
        <v>270</v>
      </c>
      <c r="T7" s="69">
        <v>270</v>
      </c>
      <c r="U7" s="69">
        <v>270</v>
      </c>
      <c r="V7" s="69">
        <v>270</v>
      </c>
      <c r="W7" s="69">
        <v>280</v>
      </c>
      <c r="X7" s="69">
        <v>280</v>
      </c>
      <c r="Y7" s="69">
        <v>280</v>
      </c>
      <c r="Z7" s="69">
        <v>280</v>
      </c>
      <c r="AA7" s="446">
        <f t="shared" si="0"/>
        <v>0</v>
      </c>
      <c r="AB7" s="446">
        <f t="shared" si="1"/>
        <v>1</v>
      </c>
    </row>
    <row r="8" spans="1:28" s="157" customFormat="1" ht="32.25" customHeight="1">
      <c r="A8" s="349">
        <v>3</v>
      </c>
      <c r="B8" s="444" t="s">
        <v>701</v>
      </c>
      <c r="C8" s="69">
        <v>0</v>
      </c>
      <c r="D8" s="69">
        <v>1800</v>
      </c>
      <c r="E8" s="69">
        <v>0</v>
      </c>
      <c r="F8" s="69">
        <v>1800</v>
      </c>
      <c r="G8" s="69">
        <v>1800</v>
      </c>
      <c r="H8" s="69">
        <v>1800</v>
      </c>
      <c r="I8" s="69">
        <v>1800</v>
      </c>
      <c r="J8" s="69">
        <v>1800</v>
      </c>
      <c r="K8" s="69">
        <v>1810</v>
      </c>
      <c r="L8" s="69">
        <v>1810</v>
      </c>
      <c r="M8" s="69">
        <v>1810</v>
      </c>
      <c r="N8" s="69">
        <v>1810</v>
      </c>
      <c r="O8" s="69">
        <v>1820</v>
      </c>
      <c r="P8" s="69">
        <v>1820</v>
      </c>
      <c r="Q8" s="69">
        <v>1820</v>
      </c>
      <c r="R8" s="69">
        <v>1820</v>
      </c>
      <c r="S8" s="69">
        <v>1830</v>
      </c>
      <c r="T8" s="69">
        <v>1830</v>
      </c>
      <c r="U8" s="69">
        <v>1830</v>
      </c>
      <c r="V8" s="69">
        <v>1830</v>
      </c>
      <c r="W8" s="69">
        <v>1840</v>
      </c>
      <c r="X8" s="69">
        <v>1840</v>
      </c>
      <c r="Y8" s="69">
        <v>1840</v>
      </c>
      <c r="Z8" s="69">
        <v>1840</v>
      </c>
      <c r="AA8" s="446">
        <f t="shared" si="0"/>
        <v>0</v>
      </c>
      <c r="AB8" s="446">
        <f t="shared" si="1"/>
        <v>1</v>
      </c>
    </row>
    <row r="9" spans="1:28" s="157" customFormat="1" ht="35.25" customHeight="1">
      <c r="A9" s="349">
        <v>4</v>
      </c>
      <c r="B9" s="444" t="s">
        <v>702</v>
      </c>
      <c r="C9" s="69">
        <v>0</v>
      </c>
      <c r="D9" s="69">
        <v>300</v>
      </c>
      <c r="E9" s="69">
        <v>0</v>
      </c>
      <c r="F9" s="69">
        <v>100</v>
      </c>
      <c r="G9" s="69">
        <v>300</v>
      </c>
      <c r="H9" s="69">
        <v>300</v>
      </c>
      <c r="I9" s="69">
        <v>100</v>
      </c>
      <c r="J9" s="69">
        <v>100</v>
      </c>
      <c r="K9" s="69">
        <v>350</v>
      </c>
      <c r="L9" s="69">
        <v>350</v>
      </c>
      <c r="M9" s="69">
        <v>200</v>
      </c>
      <c r="N9" s="69">
        <v>200</v>
      </c>
      <c r="O9" s="69">
        <v>350</v>
      </c>
      <c r="P9" s="69">
        <v>350</v>
      </c>
      <c r="Q9" s="69">
        <v>200</v>
      </c>
      <c r="R9" s="69">
        <v>200</v>
      </c>
      <c r="S9" s="69">
        <v>450</v>
      </c>
      <c r="T9" s="69">
        <v>450</v>
      </c>
      <c r="U9" s="69">
        <v>300</v>
      </c>
      <c r="V9" s="69">
        <v>300</v>
      </c>
      <c r="W9" s="69">
        <v>450</v>
      </c>
      <c r="X9" s="69">
        <v>450</v>
      </c>
      <c r="Y9" s="69">
        <v>300</v>
      </c>
      <c r="Z9" s="69">
        <v>300</v>
      </c>
      <c r="AA9" s="446">
        <f t="shared" si="0"/>
        <v>0</v>
      </c>
      <c r="AB9" s="446">
        <f t="shared" si="1"/>
        <v>1</v>
      </c>
    </row>
    <row r="10" spans="1:28" s="157" customFormat="1" ht="42">
      <c r="A10" s="349">
        <v>5</v>
      </c>
      <c r="B10" s="444" t="s">
        <v>703</v>
      </c>
      <c r="C10" s="69">
        <v>0</v>
      </c>
      <c r="D10" s="69">
        <v>750</v>
      </c>
      <c r="E10" s="69">
        <v>0</v>
      </c>
      <c r="F10" s="69">
        <v>750</v>
      </c>
      <c r="G10" s="69">
        <v>750</v>
      </c>
      <c r="H10" s="69">
        <v>750</v>
      </c>
      <c r="I10" s="69">
        <v>750</v>
      </c>
      <c r="J10" s="69">
        <v>750</v>
      </c>
      <c r="K10" s="69">
        <v>750</v>
      </c>
      <c r="L10" s="69">
        <v>750</v>
      </c>
      <c r="M10" s="69">
        <v>750</v>
      </c>
      <c r="N10" s="69">
        <v>750</v>
      </c>
      <c r="O10" s="69">
        <v>750</v>
      </c>
      <c r="P10" s="69">
        <v>750</v>
      </c>
      <c r="Q10" s="69">
        <v>750</v>
      </c>
      <c r="R10" s="69">
        <v>750</v>
      </c>
      <c r="S10" s="69">
        <v>760</v>
      </c>
      <c r="T10" s="69">
        <v>760</v>
      </c>
      <c r="U10" s="69">
        <v>760</v>
      </c>
      <c r="V10" s="69">
        <v>760</v>
      </c>
      <c r="W10" s="69">
        <v>760</v>
      </c>
      <c r="X10" s="69">
        <v>760</v>
      </c>
      <c r="Y10" s="69">
        <v>760</v>
      </c>
      <c r="Z10" s="69">
        <v>760</v>
      </c>
      <c r="AA10" s="446">
        <f t="shared" si="0"/>
        <v>0</v>
      </c>
      <c r="AB10" s="446">
        <f t="shared" si="1"/>
        <v>1</v>
      </c>
    </row>
    <row r="11" spans="1:28" s="157" customFormat="1" ht="31.5">
      <c r="A11" s="349">
        <v>6</v>
      </c>
      <c r="B11" s="444" t="s">
        <v>704</v>
      </c>
      <c r="C11" s="69">
        <v>0</v>
      </c>
      <c r="D11" s="69">
        <v>100</v>
      </c>
      <c r="E11" s="69">
        <v>0</v>
      </c>
      <c r="F11" s="69">
        <v>8</v>
      </c>
      <c r="G11" s="69">
        <v>300</v>
      </c>
      <c r="H11" s="69">
        <v>300</v>
      </c>
      <c r="I11" s="69">
        <v>8</v>
      </c>
      <c r="J11" s="69">
        <v>8</v>
      </c>
      <c r="K11" s="69">
        <v>300</v>
      </c>
      <c r="L11" s="69">
        <v>300</v>
      </c>
      <c r="M11" s="69">
        <v>8</v>
      </c>
      <c r="N11" s="69">
        <v>8</v>
      </c>
      <c r="O11" s="69">
        <v>400</v>
      </c>
      <c r="P11" s="69">
        <v>400</v>
      </c>
      <c r="Q11" s="69">
        <v>8</v>
      </c>
      <c r="R11" s="69">
        <v>8</v>
      </c>
      <c r="S11" s="69">
        <v>400</v>
      </c>
      <c r="T11" s="69">
        <v>400</v>
      </c>
      <c r="U11" s="69">
        <v>8</v>
      </c>
      <c r="V11" s="69">
        <v>8</v>
      </c>
      <c r="W11" s="69">
        <v>400</v>
      </c>
      <c r="X11" s="69">
        <v>400</v>
      </c>
      <c r="Y11" s="69">
        <v>8</v>
      </c>
      <c r="Z11" s="69">
        <v>8</v>
      </c>
      <c r="AA11" s="446">
        <f t="shared" si="0"/>
        <v>0</v>
      </c>
      <c r="AB11" s="446">
        <f t="shared" si="1"/>
        <v>1</v>
      </c>
    </row>
    <row r="12" spans="1:28" ht="51">
      <c r="A12" s="262"/>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6" t="s">
        <v>123</v>
      </c>
      <c r="AA12" s="446">
        <f>AVERAGE(AA6:AA11)</f>
        <v>0</v>
      </c>
      <c r="AB12" s="446">
        <f>AVERAGE(AB6:AB11)</f>
        <v>1</v>
      </c>
    </row>
    <row r="13" spans="1:28" ht="23.25">
      <c r="A13" s="737" t="s">
        <v>25</v>
      </c>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row>
    <row r="14" spans="1:28" ht="33.75" customHeight="1">
      <c r="A14" s="738" t="s">
        <v>3</v>
      </c>
      <c r="B14" s="741" t="s">
        <v>26</v>
      </c>
      <c r="C14" s="744" t="s">
        <v>357</v>
      </c>
      <c r="D14" s="745"/>
      <c r="E14" s="745"/>
      <c r="F14" s="746"/>
      <c r="G14" s="750" t="s">
        <v>28</v>
      </c>
      <c r="H14" s="750"/>
      <c r="I14" s="750"/>
      <c r="J14" s="750"/>
      <c r="K14" s="750"/>
      <c r="L14" s="750"/>
      <c r="M14" s="750"/>
      <c r="N14" s="750"/>
      <c r="O14" s="750"/>
      <c r="P14" s="750"/>
      <c r="Q14" s="750"/>
      <c r="R14" s="750"/>
      <c r="S14" s="750"/>
      <c r="T14" s="750"/>
      <c r="U14" s="750"/>
      <c r="V14" s="750"/>
      <c r="W14" s="750"/>
      <c r="X14" s="750"/>
      <c r="Y14" s="750"/>
      <c r="Z14" s="750"/>
      <c r="AA14" s="513" t="s">
        <v>124</v>
      </c>
      <c r="AB14" s="513" t="s">
        <v>125</v>
      </c>
    </row>
    <row r="15" spans="1:28" ht="33.75" customHeight="1">
      <c r="A15" s="739"/>
      <c r="B15" s="742"/>
      <c r="C15" s="747"/>
      <c r="D15" s="748"/>
      <c r="E15" s="748"/>
      <c r="F15" s="749"/>
      <c r="G15" s="750" t="s">
        <v>9</v>
      </c>
      <c r="H15" s="750"/>
      <c r="I15" s="750"/>
      <c r="J15" s="750"/>
      <c r="K15" s="750" t="s">
        <v>10</v>
      </c>
      <c r="L15" s="750"/>
      <c r="M15" s="750"/>
      <c r="N15" s="750"/>
      <c r="O15" s="750" t="s">
        <v>11</v>
      </c>
      <c r="P15" s="750"/>
      <c r="Q15" s="750"/>
      <c r="R15" s="750"/>
      <c r="S15" s="750" t="s">
        <v>12</v>
      </c>
      <c r="T15" s="750"/>
      <c r="U15" s="750"/>
      <c r="V15" s="750"/>
      <c r="W15" s="750" t="s">
        <v>13</v>
      </c>
      <c r="X15" s="750"/>
      <c r="Y15" s="750"/>
      <c r="Z15" s="750"/>
      <c r="AA15" s="513" t="s">
        <v>124</v>
      </c>
      <c r="AB15" s="513" t="s">
        <v>125</v>
      </c>
    </row>
    <row r="16" spans="1:28" ht="78.75" customHeight="1">
      <c r="A16" s="740"/>
      <c r="B16" s="743"/>
      <c r="C16" s="141" t="s">
        <v>358</v>
      </c>
      <c r="D16" s="141" t="s">
        <v>32</v>
      </c>
      <c r="E16" s="141" t="s">
        <v>33</v>
      </c>
      <c r="F16" s="141" t="s">
        <v>355</v>
      </c>
      <c r="G16" s="141" t="s">
        <v>34</v>
      </c>
      <c r="H16" s="141" t="s">
        <v>32</v>
      </c>
      <c r="I16" s="141" t="s">
        <v>33</v>
      </c>
      <c r="J16" s="141" t="s">
        <v>19</v>
      </c>
      <c r="K16" s="141" t="s">
        <v>34</v>
      </c>
      <c r="L16" s="141" t="s">
        <v>32</v>
      </c>
      <c r="M16" s="141" t="s">
        <v>33</v>
      </c>
      <c r="N16" s="141" t="s">
        <v>19</v>
      </c>
      <c r="O16" s="141" t="s">
        <v>34</v>
      </c>
      <c r="P16" s="141" t="s">
        <v>32</v>
      </c>
      <c r="Q16" s="141" t="s">
        <v>33</v>
      </c>
      <c r="R16" s="141" t="s">
        <v>19</v>
      </c>
      <c r="S16" s="141" t="s">
        <v>34</v>
      </c>
      <c r="T16" s="141" t="s">
        <v>32</v>
      </c>
      <c r="U16" s="141" t="s">
        <v>33</v>
      </c>
      <c r="V16" s="141" t="s">
        <v>19</v>
      </c>
      <c r="W16" s="141" t="s">
        <v>34</v>
      </c>
      <c r="X16" s="141" t="s">
        <v>32</v>
      </c>
      <c r="Y16" s="141" t="s">
        <v>33</v>
      </c>
      <c r="Z16" s="141" t="s">
        <v>19</v>
      </c>
      <c r="AA16" s="513" t="s">
        <v>124</v>
      </c>
      <c r="AB16" s="513" t="s">
        <v>125</v>
      </c>
    </row>
    <row r="17" spans="1:28" ht="25.5">
      <c r="A17" s="264" t="s">
        <v>20</v>
      </c>
      <c r="B17" s="264" t="s">
        <v>705</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row>
    <row r="18" spans="1:28" ht="51">
      <c r="A18" s="69" t="s">
        <v>36</v>
      </c>
      <c r="B18" s="69" t="s">
        <v>706</v>
      </c>
      <c r="C18" s="69">
        <v>40000</v>
      </c>
      <c r="D18" s="69">
        <v>40000</v>
      </c>
      <c r="E18" s="69">
        <v>4000</v>
      </c>
      <c r="F18" s="69">
        <v>4000</v>
      </c>
      <c r="G18" s="69">
        <v>40000</v>
      </c>
      <c r="H18" s="69">
        <v>40000</v>
      </c>
      <c r="I18" s="69">
        <v>4000</v>
      </c>
      <c r="J18" s="69">
        <v>4000</v>
      </c>
      <c r="K18" s="69">
        <v>40000</v>
      </c>
      <c r="L18" s="69">
        <v>40000</v>
      </c>
      <c r="M18" s="69">
        <v>4100</v>
      </c>
      <c r="N18" s="69">
        <v>4100</v>
      </c>
      <c r="O18" s="69">
        <v>40500</v>
      </c>
      <c r="P18" s="69">
        <v>40500</v>
      </c>
      <c r="Q18" s="69">
        <v>4200</v>
      </c>
      <c r="R18" s="69">
        <v>4200</v>
      </c>
      <c r="S18" s="69">
        <v>40500</v>
      </c>
      <c r="T18" s="69">
        <v>40500</v>
      </c>
      <c r="U18" s="69">
        <v>4200</v>
      </c>
      <c r="V18" s="69">
        <v>4200</v>
      </c>
      <c r="W18" s="69">
        <v>40500</v>
      </c>
      <c r="X18" s="69">
        <v>40500</v>
      </c>
      <c r="Y18" s="69">
        <v>4200</v>
      </c>
      <c r="Z18" s="69">
        <v>4200</v>
      </c>
      <c r="AA18" s="446">
        <f>C18/W18</f>
        <v>0.98765432098765427</v>
      </c>
      <c r="AB18" s="446">
        <f>W18/X18</f>
        <v>1</v>
      </c>
    </row>
    <row r="19" spans="1:28" ht="51">
      <c r="A19" s="69" t="s">
        <v>38</v>
      </c>
      <c r="B19" s="69" t="s">
        <v>707</v>
      </c>
      <c r="C19" s="69">
        <v>12000</v>
      </c>
      <c r="D19" s="69">
        <v>12000</v>
      </c>
      <c r="E19" s="69">
        <v>4000</v>
      </c>
      <c r="F19" s="69">
        <v>4000</v>
      </c>
      <c r="G19" s="69">
        <v>12000</v>
      </c>
      <c r="H19" s="69">
        <v>12000</v>
      </c>
      <c r="I19" s="69">
        <v>4000</v>
      </c>
      <c r="J19" s="69">
        <v>4000</v>
      </c>
      <c r="K19" s="69">
        <v>12000</v>
      </c>
      <c r="L19" s="69">
        <v>12000</v>
      </c>
      <c r="M19" s="69">
        <v>4100</v>
      </c>
      <c r="N19" s="69">
        <v>4100</v>
      </c>
      <c r="O19" s="69">
        <v>12000</v>
      </c>
      <c r="P19" s="69">
        <v>12000</v>
      </c>
      <c r="Q19" s="69">
        <v>4200</v>
      </c>
      <c r="R19" s="69">
        <v>4200</v>
      </c>
      <c r="S19" s="69">
        <v>12000</v>
      </c>
      <c r="T19" s="69">
        <v>12000</v>
      </c>
      <c r="U19" s="69">
        <v>4200</v>
      </c>
      <c r="V19" s="69">
        <v>4200</v>
      </c>
      <c r="W19" s="69">
        <v>12000</v>
      </c>
      <c r="X19" s="69">
        <v>12000</v>
      </c>
      <c r="Y19" s="69">
        <v>4200</v>
      </c>
      <c r="Z19" s="69">
        <v>4200</v>
      </c>
      <c r="AA19" s="446">
        <f t="shared" ref="AA19:AA24" si="2">C19/W19</f>
        <v>1</v>
      </c>
      <c r="AB19" s="446">
        <f t="shared" ref="AB19:AB24" si="3">W19/X19</f>
        <v>1</v>
      </c>
    </row>
    <row r="20" spans="1:28" ht="37.5" customHeight="1">
      <c r="A20" s="69">
        <v>1.3</v>
      </c>
      <c r="B20" s="69" t="s">
        <v>708</v>
      </c>
      <c r="C20" s="69">
        <v>3000000</v>
      </c>
      <c r="D20" s="69">
        <v>3000000</v>
      </c>
      <c r="E20" s="69">
        <v>600000</v>
      </c>
      <c r="F20" s="69">
        <v>600000</v>
      </c>
      <c r="G20" s="69">
        <v>3500000</v>
      </c>
      <c r="H20" s="69">
        <v>3500000</v>
      </c>
      <c r="I20" s="69">
        <v>600000</v>
      </c>
      <c r="J20" s="69">
        <v>600000</v>
      </c>
      <c r="K20" s="69">
        <v>3800000</v>
      </c>
      <c r="L20" s="69">
        <v>3800000</v>
      </c>
      <c r="M20" s="69">
        <v>620000</v>
      </c>
      <c r="N20" s="69">
        <v>620000</v>
      </c>
      <c r="O20" s="69">
        <v>4000000</v>
      </c>
      <c r="P20" s="69">
        <v>4000000</v>
      </c>
      <c r="Q20" s="69">
        <v>650000</v>
      </c>
      <c r="R20" s="69">
        <v>650000</v>
      </c>
      <c r="S20" s="69">
        <v>4000000</v>
      </c>
      <c r="T20" s="69">
        <v>4000000</v>
      </c>
      <c r="U20" s="69">
        <v>650000</v>
      </c>
      <c r="V20" s="69">
        <v>650000</v>
      </c>
      <c r="W20" s="69">
        <v>4000000</v>
      </c>
      <c r="X20" s="69">
        <v>4000000</v>
      </c>
      <c r="Y20" s="69">
        <v>650000</v>
      </c>
      <c r="Z20" s="69">
        <v>650000</v>
      </c>
      <c r="AA20" s="446">
        <f t="shared" si="2"/>
        <v>0.75</v>
      </c>
      <c r="AB20" s="446">
        <f t="shared" si="3"/>
        <v>1</v>
      </c>
    </row>
    <row r="21" spans="1:28" ht="21.75" customHeight="1">
      <c r="A21" s="69">
        <v>1.4</v>
      </c>
      <c r="B21" s="69" t="s">
        <v>709</v>
      </c>
      <c r="C21" s="69">
        <v>4000</v>
      </c>
      <c r="D21" s="69">
        <v>4000</v>
      </c>
      <c r="E21" s="69">
        <v>3708</v>
      </c>
      <c r="F21" s="69">
        <v>3708</v>
      </c>
      <c r="G21" s="69">
        <v>4200</v>
      </c>
      <c r="H21" s="69">
        <v>4200</v>
      </c>
      <c r="I21" s="69">
        <v>3708</v>
      </c>
      <c r="J21" s="69">
        <v>3708</v>
      </c>
      <c r="K21" s="69">
        <v>4290</v>
      </c>
      <c r="L21" s="69">
        <v>4290</v>
      </c>
      <c r="M21" s="69">
        <v>3848</v>
      </c>
      <c r="N21" s="69">
        <v>3848</v>
      </c>
      <c r="O21" s="69">
        <v>4420</v>
      </c>
      <c r="P21" s="69">
        <v>4420</v>
      </c>
      <c r="Q21" s="69">
        <v>3878</v>
      </c>
      <c r="R21" s="69">
        <v>3878</v>
      </c>
      <c r="S21" s="69">
        <v>4550</v>
      </c>
      <c r="T21" s="69">
        <v>4550</v>
      </c>
      <c r="U21" s="69">
        <v>4008</v>
      </c>
      <c r="V21" s="69">
        <v>4008</v>
      </c>
      <c r="W21" s="69">
        <v>4580</v>
      </c>
      <c r="X21" s="69">
        <v>4580</v>
      </c>
      <c r="Y21" s="69">
        <v>4038</v>
      </c>
      <c r="Z21" s="69">
        <v>4038</v>
      </c>
      <c r="AA21" s="446">
        <f t="shared" si="2"/>
        <v>0.8733624454148472</v>
      </c>
      <c r="AB21" s="446">
        <f t="shared" si="3"/>
        <v>1</v>
      </c>
    </row>
    <row r="22" spans="1:28" ht="51">
      <c r="A22" s="69">
        <v>1.5</v>
      </c>
      <c r="B22" s="69" t="s">
        <v>710</v>
      </c>
      <c r="C22" s="69">
        <v>300</v>
      </c>
      <c r="D22" s="69">
        <v>300</v>
      </c>
      <c r="E22" s="69">
        <v>100</v>
      </c>
      <c r="F22" s="69">
        <v>100</v>
      </c>
      <c r="G22" s="69">
        <v>300</v>
      </c>
      <c r="H22" s="69">
        <v>300</v>
      </c>
      <c r="I22" s="69">
        <v>100</v>
      </c>
      <c r="J22" s="69">
        <v>100</v>
      </c>
      <c r="K22" s="69">
        <v>350</v>
      </c>
      <c r="L22" s="69">
        <v>350</v>
      </c>
      <c r="M22" s="69">
        <v>200</v>
      </c>
      <c r="N22" s="69">
        <v>200</v>
      </c>
      <c r="O22" s="69">
        <v>350</v>
      </c>
      <c r="P22" s="69">
        <v>350</v>
      </c>
      <c r="Q22" s="69">
        <v>200</v>
      </c>
      <c r="R22" s="69">
        <v>200</v>
      </c>
      <c r="S22" s="69">
        <v>450</v>
      </c>
      <c r="T22" s="69">
        <v>450</v>
      </c>
      <c r="U22" s="69">
        <v>300</v>
      </c>
      <c r="V22" s="69">
        <v>300</v>
      </c>
      <c r="W22" s="69">
        <v>450</v>
      </c>
      <c r="X22" s="69">
        <v>450</v>
      </c>
      <c r="Y22" s="69">
        <v>300</v>
      </c>
      <c r="Z22" s="69">
        <v>300</v>
      </c>
      <c r="AA22" s="446">
        <f t="shared" si="2"/>
        <v>0.66666666666666663</v>
      </c>
      <c r="AB22" s="446">
        <f t="shared" si="3"/>
        <v>1</v>
      </c>
    </row>
    <row r="23" spans="1:28" ht="12.75" customHeight="1">
      <c r="A23" s="69">
        <v>1.6</v>
      </c>
      <c r="B23" s="69" t="s">
        <v>711</v>
      </c>
      <c r="C23" s="69">
        <v>3100000</v>
      </c>
      <c r="D23" s="69">
        <v>3100000</v>
      </c>
      <c r="E23" s="69">
        <v>605000</v>
      </c>
      <c r="F23" s="69">
        <v>605000</v>
      </c>
      <c r="G23" s="69">
        <v>3600000</v>
      </c>
      <c r="H23" s="69">
        <v>3600000</v>
      </c>
      <c r="I23" s="69">
        <v>605000</v>
      </c>
      <c r="J23" s="69">
        <v>605000</v>
      </c>
      <c r="K23" s="69">
        <v>3900000</v>
      </c>
      <c r="L23" s="69">
        <v>3900000</v>
      </c>
      <c r="M23" s="69">
        <v>625000</v>
      </c>
      <c r="N23" s="69">
        <v>625000</v>
      </c>
      <c r="O23" s="69">
        <v>4100000</v>
      </c>
      <c r="P23" s="69">
        <v>4100000</v>
      </c>
      <c r="Q23" s="69">
        <v>655000</v>
      </c>
      <c r="R23" s="69">
        <v>655000</v>
      </c>
      <c r="S23" s="69">
        <v>4100000</v>
      </c>
      <c r="T23" s="69">
        <v>4100000</v>
      </c>
      <c r="U23" s="69">
        <v>655000</v>
      </c>
      <c r="V23" s="69">
        <v>655000</v>
      </c>
      <c r="W23" s="69">
        <v>4100000</v>
      </c>
      <c r="X23" s="69">
        <v>4100000</v>
      </c>
      <c r="Y23" s="69">
        <v>655000</v>
      </c>
      <c r="Z23" s="69">
        <v>655000</v>
      </c>
      <c r="AA23" s="446">
        <f t="shared" si="2"/>
        <v>0.75609756097560976</v>
      </c>
      <c r="AB23" s="446">
        <f t="shared" si="3"/>
        <v>1</v>
      </c>
    </row>
    <row r="24" spans="1:28" ht="51">
      <c r="A24" s="69">
        <v>1.7</v>
      </c>
      <c r="B24" s="69" t="s">
        <v>712</v>
      </c>
      <c r="C24" s="69">
        <v>1800</v>
      </c>
      <c r="D24" s="69">
        <v>1800</v>
      </c>
      <c r="E24" s="69">
        <v>1800</v>
      </c>
      <c r="F24" s="69">
        <v>1800</v>
      </c>
      <c r="G24" s="69">
        <v>1800</v>
      </c>
      <c r="H24" s="69">
        <v>1800</v>
      </c>
      <c r="I24" s="69">
        <v>1800</v>
      </c>
      <c r="J24" s="69">
        <v>1800</v>
      </c>
      <c r="K24" s="69">
        <v>1810</v>
      </c>
      <c r="L24" s="69">
        <v>1810</v>
      </c>
      <c r="M24" s="69">
        <v>1810</v>
      </c>
      <c r="N24" s="69">
        <v>1810</v>
      </c>
      <c r="O24" s="69">
        <v>1820</v>
      </c>
      <c r="P24" s="69">
        <v>1820</v>
      </c>
      <c r="Q24" s="69">
        <v>1820</v>
      </c>
      <c r="R24" s="69">
        <v>1820</v>
      </c>
      <c r="S24" s="69">
        <v>1830</v>
      </c>
      <c r="T24" s="69">
        <v>1830</v>
      </c>
      <c r="U24" s="69">
        <v>1830</v>
      </c>
      <c r="V24" s="69">
        <v>1830</v>
      </c>
      <c r="W24" s="69">
        <v>1840</v>
      </c>
      <c r="X24" s="69">
        <v>1840</v>
      </c>
      <c r="Y24" s="69">
        <v>1840</v>
      </c>
      <c r="Z24" s="69">
        <v>1840</v>
      </c>
      <c r="AA24" s="446">
        <f t="shared" si="2"/>
        <v>0.97826086956521741</v>
      </c>
      <c r="AB24" s="446">
        <f t="shared" si="3"/>
        <v>1</v>
      </c>
    </row>
    <row r="25" spans="1:28" ht="51">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t="s">
        <v>123</v>
      </c>
      <c r="AA25" s="446">
        <f>AVERAGE(AA18:AA24)</f>
        <v>0.85886312337285653</v>
      </c>
      <c r="AB25" s="446">
        <f>AVERAGE(AB18:AB24)</f>
        <v>1</v>
      </c>
    </row>
    <row r="26" spans="1:28">
      <c r="A26" s="77"/>
      <c r="B26" s="77" t="s">
        <v>40</v>
      </c>
    </row>
    <row r="28" spans="1:28" ht="31.5" customHeight="1">
      <c r="A28" s="10" t="s">
        <v>41</v>
      </c>
      <c r="B28" s="602" t="s">
        <v>42</v>
      </c>
      <c r="C28" s="602"/>
      <c r="D28" s="602"/>
      <c r="E28" s="602"/>
      <c r="F28" s="602"/>
      <c r="G28" s="602"/>
      <c r="H28" s="602"/>
      <c r="I28" s="602"/>
      <c r="J28" s="602"/>
      <c r="K28" s="602"/>
      <c r="L28" s="602"/>
      <c r="M28" s="602"/>
      <c r="N28" s="602"/>
      <c r="O28" s="602"/>
      <c r="P28" s="602"/>
      <c r="Q28" s="602"/>
      <c r="R28" s="602"/>
    </row>
    <row r="29" spans="1:28" ht="31.5" customHeight="1">
      <c r="A29" s="10" t="s">
        <v>43</v>
      </c>
      <c r="B29" s="602" t="s">
        <v>44</v>
      </c>
      <c r="C29" s="602"/>
      <c r="D29" s="602"/>
      <c r="E29" s="602"/>
      <c r="F29" s="602"/>
      <c r="G29" s="602"/>
      <c r="H29" s="602"/>
      <c r="I29" s="602"/>
      <c r="J29" s="602"/>
      <c r="K29" s="602"/>
      <c r="L29" s="602"/>
      <c r="M29" s="602"/>
      <c r="N29" s="602"/>
      <c r="O29" s="602"/>
      <c r="P29" s="602"/>
      <c r="Q29" s="602"/>
      <c r="R29" s="602"/>
    </row>
    <row r="30" spans="1:28" ht="31.5" customHeight="1">
      <c r="B30" s="602" t="s">
        <v>45</v>
      </c>
      <c r="C30" s="602"/>
      <c r="D30" s="602"/>
      <c r="E30" s="602"/>
      <c r="F30" s="602"/>
      <c r="G30" s="602"/>
      <c r="H30" s="602"/>
      <c r="I30" s="602"/>
      <c r="J30" s="602"/>
      <c r="K30" s="602"/>
      <c r="L30" s="602"/>
      <c r="M30" s="602"/>
      <c r="N30" s="602"/>
      <c r="O30" s="602"/>
      <c r="P30" s="602"/>
      <c r="Q30" s="602"/>
      <c r="R30" s="602"/>
    </row>
    <row r="31" spans="1:28" ht="31.5" customHeight="1">
      <c r="B31" s="602" t="s">
        <v>46</v>
      </c>
      <c r="C31" s="602"/>
      <c r="D31" s="602"/>
      <c r="E31" s="602"/>
      <c r="F31" s="602"/>
      <c r="G31" s="602"/>
      <c r="H31" s="602"/>
      <c r="I31" s="602"/>
      <c r="J31" s="602"/>
      <c r="K31" s="602"/>
      <c r="L31" s="602"/>
      <c r="M31" s="602"/>
      <c r="N31" s="602"/>
      <c r="O31" s="602"/>
      <c r="P31" s="602"/>
      <c r="Q31" s="602"/>
      <c r="R31" s="602"/>
    </row>
    <row r="32" spans="1:28" ht="31.5" customHeight="1">
      <c r="B32" s="602" t="s">
        <v>47</v>
      </c>
      <c r="C32" s="602"/>
      <c r="D32" s="602"/>
      <c r="E32" s="602"/>
      <c r="F32" s="602"/>
      <c r="G32" s="602"/>
      <c r="H32" s="602"/>
      <c r="I32" s="602"/>
      <c r="J32" s="602"/>
      <c r="K32" s="602"/>
      <c r="L32" s="602"/>
      <c r="M32" s="602"/>
      <c r="N32" s="602"/>
      <c r="O32" s="602"/>
      <c r="P32" s="602"/>
      <c r="Q32" s="602"/>
      <c r="R32" s="602"/>
    </row>
    <row r="33" spans="2:20" ht="31.5" customHeight="1">
      <c r="B33" s="602" t="s">
        <v>48</v>
      </c>
      <c r="C33" s="602"/>
      <c r="D33" s="602"/>
      <c r="E33" s="602"/>
      <c r="F33" s="602"/>
      <c r="G33" s="602"/>
      <c r="H33" s="602"/>
      <c r="I33" s="602"/>
      <c r="J33" s="602"/>
      <c r="K33" s="602"/>
      <c r="L33" s="602"/>
      <c r="M33" s="602"/>
      <c r="N33" s="602"/>
      <c r="O33" s="602"/>
      <c r="P33" s="602"/>
      <c r="Q33" s="602"/>
      <c r="R33" s="602"/>
    </row>
    <row r="34" spans="2:20" ht="73.5" customHeight="1">
      <c r="B34" s="602" t="s">
        <v>49</v>
      </c>
      <c r="C34" s="602"/>
      <c r="D34" s="602"/>
      <c r="E34" s="602"/>
      <c r="F34" s="602"/>
      <c r="G34" s="602"/>
      <c r="H34" s="602"/>
      <c r="I34" s="602"/>
      <c r="J34" s="602"/>
      <c r="K34" s="602"/>
      <c r="L34" s="602"/>
      <c r="M34" s="602"/>
      <c r="N34" s="602"/>
      <c r="O34" s="602"/>
      <c r="P34" s="602"/>
      <c r="Q34" s="602"/>
      <c r="R34" s="602"/>
    </row>
    <row r="35" spans="2:20" ht="39" customHeight="1">
      <c r="B35" s="602" t="s">
        <v>50</v>
      </c>
      <c r="C35" s="602"/>
      <c r="D35" s="602"/>
      <c r="E35" s="602"/>
      <c r="F35" s="602"/>
      <c r="G35" s="602"/>
      <c r="H35" s="602"/>
      <c r="I35" s="602"/>
      <c r="J35" s="602"/>
      <c r="K35" s="602"/>
      <c r="L35" s="602"/>
      <c r="M35" s="602"/>
      <c r="N35" s="602"/>
      <c r="O35" s="602"/>
      <c r="P35" s="602"/>
      <c r="Q35" s="602"/>
      <c r="R35" s="602"/>
    </row>
    <row r="36" spans="2:20">
      <c r="B36" s="78"/>
    </row>
    <row r="37" spans="2:20" ht="30.75" customHeight="1">
      <c r="B37" s="751" t="s">
        <v>713</v>
      </c>
      <c r="C37" s="751"/>
      <c r="D37" s="751"/>
      <c r="E37" s="751"/>
      <c r="F37" s="751"/>
      <c r="G37" s="751"/>
      <c r="H37" s="751"/>
      <c r="I37" s="751"/>
      <c r="J37" s="751"/>
      <c r="K37" s="751"/>
      <c r="L37" s="751"/>
      <c r="M37" s="751"/>
      <c r="N37" s="751"/>
      <c r="O37" s="751"/>
      <c r="P37" s="751"/>
      <c r="Q37" s="751"/>
      <c r="R37" s="751"/>
      <c r="S37" s="751"/>
      <c r="T37" s="751"/>
    </row>
    <row r="39" spans="2:20">
      <c r="B39" s="78"/>
    </row>
  </sheetData>
  <mergeCells count="35">
    <mergeCell ref="B34:R34"/>
    <mergeCell ref="B35:R35"/>
    <mergeCell ref="B37:T37"/>
    <mergeCell ref="B28:R28"/>
    <mergeCell ref="B29:R29"/>
    <mergeCell ref="B30:R30"/>
    <mergeCell ref="B31:R31"/>
    <mergeCell ref="B32:R32"/>
    <mergeCell ref="B33:R33"/>
    <mergeCell ref="AB14:AB16"/>
    <mergeCell ref="G15:J15"/>
    <mergeCell ref="K15:N15"/>
    <mergeCell ref="O15:R15"/>
    <mergeCell ref="S15:V15"/>
    <mergeCell ref="W15:Z15"/>
    <mergeCell ref="AA14:AA16"/>
    <mergeCell ref="A13:Z13"/>
    <mergeCell ref="A14:A16"/>
    <mergeCell ref="B14:B16"/>
    <mergeCell ref="C14:F15"/>
    <mergeCell ref="G14:Z14"/>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AB29"/>
  <sheetViews>
    <sheetView topLeftCell="K7" workbookViewId="0">
      <selection activeCell="B25" sqref="B24:R25"/>
    </sheetView>
  </sheetViews>
  <sheetFormatPr defaultRowHeight="15"/>
  <cols>
    <col min="1" max="1" width="5" style="210" customWidth="1"/>
    <col min="2" max="2" width="15.85546875" style="210" customWidth="1"/>
    <col min="3" max="6" width="7.7109375" style="210" customWidth="1"/>
    <col min="7" max="26" width="7" style="210" customWidth="1"/>
    <col min="27" max="27" width="9.28515625" style="210" bestFit="1" customWidth="1"/>
    <col min="28" max="28" width="9.42578125" style="210" bestFit="1" customWidth="1"/>
    <col min="29" max="256" width="9.140625" style="210"/>
    <col min="257" max="257" width="5" style="210" customWidth="1"/>
    <col min="258" max="258" width="15.85546875" style="210" customWidth="1"/>
    <col min="259" max="262" width="7.7109375" style="210" customWidth="1"/>
    <col min="263" max="282" width="7" style="210" customWidth="1"/>
    <col min="283" max="512" width="9.140625" style="210"/>
    <col min="513" max="513" width="5" style="210" customWidth="1"/>
    <col min="514" max="514" width="15.85546875" style="210" customWidth="1"/>
    <col min="515" max="518" width="7.7109375" style="210" customWidth="1"/>
    <col min="519" max="538" width="7" style="210" customWidth="1"/>
    <col min="539" max="768" width="9.140625" style="210"/>
    <col min="769" max="769" width="5" style="210" customWidth="1"/>
    <col min="770" max="770" width="15.85546875" style="210" customWidth="1"/>
    <col min="771" max="774" width="7.7109375" style="210" customWidth="1"/>
    <col min="775" max="794" width="7" style="210" customWidth="1"/>
    <col min="795" max="1024" width="9.140625" style="210"/>
    <col min="1025" max="1025" width="5" style="210" customWidth="1"/>
    <col min="1026" max="1026" width="15.85546875" style="210" customWidth="1"/>
    <col min="1027" max="1030" width="7.7109375" style="210" customWidth="1"/>
    <col min="1031" max="1050" width="7" style="210" customWidth="1"/>
    <col min="1051" max="1280" width="9.140625" style="210"/>
    <col min="1281" max="1281" width="5" style="210" customWidth="1"/>
    <col min="1282" max="1282" width="15.85546875" style="210" customWidth="1"/>
    <col min="1283" max="1286" width="7.7109375" style="210" customWidth="1"/>
    <col min="1287" max="1306" width="7" style="210" customWidth="1"/>
    <col min="1307" max="1536" width="9.140625" style="210"/>
    <col min="1537" max="1537" width="5" style="210" customWidth="1"/>
    <col min="1538" max="1538" width="15.85546875" style="210" customWidth="1"/>
    <col min="1539" max="1542" width="7.7109375" style="210" customWidth="1"/>
    <col min="1543" max="1562" width="7" style="210" customWidth="1"/>
    <col min="1563" max="1792" width="9.140625" style="210"/>
    <col min="1793" max="1793" width="5" style="210" customWidth="1"/>
    <col min="1794" max="1794" width="15.85546875" style="210" customWidth="1"/>
    <col min="1795" max="1798" width="7.7109375" style="210" customWidth="1"/>
    <col min="1799" max="1818" width="7" style="210" customWidth="1"/>
    <col min="1819" max="2048" width="9.140625" style="210"/>
    <col min="2049" max="2049" width="5" style="210" customWidth="1"/>
    <col min="2050" max="2050" width="15.85546875" style="210" customWidth="1"/>
    <col min="2051" max="2054" width="7.7109375" style="210" customWidth="1"/>
    <col min="2055" max="2074" width="7" style="210" customWidth="1"/>
    <col min="2075" max="2304" width="9.140625" style="210"/>
    <col min="2305" max="2305" width="5" style="210" customWidth="1"/>
    <col min="2306" max="2306" width="15.85546875" style="210" customWidth="1"/>
    <col min="2307" max="2310" width="7.7109375" style="210" customWidth="1"/>
    <col min="2311" max="2330" width="7" style="210" customWidth="1"/>
    <col min="2331" max="2560" width="9.140625" style="210"/>
    <col min="2561" max="2561" width="5" style="210" customWidth="1"/>
    <col min="2562" max="2562" width="15.85546875" style="210" customWidth="1"/>
    <col min="2563" max="2566" width="7.7109375" style="210" customWidth="1"/>
    <col min="2567" max="2586" width="7" style="210" customWidth="1"/>
    <col min="2587" max="2816" width="9.140625" style="210"/>
    <col min="2817" max="2817" width="5" style="210" customWidth="1"/>
    <col min="2818" max="2818" width="15.85546875" style="210" customWidth="1"/>
    <col min="2819" max="2822" width="7.7109375" style="210" customWidth="1"/>
    <col min="2823" max="2842" width="7" style="210" customWidth="1"/>
    <col min="2843" max="3072" width="9.140625" style="210"/>
    <col min="3073" max="3073" width="5" style="210" customWidth="1"/>
    <col min="3074" max="3074" width="15.85546875" style="210" customWidth="1"/>
    <col min="3075" max="3078" width="7.7109375" style="210" customWidth="1"/>
    <col min="3079" max="3098" width="7" style="210" customWidth="1"/>
    <col min="3099" max="3328" width="9.140625" style="210"/>
    <col min="3329" max="3329" width="5" style="210" customWidth="1"/>
    <col min="3330" max="3330" width="15.85546875" style="210" customWidth="1"/>
    <col min="3331" max="3334" width="7.7109375" style="210" customWidth="1"/>
    <col min="3335" max="3354" width="7" style="210" customWidth="1"/>
    <col min="3355" max="3584" width="9.140625" style="210"/>
    <col min="3585" max="3585" width="5" style="210" customWidth="1"/>
    <col min="3586" max="3586" width="15.85546875" style="210" customWidth="1"/>
    <col min="3587" max="3590" width="7.7109375" style="210" customWidth="1"/>
    <col min="3591" max="3610" width="7" style="210" customWidth="1"/>
    <col min="3611" max="3840" width="9.140625" style="210"/>
    <col min="3841" max="3841" width="5" style="210" customWidth="1"/>
    <col min="3842" max="3842" width="15.85546875" style="210" customWidth="1"/>
    <col min="3843" max="3846" width="7.7109375" style="210" customWidth="1"/>
    <col min="3847" max="3866" width="7" style="210" customWidth="1"/>
    <col min="3867" max="4096" width="9.140625" style="210"/>
    <col min="4097" max="4097" width="5" style="210" customWidth="1"/>
    <col min="4098" max="4098" width="15.85546875" style="210" customWidth="1"/>
    <col min="4099" max="4102" width="7.7109375" style="210" customWidth="1"/>
    <col min="4103" max="4122" width="7" style="210" customWidth="1"/>
    <col min="4123" max="4352" width="9.140625" style="210"/>
    <col min="4353" max="4353" width="5" style="210" customWidth="1"/>
    <col min="4354" max="4354" width="15.85546875" style="210" customWidth="1"/>
    <col min="4355" max="4358" width="7.7109375" style="210" customWidth="1"/>
    <col min="4359" max="4378" width="7" style="210" customWidth="1"/>
    <col min="4379" max="4608" width="9.140625" style="210"/>
    <col min="4609" max="4609" width="5" style="210" customWidth="1"/>
    <col min="4610" max="4610" width="15.85546875" style="210" customWidth="1"/>
    <col min="4611" max="4614" width="7.7109375" style="210" customWidth="1"/>
    <col min="4615" max="4634" width="7" style="210" customWidth="1"/>
    <col min="4635" max="4864" width="9.140625" style="210"/>
    <col min="4865" max="4865" width="5" style="210" customWidth="1"/>
    <col min="4866" max="4866" width="15.85546875" style="210" customWidth="1"/>
    <col min="4867" max="4870" width="7.7109375" style="210" customWidth="1"/>
    <col min="4871" max="4890" width="7" style="210" customWidth="1"/>
    <col min="4891" max="5120" width="9.140625" style="210"/>
    <col min="5121" max="5121" width="5" style="210" customWidth="1"/>
    <col min="5122" max="5122" width="15.85546875" style="210" customWidth="1"/>
    <col min="5123" max="5126" width="7.7109375" style="210" customWidth="1"/>
    <col min="5127" max="5146" width="7" style="210" customWidth="1"/>
    <col min="5147" max="5376" width="9.140625" style="210"/>
    <col min="5377" max="5377" width="5" style="210" customWidth="1"/>
    <col min="5378" max="5378" width="15.85546875" style="210" customWidth="1"/>
    <col min="5379" max="5382" width="7.7109375" style="210" customWidth="1"/>
    <col min="5383" max="5402" width="7" style="210" customWidth="1"/>
    <col min="5403" max="5632" width="9.140625" style="210"/>
    <col min="5633" max="5633" width="5" style="210" customWidth="1"/>
    <col min="5634" max="5634" width="15.85546875" style="210" customWidth="1"/>
    <col min="5635" max="5638" width="7.7109375" style="210" customWidth="1"/>
    <col min="5639" max="5658" width="7" style="210" customWidth="1"/>
    <col min="5659" max="5888" width="9.140625" style="210"/>
    <col min="5889" max="5889" width="5" style="210" customWidth="1"/>
    <col min="5890" max="5890" width="15.85546875" style="210" customWidth="1"/>
    <col min="5891" max="5894" width="7.7109375" style="210" customWidth="1"/>
    <col min="5895" max="5914" width="7" style="210" customWidth="1"/>
    <col min="5915" max="6144" width="9.140625" style="210"/>
    <col min="6145" max="6145" width="5" style="210" customWidth="1"/>
    <col min="6146" max="6146" width="15.85546875" style="210" customWidth="1"/>
    <col min="6147" max="6150" width="7.7109375" style="210" customWidth="1"/>
    <col min="6151" max="6170" width="7" style="210" customWidth="1"/>
    <col min="6171" max="6400" width="9.140625" style="210"/>
    <col min="6401" max="6401" width="5" style="210" customWidth="1"/>
    <col min="6402" max="6402" width="15.85546875" style="210" customWidth="1"/>
    <col min="6403" max="6406" width="7.7109375" style="210" customWidth="1"/>
    <col min="6407" max="6426" width="7" style="210" customWidth="1"/>
    <col min="6427" max="6656" width="9.140625" style="210"/>
    <col min="6657" max="6657" width="5" style="210" customWidth="1"/>
    <col min="6658" max="6658" width="15.85546875" style="210" customWidth="1"/>
    <col min="6659" max="6662" width="7.7109375" style="210" customWidth="1"/>
    <col min="6663" max="6682" width="7" style="210" customWidth="1"/>
    <col min="6683" max="6912" width="9.140625" style="210"/>
    <col min="6913" max="6913" width="5" style="210" customWidth="1"/>
    <col min="6914" max="6914" width="15.85546875" style="210" customWidth="1"/>
    <col min="6915" max="6918" width="7.7109375" style="210" customWidth="1"/>
    <col min="6919" max="6938" width="7" style="210" customWidth="1"/>
    <col min="6939" max="7168" width="9.140625" style="210"/>
    <col min="7169" max="7169" width="5" style="210" customWidth="1"/>
    <col min="7170" max="7170" width="15.85546875" style="210" customWidth="1"/>
    <col min="7171" max="7174" width="7.7109375" style="210" customWidth="1"/>
    <col min="7175" max="7194" width="7" style="210" customWidth="1"/>
    <col min="7195" max="7424" width="9.140625" style="210"/>
    <col min="7425" max="7425" width="5" style="210" customWidth="1"/>
    <col min="7426" max="7426" width="15.85546875" style="210" customWidth="1"/>
    <col min="7427" max="7430" width="7.7109375" style="210" customWidth="1"/>
    <col min="7431" max="7450" width="7" style="210" customWidth="1"/>
    <col min="7451" max="7680" width="9.140625" style="210"/>
    <col min="7681" max="7681" width="5" style="210" customWidth="1"/>
    <col min="7682" max="7682" width="15.85546875" style="210" customWidth="1"/>
    <col min="7683" max="7686" width="7.7109375" style="210" customWidth="1"/>
    <col min="7687" max="7706" width="7" style="210" customWidth="1"/>
    <col min="7707" max="7936" width="9.140625" style="210"/>
    <col min="7937" max="7937" width="5" style="210" customWidth="1"/>
    <col min="7938" max="7938" width="15.85546875" style="210" customWidth="1"/>
    <col min="7939" max="7942" width="7.7109375" style="210" customWidth="1"/>
    <col min="7943" max="7962" width="7" style="210" customWidth="1"/>
    <col min="7963" max="8192" width="9.140625" style="210"/>
    <col min="8193" max="8193" width="5" style="210" customWidth="1"/>
    <col min="8194" max="8194" width="15.85546875" style="210" customWidth="1"/>
    <col min="8195" max="8198" width="7.7109375" style="210" customWidth="1"/>
    <col min="8199" max="8218" width="7" style="210" customWidth="1"/>
    <col min="8219" max="8448" width="9.140625" style="210"/>
    <col min="8449" max="8449" width="5" style="210" customWidth="1"/>
    <col min="8450" max="8450" width="15.85546875" style="210" customWidth="1"/>
    <col min="8451" max="8454" width="7.7109375" style="210" customWidth="1"/>
    <col min="8455" max="8474" width="7" style="210" customWidth="1"/>
    <col min="8475" max="8704" width="9.140625" style="210"/>
    <col min="8705" max="8705" width="5" style="210" customWidth="1"/>
    <col min="8706" max="8706" width="15.85546875" style="210" customWidth="1"/>
    <col min="8707" max="8710" width="7.7109375" style="210" customWidth="1"/>
    <col min="8711" max="8730" width="7" style="210" customWidth="1"/>
    <col min="8731" max="8960" width="9.140625" style="210"/>
    <col min="8961" max="8961" width="5" style="210" customWidth="1"/>
    <col min="8962" max="8962" width="15.85546875" style="210" customWidth="1"/>
    <col min="8963" max="8966" width="7.7109375" style="210" customWidth="1"/>
    <col min="8967" max="8986" width="7" style="210" customWidth="1"/>
    <col min="8987" max="9216" width="9.140625" style="210"/>
    <col min="9217" max="9217" width="5" style="210" customWidth="1"/>
    <col min="9218" max="9218" width="15.85546875" style="210" customWidth="1"/>
    <col min="9219" max="9222" width="7.7109375" style="210" customWidth="1"/>
    <col min="9223" max="9242" width="7" style="210" customWidth="1"/>
    <col min="9243" max="9472" width="9.140625" style="210"/>
    <col min="9473" max="9473" width="5" style="210" customWidth="1"/>
    <col min="9474" max="9474" width="15.85546875" style="210" customWidth="1"/>
    <col min="9475" max="9478" width="7.7109375" style="210" customWidth="1"/>
    <col min="9479" max="9498" width="7" style="210" customWidth="1"/>
    <col min="9499" max="9728" width="9.140625" style="210"/>
    <col min="9729" max="9729" width="5" style="210" customWidth="1"/>
    <col min="9730" max="9730" width="15.85546875" style="210" customWidth="1"/>
    <col min="9731" max="9734" width="7.7109375" style="210" customWidth="1"/>
    <col min="9735" max="9754" width="7" style="210" customWidth="1"/>
    <col min="9755" max="9984" width="9.140625" style="210"/>
    <col min="9985" max="9985" width="5" style="210" customWidth="1"/>
    <col min="9986" max="9986" width="15.85546875" style="210" customWidth="1"/>
    <col min="9987" max="9990" width="7.7109375" style="210" customWidth="1"/>
    <col min="9991" max="10010" width="7" style="210" customWidth="1"/>
    <col min="10011" max="10240" width="9.140625" style="210"/>
    <col min="10241" max="10241" width="5" style="210" customWidth="1"/>
    <col min="10242" max="10242" width="15.85546875" style="210" customWidth="1"/>
    <col min="10243" max="10246" width="7.7109375" style="210" customWidth="1"/>
    <col min="10247" max="10266" width="7" style="210" customWidth="1"/>
    <col min="10267" max="10496" width="9.140625" style="210"/>
    <col min="10497" max="10497" width="5" style="210" customWidth="1"/>
    <col min="10498" max="10498" width="15.85546875" style="210" customWidth="1"/>
    <col min="10499" max="10502" width="7.7109375" style="210" customWidth="1"/>
    <col min="10503" max="10522" width="7" style="210" customWidth="1"/>
    <col min="10523" max="10752" width="9.140625" style="210"/>
    <col min="10753" max="10753" width="5" style="210" customWidth="1"/>
    <col min="10754" max="10754" width="15.85546875" style="210" customWidth="1"/>
    <col min="10755" max="10758" width="7.7109375" style="210" customWidth="1"/>
    <col min="10759" max="10778" width="7" style="210" customWidth="1"/>
    <col min="10779" max="11008" width="9.140625" style="210"/>
    <col min="11009" max="11009" width="5" style="210" customWidth="1"/>
    <col min="11010" max="11010" width="15.85546875" style="210" customWidth="1"/>
    <col min="11011" max="11014" width="7.7109375" style="210" customWidth="1"/>
    <col min="11015" max="11034" width="7" style="210" customWidth="1"/>
    <col min="11035" max="11264" width="9.140625" style="210"/>
    <col min="11265" max="11265" width="5" style="210" customWidth="1"/>
    <col min="11266" max="11266" width="15.85546875" style="210" customWidth="1"/>
    <col min="11267" max="11270" width="7.7109375" style="210" customWidth="1"/>
    <col min="11271" max="11290" width="7" style="210" customWidth="1"/>
    <col min="11291" max="11520" width="9.140625" style="210"/>
    <col min="11521" max="11521" width="5" style="210" customWidth="1"/>
    <col min="11522" max="11522" width="15.85546875" style="210" customWidth="1"/>
    <col min="11523" max="11526" width="7.7109375" style="210" customWidth="1"/>
    <col min="11527" max="11546" width="7" style="210" customWidth="1"/>
    <col min="11547" max="11776" width="9.140625" style="210"/>
    <col min="11777" max="11777" width="5" style="210" customWidth="1"/>
    <col min="11778" max="11778" width="15.85546875" style="210" customWidth="1"/>
    <col min="11779" max="11782" width="7.7109375" style="210" customWidth="1"/>
    <col min="11783" max="11802" width="7" style="210" customWidth="1"/>
    <col min="11803" max="12032" width="9.140625" style="210"/>
    <col min="12033" max="12033" width="5" style="210" customWidth="1"/>
    <col min="12034" max="12034" width="15.85546875" style="210" customWidth="1"/>
    <col min="12035" max="12038" width="7.7109375" style="210" customWidth="1"/>
    <col min="12039" max="12058" width="7" style="210" customWidth="1"/>
    <col min="12059" max="12288" width="9.140625" style="210"/>
    <col min="12289" max="12289" width="5" style="210" customWidth="1"/>
    <col min="12290" max="12290" width="15.85546875" style="210" customWidth="1"/>
    <col min="12291" max="12294" width="7.7109375" style="210" customWidth="1"/>
    <col min="12295" max="12314" width="7" style="210" customWidth="1"/>
    <col min="12315" max="12544" width="9.140625" style="210"/>
    <col min="12545" max="12545" width="5" style="210" customWidth="1"/>
    <col min="12546" max="12546" width="15.85546875" style="210" customWidth="1"/>
    <col min="12547" max="12550" width="7.7109375" style="210" customWidth="1"/>
    <col min="12551" max="12570" width="7" style="210" customWidth="1"/>
    <col min="12571" max="12800" width="9.140625" style="210"/>
    <col min="12801" max="12801" width="5" style="210" customWidth="1"/>
    <col min="12802" max="12802" width="15.85546875" style="210" customWidth="1"/>
    <col min="12803" max="12806" width="7.7109375" style="210" customWidth="1"/>
    <col min="12807" max="12826" width="7" style="210" customWidth="1"/>
    <col min="12827" max="13056" width="9.140625" style="210"/>
    <col min="13057" max="13057" width="5" style="210" customWidth="1"/>
    <col min="13058" max="13058" width="15.85546875" style="210" customWidth="1"/>
    <col min="13059" max="13062" width="7.7109375" style="210" customWidth="1"/>
    <col min="13063" max="13082" width="7" style="210" customWidth="1"/>
    <col min="13083" max="13312" width="9.140625" style="210"/>
    <col min="13313" max="13313" width="5" style="210" customWidth="1"/>
    <col min="13314" max="13314" width="15.85546875" style="210" customWidth="1"/>
    <col min="13315" max="13318" width="7.7109375" style="210" customWidth="1"/>
    <col min="13319" max="13338" width="7" style="210" customWidth="1"/>
    <col min="13339" max="13568" width="9.140625" style="210"/>
    <col min="13569" max="13569" width="5" style="210" customWidth="1"/>
    <col min="13570" max="13570" width="15.85546875" style="210" customWidth="1"/>
    <col min="13571" max="13574" width="7.7109375" style="210" customWidth="1"/>
    <col min="13575" max="13594" width="7" style="210" customWidth="1"/>
    <col min="13595" max="13824" width="9.140625" style="210"/>
    <col min="13825" max="13825" width="5" style="210" customWidth="1"/>
    <col min="13826" max="13826" width="15.85546875" style="210" customWidth="1"/>
    <col min="13827" max="13830" width="7.7109375" style="210" customWidth="1"/>
    <col min="13831" max="13850" width="7" style="210" customWidth="1"/>
    <col min="13851" max="14080" width="9.140625" style="210"/>
    <col min="14081" max="14081" width="5" style="210" customWidth="1"/>
    <col min="14082" max="14082" width="15.85546875" style="210" customWidth="1"/>
    <col min="14083" max="14086" width="7.7109375" style="210" customWidth="1"/>
    <col min="14087" max="14106" width="7" style="210" customWidth="1"/>
    <col min="14107" max="14336" width="9.140625" style="210"/>
    <col min="14337" max="14337" width="5" style="210" customWidth="1"/>
    <col min="14338" max="14338" width="15.85546875" style="210" customWidth="1"/>
    <col min="14339" max="14342" width="7.7109375" style="210" customWidth="1"/>
    <col min="14343" max="14362" width="7" style="210" customWidth="1"/>
    <col min="14363" max="14592" width="9.140625" style="210"/>
    <col min="14593" max="14593" width="5" style="210" customWidth="1"/>
    <col min="14594" max="14594" width="15.85546875" style="210" customWidth="1"/>
    <col min="14595" max="14598" width="7.7109375" style="210" customWidth="1"/>
    <col min="14599" max="14618" width="7" style="210" customWidth="1"/>
    <col min="14619" max="14848" width="9.140625" style="210"/>
    <col min="14849" max="14849" width="5" style="210" customWidth="1"/>
    <col min="14850" max="14850" width="15.85546875" style="210" customWidth="1"/>
    <col min="14851" max="14854" width="7.7109375" style="210" customWidth="1"/>
    <col min="14855" max="14874" width="7" style="210" customWidth="1"/>
    <col min="14875" max="15104" width="9.140625" style="210"/>
    <col min="15105" max="15105" width="5" style="210" customWidth="1"/>
    <col min="15106" max="15106" width="15.85546875" style="210" customWidth="1"/>
    <col min="15107" max="15110" width="7.7109375" style="210" customWidth="1"/>
    <col min="15111" max="15130" width="7" style="210" customWidth="1"/>
    <col min="15131" max="15360" width="9.140625" style="210"/>
    <col min="15361" max="15361" width="5" style="210" customWidth="1"/>
    <col min="15362" max="15362" width="15.85546875" style="210" customWidth="1"/>
    <col min="15363" max="15366" width="7.7109375" style="210" customWidth="1"/>
    <col min="15367" max="15386" width="7" style="210" customWidth="1"/>
    <col min="15387" max="15616" width="9.140625" style="210"/>
    <col min="15617" max="15617" width="5" style="210" customWidth="1"/>
    <col min="15618" max="15618" width="15.85546875" style="210" customWidth="1"/>
    <col min="15619" max="15622" width="7.7109375" style="210" customWidth="1"/>
    <col min="15623" max="15642" width="7" style="210" customWidth="1"/>
    <col min="15643" max="15872" width="9.140625" style="210"/>
    <col min="15873" max="15873" width="5" style="210" customWidth="1"/>
    <col min="15874" max="15874" width="15.85546875" style="210" customWidth="1"/>
    <col min="15875" max="15878" width="7.7109375" style="210" customWidth="1"/>
    <col min="15879" max="15898" width="7" style="210" customWidth="1"/>
    <col min="15899" max="16128" width="9.140625" style="210"/>
    <col min="16129" max="16129" width="5" style="210" customWidth="1"/>
    <col min="16130" max="16130" width="15.85546875" style="210" customWidth="1"/>
    <col min="16131" max="16134" width="7.7109375" style="210" customWidth="1"/>
    <col min="16135" max="16154" width="7" style="210" customWidth="1"/>
    <col min="16155" max="16384" width="9.140625" style="210"/>
  </cols>
  <sheetData>
    <row r="1" spans="1:28" s="265" customFormat="1" ht="39.75" customHeight="1">
      <c r="A1" s="752" t="s">
        <v>0</v>
      </c>
      <c r="B1" s="752"/>
      <c r="C1" s="752"/>
      <c r="D1" s="752"/>
      <c r="E1" s="752"/>
      <c r="F1" s="753" t="s">
        <v>714</v>
      </c>
      <c r="G1" s="753"/>
      <c r="H1" s="753"/>
      <c r="I1" s="753"/>
      <c r="J1" s="753"/>
      <c r="K1" s="753"/>
      <c r="L1" s="753"/>
      <c r="M1" s="753"/>
      <c r="N1" s="753"/>
      <c r="O1" s="753"/>
      <c r="P1" s="753"/>
      <c r="Q1" s="753"/>
      <c r="R1" s="753"/>
    </row>
    <row r="2" spans="1:28" ht="31.5" customHeight="1">
      <c r="A2" s="754" t="s">
        <v>2</v>
      </c>
      <c r="B2" s="754"/>
      <c r="C2" s="754"/>
      <c r="D2" s="754"/>
      <c r="E2" s="754"/>
      <c r="F2" s="754"/>
      <c r="G2" s="754"/>
      <c r="H2" s="754"/>
      <c r="I2" s="754"/>
      <c r="J2" s="754"/>
      <c r="K2" s="754"/>
      <c r="L2" s="754"/>
      <c r="M2" s="754"/>
      <c r="N2" s="754"/>
      <c r="O2" s="754"/>
      <c r="P2" s="754"/>
      <c r="Q2" s="754"/>
      <c r="R2" s="754"/>
      <c r="S2" s="754"/>
      <c r="T2" s="754"/>
      <c r="U2" s="754"/>
      <c r="V2" s="754"/>
      <c r="W2" s="754"/>
      <c r="X2" s="754"/>
      <c r="Y2" s="754"/>
      <c r="Z2" s="754"/>
    </row>
    <row r="3" spans="1:28" ht="44.25" customHeight="1">
      <c r="A3" s="592" t="s">
        <v>3</v>
      </c>
      <c r="B3" s="592" t="s">
        <v>4</v>
      </c>
      <c r="C3" s="755" t="s">
        <v>716</v>
      </c>
      <c r="D3" s="756"/>
      <c r="E3" s="756"/>
      <c r="F3" s="757"/>
      <c r="G3" s="761" t="s">
        <v>6</v>
      </c>
      <c r="H3" s="761"/>
      <c r="I3" s="761"/>
      <c r="J3" s="761"/>
      <c r="K3" s="761"/>
      <c r="L3" s="761"/>
      <c r="M3" s="761"/>
      <c r="N3" s="761"/>
      <c r="O3" s="761"/>
      <c r="P3" s="761"/>
      <c r="Q3" s="761"/>
      <c r="R3" s="761"/>
      <c r="S3" s="761"/>
      <c r="T3" s="761"/>
      <c r="U3" s="761"/>
      <c r="V3" s="761"/>
      <c r="W3" s="761"/>
      <c r="X3" s="761"/>
      <c r="Y3" s="761"/>
      <c r="Z3" s="761"/>
      <c r="AA3" s="762" t="s">
        <v>119</v>
      </c>
      <c r="AB3" s="765" t="s">
        <v>120</v>
      </c>
    </row>
    <row r="4" spans="1:28" ht="44.25" customHeight="1">
      <c r="A4" s="593"/>
      <c r="B4" s="593"/>
      <c r="C4" s="758"/>
      <c r="D4" s="759"/>
      <c r="E4" s="759"/>
      <c r="F4" s="760"/>
      <c r="G4" s="761" t="s">
        <v>9</v>
      </c>
      <c r="H4" s="761"/>
      <c r="I4" s="761"/>
      <c r="J4" s="761"/>
      <c r="K4" s="761" t="s">
        <v>10</v>
      </c>
      <c r="L4" s="761"/>
      <c r="M4" s="761"/>
      <c r="N4" s="761"/>
      <c r="O4" s="761" t="s">
        <v>11</v>
      </c>
      <c r="P4" s="761"/>
      <c r="Q4" s="761"/>
      <c r="R4" s="761"/>
      <c r="S4" s="761" t="s">
        <v>12</v>
      </c>
      <c r="T4" s="761"/>
      <c r="U4" s="761"/>
      <c r="V4" s="761"/>
      <c r="W4" s="761" t="s">
        <v>13</v>
      </c>
      <c r="X4" s="761"/>
      <c r="Y4" s="761"/>
      <c r="Z4" s="761"/>
      <c r="AA4" s="763"/>
      <c r="AB4" s="765"/>
    </row>
    <row r="5" spans="1:28" ht="75.75" customHeight="1">
      <c r="A5" s="594"/>
      <c r="B5" s="594"/>
      <c r="C5" s="266" t="s">
        <v>14</v>
      </c>
      <c r="D5" s="266" t="s">
        <v>15</v>
      </c>
      <c r="E5" s="266" t="s">
        <v>717</v>
      </c>
      <c r="F5" s="266" t="s">
        <v>718</v>
      </c>
      <c r="G5" s="266" t="s">
        <v>14</v>
      </c>
      <c r="H5" s="266" t="s">
        <v>15</v>
      </c>
      <c r="I5" s="266" t="s">
        <v>18</v>
      </c>
      <c r="J5" s="266" t="s">
        <v>19</v>
      </c>
      <c r="K5" s="266" t="s">
        <v>14</v>
      </c>
      <c r="L5" s="266" t="s">
        <v>15</v>
      </c>
      <c r="M5" s="266" t="s">
        <v>18</v>
      </c>
      <c r="N5" s="266" t="s">
        <v>19</v>
      </c>
      <c r="O5" s="266" t="s">
        <v>14</v>
      </c>
      <c r="P5" s="266" t="s">
        <v>15</v>
      </c>
      <c r="Q5" s="266" t="s">
        <v>18</v>
      </c>
      <c r="R5" s="266" t="s">
        <v>19</v>
      </c>
      <c r="S5" s="266" t="s">
        <v>14</v>
      </c>
      <c r="T5" s="266" t="s">
        <v>15</v>
      </c>
      <c r="U5" s="266" t="s">
        <v>18</v>
      </c>
      <c r="V5" s="266" t="s">
        <v>19</v>
      </c>
      <c r="W5" s="266" t="s">
        <v>14</v>
      </c>
      <c r="X5" s="266" t="s">
        <v>15</v>
      </c>
      <c r="Y5" s="266" t="s">
        <v>18</v>
      </c>
      <c r="Z5" s="266" t="s">
        <v>19</v>
      </c>
      <c r="AA5" s="764"/>
      <c r="AB5" s="765"/>
    </row>
    <row r="6" spans="1:28" ht="83.25" customHeight="1">
      <c r="A6" s="201" t="s">
        <v>20</v>
      </c>
      <c r="B6" s="201" t="s">
        <v>719</v>
      </c>
      <c r="C6" s="201">
        <v>0</v>
      </c>
      <c r="D6" s="201">
        <v>0</v>
      </c>
      <c r="E6" s="201">
        <v>0</v>
      </c>
      <c r="F6" s="201">
        <v>0</v>
      </c>
      <c r="G6" s="201">
        <v>62000</v>
      </c>
      <c r="H6" s="201">
        <v>62000</v>
      </c>
      <c r="I6" s="201">
        <v>41000</v>
      </c>
      <c r="J6" s="201">
        <v>41000</v>
      </c>
      <c r="K6" s="201">
        <v>62000</v>
      </c>
      <c r="L6" s="201">
        <v>62000</v>
      </c>
      <c r="M6" s="201">
        <v>41000</v>
      </c>
      <c r="N6" s="201">
        <v>41000</v>
      </c>
      <c r="O6" s="201">
        <v>62000</v>
      </c>
      <c r="P6" s="201">
        <v>62000</v>
      </c>
      <c r="Q6" s="201">
        <v>41000</v>
      </c>
      <c r="R6" s="201">
        <v>41000</v>
      </c>
      <c r="S6" s="201">
        <v>62000</v>
      </c>
      <c r="T6" s="201">
        <v>62000</v>
      </c>
      <c r="U6" s="201">
        <v>41000</v>
      </c>
      <c r="V6" s="201">
        <v>41000</v>
      </c>
      <c r="W6" s="201">
        <v>62000</v>
      </c>
      <c r="X6" s="201">
        <v>62000</v>
      </c>
      <c r="Y6" s="201">
        <v>41000</v>
      </c>
      <c r="Z6" s="201">
        <v>41000</v>
      </c>
      <c r="AA6" s="447">
        <f>C6/W6</f>
        <v>0</v>
      </c>
      <c r="AB6" s="447">
        <f>W6/X6</f>
        <v>1</v>
      </c>
    </row>
    <row r="7" spans="1:28" ht="27.75" customHeight="1">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448" t="s">
        <v>123</v>
      </c>
      <c r="AA7" s="447">
        <f>AVERAGE(AA6)</f>
        <v>0</v>
      </c>
      <c r="AB7" s="447">
        <f>AVERAGE(AB6)</f>
        <v>1</v>
      </c>
    </row>
    <row r="9" spans="1:28" ht="23.25">
      <c r="A9" s="754" t="s">
        <v>25</v>
      </c>
      <c r="B9" s="754"/>
      <c r="C9" s="754"/>
      <c r="D9" s="754"/>
      <c r="E9" s="754"/>
      <c r="F9" s="754"/>
      <c r="G9" s="754"/>
      <c r="H9" s="754"/>
      <c r="I9" s="754"/>
      <c r="J9" s="754"/>
      <c r="K9" s="754"/>
      <c r="L9" s="754"/>
      <c r="M9" s="754"/>
      <c r="N9" s="754"/>
      <c r="O9" s="754"/>
      <c r="P9" s="754"/>
      <c r="Q9" s="754"/>
      <c r="R9" s="754"/>
      <c r="S9" s="754"/>
      <c r="T9" s="754"/>
      <c r="U9" s="754"/>
      <c r="V9" s="754"/>
      <c r="W9" s="754"/>
      <c r="X9" s="754"/>
      <c r="Y9" s="754"/>
      <c r="Z9" s="754"/>
    </row>
    <row r="10" spans="1:28" ht="45.75" customHeight="1">
      <c r="A10" s="592" t="s">
        <v>3</v>
      </c>
      <c r="B10" s="592" t="s">
        <v>26</v>
      </c>
      <c r="C10" s="755" t="s">
        <v>720</v>
      </c>
      <c r="D10" s="756"/>
      <c r="E10" s="756"/>
      <c r="F10" s="757"/>
      <c r="G10" s="761" t="s">
        <v>28</v>
      </c>
      <c r="H10" s="761"/>
      <c r="I10" s="761"/>
      <c r="J10" s="761"/>
      <c r="K10" s="761"/>
      <c r="L10" s="761"/>
      <c r="M10" s="761"/>
      <c r="N10" s="761"/>
      <c r="O10" s="761"/>
      <c r="P10" s="761"/>
      <c r="Q10" s="761"/>
      <c r="R10" s="761"/>
      <c r="S10" s="761"/>
      <c r="T10" s="761"/>
      <c r="U10" s="761"/>
      <c r="V10" s="761"/>
      <c r="W10" s="761"/>
      <c r="X10" s="761"/>
      <c r="Y10" s="761"/>
      <c r="Z10" s="761"/>
      <c r="AA10" s="762" t="s">
        <v>124</v>
      </c>
      <c r="AB10" s="762" t="s">
        <v>125</v>
      </c>
    </row>
    <row r="11" spans="1:28" ht="45" customHeight="1">
      <c r="A11" s="593"/>
      <c r="B11" s="593"/>
      <c r="C11" s="758"/>
      <c r="D11" s="759"/>
      <c r="E11" s="759"/>
      <c r="F11" s="760"/>
      <c r="G11" s="761" t="s">
        <v>9</v>
      </c>
      <c r="H11" s="761"/>
      <c r="I11" s="761"/>
      <c r="J11" s="761"/>
      <c r="K11" s="761" t="s">
        <v>10</v>
      </c>
      <c r="L11" s="761"/>
      <c r="M11" s="761"/>
      <c r="N11" s="761"/>
      <c r="O11" s="761" t="s">
        <v>11</v>
      </c>
      <c r="P11" s="761"/>
      <c r="Q11" s="761"/>
      <c r="R11" s="761"/>
      <c r="S11" s="761" t="s">
        <v>12</v>
      </c>
      <c r="T11" s="761"/>
      <c r="U11" s="761"/>
      <c r="V11" s="761"/>
      <c r="W11" s="761" t="s">
        <v>13</v>
      </c>
      <c r="X11" s="761"/>
      <c r="Y11" s="761"/>
      <c r="Z11" s="761"/>
      <c r="AA11" s="763"/>
      <c r="AB11" s="763"/>
    </row>
    <row r="12" spans="1:28" ht="78.75" customHeight="1">
      <c r="A12" s="594"/>
      <c r="B12" s="594"/>
      <c r="C12" s="266" t="s">
        <v>721</v>
      </c>
      <c r="D12" s="266" t="s">
        <v>32</v>
      </c>
      <c r="E12" s="266" t="s">
        <v>33</v>
      </c>
      <c r="F12" s="266" t="s">
        <v>718</v>
      </c>
      <c r="G12" s="266" t="s">
        <v>34</v>
      </c>
      <c r="H12" s="266" t="s">
        <v>32</v>
      </c>
      <c r="I12" s="266" t="s">
        <v>33</v>
      </c>
      <c r="J12" s="266" t="s">
        <v>19</v>
      </c>
      <c r="K12" s="266" t="s">
        <v>34</v>
      </c>
      <c r="L12" s="266" t="s">
        <v>32</v>
      </c>
      <c r="M12" s="266" t="s">
        <v>33</v>
      </c>
      <c r="N12" s="266" t="s">
        <v>19</v>
      </c>
      <c r="O12" s="266" t="s">
        <v>34</v>
      </c>
      <c r="P12" s="266" t="s">
        <v>32</v>
      </c>
      <c r="Q12" s="266" t="s">
        <v>33</v>
      </c>
      <c r="R12" s="266" t="s">
        <v>19</v>
      </c>
      <c r="S12" s="266" t="s">
        <v>34</v>
      </c>
      <c r="T12" s="266" t="s">
        <v>32</v>
      </c>
      <c r="U12" s="266" t="s">
        <v>33</v>
      </c>
      <c r="V12" s="266" t="s">
        <v>19</v>
      </c>
      <c r="W12" s="266" t="s">
        <v>34</v>
      </c>
      <c r="X12" s="266" t="s">
        <v>32</v>
      </c>
      <c r="Y12" s="266" t="s">
        <v>33</v>
      </c>
      <c r="Z12" s="266" t="s">
        <v>19</v>
      </c>
      <c r="AA12" s="764"/>
      <c r="AB12" s="764"/>
    </row>
    <row r="13" spans="1:28" ht="51">
      <c r="A13" s="267" t="s">
        <v>20</v>
      </c>
      <c r="B13" s="267" t="s">
        <v>715</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row>
    <row r="14" spans="1:28" ht="28.5">
      <c r="A14" s="201" t="s">
        <v>36</v>
      </c>
      <c r="B14" s="201" t="s">
        <v>722</v>
      </c>
      <c r="C14" s="201">
        <f>6000*12</f>
        <v>72000</v>
      </c>
      <c r="D14" s="201">
        <f>C14</f>
        <v>72000</v>
      </c>
      <c r="E14" s="201">
        <v>900</v>
      </c>
      <c r="F14" s="201">
        <f>E14</f>
        <v>900</v>
      </c>
      <c r="G14" s="201">
        <f>40000*12</f>
        <v>480000</v>
      </c>
      <c r="H14" s="201">
        <f>G14</f>
        <v>480000</v>
      </c>
      <c r="I14" s="201">
        <v>950</v>
      </c>
      <c r="J14" s="201">
        <f>I14</f>
        <v>950</v>
      </c>
      <c r="K14" s="201">
        <f>40000*12</f>
        <v>480000</v>
      </c>
      <c r="L14" s="201">
        <f>K14</f>
        <v>480000</v>
      </c>
      <c r="M14" s="201">
        <v>950</v>
      </c>
      <c r="N14" s="201">
        <f>M14</f>
        <v>950</v>
      </c>
      <c r="O14" s="201">
        <f>40000*12</f>
        <v>480000</v>
      </c>
      <c r="P14" s="201">
        <f>O14</f>
        <v>480000</v>
      </c>
      <c r="Q14" s="201">
        <v>950</v>
      </c>
      <c r="R14" s="201">
        <f>Q14</f>
        <v>950</v>
      </c>
      <c r="S14" s="201">
        <f>40000*12</f>
        <v>480000</v>
      </c>
      <c r="T14" s="201">
        <f>S14</f>
        <v>480000</v>
      </c>
      <c r="U14" s="201">
        <v>950</v>
      </c>
      <c r="V14" s="201">
        <f>U14</f>
        <v>950</v>
      </c>
      <c r="W14" s="201">
        <f>40000*12</f>
        <v>480000</v>
      </c>
      <c r="X14" s="201">
        <f>W14</f>
        <v>480000</v>
      </c>
      <c r="Y14" s="201">
        <v>950</v>
      </c>
      <c r="Z14" s="201">
        <f>Y14</f>
        <v>950</v>
      </c>
      <c r="AA14" s="447">
        <f>C14/W14</f>
        <v>0.15</v>
      </c>
      <c r="AB14" s="447">
        <f>W14/X14</f>
        <v>1</v>
      </c>
    </row>
    <row r="15" spans="1:28" ht="51">
      <c r="Z15" s="449" t="s">
        <v>123</v>
      </c>
      <c r="AA15" s="450">
        <f>AVERAGE(AA14)</f>
        <v>0.15</v>
      </c>
      <c r="AB15" s="450">
        <f>AVERAGE(AB14)</f>
        <v>1</v>
      </c>
    </row>
    <row r="16" spans="1:28">
      <c r="A16" s="268"/>
      <c r="B16" s="268" t="s">
        <v>40</v>
      </c>
    </row>
    <row r="18" spans="1:18" ht="31.5" customHeight="1">
      <c r="A18" s="269" t="s">
        <v>41</v>
      </c>
      <c r="B18" s="766" t="s">
        <v>42</v>
      </c>
      <c r="C18" s="766"/>
      <c r="D18" s="766"/>
      <c r="E18" s="766"/>
      <c r="F18" s="766"/>
      <c r="G18" s="766"/>
      <c r="H18" s="766"/>
      <c r="I18" s="766"/>
      <c r="J18" s="766"/>
      <c r="K18" s="766"/>
      <c r="L18" s="766"/>
      <c r="M18" s="766"/>
      <c r="N18" s="766"/>
      <c r="O18" s="766"/>
      <c r="P18" s="766"/>
      <c r="Q18" s="766"/>
      <c r="R18" s="766"/>
    </row>
    <row r="19" spans="1:18" ht="31.5" customHeight="1">
      <c r="A19" s="269" t="s">
        <v>43</v>
      </c>
      <c r="B19" s="766" t="s">
        <v>44</v>
      </c>
      <c r="C19" s="766"/>
      <c r="D19" s="766"/>
      <c r="E19" s="766"/>
      <c r="F19" s="766"/>
      <c r="G19" s="766"/>
      <c r="H19" s="766"/>
      <c r="I19" s="766"/>
      <c r="J19" s="766"/>
      <c r="K19" s="766"/>
      <c r="L19" s="766"/>
      <c r="M19" s="766"/>
      <c r="N19" s="766"/>
      <c r="O19" s="766"/>
      <c r="P19" s="766"/>
      <c r="Q19" s="766"/>
      <c r="R19" s="766"/>
    </row>
    <row r="20" spans="1:18" ht="31.5" customHeight="1">
      <c r="B20" s="766" t="s">
        <v>723</v>
      </c>
      <c r="C20" s="766"/>
      <c r="D20" s="766"/>
      <c r="E20" s="766"/>
      <c r="F20" s="766"/>
      <c r="G20" s="766"/>
      <c r="H20" s="766"/>
      <c r="I20" s="766"/>
      <c r="J20" s="766"/>
      <c r="K20" s="766"/>
      <c r="L20" s="766"/>
      <c r="M20" s="766"/>
      <c r="N20" s="766"/>
      <c r="O20" s="766"/>
      <c r="P20" s="766"/>
      <c r="Q20" s="766"/>
      <c r="R20" s="766"/>
    </row>
    <row r="21" spans="1:18" ht="31.5" customHeight="1">
      <c r="B21" s="766" t="s">
        <v>724</v>
      </c>
      <c r="C21" s="766"/>
      <c r="D21" s="766"/>
      <c r="E21" s="766"/>
      <c r="F21" s="766"/>
      <c r="G21" s="766"/>
      <c r="H21" s="766"/>
      <c r="I21" s="766"/>
      <c r="J21" s="766"/>
      <c r="K21" s="766"/>
      <c r="L21" s="766"/>
      <c r="M21" s="766"/>
      <c r="N21" s="766"/>
      <c r="O21" s="766"/>
      <c r="P21" s="766"/>
      <c r="Q21" s="766"/>
      <c r="R21" s="766"/>
    </row>
    <row r="22" spans="1:18" ht="31.5" customHeight="1">
      <c r="B22" s="766" t="s">
        <v>725</v>
      </c>
      <c r="C22" s="766"/>
      <c r="D22" s="766"/>
      <c r="E22" s="766"/>
      <c r="F22" s="766"/>
      <c r="G22" s="766"/>
      <c r="H22" s="766"/>
      <c r="I22" s="766"/>
      <c r="J22" s="766"/>
      <c r="K22" s="766"/>
      <c r="L22" s="766"/>
      <c r="M22" s="766"/>
      <c r="N22" s="766"/>
      <c r="O22" s="766"/>
      <c r="P22" s="766"/>
      <c r="Q22" s="766"/>
      <c r="R22" s="766"/>
    </row>
    <row r="23" spans="1:18" ht="31.5" customHeight="1">
      <c r="B23" s="766" t="s">
        <v>726</v>
      </c>
      <c r="C23" s="766"/>
      <c r="D23" s="766"/>
      <c r="E23" s="766"/>
      <c r="F23" s="766"/>
      <c r="G23" s="766"/>
      <c r="H23" s="766"/>
      <c r="I23" s="766"/>
      <c r="J23" s="766"/>
      <c r="K23" s="766"/>
      <c r="L23" s="766"/>
      <c r="M23" s="766"/>
      <c r="N23" s="766"/>
      <c r="O23" s="766"/>
      <c r="P23" s="766"/>
      <c r="Q23" s="766"/>
      <c r="R23" s="766"/>
    </row>
    <row r="24" spans="1:18" ht="73.5" customHeight="1">
      <c r="B24" s="766" t="s">
        <v>727</v>
      </c>
      <c r="C24" s="766"/>
      <c r="D24" s="766"/>
      <c r="E24" s="766"/>
      <c r="F24" s="766"/>
      <c r="G24" s="766"/>
      <c r="H24" s="766"/>
      <c r="I24" s="766"/>
      <c r="J24" s="766"/>
      <c r="K24" s="766"/>
      <c r="L24" s="766"/>
      <c r="M24" s="766"/>
      <c r="N24" s="766"/>
      <c r="O24" s="766"/>
      <c r="P24" s="766"/>
      <c r="Q24" s="766"/>
      <c r="R24" s="766"/>
    </row>
    <row r="25" spans="1:18" ht="39" customHeight="1">
      <c r="B25" s="766" t="s">
        <v>728</v>
      </c>
      <c r="C25" s="766"/>
      <c r="D25" s="766"/>
      <c r="E25" s="766"/>
      <c r="F25" s="766"/>
      <c r="G25" s="766"/>
      <c r="H25" s="766"/>
      <c r="I25" s="766"/>
      <c r="J25" s="766"/>
      <c r="K25" s="766"/>
      <c r="L25" s="766"/>
      <c r="M25" s="766"/>
      <c r="N25" s="766"/>
      <c r="O25" s="766"/>
      <c r="P25" s="766"/>
      <c r="Q25" s="766"/>
      <c r="R25" s="766"/>
    </row>
    <row r="26" spans="1:18">
      <c r="B26" s="270"/>
    </row>
    <row r="27" spans="1:18">
      <c r="B27" s="270"/>
    </row>
    <row r="29" spans="1:18">
      <c r="B29" s="270"/>
    </row>
  </sheetData>
  <mergeCells count="34">
    <mergeCell ref="B24:R24"/>
    <mergeCell ref="B25:R25"/>
    <mergeCell ref="B18:R18"/>
    <mergeCell ref="B19:R19"/>
    <mergeCell ref="B20:R20"/>
    <mergeCell ref="B21:R21"/>
    <mergeCell ref="B22:R22"/>
    <mergeCell ref="B23:R23"/>
    <mergeCell ref="AB10:AB12"/>
    <mergeCell ref="G11:J11"/>
    <mergeCell ref="K11:N11"/>
    <mergeCell ref="O11:R11"/>
    <mergeCell ref="S11:V11"/>
    <mergeCell ref="W11:Z11"/>
    <mergeCell ref="AA10:AA12"/>
    <mergeCell ref="A9:Z9"/>
    <mergeCell ref="A10:A12"/>
    <mergeCell ref="B10:B12"/>
    <mergeCell ref="C10:F11"/>
    <mergeCell ref="G10:Z10"/>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dimension ref="A1:AC30"/>
  <sheetViews>
    <sheetView topLeftCell="L7" workbookViewId="0">
      <selection activeCell="B22" sqref="B22:R22"/>
    </sheetView>
  </sheetViews>
  <sheetFormatPr defaultRowHeight="15"/>
  <cols>
    <col min="1" max="1" width="5" customWidth="1"/>
    <col min="2" max="2" width="15.85546875" customWidth="1"/>
    <col min="3" max="6" width="7.7109375" customWidth="1"/>
    <col min="7" max="26" width="9.140625" customWidth="1"/>
    <col min="27" max="27" width="9.85546875" customWidth="1"/>
    <col min="28" max="28" width="10" customWidth="1"/>
    <col min="29" max="29" width="17.7109375" customWidth="1"/>
  </cols>
  <sheetData>
    <row r="1" spans="1:29" s="1" customFormat="1" ht="50.25" customHeight="1">
      <c r="A1" s="575" t="s">
        <v>0</v>
      </c>
      <c r="B1" s="575"/>
      <c r="C1" s="575"/>
      <c r="D1" s="575"/>
      <c r="E1" s="575"/>
      <c r="F1" s="576" t="s">
        <v>118</v>
      </c>
      <c r="G1" s="576"/>
      <c r="H1" s="576"/>
      <c r="I1" s="576"/>
      <c r="J1" s="576"/>
      <c r="K1" s="576"/>
      <c r="L1" s="576"/>
      <c r="M1" s="576"/>
      <c r="N1" s="576"/>
      <c r="O1" s="576"/>
      <c r="P1" s="576"/>
      <c r="Q1" s="576"/>
      <c r="R1" s="576"/>
      <c r="S1" s="34"/>
      <c r="T1" s="34"/>
      <c r="U1" s="34"/>
      <c r="V1" s="34"/>
      <c r="W1" s="34"/>
      <c r="X1" s="34"/>
      <c r="Y1" s="34"/>
      <c r="Z1" s="34"/>
    </row>
    <row r="2" spans="1:29" ht="31.5" customHeight="1">
      <c r="A2" s="577" t="s">
        <v>2</v>
      </c>
      <c r="B2" s="577"/>
      <c r="C2" s="577"/>
      <c r="D2" s="577"/>
      <c r="E2" s="577"/>
      <c r="F2" s="577"/>
      <c r="G2" s="577"/>
      <c r="H2" s="577"/>
      <c r="I2" s="577"/>
      <c r="J2" s="577"/>
      <c r="K2" s="577"/>
      <c r="L2" s="577"/>
      <c r="M2" s="577"/>
      <c r="N2" s="577"/>
      <c r="O2" s="577"/>
      <c r="P2" s="577"/>
      <c r="Q2" s="577"/>
      <c r="R2" s="577"/>
      <c r="S2" s="577"/>
      <c r="T2" s="577"/>
      <c r="U2" s="577"/>
      <c r="V2" s="577"/>
      <c r="W2" s="577"/>
      <c r="X2" s="577"/>
      <c r="Y2" s="577"/>
      <c r="Z2" s="577"/>
    </row>
    <row r="3" spans="1:29" ht="44.25" customHeight="1">
      <c r="A3" s="515" t="s">
        <v>3</v>
      </c>
      <c r="B3" s="518" t="s">
        <v>52</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57" t="s">
        <v>119</v>
      </c>
      <c r="AB3" s="574" t="s">
        <v>120</v>
      </c>
    </row>
    <row r="4" spans="1:29"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58"/>
      <c r="AB4" s="574"/>
    </row>
    <row r="5" spans="1:29" ht="75.75" customHeight="1">
      <c r="A5" s="517"/>
      <c r="B5" s="520"/>
      <c r="C5" s="133" t="s">
        <v>14</v>
      </c>
      <c r="D5" s="133" t="s">
        <v>15</v>
      </c>
      <c r="E5" s="133" t="s">
        <v>729</v>
      </c>
      <c r="F5" s="133" t="s">
        <v>730</v>
      </c>
      <c r="G5" s="133" t="s">
        <v>14</v>
      </c>
      <c r="H5" s="133" t="s">
        <v>15</v>
      </c>
      <c r="I5" s="133" t="s">
        <v>18</v>
      </c>
      <c r="J5" s="133" t="s">
        <v>19</v>
      </c>
      <c r="K5" s="133" t="s">
        <v>14</v>
      </c>
      <c r="L5" s="133" t="s">
        <v>15</v>
      </c>
      <c r="M5" s="133" t="s">
        <v>18</v>
      </c>
      <c r="N5" s="133" t="s">
        <v>19</v>
      </c>
      <c r="O5" s="133" t="s">
        <v>14</v>
      </c>
      <c r="P5" s="133" t="s">
        <v>15</v>
      </c>
      <c r="Q5" s="133" t="s">
        <v>18</v>
      </c>
      <c r="R5" s="133" t="s">
        <v>19</v>
      </c>
      <c r="S5" s="133" t="s">
        <v>14</v>
      </c>
      <c r="T5" s="133" t="s">
        <v>15</v>
      </c>
      <c r="U5" s="133" t="s">
        <v>18</v>
      </c>
      <c r="V5" s="133" t="s">
        <v>19</v>
      </c>
      <c r="W5" s="133" t="s">
        <v>14</v>
      </c>
      <c r="X5" s="133" t="s">
        <v>15</v>
      </c>
      <c r="Y5" s="133" t="s">
        <v>18</v>
      </c>
      <c r="Z5" s="133" t="s">
        <v>19</v>
      </c>
      <c r="AA5" s="559"/>
      <c r="AB5" s="574"/>
    </row>
    <row r="6" spans="1:29" ht="58.5" customHeight="1">
      <c r="A6" s="6"/>
      <c r="B6" s="46" t="s">
        <v>121</v>
      </c>
      <c r="C6" s="274">
        <v>30000</v>
      </c>
      <c r="D6" s="46">
        <v>33000</v>
      </c>
      <c r="E6" s="46">
        <v>28000</v>
      </c>
      <c r="F6" s="46">
        <v>35000</v>
      </c>
      <c r="G6" s="46">
        <v>80000</v>
      </c>
      <c r="H6" s="46">
        <v>100000</v>
      </c>
      <c r="I6" s="46">
        <v>68000</v>
      </c>
      <c r="J6" s="46">
        <v>80000</v>
      </c>
      <c r="K6" s="46">
        <v>86000</v>
      </c>
      <c r="L6" s="46">
        <v>105000</v>
      </c>
      <c r="M6" s="46">
        <v>80000</v>
      </c>
      <c r="N6" s="46">
        <v>90000</v>
      </c>
      <c r="O6" s="46">
        <v>99000</v>
      </c>
      <c r="P6" s="46">
        <v>125000</v>
      </c>
      <c r="Q6" s="46">
        <v>95000</v>
      </c>
      <c r="R6" s="46">
        <v>120000</v>
      </c>
      <c r="S6" s="46">
        <v>105000</v>
      </c>
      <c r="T6" s="46">
        <v>150000</v>
      </c>
      <c r="U6" s="46">
        <v>120000</v>
      </c>
      <c r="V6" s="46">
        <v>140000</v>
      </c>
      <c r="W6" s="274">
        <v>145000</v>
      </c>
      <c r="X6" s="274">
        <v>175000</v>
      </c>
      <c r="Y6" s="274">
        <v>145000</v>
      </c>
      <c r="Z6" s="275">
        <v>160000</v>
      </c>
      <c r="AA6" s="424">
        <f>C6/W6</f>
        <v>0.20689655172413793</v>
      </c>
      <c r="AB6" s="424">
        <f>W6/X6</f>
        <v>0.82857142857142863</v>
      </c>
      <c r="AC6" s="35"/>
    </row>
    <row r="7" spans="1:29" ht="44.25" customHeight="1">
      <c r="A7" s="6"/>
      <c r="B7" s="276" t="s">
        <v>122</v>
      </c>
      <c r="C7" s="46">
        <v>0</v>
      </c>
      <c r="D7" s="46">
        <v>0</v>
      </c>
      <c r="E7" s="46">
        <v>0</v>
      </c>
      <c r="F7" s="46">
        <v>0</v>
      </c>
      <c r="G7" s="277">
        <v>16658.399999999998</v>
      </c>
      <c r="H7" s="277">
        <v>33000</v>
      </c>
      <c r="I7" s="277">
        <v>17768.96</v>
      </c>
      <c r="J7" s="277">
        <v>17768.96</v>
      </c>
      <c r="K7" s="277">
        <v>19545.856</v>
      </c>
      <c r="L7" s="277">
        <v>36000</v>
      </c>
      <c r="M7" s="277">
        <v>19545.856</v>
      </c>
      <c r="N7" s="277">
        <v>19545.856</v>
      </c>
      <c r="O7" s="277">
        <v>21500.441600000002</v>
      </c>
      <c r="P7" s="277">
        <v>40000</v>
      </c>
      <c r="Q7" s="277">
        <v>21500.441600000002</v>
      </c>
      <c r="R7" s="277">
        <v>21500.441600000002</v>
      </c>
      <c r="S7" s="277">
        <v>23650.485760000003</v>
      </c>
      <c r="T7" s="277">
        <v>45500</v>
      </c>
      <c r="U7" s="277">
        <v>23650.485760000003</v>
      </c>
      <c r="V7" s="277">
        <v>23650.485760000003</v>
      </c>
      <c r="W7" s="278">
        <v>35000</v>
      </c>
      <c r="X7" s="278">
        <v>48000</v>
      </c>
      <c r="Y7" s="278">
        <v>26015.534336000008</v>
      </c>
      <c r="Z7" s="279">
        <v>26015.534336000008</v>
      </c>
      <c r="AA7" s="424">
        <f>C7/W7</f>
        <v>0</v>
      </c>
      <c r="AB7" s="424">
        <f>W7/X7</f>
        <v>0.72916666666666663</v>
      </c>
      <c r="AC7" s="35"/>
    </row>
    <row r="8" spans="1:29" ht="25.5">
      <c r="A8" s="7"/>
      <c r="B8" s="280"/>
      <c r="C8" s="280"/>
      <c r="D8" s="280"/>
      <c r="E8" s="280"/>
      <c r="F8" s="280"/>
      <c r="G8" s="281"/>
      <c r="H8" s="281"/>
      <c r="I8" s="281"/>
      <c r="J8" s="281"/>
      <c r="K8" s="281"/>
      <c r="L8" s="281"/>
      <c r="M8" s="281"/>
      <c r="N8" s="281"/>
      <c r="O8" s="281"/>
      <c r="P8" s="281"/>
      <c r="Q8" s="281"/>
      <c r="R8" s="281"/>
      <c r="S8" s="281"/>
      <c r="T8" s="281"/>
      <c r="U8" s="281"/>
      <c r="V8" s="281"/>
      <c r="W8" s="282"/>
      <c r="X8" s="282"/>
      <c r="Y8" s="282"/>
      <c r="Z8" s="278" t="s">
        <v>123</v>
      </c>
      <c r="AA8" s="424">
        <f>AVERAGE(AA6:AA7)</f>
        <v>0.10344827586206896</v>
      </c>
      <c r="AB8" s="424">
        <f>AVERAGE(AB6:AB7)</f>
        <v>0.77886904761904763</v>
      </c>
    </row>
    <row r="9" spans="1:29">
      <c r="A9" s="36"/>
      <c r="B9" s="36"/>
      <c r="C9" s="36"/>
      <c r="D9" s="36"/>
      <c r="E9" s="36"/>
      <c r="F9" s="36"/>
      <c r="G9" s="36"/>
      <c r="H9" s="36"/>
      <c r="I9" s="36"/>
      <c r="J9" s="36"/>
      <c r="K9" s="36"/>
      <c r="L9" s="36"/>
      <c r="M9" s="36"/>
      <c r="N9" s="36"/>
      <c r="O9" s="36"/>
      <c r="P9" s="36"/>
      <c r="Q9" s="36"/>
      <c r="R9" s="36"/>
      <c r="S9" s="36"/>
      <c r="T9" s="36"/>
      <c r="U9" s="36"/>
      <c r="V9" s="36"/>
      <c r="W9" s="36"/>
      <c r="X9" s="36"/>
      <c r="Y9" s="36"/>
      <c r="Z9" s="36"/>
    </row>
    <row r="10" spans="1:29" ht="22.5">
      <c r="A10" s="561" t="s">
        <v>25</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row>
    <row r="11" spans="1:29" ht="45.75" customHeight="1">
      <c r="A11" s="562" t="s">
        <v>3</v>
      </c>
      <c r="B11" s="565" t="s">
        <v>26</v>
      </c>
      <c r="C11" s="568" t="s">
        <v>731</v>
      </c>
      <c r="D11" s="569"/>
      <c r="E11" s="569"/>
      <c r="F11" s="570"/>
      <c r="G11" s="560" t="s">
        <v>28</v>
      </c>
      <c r="H11" s="560"/>
      <c r="I11" s="560"/>
      <c r="J11" s="560"/>
      <c r="K11" s="560"/>
      <c r="L11" s="560"/>
      <c r="M11" s="560"/>
      <c r="N11" s="560"/>
      <c r="O11" s="560"/>
      <c r="P11" s="560"/>
      <c r="Q11" s="560"/>
      <c r="R11" s="560"/>
      <c r="S11" s="560"/>
      <c r="T11" s="560"/>
      <c r="U11" s="560"/>
      <c r="V11" s="560"/>
      <c r="W11" s="560"/>
      <c r="X11" s="560"/>
      <c r="Y11" s="560"/>
      <c r="Z11" s="560"/>
      <c r="AA11" s="557" t="s">
        <v>124</v>
      </c>
      <c r="AB11" s="557" t="s">
        <v>125</v>
      </c>
    </row>
    <row r="12" spans="1:29" ht="45" customHeight="1">
      <c r="A12" s="563"/>
      <c r="B12" s="566"/>
      <c r="C12" s="571"/>
      <c r="D12" s="572"/>
      <c r="E12" s="572"/>
      <c r="F12" s="573"/>
      <c r="G12" s="560" t="s">
        <v>9</v>
      </c>
      <c r="H12" s="560"/>
      <c r="I12" s="560"/>
      <c r="J12" s="560"/>
      <c r="K12" s="560" t="s">
        <v>10</v>
      </c>
      <c r="L12" s="560"/>
      <c r="M12" s="560"/>
      <c r="N12" s="560"/>
      <c r="O12" s="560" t="s">
        <v>11</v>
      </c>
      <c r="P12" s="560"/>
      <c r="Q12" s="560"/>
      <c r="R12" s="560"/>
      <c r="S12" s="560" t="s">
        <v>12</v>
      </c>
      <c r="T12" s="560"/>
      <c r="U12" s="560"/>
      <c r="V12" s="560"/>
      <c r="W12" s="560" t="s">
        <v>13</v>
      </c>
      <c r="X12" s="560"/>
      <c r="Y12" s="560"/>
      <c r="Z12" s="560"/>
      <c r="AA12" s="558"/>
      <c r="AB12" s="558"/>
    </row>
    <row r="13" spans="1:29" ht="78.75" customHeight="1">
      <c r="A13" s="564"/>
      <c r="B13" s="567"/>
      <c r="C13" s="133" t="s">
        <v>732</v>
      </c>
      <c r="D13" s="133" t="s">
        <v>32</v>
      </c>
      <c r="E13" s="133" t="s">
        <v>33</v>
      </c>
      <c r="F13" s="133" t="s">
        <v>730</v>
      </c>
      <c r="G13" s="133" t="s">
        <v>34</v>
      </c>
      <c r="H13" s="133" t="s">
        <v>32</v>
      </c>
      <c r="I13" s="133" t="s">
        <v>33</v>
      </c>
      <c r="J13" s="133" t="s">
        <v>19</v>
      </c>
      <c r="K13" s="133" t="s">
        <v>34</v>
      </c>
      <c r="L13" s="133" t="s">
        <v>32</v>
      </c>
      <c r="M13" s="133" t="s">
        <v>33</v>
      </c>
      <c r="N13" s="133" t="s">
        <v>19</v>
      </c>
      <c r="O13" s="133" t="s">
        <v>34</v>
      </c>
      <c r="P13" s="133" t="s">
        <v>32</v>
      </c>
      <c r="Q13" s="133" t="s">
        <v>33</v>
      </c>
      <c r="R13" s="133" t="s">
        <v>19</v>
      </c>
      <c r="S13" s="133" t="s">
        <v>34</v>
      </c>
      <c r="T13" s="133" t="s">
        <v>32</v>
      </c>
      <c r="U13" s="133" t="s">
        <v>33</v>
      </c>
      <c r="V13" s="133" t="s">
        <v>19</v>
      </c>
      <c r="W13" s="133" t="s">
        <v>34</v>
      </c>
      <c r="X13" s="133" t="s">
        <v>32</v>
      </c>
      <c r="Y13" s="133" t="s">
        <v>33</v>
      </c>
      <c r="Z13" s="133" t="s">
        <v>19</v>
      </c>
      <c r="AA13" s="559"/>
      <c r="AB13" s="559"/>
    </row>
    <row r="14" spans="1:29" ht="54" customHeight="1">
      <c r="A14" s="47"/>
      <c r="B14" s="47" t="s">
        <v>126</v>
      </c>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4"/>
      <c r="AB14" s="284"/>
    </row>
    <row r="15" spans="1:29" ht="45.75" customHeight="1">
      <c r="A15" s="6"/>
      <c r="B15" s="6" t="s">
        <v>127</v>
      </c>
      <c r="C15" s="277">
        <v>800</v>
      </c>
      <c r="D15" s="277">
        <v>1800</v>
      </c>
      <c r="E15" s="277">
        <v>119</v>
      </c>
      <c r="F15" s="277">
        <v>119</v>
      </c>
      <c r="G15" s="277">
        <v>2500</v>
      </c>
      <c r="H15" s="277">
        <v>3500</v>
      </c>
      <c r="I15" s="277">
        <v>119</v>
      </c>
      <c r="J15" s="277">
        <v>250</v>
      </c>
      <c r="K15" s="277">
        <v>3500</v>
      </c>
      <c r="L15" s="277">
        <v>4200</v>
      </c>
      <c r="M15" s="277">
        <v>119</v>
      </c>
      <c r="N15" s="277">
        <v>300</v>
      </c>
      <c r="O15" s="277">
        <v>3800</v>
      </c>
      <c r="P15" s="277">
        <v>4620</v>
      </c>
      <c r="Q15" s="277">
        <v>119</v>
      </c>
      <c r="R15" s="277">
        <v>330</v>
      </c>
      <c r="S15" s="277">
        <v>3900</v>
      </c>
      <c r="T15" s="277">
        <v>4800</v>
      </c>
      <c r="U15" s="277">
        <v>119</v>
      </c>
      <c r="V15" s="277">
        <v>350</v>
      </c>
      <c r="W15" s="277">
        <v>4400</v>
      </c>
      <c r="X15" s="277">
        <v>5040</v>
      </c>
      <c r="Y15" s="277">
        <v>119</v>
      </c>
      <c r="Z15" s="278">
        <v>360</v>
      </c>
      <c r="AA15" s="424">
        <f>C15/W15</f>
        <v>0.18181818181818182</v>
      </c>
      <c r="AB15" s="424">
        <f>W15/X15</f>
        <v>0.87301587301587302</v>
      </c>
    </row>
    <row r="16" spans="1:29" ht="34.5" customHeight="1">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278" t="s">
        <v>123</v>
      </c>
      <c r="AA16" s="424">
        <f>AVERAGE(AA14:AA15)</f>
        <v>0.18181818181818182</v>
      </c>
      <c r="AB16" s="424">
        <f>AVERAGE(AB14:AB15)</f>
        <v>0.87301587301587302</v>
      </c>
    </row>
    <row r="17" spans="1:18">
      <c r="A17" s="9"/>
      <c r="B17" s="9" t="s">
        <v>40</v>
      </c>
    </row>
    <row r="19" spans="1:18" ht="31.5" customHeight="1">
      <c r="A19" s="10" t="s">
        <v>41</v>
      </c>
      <c r="B19" s="509" t="s">
        <v>42</v>
      </c>
      <c r="C19" s="509"/>
      <c r="D19" s="509"/>
      <c r="E19" s="509"/>
      <c r="F19" s="509"/>
      <c r="G19" s="509"/>
      <c r="H19" s="509"/>
      <c r="I19" s="509"/>
      <c r="J19" s="509"/>
      <c r="K19" s="509"/>
      <c r="L19" s="509"/>
      <c r="M19" s="509"/>
      <c r="N19" s="509"/>
      <c r="O19" s="509"/>
      <c r="P19" s="509"/>
      <c r="Q19" s="509"/>
      <c r="R19" s="509"/>
    </row>
    <row r="20" spans="1:18" ht="31.5" customHeight="1">
      <c r="A20" s="10" t="s">
        <v>43</v>
      </c>
      <c r="B20" s="509" t="s">
        <v>44</v>
      </c>
      <c r="C20" s="509"/>
      <c r="D20" s="509"/>
      <c r="E20" s="509"/>
      <c r="F20" s="509"/>
      <c r="G20" s="509"/>
      <c r="H20" s="509"/>
      <c r="I20" s="509"/>
      <c r="J20" s="509"/>
      <c r="K20" s="509"/>
      <c r="L20" s="509"/>
      <c r="M20" s="509"/>
      <c r="N20" s="509"/>
      <c r="O20" s="509"/>
      <c r="P20" s="509"/>
      <c r="Q20" s="509"/>
      <c r="R20" s="509"/>
    </row>
    <row r="21" spans="1:18" ht="31.5" customHeight="1">
      <c r="B21" s="509" t="s">
        <v>45</v>
      </c>
      <c r="C21" s="509"/>
      <c r="D21" s="509"/>
      <c r="E21" s="509"/>
      <c r="F21" s="509"/>
      <c r="G21" s="509"/>
      <c r="H21" s="509"/>
      <c r="I21" s="509"/>
      <c r="J21" s="509"/>
      <c r="K21" s="509"/>
      <c r="L21" s="509"/>
      <c r="M21" s="509"/>
      <c r="N21" s="509"/>
      <c r="O21" s="509"/>
      <c r="P21" s="509"/>
      <c r="Q21" s="509"/>
      <c r="R21" s="509"/>
    </row>
    <row r="22" spans="1:18" ht="31.5" customHeight="1">
      <c r="B22" s="509" t="s">
        <v>46</v>
      </c>
      <c r="C22" s="509"/>
      <c r="D22" s="509"/>
      <c r="E22" s="509"/>
      <c r="F22" s="509"/>
      <c r="G22" s="509"/>
      <c r="H22" s="509"/>
      <c r="I22" s="509"/>
      <c r="J22" s="509"/>
      <c r="K22" s="509"/>
      <c r="L22" s="509"/>
      <c r="M22" s="509"/>
      <c r="N22" s="509"/>
      <c r="O22" s="509"/>
      <c r="P22" s="509"/>
      <c r="Q22" s="509"/>
      <c r="R22" s="509"/>
    </row>
    <row r="23" spans="1:18" ht="31.5" customHeight="1">
      <c r="B23" s="509" t="s">
        <v>47</v>
      </c>
      <c r="C23" s="509"/>
      <c r="D23" s="509"/>
      <c r="E23" s="509"/>
      <c r="F23" s="509"/>
      <c r="G23" s="509"/>
      <c r="H23" s="509"/>
      <c r="I23" s="509"/>
      <c r="J23" s="509"/>
      <c r="K23" s="509"/>
      <c r="L23" s="509"/>
      <c r="M23" s="509"/>
      <c r="N23" s="509"/>
      <c r="O23" s="509"/>
      <c r="P23" s="509"/>
      <c r="Q23" s="509"/>
      <c r="R23" s="509"/>
    </row>
    <row r="24" spans="1:18" ht="31.5" customHeight="1">
      <c r="B24" s="509" t="s">
        <v>48</v>
      </c>
      <c r="C24" s="509"/>
      <c r="D24" s="509"/>
      <c r="E24" s="509"/>
      <c r="F24" s="509"/>
      <c r="G24" s="509"/>
      <c r="H24" s="509"/>
      <c r="I24" s="509"/>
      <c r="J24" s="509"/>
      <c r="K24" s="509"/>
      <c r="L24" s="509"/>
      <c r="M24" s="509"/>
      <c r="N24" s="509"/>
      <c r="O24" s="509"/>
      <c r="P24" s="509"/>
      <c r="Q24" s="509"/>
      <c r="R24" s="509"/>
    </row>
    <row r="25" spans="1:18" ht="73.5" customHeight="1">
      <c r="B25" s="509" t="s">
        <v>49</v>
      </c>
      <c r="C25" s="509"/>
      <c r="D25" s="509"/>
      <c r="E25" s="509"/>
      <c r="F25" s="509"/>
      <c r="G25" s="509"/>
      <c r="H25" s="509"/>
      <c r="I25" s="509"/>
      <c r="J25" s="509"/>
      <c r="K25" s="509"/>
      <c r="L25" s="509"/>
      <c r="M25" s="509"/>
      <c r="N25" s="509"/>
      <c r="O25" s="509"/>
      <c r="P25" s="509"/>
      <c r="Q25" s="509"/>
      <c r="R25" s="509"/>
    </row>
    <row r="26" spans="1:18" ht="39" customHeight="1">
      <c r="B26" s="509" t="s">
        <v>50</v>
      </c>
      <c r="C26" s="509"/>
      <c r="D26" s="509"/>
      <c r="E26" s="509"/>
      <c r="F26" s="509"/>
      <c r="G26" s="509"/>
      <c r="H26" s="509"/>
      <c r="I26" s="509"/>
      <c r="J26" s="509"/>
      <c r="K26" s="509"/>
      <c r="L26" s="509"/>
      <c r="M26" s="509"/>
      <c r="N26" s="509"/>
      <c r="O26" s="509"/>
      <c r="P26" s="509"/>
      <c r="Q26" s="509"/>
      <c r="R26" s="509"/>
    </row>
    <row r="27" spans="1:18">
      <c r="B27" s="11"/>
    </row>
    <row r="28" spans="1:18">
      <c r="B28" s="11"/>
    </row>
    <row r="30" spans="1:18">
      <c r="B30" s="11"/>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0:Z10"/>
    <mergeCell ref="A11:A13"/>
    <mergeCell ref="B11:B13"/>
    <mergeCell ref="C11:F12"/>
    <mergeCell ref="G11:Z11"/>
    <mergeCell ref="AB11:AB13"/>
    <mergeCell ref="G12:J12"/>
    <mergeCell ref="K12:N12"/>
    <mergeCell ref="O12:R12"/>
    <mergeCell ref="S12:V12"/>
    <mergeCell ref="W12:Z12"/>
    <mergeCell ref="AA11:AA13"/>
    <mergeCell ref="B25:R25"/>
    <mergeCell ref="B26:R26"/>
    <mergeCell ref="B19:R19"/>
    <mergeCell ref="B20:R20"/>
    <mergeCell ref="B21:R21"/>
    <mergeCell ref="B22:R22"/>
    <mergeCell ref="B23:R23"/>
    <mergeCell ref="B24:R2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AC36"/>
  <sheetViews>
    <sheetView topLeftCell="H13" workbookViewId="0">
      <selection activeCell="B25" sqref="B24:R25"/>
    </sheetView>
  </sheetViews>
  <sheetFormatPr defaultRowHeight="15"/>
  <cols>
    <col min="1" max="1" width="5" style="36" customWidth="1"/>
    <col min="2" max="2" width="15.85546875" style="36" customWidth="1"/>
    <col min="3" max="6" width="7.7109375" style="36" customWidth="1"/>
    <col min="7" max="8" width="8.42578125" style="36" customWidth="1"/>
    <col min="9" max="9" width="7.5703125" style="36" customWidth="1"/>
    <col min="10" max="10" width="8" style="36" bestFit="1" customWidth="1"/>
    <col min="11" max="11" width="8.28515625" style="36" customWidth="1"/>
    <col min="12" max="12" width="8.140625" style="36" customWidth="1"/>
    <col min="13" max="13" width="7.5703125" style="36" customWidth="1"/>
    <col min="14" max="15" width="7.85546875" style="36" customWidth="1"/>
    <col min="16" max="16" width="8.140625" style="36" customWidth="1"/>
    <col min="17" max="17" width="7.5703125" style="36" customWidth="1"/>
    <col min="18" max="19" width="8.28515625" style="36" customWidth="1"/>
    <col min="20" max="20" width="8.5703125" style="36" customWidth="1"/>
    <col min="21" max="21" width="7.7109375" style="36" customWidth="1"/>
    <col min="22" max="22" width="8.28515625" style="36" customWidth="1"/>
    <col min="23" max="24" width="7.85546875" style="36" customWidth="1"/>
    <col min="25" max="25" width="7.42578125" style="36" customWidth="1"/>
    <col min="26" max="26" width="9.28515625" style="36" customWidth="1"/>
    <col min="27" max="16384" width="9.140625" style="36"/>
  </cols>
  <sheetData>
    <row r="1" spans="1:29" ht="94.5" customHeight="1">
      <c r="V1" s="767" t="s">
        <v>775</v>
      </c>
      <c r="W1" s="768"/>
      <c r="X1" s="768"/>
      <c r="Y1" s="768"/>
      <c r="Z1" s="768"/>
    </row>
    <row r="2" spans="1:29" s="34" customFormat="1" ht="51" customHeight="1">
      <c r="A2" s="575" t="s">
        <v>0</v>
      </c>
      <c r="B2" s="575"/>
      <c r="C2" s="575"/>
      <c r="D2" s="575"/>
      <c r="E2" s="575"/>
      <c r="F2" s="769" t="s">
        <v>776</v>
      </c>
      <c r="G2" s="769"/>
      <c r="H2" s="769"/>
      <c r="I2" s="769"/>
      <c r="J2" s="769"/>
      <c r="K2" s="769"/>
      <c r="L2" s="769"/>
      <c r="M2" s="769"/>
      <c r="N2" s="769"/>
      <c r="O2" s="769"/>
      <c r="P2" s="769"/>
      <c r="Q2" s="769"/>
      <c r="R2" s="769"/>
    </row>
    <row r="3" spans="1:29" ht="53.25" customHeight="1">
      <c r="A3" s="561" t="s">
        <v>2</v>
      </c>
      <c r="B3" s="561"/>
      <c r="C3" s="561"/>
      <c r="D3" s="561"/>
      <c r="E3" s="561"/>
      <c r="F3" s="561"/>
      <c r="G3" s="561"/>
      <c r="H3" s="561"/>
      <c r="I3" s="561"/>
      <c r="J3" s="561"/>
      <c r="K3" s="561"/>
      <c r="L3" s="561"/>
      <c r="M3" s="561"/>
      <c r="N3" s="561"/>
      <c r="O3" s="561"/>
      <c r="P3" s="561"/>
      <c r="Q3" s="561"/>
      <c r="R3" s="561"/>
      <c r="S3" s="561"/>
      <c r="T3" s="561"/>
      <c r="U3" s="561"/>
      <c r="V3" s="561"/>
      <c r="W3" s="561"/>
      <c r="X3" s="561"/>
      <c r="Y3" s="561"/>
      <c r="Z3" s="561"/>
    </row>
    <row r="4" spans="1:29" ht="44.25" customHeight="1">
      <c r="A4" s="515" t="s">
        <v>3</v>
      </c>
      <c r="B4" s="518" t="s">
        <v>4</v>
      </c>
      <c r="C4" s="521" t="s">
        <v>129</v>
      </c>
      <c r="D4" s="522"/>
      <c r="E4" s="522"/>
      <c r="F4" s="523"/>
      <c r="G4" s="513" t="s">
        <v>6</v>
      </c>
      <c r="H4" s="513"/>
      <c r="I4" s="513"/>
      <c r="J4" s="513"/>
      <c r="K4" s="513"/>
      <c r="L4" s="513"/>
      <c r="M4" s="513"/>
      <c r="N4" s="513"/>
      <c r="O4" s="513"/>
      <c r="P4" s="513"/>
      <c r="Q4" s="513"/>
      <c r="R4" s="513"/>
      <c r="S4" s="513"/>
      <c r="T4" s="513"/>
      <c r="U4" s="513"/>
      <c r="V4" s="513"/>
      <c r="W4" s="513"/>
      <c r="X4" s="513"/>
      <c r="Y4" s="513"/>
      <c r="Z4" s="513"/>
      <c r="AA4" s="513" t="s">
        <v>119</v>
      </c>
      <c r="AB4" s="513" t="s">
        <v>120</v>
      </c>
    </row>
    <row r="5" spans="1:29" ht="44.25" customHeight="1">
      <c r="A5" s="516"/>
      <c r="B5" s="519"/>
      <c r="C5" s="524"/>
      <c r="D5" s="525"/>
      <c r="E5" s="525"/>
      <c r="F5" s="526"/>
      <c r="G5" s="513" t="s">
        <v>9</v>
      </c>
      <c r="H5" s="513"/>
      <c r="I5" s="513"/>
      <c r="J5" s="513"/>
      <c r="K5" s="513" t="s">
        <v>10</v>
      </c>
      <c r="L5" s="513"/>
      <c r="M5" s="513"/>
      <c r="N5" s="513"/>
      <c r="O5" s="513" t="s">
        <v>11</v>
      </c>
      <c r="P5" s="513"/>
      <c r="Q5" s="513"/>
      <c r="R5" s="513"/>
      <c r="S5" s="513" t="s">
        <v>12</v>
      </c>
      <c r="T5" s="513"/>
      <c r="U5" s="513"/>
      <c r="V5" s="513"/>
      <c r="W5" s="513" t="s">
        <v>13</v>
      </c>
      <c r="X5" s="513"/>
      <c r="Y5" s="513"/>
      <c r="Z5" s="513"/>
      <c r="AA5" s="513"/>
      <c r="AB5" s="513"/>
    </row>
    <row r="6" spans="1:29" ht="75.75" customHeight="1">
      <c r="A6" s="517"/>
      <c r="B6" s="520"/>
      <c r="C6" s="5" t="s">
        <v>14</v>
      </c>
      <c r="D6" s="5" t="s">
        <v>15</v>
      </c>
      <c r="E6" s="5" t="s">
        <v>130</v>
      </c>
      <c r="F6" s="5" t="s">
        <v>131</v>
      </c>
      <c r="G6" s="5" t="s">
        <v>14</v>
      </c>
      <c r="H6" s="5" t="s">
        <v>15</v>
      </c>
      <c r="I6" s="5" t="s">
        <v>18</v>
      </c>
      <c r="J6" s="5" t="s">
        <v>19</v>
      </c>
      <c r="K6" s="5" t="s">
        <v>14</v>
      </c>
      <c r="L6" s="5" t="s">
        <v>15</v>
      </c>
      <c r="M6" s="5" t="s">
        <v>18</v>
      </c>
      <c r="N6" s="5" t="s">
        <v>19</v>
      </c>
      <c r="O6" s="5" t="s">
        <v>14</v>
      </c>
      <c r="P6" s="5" t="s">
        <v>15</v>
      </c>
      <c r="Q6" s="5" t="s">
        <v>18</v>
      </c>
      <c r="R6" s="5" t="s">
        <v>19</v>
      </c>
      <c r="S6" s="5" t="s">
        <v>14</v>
      </c>
      <c r="T6" s="5" t="s">
        <v>15</v>
      </c>
      <c r="U6" s="5" t="s">
        <v>18</v>
      </c>
      <c r="V6" s="5" t="s">
        <v>19</v>
      </c>
      <c r="W6" s="5" t="s">
        <v>14</v>
      </c>
      <c r="X6" s="5" t="s">
        <v>15</v>
      </c>
      <c r="Y6" s="5" t="s">
        <v>18</v>
      </c>
      <c r="Z6" s="5" t="s">
        <v>19</v>
      </c>
      <c r="AA6" s="513"/>
      <c r="AB6" s="513"/>
    </row>
    <row r="7" spans="1:29" ht="70.5" customHeight="1">
      <c r="A7" s="6">
        <v>1</v>
      </c>
      <c r="B7" s="6" t="s">
        <v>777</v>
      </c>
      <c r="C7" s="6">
        <v>0</v>
      </c>
      <c r="D7" s="6">
        <v>0</v>
      </c>
      <c r="E7" s="6">
        <v>0</v>
      </c>
      <c r="F7" s="6">
        <v>0</v>
      </c>
      <c r="G7" s="8">
        <v>90000</v>
      </c>
      <c r="H7" s="8">
        <v>90000</v>
      </c>
      <c r="I7" s="8">
        <v>1400</v>
      </c>
      <c r="J7" s="8">
        <v>1400</v>
      </c>
      <c r="K7" s="8">
        <v>90000</v>
      </c>
      <c r="L7" s="8">
        <v>90000</v>
      </c>
      <c r="M7" s="8">
        <v>1400</v>
      </c>
      <c r="N7" s="8">
        <v>1400</v>
      </c>
      <c r="O7" s="8">
        <v>90000</v>
      </c>
      <c r="P7" s="8">
        <v>90000</v>
      </c>
      <c r="Q7" s="8">
        <v>1400</v>
      </c>
      <c r="R7" s="8">
        <v>1400</v>
      </c>
      <c r="S7" s="8">
        <v>90000</v>
      </c>
      <c r="T7" s="8">
        <v>90000</v>
      </c>
      <c r="U7" s="8">
        <v>1400</v>
      </c>
      <c r="V7" s="8">
        <v>1400</v>
      </c>
      <c r="W7" s="8">
        <v>90000</v>
      </c>
      <c r="X7" s="8">
        <v>90000</v>
      </c>
      <c r="Y7" s="8">
        <v>1400</v>
      </c>
      <c r="Z7" s="8">
        <v>1400</v>
      </c>
      <c r="AA7" s="446">
        <f>C7/W7</f>
        <v>0</v>
      </c>
      <c r="AB7" s="446">
        <f>W7/X7</f>
        <v>1</v>
      </c>
    </row>
    <row r="8" spans="1:29" ht="70.5" customHeight="1">
      <c r="A8" s="6">
        <v>2</v>
      </c>
      <c r="B8" s="6" t="s">
        <v>778</v>
      </c>
      <c r="C8" s="6">
        <v>0</v>
      </c>
      <c r="D8" s="6">
        <v>0</v>
      </c>
      <c r="E8" s="6">
        <v>0</v>
      </c>
      <c r="F8" s="6">
        <v>0</v>
      </c>
      <c r="G8" s="468">
        <v>13600</v>
      </c>
      <c r="H8" s="468">
        <v>13600</v>
      </c>
      <c r="I8" s="49">
        <v>600</v>
      </c>
      <c r="J8" s="49">
        <v>600</v>
      </c>
      <c r="K8" s="468">
        <v>13600</v>
      </c>
      <c r="L8" s="468">
        <v>13600</v>
      </c>
      <c r="M8" s="49">
        <v>600</v>
      </c>
      <c r="N8" s="49">
        <v>600</v>
      </c>
      <c r="O8" s="468">
        <v>13600</v>
      </c>
      <c r="P8" s="468">
        <v>13600</v>
      </c>
      <c r="Q8" s="49">
        <v>600</v>
      </c>
      <c r="R8" s="49">
        <v>600</v>
      </c>
      <c r="S8" s="468">
        <v>13600</v>
      </c>
      <c r="T8" s="468">
        <v>13600</v>
      </c>
      <c r="U8" s="49">
        <v>600</v>
      </c>
      <c r="V8" s="49">
        <v>600</v>
      </c>
      <c r="W8" s="468">
        <v>13600</v>
      </c>
      <c r="X8" s="468">
        <v>13600</v>
      </c>
      <c r="Y8" s="49">
        <v>600</v>
      </c>
      <c r="Z8" s="49">
        <v>600</v>
      </c>
      <c r="AA8" s="446">
        <f>C8/W8</f>
        <v>0</v>
      </c>
      <c r="AB8" s="446">
        <f>W8/X8</f>
        <v>1</v>
      </c>
    </row>
    <row r="9" spans="1:29" ht="55.5" customHeight="1">
      <c r="Z9" s="212" t="s">
        <v>123</v>
      </c>
      <c r="AA9" s="469">
        <f>AVERAGE(AA7:AA8)</f>
        <v>0</v>
      </c>
      <c r="AB9" s="469">
        <f>AVERAGE(AB7:AB8)</f>
        <v>1</v>
      </c>
    </row>
    <row r="10" spans="1:29" ht="22.5">
      <c r="A10" s="561" t="s">
        <v>25</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row>
    <row r="11" spans="1:29" ht="45.75" customHeight="1">
      <c r="A11" s="515" t="s">
        <v>3</v>
      </c>
      <c r="B11" s="518" t="s">
        <v>26</v>
      </c>
      <c r="C11" s="521" t="s">
        <v>139</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513" t="s">
        <v>124</v>
      </c>
      <c r="AB11" s="513" t="s">
        <v>125</v>
      </c>
    </row>
    <row r="12" spans="1:29"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513" t="s">
        <v>124</v>
      </c>
      <c r="AB12" s="513" t="s">
        <v>125</v>
      </c>
    </row>
    <row r="13" spans="1:29" ht="78.75" customHeight="1">
      <c r="A13" s="517"/>
      <c r="B13" s="520"/>
      <c r="C13" s="5" t="s">
        <v>140</v>
      </c>
      <c r="D13" s="5" t="s">
        <v>32</v>
      </c>
      <c r="E13" s="5" t="s">
        <v>33</v>
      </c>
      <c r="F13" s="5" t="s">
        <v>131</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513" t="s">
        <v>124</v>
      </c>
      <c r="AB13" s="513" t="s">
        <v>125</v>
      </c>
    </row>
    <row r="14" spans="1:29" ht="55.5" customHeight="1">
      <c r="A14" s="6" t="s">
        <v>20</v>
      </c>
      <c r="B14" s="6" t="s">
        <v>779</v>
      </c>
      <c r="C14" s="6"/>
      <c r="D14" s="6"/>
      <c r="E14" s="6"/>
      <c r="F14" s="6"/>
      <c r="G14" s="8"/>
      <c r="H14" s="8"/>
      <c r="I14" s="8"/>
      <c r="J14" s="8"/>
      <c r="K14" s="6"/>
      <c r="L14" s="6"/>
      <c r="M14" s="6"/>
      <c r="N14" s="6"/>
      <c r="O14" s="6"/>
      <c r="P14" s="6"/>
      <c r="Q14" s="6"/>
      <c r="R14" s="6"/>
      <c r="S14" s="6"/>
      <c r="T14" s="6"/>
      <c r="U14" s="6"/>
      <c r="V14" s="6"/>
      <c r="W14" s="6"/>
      <c r="X14" s="6"/>
      <c r="Y14" s="6"/>
      <c r="Z14" s="6"/>
      <c r="AA14" s="183"/>
      <c r="AB14" s="183"/>
    </row>
    <row r="15" spans="1:29" ht="15.75">
      <c r="A15" s="6" t="s">
        <v>36</v>
      </c>
      <c r="B15" s="6" t="s">
        <v>780</v>
      </c>
      <c r="C15" s="6">
        <v>0</v>
      </c>
      <c r="D15" s="6">
        <v>0</v>
      </c>
      <c r="E15" s="6">
        <v>0</v>
      </c>
      <c r="F15" s="6">
        <v>0</v>
      </c>
      <c r="G15" s="8">
        <v>90000</v>
      </c>
      <c r="H15" s="8">
        <v>90000</v>
      </c>
      <c r="I15" s="8">
        <v>1400</v>
      </c>
      <c r="J15" s="8">
        <v>1400</v>
      </c>
      <c r="K15" s="468">
        <v>90000</v>
      </c>
      <c r="L15" s="468">
        <v>90000</v>
      </c>
      <c r="M15" s="468">
        <v>1400</v>
      </c>
      <c r="N15" s="468">
        <v>1400</v>
      </c>
      <c r="O15" s="468">
        <v>90000</v>
      </c>
      <c r="P15" s="468">
        <v>90000</v>
      </c>
      <c r="Q15" s="468">
        <v>1400</v>
      </c>
      <c r="R15" s="468">
        <v>1400</v>
      </c>
      <c r="S15" s="468">
        <v>90000</v>
      </c>
      <c r="T15" s="468">
        <v>90000</v>
      </c>
      <c r="U15" s="468">
        <v>1400</v>
      </c>
      <c r="V15" s="468">
        <v>1400</v>
      </c>
      <c r="W15" s="468">
        <v>90000</v>
      </c>
      <c r="X15" s="468">
        <v>90000</v>
      </c>
      <c r="Y15" s="468">
        <v>1400</v>
      </c>
      <c r="Z15" s="470">
        <v>1400</v>
      </c>
      <c r="AA15" s="445">
        <f>C15/W15</f>
        <v>0</v>
      </c>
      <c r="AB15" s="445">
        <f>W15/X15</f>
        <v>1</v>
      </c>
      <c r="AC15" s="291"/>
    </row>
    <row r="16" spans="1:29">
      <c r="A16" s="6" t="s">
        <v>38</v>
      </c>
      <c r="B16" s="6" t="s">
        <v>781</v>
      </c>
      <c r="C16" s="6">
        <v>0</v>
      </c>
      <c r="D16" s="6">
        <v>0</v>
      </c>
      <c r="E16" s="6">
        <v>0</v>
      </c>
      <c r="F16" s="6">
        <v>0</v>
      </c>
      <c r="G16" s="8">
        <v>492000</v>
      </c>
      <c r="H16" s="8">
        <v>492000</v>
      </c>
      <c r="I16" s="8">
        <v>1400</v>
      </c>
      <c r="J16" s="8">
        <v>1400</v>
      </c>
      <c r="K16" s="468">
        <v>492000</v>
      </c>
      <c r="L16" s="468">
        <v>492000</v>
      </c>
      <c r="M16" s="468">
        <v>1400</v>
      </c>
      <c r="N16" s="468">
        <v>1400</v>
      </c>
      <c r="O16" s="468">
        <v>492000</v>
      </c>
      <c r="P16" s="468">
        <v>492000</v>
      </c>
      <c r="Q16" s="468">
        <v>1400</v>
      </c>
      <c r="R16" s="468">
        <v>1400</v>
      </c>
      <c r="S16" s="468">
        <v>492000</v>
      </c>
      <c r="T16" s="468">
        <v>492000</v>
      </c>
      <c r="U16" s="468">
        <v>1400</v>
      </c>
      <c r="V16" s="468">
        <v>1400</v>
      </c>
      <c r="W16" s="468">
        <v>492000</v>
      </c>
      <c r="X16" s="468">
        <v>492000</v>
      </c>
      <c r="Y16" s="468">
        <v>1400</v>
      </c>
      <c r="Z16" s="470">
        <v>1400</v>
      </c>
      <c r="AA16" s="445">
        <f t="shared" ref="AA16:AA21" si="0">C16/W16</f>
        <v>0</v>
      </c>
      <c r="AB16" s="445">
        <f t="shared" ref="AB16:AB21" si="1">W16/X16</f>
        <v>1</v>
      </c>
      <c r="AC16" s="291"/>
    </row>
    <row r="17" spans="1:29">
      <c r="A17" s="6" t="s">
        <v>73</v>
      </c>
      <c r="B17" s="6" t="s">
        <v>782</v>
      </c>
      <c r="C17" s="6"/>
      <c r="D17" s="6"/>
      <c r="E17" s="6"/>
      <c r="F17" s="6"/>
      <c r="G17" s="468">
        <v>12100</v>
      </c>
      <c r="H17" s="468">
        <v>12100</v>
      </c>
      <c r="I17" s="8">
        <v>600</v>
      </c>
      <c r="J17" s="8">
        <v>600</v>
      </c>
      <c r="K17" s="468">
        <v>12100</v>
      </c>
      <c r="L17" s="468">
        <v>12100</v>
      </c>
      <c r="M17" s="468">
        <v>600</v>
      </c>
      <c r="N17" s="468">
        <v>600</v>
      </c>
      <c r="O17" s="468">
        <v>12100</v>
      </c>
      <c r="P17" s="468">
        <v>12100</v>
      </c>
      <c r="Q17" s="468">
        <v>600</v>
      </c>
      <c r="R17" s="468">
        <v>600</v>
      </c>
      <c r="S17" s="468">
        <v>12100</v>
      </c>
      <c r="T17" s="468">
        <v>12100</v>
      </c>
      <c r="U17" s="468">
        <v>600</v>
      </c>
      <c r="V17" s="468">
        <v>600</v>
      </c>
      <c r="W17" s="468">
        <v>12100</v>
      </c>
      <c r="X17" s="468">
        <v>12100</v>
      </c>
      <c r="Y17" s="468">
        <v>600</v>
      </c>
      <c r="Z17" s="470">
        <v>600</v>
      </c>
      <c r="AA17" s="445">
        <f t="shared" si="0"/>
        <v>0</v>
      </c>
      <c r="AB17" s="445">
        <f t="shared" si="1"/>
        <v>1</v>
      </c>
      <c r="AC17" s="291"/>
    </row>
    <row r="18" spans="1:29" ht="38.25">
      <c r="A18" s="6" t="s">
        <v>75</v>
      </c>
      <c r="B18" s="6" t="s">
        <v>783</v>
      </c>
      <c r="C18" s="6">
        <v>0</v>
      </c>
      <c r="D18" s="6">
        <v>0</v>
      </c>
      <c r="E18" s="6">
        <v>0</v>
      </c>
      <c r="F18" s="6">
        <v>0</v>
      </c>
      <c r="G18" s="8">
        <v>140</v>
      </c>
      <c r="H18" s="8">
        <v>140</v>
      </c>
      <c r="I18" s="8">
        <v>600</v>
      </c>
      <c r="J18" s="8">
        <v>600</v>
      </c>
      <c r="K18" s="468">
        <v>140</v>
      </c>
      <c r="L18" s="468">
        <v>140</v>
      </c>
      <c r="M18" s="468">
        <v>600</v>
      </c>
      <c r="N18" s="468">
        <v>600</v>
      </c>
      <c r="O18" s="468">
        <v>140</v>
      </c>
      <c r="P18" s="468">
        <v>140</v>
      </c>
      <c r="Q18" s="468">
        <v>600</v>
      </c>
      <c r="R18" s="468">
        <v>600</v>
      </c>
      <c r="S18" s="468">
        <v>140</v>
      </c>
      <c r="T18" s="468">
        <v>140</v>
      </c>
      <c r="U18" s="468">
        <v>600</v>
      </c>
      <c r="V18" s="468">
        <v>600</v>
      </c>
      <c r="W18" s="468">
        <v>140</v>
      </c>
      <c r="X18" s="468">
        <v>140</v>
      </c>
      <c r="Y18" s="468">
        <v>600</v>
      </c>
      <c r="Z18" s="470">
        <v>600</v>
      </c>
      <c r="AA18" s="445">
        <f t="shared" si="0"/>
        <v>0</v>
      </c>
      <c r="AB18" s="445">
        <f t="shared" si="1"/>
        <v>1</v>
      </c>
      <c r="AC18" s="291"/>
    </row>
    <row r="19" spans="1:29" ht="25.5">
      <c r="A19" s="6" t="s">
        <v>78</v>
      </c>
      <c r="B19" s="6" t="s">
        <v>784</v>
      </c>
      <c r="C19" s="6">
        <v>0</v>
      </c>
      <c r="D19" s="6">
        <v>0</v>
      </c>
      <c r="E19" s="6">
        <v>0</v>
      </c>
      <c r="F19" s="6">
        <v>0</v>
      </c>
      <c r="G19" s="8">
        <v>140</v>
      </c>
      <c r="H19" s="8">
        <v>140</v>
      </c>
      <c r="I19" s="8">
        <v>600</v>
      </c>
      <c r="J19" s="8">
        <v>600</v>
      </c>
      <c r="K19" s="468">
        <v>140</v>
      </c>
      <c r="L19" s="468">
        <v>140</v>
      </c>
      <c r="M19" s="468">
        <v>600</v>
      </c>
      <c r="N19" s="468">
        <v>600</v>
      </c>
      <c r="O19" s="468">
        <v>140</v>
      </c>
      <c r="P19" s="468">
        <v>140</v>
      </c>
      <c r="Q19" s="468">
        <v>600</v>
      </c>
      <c r="R19" s="468">
        <v>600</v>
      </c>
      <c r="S19" s="468">
        <v>140</v>
      </c>
      <c r="T19" s="468">
        <v>140</v>
      </c>
      <c r="U19" s="468">
        <v>600</v>
      </c>
      <c r="V19" s="468">
        <v>600</v>
      </c>
      <c r="W19" s="468">
        <v>140</v>
      </c>
      <c r="X19" s="468">
        <v>140</v>
      </c>
      <c r="Y19" s="468">
        <v>600</v>
      </c>
      <c r="Z19" s="470">
        <v>600</v>
      </c>
      <c r="AA19" s="445">
        <f t="shared" si="0"/>
        <v>0</v>
      </c>
      <c r="AB19" s="445">
        <f t="shared" si="1"/>
        <v>1</v>
      </c>
      <c r="AC19" s="291"/>
    </row>
    <row r="20" spans="1:29" ht="25.5">
      <c r="A20" s="6" t="s">
        <v>82</v>
      </c>
      <c r="B20" s="6" t="s">
        <v>785</v>
      </c>
      <c r="C20" s="6">
        <v>0</v>
      </c>
      <c r="D20" s="6">
        <v>0</v>
      </c>
      <c r="E20" s="6">
        <v>0</v>
      </c>
      <c r="F20" s="6">
        <v>0</v>
      </c>
      <c r="G20" s="8">
        <v>1000</v>
      </c>
      <c r="H20" s="8">
        <v>1000</v>
      </c>
      <c r="I20" s="8">
        <v>600</v>
      </c>
      <c r="J20" s="8">
        <v>600</v>
      </c>
      <c r="K20" s="468">
        <v>1000</v>
      </c>
      <c r="L20" s="468">
        <v>1000</v>
      </c>
      <c r="M20" s="468">
        <v>600</v>
      </c>
      <c r="N20" s="468">
        <v>600</v>
      </c>
      <c r="O20" s="468">
        <v>1000</v>
      </c>
      <c r="P20" s="468">
        <v>1000</v>
      </c>
      <c r="Q20" s="468">
        <v>600</v>
      </c>
      <c r="R20" s="468">
        <v>600</v>
      </c>
      <c r="S20" s="468">
        <v>1000</v>
      </c>
      <c r="T20" s="468">
        <v>1000</v>
      </c>
      <c r="U20" s="468">
        <v>600</v>
      </c>
      <c r="V20" s="468">
        <v>600</v>
      </c>
      <c r="W20" s="468">
        <v>1000</v>
      </c>
      <c r="X20" s="468">
        <v>1000</v>
      </c>
      <c r="Y20" s="468">
        <v>600</v>
      </c>
      <c r="Z20" s="470">
        <v>600</v>
      </c>
      <c r="AA20" s="445">
        <f t="shared" si="0"/>
        <v>0</v>
      </c>
      <c r="AB20" s="445">
        <f t="shared" si="1"/>
        <v>1</v>
      </c>
      <c r="AC20" s="291"/>
    </row>
    <row r="21" spans="1:29" ht="42.75" customHeight="1">
      <c r="A21" s="6" t="s">
        <v>85</v>
      </c>
      <c r="B21" s="6" t="s">
        <v>786</v>
      </c>
      <c r="C21" s="6">
        <v>0</v>
      </c>
      <c r="D21" s="6">
        <v>0</v>
      </c>
      <c r="E21" s="6">
        <v>0</v>
      </c>
      <c r="F21" s="6">
        <v>0</v>
      </c>
      <c r="G21" s="8">
        <v>140</v>
      </c>
      <c r="H21" s="8">
        <v>140</v>
      </c>
      <c r="I21" s="8">
        <v>600</v>
      </c>
      <c r="J21" s="8">
        <v>600</v>
      </c>
      <c r="K21" s="468">
        <v>140</v>
      </c>
      <c r="L21" s="468">
        <v>140</v>
      </c>
      <c r="M21" s="468">
        <v>600</v>
      </c>
      <c r="N21" s="468">
        <v>600</v>
      </c>
      <c r="O21" s="468">
        <v>140</v>
      </c>
      <c r="P21" s="468">
        <v>140</v>
      </c>
      <c r="Q21" s="468">
        <v>600</v>
      </c>
      <c r="R21" s="468">
        <v>600</v>
      </c>
      <c r="S21" s="468">
        <v>140</v>
      </c>
      <c r="T21" s="468">
        <v>140</v>
      </c>
      <c r="U21" s="468">
        <v>600</v>
      </c>
      <c r="V21" s="468">
        <v>600</v>
      </c>
      <c r="W21" s="468">
        <v>140</v>
      </c>
      <c r="X21" s="468">
        <v>140</v>
      </c>
      <c r="Y21" s="468">
        <v>600</v>
      </c>
      <c r="Z21" s="470">
        <v>600</v>
      </c>
      <c r="AA21" s="445">
        <f t="shared" si="0"/>
        <v>0</v>
      </c>
      <c r="AB21" s="445">
        <f t="shared" si="1"/>
        <v>1</v>
      </c>
      <c r="AC21" s="291"/>
    </row>
    <row r="22" spans="1:29" ht="26.25">
      <c r="Z22" s="212" t="s">
        <v>123</v>
      </c>
      <c r="AA22" s="471">
        <f>AVERAGE(AA15:AA21)</f>
        <v>0</v>
      </c>
      <c r="AB22" s="471">
        <f>AVERAGE(AB15:AB21)</f>
        <v>1</v>
      </c>
      <c r="AC22" s="291"/>
    </row>
    <row r="23" spans="1:29">
      <c r="A23" s="9"/>
      <c r="B23" s="9" t="s">
        <v>40</v>
      </c>
    </row>
    <row r="25" spans="1:29" ht="31.5" customHeight="1">
      <c r="A25" s="173" t="s">
        <v>41</v>
      </c>
      <c r="B25" s="509" t="s">
        <v>42</v>
      </c>
      <c r="C25" s="509"/>
      <c r="D25" s="509"/>
      <c r="E25" s="509"/>
      <c r="F25" s="509"/>
      <c r="G25" s="509"/>
      <c r="H25" s="509"/>
      <c r="I25" s="509"/>
      <c r="J25" s="509"/>
      <c r="K25" s="509"/>
      <c r="L25" s="509"/>
      <c r="M25" s="509"/>
      <c r="N25" s="509"/>
      <c r="O25" s="509"/>
      <c r="P25" s="509"/>
      <c r="Q25" s="509"/>
      <c r="R25" s="509"/>
    </row>
    <row r="26" spans="1:29" ht="31.5" customHeight="1">
      <c r="A26" s="173" t="s">
        <v>43</v>
      </c>
      <c r="B26" s="509" t="s">
        <v>44</v>
      </c>
      <c r="C26" s="509"/>
      <c r="D26" s="509"/>
      <c r="E26" s="509"/>
      <c r="F26" s="509"/>
      <c r="G26" s="509"/>
      <c r="H26" s="509"/>
      <c r="I26" s="509"/>
      <c r="J26" s="509"/>
      <c r="K26" s="509"/>
      <c r="L26" s="509"/>
      <c r="M26" s="509"/>
      <c r="N26" s="509"/>
      <c r="O26" s="509"/>
      <c r="P26" s="509"/>
      <c r="Q26" s="509"/>
      <c r="R26" s="509"/>
    </row>
    <row r="27" spans="1:29">
      <c r="B27" s="509" t="s">
        <v>164</v>
      </c>
      <c r="C27" s="509"/>
      <c r="D27" s="509"/>
      <c r="E27" s="509"/>
      <c r="F27" s="509"/>
      <c r="G27" s="509"/>
      <c r="H27" s="509"/>
      <c r="I27" s="509"/>
      <c r="J27" s="509"/>
      <c r="K27" s="509"/>
      <c r="L27" s="509"/>
      <c r="M27" s="509"/>
      <c r="N27" s="509"/>
      <c r="O27" s="509"/>
      <c r="P27" s="509"/>
      <c r="Q27" s="509"/>
      <c r="R27" s="509"/>
    </row>
    <row r="28" spans="1:29">
      <c r="B28" s="509" t="s">
        <v>165</v>
      </c>
      <c r="C28" s="509"/>
      <c r="D28" s="509"/>
      <c r="E28" s="509"/>
      <c r="F28" s="509"/>
      <c r="G28" s="509"/>
      <c r="H28" s="509"/>
      <c r="I28" s="509"/>
      <c r="J28" s="509"/>
      <c r="K28" s="509"/>
      <c r="L28" s="509"/>
      <c r="M28" s="509"/>
      <c r="N28" s="509"/>
      <c r="O28" s="509"/>
      <c r="P28" s="509"/>
      <c r="Q28" s="509"/>
      <c r="R28" s="509"/>
    </row>
    <row r="29" spans="1:29" ht="31.5" customHeight="1">
      <c r="B29" s="509" t="s">
        <v>166</v>
      </c>
      <c r="C29" s="509"/>
      <c r="D29" s="509"/>
      <c r="E29" s="509"/>
      <c r="F29" s="509"/>
      <c r="G29" s="509"/>
      <c r="H29" s="509"/>
      <c r="I29" s="509"/>
      <c r="J29" s="509"/>
      <c r="K29" s="509"/>
      <c r="L29" s="509"/>
      <c r="M29" s="509"/>
      <c r="N29" s="509"/>
      <c r="O29" s="509"/>
      <c r="P29" s="509"/>
      <c r="Q29" s="509"/>
      <c r="R29" s="509"/>
    </row>
    <row r="30" spans="1:29" ht="31.5" customHeight="1">
      <c r="B30" s="509" t="s">
        <v>167</v>
      </c>
      <c r="C30" s="509"/>
      <c r="D30" s="509"/>
      <c r="E30" s="509"/>
      <c r="F30" s="509"/>
      <c r="G30" s="509"/>
      <c r="H30" s="509"/>
      <c r="I30" s="509"/>
      <c r="J30" s="509"/>
      <c r="K30" s="509"/>
      <c r="L30" s="509"/>
      <c r="M30" s="509"/>
      <c r="N30" s="509"/>
      <c r="O30" s="509"/>
      <c r="P30" s="509"/>
      <c r="Q30" s="509"/>
      <c r="R30" s="509"/>
    </row>
    <row r="31" spans="1:29" ht="69.75" customHeight="1">
      <c r="B31" s="509" t="s">
        <v>168</v>
      </c>
      <c r="C31" s="509"/>
      <c r="D31" s="509"/>
      <c r="E31" s="509"/>
      <c r="F31" s="509"/>
      <c r="G31" s="509"/>
      <c r="H31" s="509"/>
      <c r="I31" s="509"/>
      <c r="J31" s="509"/>
      <c r="K31" s="509"/>
      <c r="L31" s="509"/>
      <c r="M31" s="509"/>
      <c r="N31" s="509"/>
      <c r="O31" s="509"/>
      <c r="P31" s="509"/>
      <c r="Q31" s="509"/>
      <c r="R31" s="509"/>
    </row>
    <row r="32" spans="1:29" ht="39" customHeight="1">
      <c r="B32" s="509" t="s">
        <v>169</v>
      </c>
      <c r="C32" s="509"/>
      <c r="D32" s="509"/>
      <c r="E32" s="509"/>
      <c r="F32" s="509"/>
      <c r="G32" s="509"/>
      <c r="H32" s="509"/>
      <c r="I32" s="509"/>
      <c r="J32" s="509"/>
      <c r="K32" s="509"/>
      <c r="L32" s="509"/>
      <c r="M32" s="509"/>
      <c r="N32" s="509"/>
      <c r="O32" s="509"/>
      <c r="P32" s="509"/>
      <c r="Q32" s="509"/>
      <c r="R32" s="509"/>
    </row>
    <row r="33" spans="2:2">
      <c r="B33" s="233"/>
    </row>
    <row r="34" spans="2:2">
      <c r="B34" s="233"/>
    </row>
    <row r="36" spans="2:2">
      <c r="B36" s="233"/>
    </row>
  </sheetData>
  <mergeCells count="35">
    <mergeCell ref="V1:Z1"/>
    <mergeCell ref="A2:E2"/>
    <mergeCell ref="F2:R2"/>
    <mergeCell ref="A3:Z3"/>
    <mergeCell ref="A4:A6"/>
    <mergeCell ref="B4:B6"/>
    <mergeCell ref="C4:F5"/>
    <mergeCell ref="G4:Z4"/>
    <mergeCell ref="AA4:AA6"/>
    <mergeCell ref="AB4:AB6"/>
    <mergeCell ref="G5:J5"/>
    <mergeCell ref="K5:N5"/>
    <mergeCell ref="O5:R5"/>
    <mergeCell ref="S5:V5"/>
    <mergeCell ref="W5:Z5"/>
    <mergeCell ref="A10:Z10"/>
    <mergeCell ref="A11:A13"/>
    <mergeCell ref="B11:B13"/>
    <mergeCell ref="C11:F12"/>
    <mergeCell ref="G11:Z11"/>
    <mergeCell ref="AB11:AB13"/>
    <mergeCell ref="G12:J12"/>
    <mergeCell ref="K12:N12"/>
    <mergeCell ref="O12:R12"/>
    <mergeCell ref="S12:V12"/>
    <mergeCell ref="W12:Z12"/>
    <mergeCell ref="AA11:AA13"/>
    <mergeCell ref="B31:R31"/>
    <mergeCell ref="B32:R32"/>
    <mergeCell ref="B25:R25"/>
    <mergeCell ref="B26:R26"/>
    <mergeCell ref="B27:R27"/>
    <mergeCell ref="B28:R28"/>
    <mergeCell ref="B29:R29"/>
    <mergeCell ref="B30:R30"/>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dimension ref="A1:AB31"/>
  <sheetViews>
    <sheetView topLeftCell="A10" workbookViewId="0">
      <selection activeCell="B25" sqref="B24:R25"/>
    </sheetView>
  </sheetViews>
  <sheetFormatPr defaultRowHeight="15"/>
  <cols>
    <col min="1" max="1" width="5" style="219" customWidth="1"/>
    <col min="2" max="2" width="15.85546875" style="219" customWidth="1"/>
    <col min="3" max="6" width="7.7109375" style="219" customWidth="1"/>
    <col min="7" max="25" width="7" style="219" customWidth="1"/>
    <col min="26" max="26" width="8.140625" style="219" customWidth="1"/>
    <col min="27" max="16384" width="9.140625" style="219"/>
  </cols>
  <sheetData>
    <row r="1" spans="1:28" s="1" customFormat="1" ht="35.25" customHeight="1">
      <c r="A1" s="529" t="s">
        <v>0</v>
      </c>
      <c r="B1" s="529"/>
      <c r="C1" s="529"/>
      <c r="D1" s="529"/>
      <c r="E1" s="529"/>
      <c r="F1" s="530" t="s">
        <v>787</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21.7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120</v>
      </c>
    </row>
    <row r="4" spans="1:28" ht="28.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28"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3"/>
      <c r="AB5" s="513"/>
    </row>
    <row r="6" spans="1:28" ht="51">
      <c r="A6" s="6" t="s">
        <v>20</v>
      </c>
      <c r="B6" s="6" t="s">
        <v>788</v>
      </c>
      <c r="C6" s="6">
        <v>0</v>
      </c>
      <c r="D6" s="6">
        <v>0</v>
      </c>
      <c r="E6" s="6">
        <v>0</v>
      </c>
      <c r="F6" s="6">
        <v>0</v>
      </c>
      <c r="G6" s="6">
        <v>250</v>
      </c>
      <c r="H6" s="6">
        <v>250</v>
      </c>
      <c r="I6" s="6">
        <v>250</v>
      </c>
      <c r="J6" s="6">
        <v>250</v>
      </c>
      <c r="K6" s="6">
        <v>500</v>
      </c>
      <c r="L6" s="6">
        <v>500</v>
      </c>
      <c r="M6" s="6">
        <v>500</v>
      </c>
      <c r="N6" s="6">
        <v>500</v>
      </c>
      <c r="O6" s="6">
        <v>1000</v>
      </c>
      <c r="P6" s="6">
        <v>1000</v>
      </c>
      <c r="Q6" s="6">
        <v>1000</v>
      </c>
      <c r="R6" s="6">
        <v>1000</v>
      </c>
      <c r="S6" s="6">
        <v>1500</v>
      </c>
      <c r="T6" s="6">
        <v>1500</v>
      </c>
      <c r="U6" s="6">
        <v>1500</v>
      </c>
      <c r="V6" s="6">
        <v>1500</v>
      </c>
      <c r="W6" s="6">
        <v>2000</v>
      </c>
      <c r="X6" s="6">
        <v>2000</v>
      </c>
      <c r="Y6" s="6">
        <v>2000</v>
      </c>
      <c r="Z6" s="6">
        <v>2000</v>
      </c>
      <c r="AA6" s="446">
        <f>C6/W6</f>
        <v>0</v>
      </c>
      <c r="AB6" s="446">
        <f>W6/X6</f>
        <v>1</v>
      </c>
    </row>
    <row r="7" spans="1:28" ht="76.5">
      <c r="A7" s="6" t="s">
        <v>22</v>
      </c>
      <c r="B7" s="6" t="s">
        <v>789</v>
      </c>
      <c r="C7" s="6">
        <v>0</v>
      </c>
      <c r="D7" s="6">
        <v>0</v>
      </c>
      <c r="E7" s="6">
        <v>0</v>
      </c>
      <c r="F7" s="6">
        <v>0</v>
      </c>
      <c r="G7" s="6">
        <v>14000</v>
      </c>
      <c r="H7" s="6">
        <v>14000</v>
      </c>
      <c r="I7" s="6">
        <f>J7-I8</f>
        <v>165</v>
      </c>
      <c r="J7" s="6">
        <v>180</v>
      </c>
      <c r="K7" s="6">
        <v>130000</v>
      </c>
      <c r="L7" s="6">
        <v>130000</v>
      </c>
      <c r="M7" s="6">
        <f>N7-M8</f>
        <v>160</v>
      </c>
      <c r="N7" s="6">
        <v>180</v>
      </c>
      <c r="O7" s="6">
        <v>120000</v>
      </c>
      <c r="P7" s="6">
        <v>120000</v>
      </c>
      <c r="Q7" s="6">
        <f>R7-Q8</f>
        <v>155</v>
      </c>
      <c r="R7" s="6">
        <v>180</v>
      </c>
      <c r="S7" s="6">
        <v>110000</v>
      </c>
      <c r="T7" s="6">
        <v>110000</v>
      </c>
      <c r="U7" s="6">
        <f>V7-U8</f>
        <v>150</v>
      </c>
      <c r="V7" s="6">
        <v>180</v>
      </c>
      <c r="W7" s="6">
        <v>10000</v>
      </c>
      <c r="X7" s="6">
        <v>10000</v>
      </c>
      <c r="Y7" s="6">
        <f>Z7-Y8</f>
        <v>145</v>
      </c>
      <c r="Z7" s="6">
        <v>180</v>
      </c>
      <c r="AA7" s="446">
        <f t="shared" ref="AA7:AA8" si="0">C7/W7</f>
        <v>0</v>
      </c>
      <c r="AB7" s="446">
        <f t="shared" ref="AB7:AB8" si="1">W7/X7</f>
        <v>1</v>
      </c>
    </row>
    <row r="8" spans="1:28" ht="51.75">
      <c r="A8" s="6" t="s">
        <v>61</v>
      </c>
      <c r="B8" s="212" t="s">
        <v>790</v>
      </c>
      <c r="C8" s="6">
        <v>5840</v>
      </c>
      <c r="D8" s="6">
        <v>5840</v>
      </c>
      <c r="E8" s="6">
        <v>8</v>
      </c>
      <c r="F8" s="6">
        <v>8</v>
      </c>
      <c r="G8" s="6">
        <v>13140</v>
      </c>
      <c r="H8" s="6">
        <f>G8</f>
        <v>13140</v>
      </c>
      <c r="I8" s="6">
        <v>15</v>
      </c>
      <c r="J8" s="6">
        <v>180</v>
      </c>
      <c r="K8" s="6">
        <v>26000</v>
      </c>
      <c r="L8" s="6">
        <v>26000</v>
      </c>
      <c r="M8" s="6">
        <v>20</v>
      </c>
      <c r="N8" s="6">
        <v>180</v>
      </c>
      <c r="O8" s="6">
        <v>34600</v>
      </c>
      <c r="P8" s="6">
        <v>34600</v>
      </c>
      <c r="Q8" s="6">
        <v>25</v>
      </c>
      <c r="R8" s="6">
        <v>180</v>
      </c>
      <c r="S8" s="6">
        <v>48600</v>
      </c>
      <c r="T8" s="6">
        <v>48600</v>
      </c>
      <c r="U8" s="6">
        <v>30</v>
      </c>
      <c r="V8" s="6">
        <v>180</v>
      </c>
      <c r="W8" s="6">
        <v>59000</v>
      </c>
      <c r="X8" s="6">
        <v>59000</v>
      </c>
      <c r="Y8" s="6">
        <v>35</v>
      </c>
      <c r="Z8" s="6">
        <v>180</v>
      </c>
      <c r="AA8" s="446">
        <f t="shared" si="0"/>
        <v>9.8983050847457621E-2</v>
      </c>
      <c r="AB8" s="446">
        <f t="shared" si="1"/>
        <v>1</v>
      </c>
    </row>
    <row r="9" spans="1:28" ht="26.25">
      <c r="A9" s="472"/>
      <c r="B9" s="473"/>
      <c r="C9" s="472"/>
      <c r="D9" s="472"/>
      <c r="E9" s="472"/>
      <c r="F9" s="472"/>
      <c r="G9" s="472"/>
      <c r="H9" s="472"/>
      <c r="I9" s="472"/>
      <c r="J9" s="472"/>
      <c r="K9" s="472"/>
      <c r="L9" s="472"/>
      <c r="M9" s="472"/>
      <c r="N9" s="472"/>
      <c r="O9" s="472"/>
      <c r="P9" s="472"/>
      <c r="Q9" s="472"/>
      <c r="R9" s="472"/>
      <c r="S9" s="472"/>
      <c r="T9" s="472"/>
      <c r="U9" s="472"/>
      <c r="V9" s="472"/>
      <c r="W9" s="472"/>
      <c r="X9" s="472"/>
      <c r="Y9" s="472"/>
      <c r="Z9" s="212" t="s">
        <v>123</v>
      </c>
      <c r="AA9" s="436">
        <f>AVERAGE(AA6:AA8)</f>
        <v>3.2994350282485874E-2</v>
      </c>
      <c r="AB9" s="436">
        <f>AVERAGE(AB6:AB8)</f>
        <v>1</v>
      </c>
    </row>
    <row r="10" spans="1:28" ht="23.25">
      <c r="A10" s="514" t="s">
        <v>25</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row>
    <row r="11" spans="1:28" ht="24" customHeight="1">
      <c r="A11" s="515" t="s">
        <v>3</v>
      </c>
      <c r="B11" s="518" t="s">
        <v>26</v>
      </c>
      <c r="C11" s="521" t="s">
        <v>139</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513" t="s">
        <v>124</v>
      </c>
      <c r="AB11" s="513" t="s">
        <v>125</v>
      </c>
    </row>
    <row r="12" spans="1:28" ht="27.7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513" t="s">
        <v>124</v>
      </c>
      <c r="AB12" s="513" t="s">
        <v>125</v>
      </c>
    </row>
    <row r="13" spans="1:28" ht="78.75" customHeight="1">
      <c r="A13" s="517"/>
      <c r="B13" s="520"/>
      <c r="C13" s="5" t="s">
        <v>140</v>
      </c>
      <c r="D13" s="5" t="s">
        <v>32</v>
      </c>
      <c r="E13" s="5" t="s">
        <v>33</v>
      </c>
      <c r="F13" s="5" t="s">
        <v>131</v>
      </c>
      <c r="G13" s="5" t="s">
        <v>34</v>
      </c>
      <c r="H13" s="234" t="s">
        <v>32</v>
      </c>
      <c r="I13" s="234" t="s">
        <v>33</v>
      </c>
      <c r="J13" s="234"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513" t="s">
        <v>124</v>
      </c>
      <c r="AB13" s="513" t="s">
        <v>125</v>
      </c>
    </row>
    <row r="14" spans="1:28" ht="51">
      <c r="A14" s="6" t="s">
        <v>20</v>
      </c>
      <c r="B14" s="6" t="s">
        <v>788</v>
      </c>
      <c r="C14" s="6">
        <v>0</v>
      </c>
      <c r="D14" s="6">
        <v>0</v>
      </c>
      <c r="E14" s="6">
        <v>0</v>
      </c>
      <c r="F14" s="6">
        <v>0</v>
      </c>
      <c r="G14" s="6">
        <v>250</v>
      </c>
      <c r="H14" s="6">
        <v>250</v>
      </c>
      <c r="I14" s="6">
        <v>250</v>
      </c>
      <c r="J14" s="6">
        <v>250</v>
      </c>
      <c r="K14" s="6">
        <v>500</v>
      </c>
      <c r="L14" s="6">
        <v>500</v>
      </c>
      <c r="M14" s="6">
        <v>500</v>
      </c>
      <c r="N14" s="6">
        <v>500</v>
      </c>
      <c r="O14" s="6">
        <v>1000</v>
      </c>
      <c r="P14" s="6">
        <v>1000</v>
      </c>
      <c r="Q14" s="6">
        <v>1000</v>
      </c>
      <c r="R14" s="6">
        <v>1000</v>
      </c>
      <c r="S14" s="6">
        <v>1500</v>
      </c>
      <c r="T14" s="6">
        <v>1500</v>
      </c>
      <c r="U14" s="6">
        <v>1500</v>
      </c>
      <c r="V14" s="6">
        <v>1500</v>
      </c>
      <c r="W14" s="6">
        <v>2000</v>
      </c>
      <c r="X14" s="6">
        <v>2000</v>
      </c>
      <c r="Y14" s="6">
        <v>2000</v>
      </c>
      <c r="Z14" s="6">
        <v>2000</v>
      </c>
      <c r="AA14" s="446">
        <f>C14/W14</f>
        <v>0</v>
      </c>
      <c r="AB14" s="446">
        <f>W14/X14</f>
        <v>1</v>
      </c>
    </row>
    <row r="15" spans="1:28" ht="76.5">
      <c r="A15" s="6" t="s">
        <v>22</v>
      </c>
      <c r="B15" s="6" t="s">
        <v>789</v>
      </c>
      <c r="C15" s="6">
        <v>0</v>
      </c>
      <c r="D15" s="6">
        <v>0</v>
      </c>
      <c r="E15" s="6">
        <v>0</v>
      </c>
      <c r="F15" s="6">
        <v>0</v>
      </c>
      <c r="G15" s="6">
        <v>14000</v>
      </c>
      <c r="H15" s="6">
        <v>14000</v>
      </c>
      <c r="I15" s="6">
        <f>J15-I16</f>
        <v>168</v>
      </c>
      <c r="J15" s="6">
        <v>180</v>
      </c>
      <c r="K15" s="6">
        <v>130000</v>
      </c>
      <c r="L15" s="6">
        <v>130000</v>
      </c>
      <c r="M15" s="6">
        <f>N15-M16</f>
        <v>166</v>
      </c>
      <c r="N15" s="6">
        <v>180</v>
      </c>
      <c r="O15" s="6">
        <v>120000</v>
      </c>
      <c r="P15" s="6">
        <v>120000</v>
      </c>
      <c r="Q15" s="6">
        <f>R15-Q16</f>
        <v>164</v>
      </c>
      <c r="R15" s="6">
        <v>180</v>
      </c>
      <c r="S15" s="6">
        <v>110000</v>
      </c>
      <c r="T15" s="6">
        <v>110000</v>
      </c>
      <c r="U15" s="6">
        <f>V15-U16</f>
        <v>162</v>
      </c>
      <c r="V15" s="6">
        <v>180</v>
      </c>
      <c r="W15" s="6">
        <v>10000</v>
      </c>
      <c r="X15" s="6">
        <v>10000</v>
      </c>
      <c r="Y15" s="6">
        <f>Z15-Y16</f>
        <v>160</v>
      </c>
      <c r="Z15" s="6">
        <v>180</v>
      </c>
      <c r="AA15" s="446">
        <f t="shared" ref="AA15:AA16" si="2">C15/W15</f>
        <v>0</v>
      </c>
      <c r="AB15" s="446">
        <f t="shared" ref="AB15:AB16" si="3">W15/X15</f>
        <v>1</v>
      </c>
    </row>
    <row r="16" spans="1:28" ht="51.75">
      <c r="A16" s="6" t="s">
        <v>61</v>
      </c>
      <c r="B16" s="212" t="s">
        <v>790</v>
      </c>
      <c r="C16" s="6">
        <v>5840</v>
      </c>
      <c r="D16" s="6">
        <v>5840</v>
      </c>
      <c r="E16" s="6">
        <v>8</v>
      </c>
      <c r="F16" s="6">
        <v>8</v>
      </c>
      <c r="G16" s="6">
        <v>8760</v>
      </c>
      <c r="H16" s="6">
        <v>8760</v>
      </c>
      <c r="I16" s="6">
        <v>12</v>
      </c>
      <c r="J16" s="6">
        <v>180</v>
      </c>
      <c r="K16" s="6">
        <v>10220</v>
      </c>
      <c r="L16" s="6">
        <v>10220</v>
      </c>
      <c r="M16" s="6">
        <v>14</v>
      </c>
      <c r="N16" s="6">
        <v>180</v>
      </c>
      <c r="O16" s="6">
        <v>11680</v>
      </c>
      <c r="P16" s="6">
        <v>11680</v>
      </c>
      <c r="Q16" s="6">
        <v>16</v>
      </c>
      <c r="R16" s="6">
        <v>180</v>
      </c>
      <c r="S16" s="6">
        <v>13140</v>
      </c>
      <c r="T16" s="6">
        <v>13140</v>
      </c>
      <c r="U16" s="6">
        <v>18</v>
      </c>
      <c r="V16" s="6">
        <v>180</v>
      </c>
      <c r="W16" s="6">
        <v>14600</v>
      </c>
      <c r="X16" s="6">
        <v>14600</v>
      </c>
      <c r="Y16" s="6">
        <v>20</v>
      </c>
      <c r="Z16" s="6">
        <v>180</v>
      </c>
      <c r="AA16" s="446">
        <f t="shared" si="2"/>
        <v>0.4</v>
      </c>
      <c r="AB16" s="446">
        <f t="shared" si="3"/>
        <v>1</v>
      </c>
    </row>
    <row r="17" spans="1:28" ht="26.25">
      <c r="Z17" s="212" t="s">
        <v>123</v>
      </c>
      <c r="AA17" s="474">
        <f>AVERAGE(AA14:AA16)</f>
        <v>0.13333333333333333</v>
      </c>
      <c r="AB17" s="474">
        <f>AVERAGE(AB14:AB16)</f>
        <v>1</v>
      </c>
    </row>
    <row r="18" spans="1:28">
      <c r="A18" s="9"/>
      <c r="B18" s="9" t="s">
        <v>40</v>
      </c>
    </row>
    <row r="20" spans="1:28" ht="31.5" customHeight="1">
      <c r="A20" s="10" t="s">
        <v>41</v>
      </c>
      <c r="B20" s="509" t="s">
        <v>42</v>
      </c>
      <c r="C20" s="509"/>
      <c r="D20" s="509"/>
      <c r="E20" s="509"/>
      <c r="F20" s="509"/>
      <c r="G20" s="509"/>
      <c r="H20" s="509"/>
      <c r="I20" s="509"/>
      <c r="J20" s="509"/>
      <c r="K20" s="509"/>
      <c r="L20" s="509"/>
      <c r="M20" s="509"/>
      <c r="N20" s="509"/>
      <c r="O20" s="509"/>
      <c r="P20" s="509"/>
      <c r="Q20" s="509"/>
      <c r="R20" s="509"/>
    </row>
    <row r="21" spans="1:28" ht="31.5" customHeight="1">
      <c r="A21" s="10" t="s">
        <v>43</v>
      </c>
      <c r="B21" s="509" t="s">
        <v>44</v>
      </c>
      <c r="C21" s="509"/>
      <c r="D21" s="509"/>
      <c r="E21" s="509"/>
      <c r="F21" s="509"/>
      <c r="G21" s="509"/>
      <c r="H21" s="509"/>
      <c r="I21" s="509"/>
      <c r="J21" s="509"/>
      <c r="K21" s="509"/>
      <c r="L21" s="509"/>
      <c r="M21" s="509"/>
      <c r="N21" s="509"/>
      <c r="O21" s="509"/>
      <c r="P21" s="509"/>
      <c r="Q21" s="509"/>
      <c r="R21" s="509"/>
    </row>
    <row r="22" spans="1:28" ht="31.5" customHeight="1">
      <c r="B22" s="509" t="s">
        <v>164</v>
      </c>
      <c r="C22" s="509"/>
      <c r="D22" s="509"/>
      <c r="E22" s="509"/>
      <c r="F22" s="509"/>
      <c r="G22" s="509"/>
      <c r="H22" s="509"/>
      <c r="I22" s="509"/>
      <c r="J22" s="509"/>
      <c r="K22" s="509"/>
      <c r="L22" s="509"/>
      <c r="M22" s="509"/>
      <c r="N22" s="509"/>
      <c r="O22" s="509"/>
      <c r="P22" s="509"/>
      <c r="Q22" s="509"/>
      <c r="R22" s="509"/>
    </row>
    <row r="23" spans="1:28" ht="31.5" customHeight="1">
      <c r="B23" s="509" t="s">
        <v>165</v>
      </c>
      <c r="C23" s="509"/>
      <c r="D23" s="509"/>
      <c r="E23" s="509"/>
      <c r="F23" s="509"/>
      <c r="G23" s="509"/>
      <c r="H23" s="509"/>
      <c r="I23" s="509"/>
      <c r="J23" s="509"/>
      <c r="K23" s="509"/>
      <c r="L23" s="509"/>
      <c r="M23" s="509"/>
      <c r="N23" s="509"/>
      <c r="O23" s="509"/>
      <c r="P23" s="509"/>
      <c r="Q23" s="509"/>
      <c r="R23" s="509"/>
    </row>
    <row r="24" spans="1:28" ht="31.5" customHeight="1">
      <c r="B24" s="509" t="s">
        <v>166</v>
      </c>
      <c r="C24" s="509"/>
      <c r="D24" s="509"/>
      <c r="E24" s="509"/>
      <c r="F24" s="509"/>
      <c r="G24" s="509"/>
      <c r="H24" s="509"/>
      <c r="I24" s="509"/>
      <c r="J24" s="509"/>
      <c r="K24" s="509"/>
      <c r="L24" s="509"/>
      <c r="M24" s="509"/>
      <c r="N24" s="509"/>
      <c r="O24" s="509"/>
      <c r="P24" s="509"/>
      <c r="Q24" s="509"/>
      <c r="R24" s="509"/>
    </row>
    <row r="25" spans="1:28" ht="31.5" customHeight="1">
      <c r="B25" s="509" t="s">
        <v>167</v>
      </c>
      <c r="C25" s="509"/>
      <c r="D25" s="509"/>
      <c r="E25" s="509"/>
      <c r="F25" s="509"/>
      <c r="G25" s="509"/>
      <c r="H25" s="509"/>
      <c r="I25" s="509"/>
      <c r="J25" s="509"/>
      <c r="K25" s="509"/>
      <c r="L25" s="509"/>
      <c r="M25" s="509"/>
      <c r="N25" s="509"/>
      <c r="O25" s="509"/>
      <c r="P25" s="509"/>
      <c r="Q25" s="509"/>
      <c r="R25" s="509"/>
    </row>
    <row r="26" spans="1:28" ht="73.5" customHeight="1">
      <c r="B26" s="509" t="s">
        <v>168</v>
      </c>
      <c r="C26" s="509"/>
      <c r="D26" s="509"/>
      <c r="E26" s="509"/>
      <c r="F26" s="509"/>
      <c r="G26" s="509"/>
      <c r="H26" s="509"/>
      <c r="I26" s="509"/>
      <c r="J26" s="509"/>
      <c r="K26" s="509"/>
      <c r="L26" s="509"/>
      <c r="M26" s="509"/>
      <c r="N26" s="509"/>
      <c r="O26" s="509"/>
      <c r="P26" s="509"/>
      <c r="Q26" s="509"/>
      <c r="R26" s="509"/>
    </row>
    <row r="27" spans="1:28" ht="39" customHeight="1">
      <c r="B27" s="509" t="s">
        <v>169</v>
      </c>
      <c r="C27" s="509"/>
      <c r="D27" s="509"/>
      <c r="E27" s="509"/>
      <c r="F27" s="509"/>
      <c r="G27" s="509"/>
      <c r="H27" s="509"/>
      <c r="I27" s="509"/>
      <c r="J27" s="509"/>
      <c r="K27" s="509"/>
      <c r="L27" s="509"/>
      <c r="M27" s="509"/>
      <c r="N27" s="509"/>
      <c r="O27" s="509"/>
      <c r="P27" s="509"/>
      <c r="Q27" s="509"/>
      <c r="R27" s="509"/>
    </row>
    <row r="28" spans="1:28">
      <c r="B28" s="11"/>
    </row>
    <row r="29" spans="1:28">
      <c r="B29" s="11"/>
    </row>
    <row r="31" spans="1:28">
      <c r="B31" s="11"/>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0:Z10"/>
    <mergeCell ref="A11:A13"/>
    <mergeCell ref="B11:B13"/>
    <mergeCell ref="C11:F12"/>
    <mergeCell ref="G11:Z11"/>
    <mergeCell ref="AB11:AB13"/>
    <mergeCell ref="G12:J12"/>
    <mergeCell ref="K12:N12"/>
    <mergeCell ref="O12:R12"/>
    <mergeCell ref="S12:V12"/>
    <mergeCell ref="W12:Z12"/>
    <mergeCell ref="AA11:AA13"/>
    <mergeCell ref="B26:R26"/>
    <mergeCell ref="B27:R27"/>
    <mergeCell ref="B20:R20"/>
    <mergeCell ref="B21:R21"/>
    <mergeCell ref="B22:R22"/>
    <mergeCell ref="B23:R23"/>
    <mergeCell ref="B24:R24"/>
    <mergeCell ref="B25:R25"/>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dimension ref="A1:AB32"/>
  <sheetViews>
    <sheetView topLeftCell="E10" workbookViewId="0">
      <selection activeCell="B25" sqref="B24:R25"/>
    </sheetView>
  </sheetViews>
  <sheetFormatPr defaultRowHeight="15"/>
  <cols>
    <col min="1" max="1" width="5" style="219" customWidth="1"/>
    <col min="2" max="2" width="15.85546875" style="219" customWidth="1"/>
    <col min="3" max="6" width="7.7109375" style="219" customWidth="1"/>
    <col min="7" max="25" width="7" style="219" customWidth="1"/>
    <col min="26" max="26" width="8.42578125" style="219" customWidth="1"/>
    <col min="27" max="16384" width="9.140625" style="219"/>
  </cols>
  <sheetData>
    <row r="1" spans="1:28" s="1" customFormat="1" ht="39.75" customHeight="1">
      <c r="A1" s="529" t="s">
        <v>0</v>
      </c>
      <c r="B1" s="529"/>
      <c r="C1" s="529"/>
      <c r="D1" s="529"/>
      <c r="E1" s="529"/>
      <c r="F1" s="530" t="s">
        <v>791</v>
      </c>
      <c r="G1" s="530"/>
      <c r="H1" s="530"/>
      <c r="I1" s="530"/>
      <c r="J1" s="530"/>
      <c r="K1" s="530"/>
      <c r="L1" s="530"/>
      <c r="M1" s="530"/>
      <c r="N1" s="530"/>
      <c r="O1" s="530"/>
      <c r="P1" s="530"/>
      <c r="Q1" s="530"/>
      <c r="R1" s="530"/>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119</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28"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3"/>
      <c r="AB5" s="513"/>
    </row>
    <row r="6" spans="1:28" ht="76.5">
      <c r="A6" s="6" t="s">
        <v>20</v>
      </c>
      <c r="B6" s="6" t="s">
        <v>792</v>
      </c>
      <c r="C6" s="6">
        <v>125</v>
      </c>
      <c r="D6" s="6">
        <v>124929</v>
      </c>
      <c r="E6" s="6">
        <v>125</v>
      </c>
      <c r="F6" s="6">
        <v>124929</v>
      </c>
      <c r="G6" s="6">
        <v>10000</v>
      </c>
      <c r="H6" s="6">
        <v>125000</v>
      </c>
      <c r="I6" s="6">
        <v>10000</v>
      </c>
      <c r="J6" s="6">
        <v>125000</v>
      </c>
      <c r="K6" s="6">
        <v>20000</v>
      </c>
      <c r="L6" s="6">
        <v>125000</v>
      </c>
      <c r="M6" s="6">
        <v>20000</v>
      </c>
      <c r="N6" s="6">
        <v>125000</v>
      </c>
      <c r="O6" s="6">
        <v>35000</v>
      </c>
      <c r="P6" s="6">
        <v>125000</v>
      </c>
      <c r="Q6" s="6">
        <v>35000</v>
      </c>
      <c r="R6" s="6">
        <v>125000</v>
      </c>
      <c r="S6" s="201">
        <v>60000</v>
      </c>
      <c r="T6" s="6">
        <v>125000</v>
      </c>
      <c r="U6" s="6">
        <v>75000</v>
      </c>
      <c r="V6" s="6">
        <v>125000</v>
      </c>
      <c r="W6" s="201">
        <v>75000</v>
      </c>
      <c r="X6" s="6">
        <v>125000</v>
      </c>
      <c r="Y6" s="6">
        <v>75000</v>
      </c>
      <c r="Z6" s="6">
        <v>125000</v>
      </c>
      <c r="AA6" s="446">
        <f>C6/W6</f>
        <v>1.6666666666666668E-3</v>
      </c>
      <c r="AB6" s="446">
        <f>W6/X6</f>
        <v>0.6</v>
      </c>
    </row>
    <row r="7" spans="1:28" ht="51">
      <c r="A7" s="6" t="s">
        <v>22</v>
      </c>
      <c r="B7" s="6" t="s">
        <v>793</v>
      </c>
      <c r="C7" s="6">
        <v>268</v>
      </c>
      <c r="D7" s="6">
        <v>67242</v>
      </c>
      <c r="E7" s="6">
        <v>268</v>
      </c>
      <c r="F7" s="6">
        <v>67242</v>
      </c>
      <c r="G7" s="6">
        <v>5000</v>
      </c>
      <c r="H7" s="6">
        <v>60000</v>
      </c>
      <c r="I7" s="6">
        <v>5000</v>
      </c>
      <c r="J7" s="6">
        <v>60000</v>
      </c>
      <c r="K7" s="6">
        <v>10086</v>
      </c>
      <c r="L7" s="6">
        <v>60000</v>
      </c>
      <c r="M7" s="6">
        <v>10086</v>
      </c>
      <c r="N7" s="6">
        <v>60000</v>
      </c>
      <c r="O7" s="6">
        <v>18000</v>
      </c>
      <c r="P7" s="6">
        <v>60000</v>
      </c>
      <c r="Q7" s="6">
        <v>18000</v>
      </c>
      <c r="R7" s="6">
        <v>60000</v>
      </c>
      <c r="S7" s="6">
        <v>28000</v>
      </c>
      <c r="T7" s="6">
        <v>60000</v>
      </c>
      <c r="U7" s="6">
        <v>28000</v>
      </c>
      <c r="V7" s="6">
        <v>60000</v>
      </c>
      <c r="W7" s="6">
        <v>39000</v>
      </c>
      <c r="X7" s="6">
        <v>60000</v>
      </c>
      <c r="Y7" s="6">
        <v>39000</v>
      </c>
      <c r="Z7" s="6">
        <v>60000</v>
      </c>
      <c r="AA7" s="446">
        <f>C7/W7</f>
        <v>6.871794871794872E-3</v>
      </c>
      <c r="AB7" s="446">
        <f>W7/X7</f>
        <v>0.65</v>
      </c>
    </row>
    <row r="8" spans="1:28" ht="26.25">
      <c r="Z8" s="212" t="s">
        <v>123</v>
      </c>
      <c r="AA8" s="469">
        <f>AVERAGE(AA6:AA7)</f>
        <v>4.2692307692307691E-3</v>
      </c>
      <c r="AB8" s="469">
        <f>AVERAGE(AB6:AB7)</f>
        <v>0.625</v>
      </c>
    </row>
    <row r="9" spans="1:28" ht="23.25">
      <c r="A9" s="514" t="s">
        <v>25</v>
      </c>
      <c r="B9" s="514"/>
      <c r="C9" s="514"/>
      <c r="D9" s="514"/>
      <c r="E9" s="514"/>
      <c r="F9" s="514"/>
      <c r="G9" s="514"/>
      <c r="H9" s="514"/>
      <c r="I9" s="514"/>
      <c r="J9" s="514"/>
      <c r="K9" s="514"/>
      <c r="L9" s="514"/>
      <c r="M9" s="514"/>
      <c r="N9" s="514"/>
      <c r="O9" s="514"/>
      <c r="P9" s="514"/>
      <c r="Q9" s="514"/>
      <c r="R9" s="514"/>
      <c r="S9" s="514"/>
      <c r="T9" s="514"/>
      <c r="U9" s="514"/>
      <c r="V9" s="514"/>
      <c r="W9" s="514"/>
      <c r="X9" s="514"/>
      <c r="Y9" s="514"/>
      <c r="Z9" s="514"/>
    </row>
    <row r="10" spans="1:28" ht="45.75" customHeight="1">
      <c r="A10" s="515" t="s">
        <v>3</v>
      </c>
      <c r="B10" s="518" t="s">
        <v>26</v>
      </c>
      <c r="C10" s="521" t="s">
        <v>139</v>
      </c>
      <c r="D10" s="522"/>
      <c r="E10" s="522"/>
      <c r="F10" s="523"/>
      <c r="G10" s="513" t="s">
        <v>28</v>
      </c>
      <c r="H10" s="513"/>
      <c r="I10" s="513"/>
      <c r="J10" s="513"/>
      <c r="K10" s="513"/>
      <c r="L10" s="513"/>
      <c r="M10" s="513"/>
      <c r="N10" s="513"/>
      <c r="O10" s="513"/>
      <c r="P10" s="513"/>
      <c r="Q10" s="513"/>
      <c r="R10" s="513"/>
      <c r="S10" s="513"/>
      <c r="T10" s="513"/>
      <c r="U10" s="513"/>
      <c r="V10" s="513"/>
      <c r="W10" s="513"/>
      <c r="X10" s="513"/>
      <c r="Y10" s="513"/>
      <c r="Z10" s="513"/>
      <c r="AA10" s="513" t="s">
        <v>124</v>
      </c>
      <c r="AB10" s="513" t="s">
        <v>125</v>
      </c>
    </row>
    <row r="11" spans="1:28" ht="45" customHeight="1">
      <c r="A11" s="516"/>
      <c r="B11" s="519"/>
      <c r="C11" s="524"/>
      <c r="D11" s="525"/>
      <c r="E11" s="525"/>
      <c r="F11" s="526"/>
      <c r="G11" s="513" t="s">
        <v>9</v>
      </c>
      <c r="H11" s="513"/>
      <c r="I11" s="513"/>
      <c r="J11" s="513"/>
      <c r="K11" s="513" t="s">
        <v>10</v>
      </c>
      <c r="L11" s="513"/>
      <c r="M11" s="513"/>
      <c r="N11" s="513"/>
      <c r="O11" s="513" t="s">
        <v>11</v>
      </c>
      <c r="P11" s="513"/>
      <c r="Q11" s="513"/>
      <c r="R11" s="513"/>
      <c r="S11" s="513" t="s">
        <v>12</v>
      </c>
      <c r="T11" s="513"/>
      <c r="U11" s="513"/>
      <c r="V11" s="513"/>
      <c r="W11" s="513" t="s">
        <v>13</v>
      </c>
      <c r="X11" s="513"/>
      <c r="Y11" s="513"/>
      <c r="Z11" s="513"/>
      <c r="AA11" s="513" t="s">
        <v>124</v>
      </c>
      <c r="AB11" s="513" t="s">
        <v>125</v>
      </c>
    </row>
    <row r="12" spans="1:28" ht="78.75" customHeight="1">
      <c r="A12" s="517"/>
      <c r="B12" s="520"/>
      <c r="C12" s="5" t="s">
        <v>140</v>
      </c>
      <c r="D12" s="5" t="s">
        <v>32</v>
      </c>
      <c r="E12" s="5" t="s">
        <v>33</v>
      </c>
      <c r="F12" s="5" t="s">
        <v>131</v>
      </c>
      <c r="G12" s="5" t="s">
        <v>34</v>
      </c>
      <c r="H12" s="5" t="s">
        <v>32</v>
      </c>
      <c r="I12" s="5" t="s">
        <v>33</v>
      </c>
      <c r="J12" s="5" t="s">
        <v>19</v>
      </c>
      <c r="K12" s="5" t="s">
        <v>34</v>
      </c>
      <c r="L12" s="5" t="s">
        <v>32</v>
      </c>
      <c r="M12" s="5" t="s">
        <v>33</v>
      </c>
      <c r="N12" s="5" t="s">
        <v>19</v>
      </c>
      <c r="O12" s="5" t="s">
        <v>34</v>
      </c>
      <c r="P12" s="5" t="s">
        <v>32</v>
      </c>
      <c r="Q12" s="5" t="s">
        <v>33</v>
      </c>
      <c r="R12" s="5" t="s">
        <v>19</v>
      </c>
      <c r="S12" s="5" t="s">
        <v>34</v>
      </c>
      <c r="T12" s="5" t="s">
        <v>32</v>
      </c>
      <c r="U12" s="5" t="s">
        <v>33</v>
      </c>
      <c r="V12" s="5" t="s">
        <v>19</v>
      </c>
      <c r="W12" s="5" t="s">
        <v>34</v>
      </c>
      <c r="X12" s="5" t="s">
        <v>32</v>
      </c>
      <c r="Y12" s="5" t="s">
        <v>33</v>
      </c>
      <c r="Z12" s="5" t="s">
        <v>19</v>
      </c>
      <c r="AA12" s="513" t="s">
        <v>124</v>
      </c>
      <c r="AB12" s="513" t="s">
        <v>125</v>
      </c>
    </row>
    <row r="13" spans="1:28" ht="51" customHeight="1">
      <c r="A13" s="47" t="s">
        <v>20</v>
      </c>
      <c r="B13" s="47" t="s">
        <v>794</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28" ht="54">
      <c r="A14" s="6" t="s">
        <v>36</v>
      </c>
      <c r="B14" s="6" t="s">
        <v>795</v>
      </c>
      <c r="C14" s="49">
        <v>125</v>
      </c>
      <c r="D14" s="6">
        <v>124929</v>
      </c>
      <c r="E14" s="6">
        <v>88</v>
      </c>
      <c r="F14" s="6">
        <v>88</v>
      </c>
      <c r="G14" s="6">
        <v>10000</v>
      </c>
      <c r="H14" s="6">
        <v>125000</v>
      </c>
      <c r="I14" s="6">
        <v>88</v>
      </c>
      <c r="J14" s="6">
        <v>88</v>
      </c>
      <c r="K14" s="6">
        <v>20000</v>
      </c>
      <c r="L14" s="6">
        <v>125000</v>
      </c>
      <c r="M14" s="6">
        <v>88</v>
      </c>
      <c r="N14" s="6">
        <v>88</v>
      </c>
      <c r="O14" s="201">
        <v>35000</v>
      </c>
      <c r="P14" s="6">
        <v>125000</v>
      </c>
      <c r="Q14" s="6">
        <v>88</v>
      </c>
      <c r="R14" s="6">
        <v>88</v>
      </c>
      <c r="S14" s="201">
        <v>60000</v>
      </c>
      <c r="T14" s="6">
        <v>125000</v>
      </c>
      <c r="U14" s="6">
        <v>88</v>
      </c>
      <c r="V14" s="6">
        <v>88</v>
      </c>
      <c r="W14" s="201">
        <v>75000</v>
      </c>
      <c r="X14" s="6">
        <v>125000</v>
      </c>
      <c r="Y14" s="6">
        <v>88</v>
      </c>
      <c r="Z14" s="6">
        <v>88</v>
      </c>
      <c r="AA14" s="446">
        <f>C14/W14</f>
        <v>1.6666666666666668E-3</v>
      </c>
      <c r="AB14" s="446">
        <f>W14/X14</f>
        <v>0.6</v>
      </c>
    </row>
    <row r="15" spans="1:28" ht="51">
      <c r="A15" s="6" t="s">
        <v>38</v>
      </c>
      <c r="B15" s="6" t="s">
        <v>796</v>
      </c>
      <c r="C15" s="6">
        <v>268</v>
      </c>
      <c r="D15" s="6">
        <v>57033</v>
      </c>
      <c r="E15" s="6">
        <v>18</v>
      </c>
      <c r="F15" s="6">
        <v>18</v>
      </c>
      <c r="G15" s="6">
        <v>5000</v>
      </c>
      <c r="H15" s="6">
        <v>60000</v>
      </c>
      <c r="I15" s="6">
        <v>18</v>
      </c>
      <c r="J15" s="6">
        <v>18</v>
      </c>
      <c r="K15" s="6">
        <v>10086</v>
      </c>
      <c r="L15" s="6">
        <v>60000</v>
      </c>
      <c r="M15" s="6">
        <v>18</v>
      </c>
      <c r="N15" s="6">
        <v>18</v>
      </c>
      <c r="O15" s="6">
        <v>18000</v>
      </c>
      <c r="P15" s="6">
        <v>60000</v>
      </c>
      <c r="Q15" s="6">
        <v>18</v>
      </c>
      <c r="R15" s="6">
        <v>18</v>
      </c>
      <c r="S15" s="6">
        <v>28000</v>
      </c>
      <c r="T15" s="6">
        <v>60000</v>
      </c>
      <c r="U15" s="6">
        <v>18</v>
      </c>
      <c r="V15" s="6">
        <v>18</v>
      </c>
      <c r="W15" s="6">
        <v>39000</v>
      </c>
      <c r="X15" s="6">
        <v>60000</v>
      </c>
      <c r="Y15" s="6">
        <v>18</v>
      </c>
      <c r="Z15" s="6">
        <v>18</v>
      </c>
      <c r="AA15" s="446">
        <f t="shared" ref="AA15:AA17" si="0">C15/W15</f>
        <v>6.871794871794872E-3</v>
      </c>
      <c r="AB15" s="446">
        <f t="shared" ref="AB15:AB17" si="1">W15/X15</f>
        <v>0.65</v>
      </c>
    </row>
    <row r="16" spans="1:28" ht="51">
      <c r="A16" s="6" t="s">
        <v>73</v>
      </c>
      <c r="B16" s="49" t="s">
        <v>797</v>
      </c>
      <c r="C16" s="6">
        <v>311</v>
      </c>
      <c r="D16" s="6">
        <v>6900</v>
      </c>
      <c r="E16" s="6">
        <v>12</v>
      </c>
      <c r="F16" s="6">
        <v>12</v>
      </c>
      <c r="G16" s="6">
        <v>1496</v>
      </c>
      <c r="H16" s="6">
        <v>7500</v>
      </c>
      <c r="I16" s="6">
        <v>12</v>
      </c>
      <c r="J16" s="6">
        <v>12</v>
      </c>
      <c r="K16" s="6">
        <v>1500</v>
      </c>
      <c r="L16" s="6">
        <v>8000</v>
      </c>
      <c r="M16" s="6">
        <v>12</v>
      </c>
      <c r="N16" s="6">
        <v>12</v>
      </c>
      <c r="O16" s="6">
        <v>1700</v>
      </c>
      <c r="P16" s="6">
        <v>8000</v>
      </c>
      <c r="Q16" s="6">
        <v>12</v>
      </c>
      <c r="R16" s="6">
        <v>12</v>
      </c>
      <c r="S16" s="6">
        <v>2000</v>
      </c>
      <c r="T16" s="6">
        <v>8000</v>
      </c>
      <c r="U16" s="6">
        <v>12</v>
      </c>
      <c r="V16" s="6">
        <v>12</v>
      </c>
      <c r="W16" s="6">
        <v>2300</v>
      </c>
      <c r="X16" s="6">
        <v>8000</v>
      </c>
      <c r="Y16" s="6">
        <v>12</v>
      </c>
      <c r="Z16" s="6">
        <v>12</v>
      </c>
      <c r="AA16" s="446">
        <f t="shared" si="0"/>
        <v>0.13521739130434782</v>
      </c>
      <c r="AB16" s="446">
        <f t="shared" si="1"/>
        <v>0.28749999999999998</v>
      </c>
    </row>
    <row r="17" spans="1:28" ht="51">
      <c r="A17" s="6" t="s">
        <v>75</v>
      </c>
      <c r="B17" s="49" t="s">
        <v>798</v>
      </c>
      <c r="C17" s="6">
        <v>2876</v>
      </c>
      <c r="D17" s="6">
        <v>6900</v>
      </c>
      <c r="E17" s="6">
        <v>12</v>
      </c>
      <c r="F17" s="6">
        <v>12</v>
      </c>
      <c r="G17" s="6">
        <v>4505</v>
      </c>
      <c r="H17" s="6">
        <v>7500</v>
      </c>
      <c r="I17" s="6">
        <v>12</v>
      </c>
      <c r="J17" s="6">
        <v>12</v>
      </c>
      <c r="K17" s="6">
        <v>4900</v>
      </c>
      <c r="L17" s="6">
        <v>8000</v>
      </c>
      <c r="M17" s="6">
        <v>12</v>
      </c>
      <c r="N17" s="6">
        <v>12</v>
      </c>
      <c r="O17" s="6">
        <v>5000</v>
      </c>
      <c r="P17" s="6">
        <v>8000</v>
      </c>
      <c r="Q17" s="6">
        <v>12</v>
      </c>
      <c r="R17" s="6">
        <v>12</v>
      </c>
      <c r="S17" s="6">
        <v>5200</v>
      </c>
      <c r="T17" s="6">
        <v>8000</v>
      </c>
      <c r="U17" s="6">
        <v>12</v>
      </c>
      <c r="V17" s="6">
        <v>12</v>
      </c>
      <c r="W17" s="6">
        <v>5500</v>
      </c>
      <c r="X17" s="6">
        <v>8000</v>
      </c>
      <c r="Y17" s="6">
        <v>12</v>
      </c>
      <c r="Z17" s="6">
        <v>12</v>
      </c>
      <c r="AA17" s="446">
        <f t="shared" si="0"/>
        <v>0.52290909090909088</v>
      </c>
      <c r="AB17" s="446">
        <f t="shared" si="1"/>
        <v>0.6875</v>
      </c>
    </row>
    <row r="18" spans="1:28" ht="26.25">
      <c r="Z18" s="212" t="s">
        <v>123</v>
      </c>
      <c r="AA18" s="446">
        <f>AVERAGE(AA14:AA17)</f>
        <v>0.16666623593797505</v>
      </c>
      <c r="AB18" s="446">
        <f>AVERAGE(AB14:AB17)</f>
        <v>0.55625000000000002</v>
      </c>
    </row>
    <row r="19" spans="1:28">
      <c r="A19" s="9"/>
      <c r="B19" s="9" t="s">
        <v>40</v>
      </c>
    </row>
    <row r="21" spans="1:28" ht="31.5" customHeight="1">
      <c r="A21" s="10" t="s">
        <v>41</v>
      </c>
      <c r="B21" s="509" t="s">
        <v>42</v>
      </c>
      <c r="C21" s="509"/>
      <c r="D21" s="509"/>
      <c r="E21" s="509"/>
      <c r="F21" s="509"/>
      <c r="G21" s="509"/>
      <c r="H21" s="509"/>
      <c r="I21" s="509"/>
      <c r="J21" s="509"/>
      <c r="K21" s="509"/>
      <c r="L21" s="509"/>
      <c r="M21" s="509"/>
      <c r="N21" s="509"/>
      <c r="O21" s="509"/>
      <c r="P21" s="509"/>
      <c r="Q21" s="509"/>
      <c r="R21" s="509"/>
    </row>
    <row r="22" spans="1:28" ht="31.5" customHeight="1">
      <c r="A22" s="10" t="s">
        <v>43</v>
      </c>
      <c r="B22" s="509" t="s">
        <v>44</v>
      </c>
      <c r="C22" s="509"/>
      <c r="D22" s="509"/>
      <c r="E22" s="509"/>
      <c r="F22" s="509"/>
      <c r="G22" s="509"/>
      <c r="H22" s="509"/>
      <c r="I22" s="509"/>
      <c r="J22" s="509"/>
      <c r="K22" s="509"/>
      <c r="L22" s="509"/>
      <c r="M22" s="509"/>
      <c r="N22" s="509"/>
      <c r="O22" s="509"/>
      <c r="P22" s="509"/>
      <c r="Q22" s="509"/>
      <c r="R22" s="509"/>
    </row>
    <row r="23" spans="1:28" ht="31.5" customHeight="1">
      <c r="B23" s="509" t="s">
        <v>164</v>
      </c>
      <c r="C23" s="509"/>
      <c r="D23" s="509"/>
      <c r="E23" s="509"/>
      <c r="F23" s="509"/>
      <c r="G23" s="509"/>
      <c r="H23" s="509"/>
      <c r="I23" s="509"/>
      <c r="J23" s="509"/>
      <c r="K23" s="509"/>
      <c r="L23" s="509"/>
      <c r="M23" s="509"/>
      <c r="N23" s="509"/>
      <c r="O23" s="509"/>
      <c r="P23" s="509"/>
      <c r="Q23" s="509"/>
      <c r="R23" s="509"/>
    </row>
    <row r="24" spans="1:28" ht="31.5" customHeight="1">
      <c r="B24" s="509" t="s">
        <v>165</v>
      </c>
      <c r="C24" s="509"/>
      <c r="D24" s="509"/>
      <c r="E24" s="509"/>
      <c r="F24" s="509"/>
      <c r="G24" s="509"/>
      <c r="H24" s="509"/>
      <c r="I24" s="509"/>
      <c r="J24" s="509"/>
      <c r="K24" s="509"/>
      <c r="L24" s="509"/>
      <c r="M24" s="509"/>
      <c r="N24" s="509"/>
      <c r="O24" s="509"/>
      <c r="P24" s="509"/>
      <c r="Q24" s="509"/>
      <c r="R24" s="509"/>
    </row>
    <row r="25" spans="1:28" ht="31.5" customHeight="1">
      <c r="B25" s="509" t="s">
        <v>166</v>
      </c>
      <c r="C25" s="509"/>
      <c r="D25" s="509"/>
      <c r="E25" s="509"/>
      <c r="F25" s="509"/>
      <c r="G25" s="509"/>
      <c r="H25" s="509"/>
      <c r="I25" s="509"/>
      <c r="J25" s="509"/>
      <c r="K25" s="509"/>
      <c r="L25" s="509"/>
      <c r="M25" s="509"/>
      <c r="N25" s="509"/>
      <c r="O25" s="509"/>
      <c r="P25" s="509"/>
      <c r="Q25" s="509"/>
      <c r="R25" s="509"/>
    </row>
    <row r="26" spans="1:28" ht="31.5" customHeight="1">
      <c r="B26" s="509" t="s">
        <v>167</v>
      </c>
      <c r="C26" s="509"/>
      <c r="D26" s="509"/>
      <c r="E26" s="509"/>
      <c r="F26" s="509"/>
      <c r="G26" s="509"/>
      <c r="H26" s="509"/>
      <c r="I26" s="509"/>
      <c r="J26" s="509"/>
      <c r="K26" s="509"/>
      <c r="L26" s="509"/>
      <c r="M26" s="509"/>
      <c r="N26" s="509"/>
      <c r="O26" s="509"/>
      <c r="P26" s="509"/>
      <c r="Q26" s="509"/>
      <c r="R26" s="509"/>
    </row>
    <row r="27" spans="1:28" ht="73.5" customHeight="1">
      <c r="B27" s="509" t="s">
        <v>168</v>
      </c>
      <c r="C27" s="509"/>
      <c r="D27" s="509"/>
      <c r="E27" s="509"/>
      <c r="F27" s="509"/>
      <c r="G27" s="509"/>
      <c r="H27" s="509"/>
      <c r="I27" s="509"/>
      <c r="J27" s="509"/>
      <c r="K27" s="509"/>
      <c r="L27" s="509"/>
      <c r="M27" s="509"/>
      <c r="N27" s="509"/>
      <c r="O27" s="509"/>
      <c r="P27" s="509"/>
      <c r="Q27" s="509"/>
      <c r="R27" s="509"/>
    </row>
    <row r="28" spans="1:28" ht="39" customHeight="1">
      <c r="B28" s="509" t="s">
        <v>169</v>
      </c>
      <c r="C28" s="509"/>
      <c r="D28" s="509"/>
      <c r="E28" s="509"/>
      <c r="F28" s="509"/>
      <c r="G28" s="509"/>
      <c r="H28" s="509"/>
      <c r="I28" s="509"/>
      <c r="J28" s="509"/>
      <c r="K28" s="509"/>
      <c r="L28" s="509"/>
      <c r="M28" s="509"/>
      <c r="N28" s="509"/>
      <c r="O28" s="509"/>
      <c r="P28" s="509"/>
      <c r="Q28" s="509"/>
      <c r="R28" s="509"/>
    </row>
    <row r="29" spans="1:28">
      <c r="B29" s="11"/>
    </row>
    <row r="30" spans="1:28">
      <c r="B30" s="11"/>
    </row>
    <row r="32" spans="1:28">
      <c r="B32" s="11"/>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9:Z9"/>
    <mergeCell ref="A10:A12"/>
    <mergeCell ref="B10:B12"/>
    <mergeCell ref="C10:F11"/>
    <mergeCell ref="G10:Z10"/>
    <mergeCell ref="AB10:AB12"/>
    <mergeCell ref="G11:J11"/>
    <mergeCell ref="K11:N11"/>
    <mergeCell ref="O11:R11"/>
    <mergeCell ref="S11:V11"/>
    <mergeCell ref="W11:Z11"/>
    <mergeCell ref="AA10:AA12"/>
    <mergeCell ref="B27:R27"/>
    <mergeCell ref="B28:R28"/>
    <mergeCell ref="B21:R21"/>
    <mergeCell ref="B22:R22"/>
    <mergeCell ref="B23:R23"/>
    <mergeCell ref="B24:R24"/>
    <mergeCell ref="B25:R25"/>
    <mergeCell ref="B26:R2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dimension ref="A1:AB30"/>
  <sheetViews>
    <sheetView topLeftCell="I7" workbookViewId="0">
      <selection activeCell="B25" sqref="B24:R25"/>
    </sheetView>
  </sheetViews>
  <sheetFormatPr defaultRowHeight="15"/>
  <cols>
    <col min="1" max="1" width="5" style="219" customWidth="1"/>
    <col min="2" max="2" width="15.85546875" style="219" customWidth="1"/>
    <col min="3" max="3" width="7.7109375" style="219" customWidth="1"/>
    <col min="4" max="4" width="7.85546875" style="219" customWidth="1"/>
    <col min="5" max="5" width="8.140625" style="219" customWidth="1"/>
    <col min="6" max="6" width="8" style="219" customWidth="1"/>
    <col min="7" max="7" width="7.28515625" style="219" customWidth="1"/>
    <col min="8" max="8" width="7.85546875" style="219" customWidth="1"/>
    <col min="9" max="9" width="8" style="219" customWidth="1"/>
    <col min="10" max="10" width="8.28515625" style="219" customWidth="1"/>
    <col min="11" max="11" width="7.28515625" style="219" customWidth="1"/>
    <col min="12" max="12" width="8" style="219" customWidth="1"/>
    <col min="13" max="13" width="7.85546875" style="219" customWidth="1"/>
    <col min="14" max="14" width="8.28515625" style="219" customWidth="1"/>
    <col min="15" max="15" width="7.140625" style="219" customWidth="1"/>
    <col min="16" max="16" width="8" style="219" customWidth="1"/>
    <col min="17" max="18" width="7.85546875" style="219" customWidth="1"/>
    <col min="19" max="19" width="7.140625" style="219" customWidth="1"/>
    <col min="20" max="20" width="8.42578125" style="219" customWidth="1"/>
    <col min="21" max="21" width="8.28515625" style="219" customWidth="1"/>
    <col min="22" max="22" width="8" style="219" customWidth="1"/>
    <col min="23" max="23" width="7.140625" style="219" customWidth="1"/>
    <col min="24" max="24" width="8" style="219" customWidth="1"/>
    <col min="25" max="26" width="7.85546875" style="219" customWidth="1"/>
    <col min="27" max="16384" width="9.140625" style="219"/>
  </cols>
  <sheetData>
    <row r="1" spans="1:28" ht="100.5" customHeight="1">
      <c r="T1" s="767" t="s">
        <v>799</v>
      </c>
      <c r="U1" s="767"/>
      <c r="V1" s="767"/>
      <c r="W1" s="767"/>
      <c r="X1" s="767"/>
      <c r="Y1" s="767"/>
      <c r="Z1" s="767"/>
    </row>
    <row r="2" spans="1:28" s="34" customFormat="1" ht="47.25" customHeight="1">
      <c r="A2" s="575" t="s">
        <v>0</v>
      </c>
      <c r="B2" s="575"/>
      <c r="C2" s="575"/>
      <c r="D2" s="575"/>
      <c r="E2" s="575"/>
      <c r="F2" s="770" t="s">
        <v>800</v>
      </c>
      <c r="G2" s="770"/>
      <c r="H2" s="770"/>
      <c r="I2" s="770"/>
      <c r="J2" s="770"/>
      <c r="K2" s="770"/>
      <c r="L2" s="770"/>
      <c r="M2" s="770"/>
      <c r="N2" s="770"/>
      <c r="O2" s="770"/>
      <c r="P2" s="770"/>
      <c r="Q2" s="770"/>
      <c r="R2" s="770"/>
      <c r="S2" s="770"/>
      <c r="T2" s="770"/>
      <c r="U2" s="770"/>
      <c r="V2" s="770"/>
      <c r="W2" s="770"/>
      <c r="X2" s="770"/>
      <c r="Y2" s="770"/>
    </row>
    <row r="3" spans="1:28" s="36" customFormat="1" ht="31.5" customHeight="1">
      <c r="A3" s="561" t="s">
        <v>2</v>
      </c>
      <c r="B3" s="561"/>
      <c r="C3" s="561"/>
      <c r="D3" s="561"/>
      <c r="E3" s="561"/>
      <c r="F3" s="561"/>
      <c r="G3" s="561"/>
      <c r="H3" s="561"/>
      <c r="I3" s="561"/>
      <c r="J3" s="561"/>
      <c r="K3" s="561"/>
      <c r="L3" s="561"/>
      <c r="M3" s="561"/>
      <c r="N3" s="561"/>
      <c r="O3" s="561"/>
      <c r="P3" s="561"/>
      <c r="Q3" s="561"/>
      <c r="R3" s="561"/>
      <c r="S3" s="561"/>
      <c r="T3" s="561"/>
      <c r="U3" s="561"/>
      <c r="V3" s="561"/>
      <c r="W3" s="561"/>
      <c r="X3" s="561"/>
      <c r="Y3" s="561"/>
      <c r="Z3" s="561"/>
    </row>
    <row r="4" spans="1:28" s="36" customFormat="1" ht="36.75" customHeight="1">
      <c r="A4" s="515" t="s">
        <v>3</v>
      </c>
      <c r="B4" s="518" t="s">
        <v>4</v>
      </c>
      <c r="C4" s="521" t="s">
        <v>129</v>
      </c>
      <c r="D4" s="522"/>
      <c r="E4" s="522"/>
      <c r="F4" s="523"/>
      <c r="G4" s="513" t="s">
        <v>6</v>
      </c>
      <c r="H4" s="513"/>
      <c r="I4" s="513"/>
      <c r="J4" s="513"/>
      <c r="K4" s="513"/>
      <c r="L4" s="513"/>
      <c r="M4" s="513"/>
      <c r="N4" s="513"/>
      <c r="O4" s="513"/>
      <c r="P4" s="513"/>
      <c r="Q4" s="513"/>
      <c r="R4" s="513"/>
      <c r="S4" s="513"/>
      <c r="T4" s="513"/>
      <c r="U4" s="513"/>
      <c r="V4" s="513"/>
      <c r="W4" s="513"/>
      <c r="X4" s="513"/>
      <c r="Y4" s="513"/>
      <c r="Z4" s="513"/>
      <c r="AA4" s="513" t="s">
        <v>119</v>
      </c>
      <c r="AB4" s="513" t="s">
        <v>120</v>
      </c>
    </row>
    <row r="5" spans="1:28" s="36" customFormat="1" ht="36.75" customHeight="1">
      <c r="A5" s="516"/>
      <c r="B5" s="519"/>
      <c r="C5" s="524"/>
      <c r="D5" s="525"/>
      <c r="E5" s="525"/>
      <c r="F5" s="526"/>
      <c r="G5" s="513" t="s">
        <v>9</v>
      </c>
      <c r="H5" s="513"/>
      <c r="I5" s="513"/>
      <c r="J5" s="513"/>
      <c r="K5" s="513" t="s">
        <v>10</v>
      </c>
      <c r="L5" s="513"/>
      <c r="M5" s="513"/>
      <c r="N5" s="513"/>
      <c r="O5" s="513" t="s">
        <v>11</v>
      </c>
      <c r="P5" s="513"/>
      <c r="Q5" s="513"/>
      <c r="R5" s="513"/>
      <c r="S5" s="513" t="s">
        <v>12</v>
      </c>
      <c r="T5" s="513"/>
      <c r="U5" s="513"/>
      <c r="V5" s="513"/>
      <c r="W5" s="513" t="s">
        <v>13</v>
      </c>
      <c r="X5" s="513"/>
      <c r="Y5" s="513"/>
      <c r="Z5" s="513"/>
      <c r="AA5" s="513"/>
      <c r="AB5" s="513"/>
    </row>
    <row r="6" spans="1:28" s="36" customFormat="1" ht="72.75" customHeight="1">
      <c r="A6" s="517"/>
      <c r="B6" s="520"/>
      <c r="C6" s="5" t="s">
        <v>14</v>
      </c>
      <c r="D6" s="5" t="s">
        <v>15</v>
      </c>
      <c r="E6" s="5" t="s">
        <v>130</v>
      </c>
      <c r="F6" s="5" t="s">
        <v>131</v>
      </c>
      <c r="G6" s="5" t="s">
        <v>14</v>
      </c>
      <c r="H6" s="5" t="s">
        <v>15</v>
      </c>
      <c r="I6" s="5" t="s">
        <v>18</v>
      </c>
      <c r="J6" s="5" t="s">
        <v>19</v>
      </c>
      <c r="K6" s="5" t="s">
        <v>14</v>
      </c>
      <c r="L6" s="5" t="s">
        <v>15</v>
      </c>
      <c r="M6" s="5" t="s">
        <v>18</v>
      </c>
      <c r="N6" s="5" t="s">
        <v>19</v>
      </c>
      <c r="O6" s="5" t="s">
        <v>14</v>
      </c>
      <c r="P6" s="5" t="s">
        <v>15</v>
      </c>
      <c r="Q6" s="5" t="s">
        <v>18</v>
      </c>
      <c r="R6" s="5" t="s">
        <v>19</v>
      </c>
      <c r="S6" s="5" t="s">
        <v>14</v>
      </c>
      <c r="T6" s="5" t="s">
        <v>15</v>
      </c>
      <c r="U6" s="5" t="s">
        <v>18</v>
      </c>
      <c r="V6" s="5" t="s">
        <v>19</v>
      </c>
      <c r="W6" s="5" t="s">
        <v>14</v>
      </c>
      <c r="X6" s="5" t="s">
        <v>15</v>
      </c>
      <c r="Y6" s="5" t="s">
        <v>18</v>
      </c>
      <c r="Z6" s="5" t="s">
        <v>19</v>
      </c>
      <c r="AA6" s="513"/>
      <c r="AB6" s="513"/>
    </row>
    <row r="7" spans="1:28" s="36" customFormat="1" ht="88.5" customHeight="1">
      <c r="A7" s="6" t="s">
        <v>20</v>
      </c>
      <c r="B7" s="6" t="s">
        <v>801</v>
      </c>
      <c r="C7" s="475">
        <v>0</v>
      </c>
      <c r="D7" s="201">
        <v>795000</v>
      </c>
      <c r="E7" s="201">
        <v>0</v>
      </c>
      <c r="F7" s="201">
        <v>4000</v>
      </c>
      <c r="G7" s="201">
        <v>795000</v>
      </c>
      <c r="H7" s="201">
        <v>795000</v>
      </c>
      <c r="I7" s="201">
        <v>4000</v>
      </c>
      <c r="J7" s="201">
        <v>4000</v>
      </c>
      <c r="K7" s="201">
        <v>795000</v>
      </c>
      <c r="L7" s="6">
        <v>795000</v>
      </c>
      <c r="M7" s="6">
        <v>4000</v>
      </c>
      <c r="N7" s="6">
        <v>4000</v>
      </c>
      <c r="O7" s="6">
        <v>795000</v>
      </c>
      <c r="P7" s="6">
        <v>795000</v>
      </c>
      <c r="Q7" s="6">
        <v>4000</v>
      </c>
      <c r="R7" s="6">
        <v>4000</v>
      </c>
      <c r="S7" s="6">
        <v>795000</v>
      </c>
      <c r="T7" s="6">
        <v>795000</v>
      </c>
      <c r="U7" s="6">
        <v>4000</v>
      </c>
      <c r="V7" s="6">
        <v>4000</v>
      </c>
      <c r="W7" s="6">
        <v>795000</v>
      </c>
      <c r="X7" s="6">
        <v>795000</v>
      </c>
      <c r="Y7" s="6">
        <v>4000</v>
      </c>
      <c r="Z7" s="6">
        <v>4000</v>
      </c>
      <c r="AA7" s="446">
        <f>C7/W7</f>
        <v>0</v>
      </c>
      <c r="AB7" s="446">
        <f>W7/X7</f>
        <v>1</v>
      </c>
    </row>
    <row r="8" spans="1:28" s="36" customFormat="1" ht="51.75" customHeight="1">
      <c r="A8" s="6" t="s">
        <v>22</v>
      </c>
      <c r="B8" s="6" t="s">
        <v>802</v>
      </c>
      <c r="C8" s="201">
        <v>0</v>
      </c>
      <c r="D8" s="201">
        <v>50000</v>
      </c>
      <c r="E8" s="201">
        <v>0</v>
      </c>
      <c r="F8" s="201">
        <v>0</v>
      </c>
      <c r="G8" s="201">
        <v>7500</v>
      </c>
      <c r="H8" s="201">
        <v>50000</v>
      </c>
      <c r="I8" s="201">
        <v>7500</v>
      </c>
      <c r="J8" s="475" t="s">
        <v>803</v>
      </c>
      <c r="K8" s="201">
        <v>7500</v>
      </c>
      <c r="L8" s="6">
        <v>50000</v>
      </c>
      <c r="M8" s="6">
        <v>7500</v>
      </c>
      <c r="N8" s="476" t="s">
        <v>803</v>
      </c>
      <c r="O8" s="6">
        <v>7500</v>
      </c>
      <c r="P8" s="6">
        <v>50000</v>
      </c>
      <c r="Q8" s="6">
        <v>7500</v>
      </c>
      <c r="R8" s="476" t="s">
        <v>803</v>
      </c>
      <c r="S8" s="6">
        <v>7500</v>
      </c>
      <c r="T8" s="6">
        <v>50000</v>
      </c>
      <c r="U8" s="6">
        <v>7500</v>
      </c>
      <c r="V8" s="476" t="s">
        <v>803</v>
      </c>
      <c r="W8" s="6">
        <v>7500</v>
      </c>
      <c r="X8" s="6">
        <v>50000</v>
      </c>
      <c r="Y8" s="6">
        <v>7500</v>
      </c>
      <c r="Z8" s="477" t="s">
        <v>803</v>
      </c>
      <c r="AA8" s="478">
        <f>C8/W8</f>
        <v>0</v>
      </c>
      <c r="AB8" s="478">
        <f>W8/X8</f>
        <v>0.15</v>
      </c>
    </row>
    <row r="9" spans="1:28" s="36" customFormat="1" ht="26.25">
      <c r="Z9" s="212" t="s">
        <v>123</v>
      </c>
      <c r="AA9" s="469">
        <f>AVERAGE(AA7:AA8)</f>
        <v>0</v>
      </c>
      <c r="AB9" s="469">
        <f>AVERAGE(AB7:AB8)</f>
        <v>0.57499999999999996</v>
      </c>
    </row>
    <row r="10" spans="1:28" s="36" customFormat="1" ht="22.5">
      <c r="A10" s="561" t="s">
        <v>25</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479"/>
      <c r="AB10" s="479"/>
    </row>
    <row r="11" spans="1:28" s="36" customFormat="1" ht="45.75" customHeight="1">
      <c r="A11" s="515" t="s">
        <v>3</v>
      </c>
      <c r="B11" s="518" t="s">
        <v>26</v>
      </c>
      <c r="C11" s="521" t="s">
        <v>139</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513" t="s">
        <v>124</v>
      </c>
      <c r="AB11" s="513" t="s">
        <v>125</v>
      </c>
    </row>
    <row r="12" spans="1:28" s="36" customFormat="1"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513" t="s">
        <v>124</v>
      </c>
      <c r="AB12" s="513" t="s">
        <v>125</v>
      </c>
    </row>
    <row r="13" spans="1:28" s="36" customFormat="1" ht="78.75" customHeight="1">
      <c r="A13" s="517"/>
      <c r="B13" s="520"/>
      <c r="C13" s="5" t="s">
        <v>140</v>
      </c>
      <c r="D13" s="5" t="s">
        <v>32</v>
      </c>
      <c r="E13" s="5" t="s">
        <v>33</v>
      </c>
      <c r="F13" s="5" t="s">
        <v>131</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513" t="s">
        <v>124</v>
      </c>
      <c r="AB13" s="513" t="s">
        <v>125</v>
      </c>
    </row>
    <row r="14" spans="1:28" s="36" customFormat="1">
      <c r="A14" s="6" t="s">
        <v>20</v>
      </c>
      <c r="B14" s="6" t="s">
        <v>804</v>
      </c>
      <c r="C14" s="6"/>
      <c r="D14" s="6"/>
      <c r="E14" s="6"/>
      <c r="F14" s="6"/>
      <c r="G14" s="6"/>
      <c r="H14" s="6"/>
      <c r="I14" s="6"/>
      <c r="J14" s="6"/>
      <c r="K14" s="6"/>
      <c r="L14" s="6"/>
      <c r="M14" s="6"/>
      <c r="N14" s="6"/>
      <c r="O14" s="6"/>
      <c r="P14" s="6"/>
      <c r="Q14" s="6"/>
      <c r="R14" s="6"/>
      <c r="S14" s="6"/>
      <c r="T14" s="6"/>
      <c r="U14" s="6"/>
      <c r="V14" s="6"/>
      <c r="W14" s="6"/>
      <c r="X14" s="6"/>
      <c r="Y14" s="6"/>
      <c r="Z14" s="6"/>
      <c r="AA14" s="183"/>
      <c r="AB14" s="183"/>
    </row>
    <row r="15" spans="1:28" s="36" customFormat="1" ht="73.5" customHeight="1">
      <c r="A15" s="6" t="s">
        <v>36</v>
      </c>
      <c r="B15" s="6" t="s">
        <v>805</v>
      </c>
      <c r="C15" s="6">
        <v>0</v>
      </c>
      <c r="D15" s="6">
        <v>857000</v>
      </c>
      <c r="E15" s="6">
        <v>4800</v>
      </c>
      <c r="F15" s="6">
        <v>4800</v>
      </c>
      <c r="G15" s="6">
        <v>857000</v>
      </c>
      <c r="H15" s="6">
        <v>857000</v>
      </c>
      <c r="I15" s="6">
        <v>4800</v>
      </c>
      <c r="J15" s="6">
        <v>4800</v>
      </c>
      <c r="K15" s="6">
        <v>857000</v>
      </c>
      <c r="L15" s="6">
        <v>857000</v>
      </c>
      <c r="M15" s="6">
        <v>4800</v>
      </c>
      <c r="N15" s="6">
        <v>4800</v>
      </c>
      <c r="O15" s="6">
        <v>857000</v>
      </c>
      <c r="P15" s="6">
        <v>857000</v>
      </c>
      <c r="Q15" s="6">
        <v>4800</v>
      </c>
      <c r="R15" s="6">
        <v>4800</v>
      </c>
      <c r="S15" s="6">
        <v>857000</v>
      </c>
      <c r="T15" s="6">
        <v>857000</v>
      </c>
      <c r="U15" s="6">
        <v>4800</v>
      </c>
      <c r="V15" s="6">
        <v>4800</v>
      </c>
      <c r="W15" s="6">
        <v>857000</v>
      </c>
      <c r="X15" s="6">
        <v>857000</v>
      </c>
      <c r="Y15" s="6">
        <v>4800</v>
      </c>
      <c r="Z15" s="6">
        <v>4800</v>
      </c>
      <c r="AA15" s="478">
        <f>C15/W15</f>
        <v>0</v>
      </c>
      <c r="AB15" s="478">
        <f>W15/X15</f>
        <v>1</v>
      </c>
    </row>
    <row r="16" spans="1:28" s="36" customFormat="1" ht="52.5" customHeight="1">
      <c r="Z16" s="212" t="s">
        <v>123</v>
      </c>
      <c r="AA16" s="478">
        <f>-AVERAGE(AA15)</f>
        <v>0</v>
      </c>
      <c r="AB16" s="478">
        <f>AVERAGE(AB15)</f>
        <v>1</v>
      </c>
    </row>
    <row r="17" spans="1:18" s="36" customFormat="1">
      <c r="A17" s="9"/>
      <c r="B17" s="9" t="s">
        <v>40</v>
      </c>
    </row>
    <row r="18" spans="1:18" s="36" customFormat="1"/>
    <row r="19" spans="1:18" s="36" customFormat="1" ht="31.5" customHeight="1">
      <c r="A19" s="173" t="s">
        <v>41</v>
      </c>
      <c r="B19" s="509" t="s">
        <v>42</v>
      </c>
      <c r="C19" s="509"/>
      <c r="D19" s="509"/>
      <c r="E19" s="509"/>
      <c r="F19" s="509"/>
      <c r="G19" s="509"/>
      <c r="H19" s="509"/>
      <c r="I19" s="509"/>
      <c r="J19" s="509"/>
      <c r="K19" s="509"/>
      <c r="L19" s="509"/>
      <c r="M19" s="509"/>
      <c r="N19" s="509"/>
      <c r="O19" s="509"/>
      <c r="P19" s="509"/>
      <c r="Q19" s="509"/>
      <c r="R19" s="509"/>
    </row>
    <row r="20" spans="1:18" s="36" customFormat="1" ht="31.5" customHeight="1">
      <c r="A20" s="173" t="s">
        <v>43</v>
      </c>
      <c r="B20" s="509" t="s">
        <v>44</v>
      </c>
      <c r="C20" s="509"/>
      <c r="D20" s="509"/>
      <c r="E20" s="509"/>
      <c r="F20" s="509"/>
      <c r="G20" s="509"/>
      <c r="H20" s="509"/>
      <c r="I20" s="509"/>
      <c r="J20" s="509"/>
      <c r="K20" s="509"/>
      <c r="L20" s="509"/>
      <c r="M20" s="509"/>
      <c r="N20" s="509"/>
      <c r="O20" s="509"/>
      <c r="P20" s="509"/>
      <c r="Q20" s="509"/>
      <c r="R20" s="509"/>
    </row>
    <row r="21" spans="1:18" s="36" customFormat="1">
      <c r="B21" s="509" t="s">
        <v>164</v>
      </c>
      <c r="C21" s="509"/>
      <c r="D21" s="509"/>
      <c r="E21" s="509"/>
      <c r="F21" s="509"/>
      <c r="G21" s="509"/>
      <c r="H21" s="509"/>
      <c r="I21" s="509"/>
      <c r="J21" s="509"/>
      <c r="K21" s="509"/>
      <c r="L21" s="509"/>
      <c r="M21" s="509"/>
      <c r="N21" s="509"/>
      <c r="O21" s="509"/>
      <c r="P21" s="509"/>
      <c r="Q21" s="509"/>
      <c r="R21" s="509"/>
    </row>
    <row r="22" spans="1:18" s="36" customFormat="1" ht="17.25" customHeight="1">
      <c r="B22" s="509" t="s">
        <v>165</v>
      </c>
      <c r="C22" s="509"/>
      <c r="D22" s="509"/>
      <c r="E22" s="509"/>
      <c r="F22" s="509"/>
      <c r="G22" s="509"/>
      <c r="H22" s="509"/>
      <c r="I22" s="509"/>
      <c r="J22" s="509"/>
      <c r="K22" s="509"/>
      <c r="L22" s="509"/>
      <c r="M22" s="509"/>
      <c r="N22" s="509"/>
      <c r="O22" s="509"/>
      <c r="P22" s="509"/>
      <c r="Q22" s="509"/>
      <c r="R22" s="509"/>
    </row>
    <row r="23" spans="1:18" s="36" customFormat="1" ht="31.5" customHeight="1">
      <c r="B23" s="509" t="s">
        <v>166</v>
      </c>
      <c r="C23" s="509"/>
      <c r="D23" s="509"/>
      <c r="E23" s="509"/>
      <c r="F23" s="509"/>
      <c r="G23" s="509"/>
      <c r="H23" s="509"/>
      <c r="I23" s="509"/>
      <c r="J23" s="509"/>
      <c r="K23" s="509"/>
      <c r="L23" s="509"/>
      <c r="M23" s="509"/>
      <c r="N23" s="509"/>
      <c r="O23" s="509"/>
      <c r="P23" s="509"/>
      <c r="Q23" s="509"/>
      <c r="R23" s="509"/>
    </row>
    <row r="24" spans="1:18" s="36" customFormat="1" ht="31.5" customHeight="1">
      <c r="B24" s="509" t="s">
        <v>167</v>
      </c>
      <c r="C24" s="509"/>
      <c r="D24" s="509"/>
      <c r="E24" s="509"/>
      <c r="F24" s="509"/>
      <c r="G24" s="509"/>
      <c r="H24" s="509"/>
      <c r="I24" s="509"/>
      <c r="J24" s="509"/>
      <c r="K24" s="509"/>
      <c r="L24" s="509"/>
      <c r="M24" s="509"/>
      <c r="N24" s="509"/>
      <c r="O24" s="509"/>
      <c r="P24" s="509"/>
      <c r="Q24" s="509"/>
      <c r="R24" s="509"/>
    </row>
    <row r="25" spans="1:18" s="36" customFormat="1" ht="69.75" customHeight="1">
      <c r="B25" s="509" t="s">
        <v>168</v>
      </c>
      <c r="C25" s="509"/>
      <c r="D25" s="509"/>
      <c r="E25" s="509"/>
      <c r="F25" s="509"/>
      <c r="G25" s="509"/>
      <c r="H25" s="509"/>
      <c r="I25" s="509"/>
      <c r="J25" s="509"/>
      <c r="K25" s="509"/>
      <c r="L25" s="509"/>
      <c r="M25" s="509"/>
      <c r="N25" s="509"/>
      <c r="O25" s="509"/>
      <c r="P25" s="509"/>
      <c r="Q25" s="509"/>
      <c r="R25" s="509"/>
    </row>
    <row r="26" spans="1:18" s="36" customFormat="1" ht="24.75" customHeight="1">
      <c r="B26" s="509" t="s">
        <v>169</v>
      </c>
      <c r="C26" s="509"/>
      <c r="D26" s="509"/>
      <c r="E26" s="509"/>
      <c r="F26" s="509"/>
      <c r="G26" s="509"/>
      <c r="H26" s="509"/>
      <c r="I26" s="509"/>
      <c r="J26" s="509"/>
      <c r="K26" s="509"/>
      <c r="L26" s="509"/>
      <c r="M26" s="509"/>
      <c r="N26" s="509"/>
      <c r="O26" s="509"/>
      <c r="P26" s="509"/>
      <c r="Q26" s="509"/>
      <c r="R26" s="509"/>
    </row>
    <row r="27" spans="1:18" s="36" customFormat="1">
      <c r="B27" s="233"/>
      <c r="H27" s="291"/>
    </row>
    <row r="28" spans="1:18" s="36" customFormat="1">
      <c r="B28" s="233"/>
    </row>
    <row r="29" spans="1:18" s="36" customFormat="1">
      <c r="B29" s="233"/>
    </row>
    <row r="30" spans="1:18" s="36" customFormat="1">
      <c r="B30" s="233"/>
    </row>
  </sheetData>
  <mergeCells count="35">
    <mergeCell ref="T1:Z1"/>
    <mergeCell ref="A2:E2"/>
    <mergeCell ref="F2:Y2"/>
    <mergeCell ref="A3:Z3"/>
    <mergeCell ref="A4:A6"/>
    <mergeCell ref="B4:B6"/>
    <mergeCell ref="C4:F5"/>
    <mergeCell ref="G4:Z4"/>
    <mergeCell ref="AA4:AA6"/>
    <mergeCell ref="AB4:AB6"/>
    <mergeCell ref="G5:J5"/>
    <mergeCell ref="K5:N5"/>
    <mergeCell ref="O5:R5"/>
    <mergeCell ref="S5:V5"/>
    <mergeCell ref="W5:Z5"/>
    <mergeCell ref="A10:Z10"/>
    <mergeCell ref="A11:A13"/>
    <mergeCell ref="B11:B13"/>
    <mergeCell ref="C11:F12"/>
    <mergeCell ref="G11:Z11"/>
    <mergeCell ref="AB11:AB13"/>
    <mergeCell ref="G12:J12"/>
    <mergeCell ref="K12:N12"/>
    <mergeCell ref="O12:R12"/>
    <mergeCell ref="S12:V12"/>
    <mergeCell ref="W12:Z12"/>
    <mergeCell ref="AA11:AA13"/>
    <mergeCell ref="B25:R25"/>
    <mergeCell ref="B26:R26"/>
    <mergeCell ref="B19:R19"/>
    <mergeCell ref="B20:R20"/>
    <mergeCell ref="B21:R21"/>
    <mergeCell ref="B22:R22"/>
    <mergeCell ref="B23:R23"/>
    <mergeCell ref="B24:R24"/>
  </mergeCells>
  <pageMargins left="0.7" right="0.7" top="0.75" bottom="0.75" header="0.3" footer="0.3"/>
  <pageSetup paperSize="9" orientation="portrait" r:id="rId1"/>
  <legacyDrawing r:id="rId2"/>
</worksheet>
</file>

<file path=xl/worksheets/sheet44.xml><?xml version="1.0" encoding="utf-8"?>
<worksheet xmlns="http://schemas.openxmlformats.org/spreadsheetml/2006/main" xmlns:r="http://schemas.openxmlformats.org/officeDocument/2006/relationships">
  <dimension ref="A1:AB23"/>
  <sheetViews>
    <sheetView topLeftCell="E1" workbookViewId="0">
      <selection activeCell="B25" sqref="B24:R25"/>
    </sheetView>
  </sheetViews>
  <sheetFormatPr defaultRowHeight="15"/>
  <cols>
    <col min="1" max="1" width="5" style="219" customWidth="1"/>
    <col min="2" max="2" width="15.85546875" style="219" customWidth="1"/>
    <col min="3" max="6" width="7.7109375" style="219" customWidth="1"/>
    <col min="7" max="25" width="7" style="219" customWidth="1"/>
    <col min="26" max="26" width="7.7109375" style="219" customWidth="1"/>
    <col min="27" max="256" width="9.140625" style="219"/>
    <col min="257" max="257" width="5" style="219" customWidth="1"/>
    <col min="258" max="258" width="15.85546875" style="219" customWidth="1"/>
    <col min="259" max="262" width="7.7109375" style="219" customWidth="1"/>
    <col min="263" max="282" width="7" style="219" customWidth="1"/>
    <col min="283" max="512" width="9.140625" style="219"/>
    <col min="513" max="513" width="5" style="219" customWidth="1"/>
    <col min="514" max="514" width="15.85546875" style="219" customWidth="1"/>
    <col min="515" max="518" width="7.7109375" style="219" customWidth="1"/>
    <col min="519" max="538" width="7" style="219" customWidth="1"/>
    <col min="539" max="768" width="9.140625" style="219"/>
    <col min="769" max="769" width="5" style="219" customWidth="1"/>
    <col min="770" max="770" width="15.85546875" style="219" customWidth="1"/>
    <col min="771" max="774" width="7.7109375" style="219" customWidth="1"/>
    <col min="775" max="794" width="7" style="219" customWidth="1"/>
    <col min="795" max="1024" width="9.140625" style="219"/>
    <col min="1025" max="1025" width="5" style="219" customWidth="1"/>
    <col min="1026" max="1026" width="15.85546875" style="219" customWidth="1"/>
    <col min="1027" max="1030" width="7.7109375" style="219" customWidth="1"/>
    <col min="1031" max="1050" width="7" style="219" customWidth="1"/>
    <col min="1051" max="1280" width="9.140625" style="219"/>
    <col min="1281" max="1281" width="5" style="219" customWidth="1"/>
    <col min="1282" max="1282" width="15.85546875" style="219" customWidth="1"/>
    <col min="1283" max="1286" width="7.7109375" style="219" customWidth="1"/>
    <col min="1287" max="1306" width="7" style="219" customWidth="1"/>
    <col min="1307" max="1536" width="9.140625" style="219"/>
    <col min="1537" max="1537" width="5" style="219" customWidth="1"/>
    <col min="1538" max="1538" width="15.85546875" style="219" customWidth="1"/>
    <col min="1539" max="1542" width="7.7109375" style="219" customWidth="1"/>
    <col min="1543" max="1562" width="7" style="219" customWidth="1"/>
    <col min="1563" max="1792" width="9.140625" style="219"/>
    <col min="1793" max="1793" width="5" style="219" customWidth="1"/>
    <col min="1794" max="1794" width="15.85546875" style="219" customWidth="1"/>
    <col min="1795" max="1798" width="7.7109375" style="219" customWidth="1"/>
    <col min="1799" max="1818" width="7" style="219" customWidth="1"/>
    <col min="1819" max="2048" width="9.140625" style="219"/>
    <col min="2049" max="2049" width="5" style="219" customWidth="1"/>
    <col min="2050" max="2050" width="15.85546875" style="219" customWidth="1"/>
    <col min="2051" max="2054" width="7.7109375" style="219" customWidth="1"/>
    <col min="2055" max="2074" width="7" style="219" customWidth="1"/>
    <col min="2075" max="2304" width="9.140625" style="219"/>
    <col min="2305" max="2305" width="5" style="219" customWidth="1"/>
    <col min="2306" max="2306" width="15.85546875" style="219" customWidth="1"/>
    <col min="2307" max="2310" width="7.7109375" style="219" customWidth="1"/>
    <col min="2311" max="2330" width="7" style="219" customWidth="1"/>
    <col min="2331" max="2560" width="9.140625" style="219"/>
    <col min="2561" max="2561" width="5" style="219" customWidth="1"/>
    <col min="2562" max="2562" width="15.85546875" style="219" customWidth="1"/>
    <col min="2563" max="2566" width="7.7109375" style="219" customWidth="1"/>
    <col min="2567" max="2586" width="7" style="219" customWidth="1"/>
    <col min="2587" max="2816" width="9.140625" style="219"/>
    <col min="2817" max="2817" width="5" style="219" customWidth="1"/>
    <col min="2818" max="2818" width="15.85546875" style="219" customWidth="1"/>
    <col min="2819" max="2822" width="7.7109375" style="219" customWidth="1"/>
    <col min="2823" max="2842" width="7" style="219" customWidth="1"/>
    <col min="2843" max="3072" width="9.140625" style="219"/>
    <col min="3073" max="3073" width="5" style="219" customWidth="1"/>
    <col min="3074" max="3074" width="15.85546875" style="219" customWidth="1"/>
    <col min="3075" max="3078" width="7.7109375" style="219" customWidth="1"/>
    <col min="3079" max="3098" width="7" style="219" customWidth="1"/>
    <col min="3099" max="3328" width="9.140625" style="219"/>
    <col min="3329" max="3329" width="5" style="219" customWidth="1"/>
    <col min="3330" max="3330" width="15.85546875" style="219" customWidth="1"/>
    <col min="3331" max="3334" width="7.7109375" style="219" customWidth="1"/>
    <col min="3335" max="3354" width="7" style="219" customWidth="1"/>
    <col min="3355" max="3584" width="9.140625" style="219"/>
    <col min="3585" max="3585" width="5" style="219" customWidth="1"/>
    <col min="3586" max="3586" width="15.85546875" style="219" customWidth="1"/>
    <col min="3587" max="3590" width="7.7109375" style="219" customWidth="1"/>
    <col min="3591" max="3610" width="7" style="219" customWidth="1"/>
    <col min="3611" max="3840" width="9.140625" style="219"/>
    <col min="3841" max="3841" width="5" style="219" customWidth="1"/>
    <col min="3842" max="3842" width="15.85546875" style="219" customWidth="1"/>
    <col min="3843" max="3846" width="7.7109375" style="219" customWidth="1"/>
    <col min="3847" max="3866" width="7" style="219" customWidth="1"/>
    <col min="3867" max="4096" width="9.140625" style="219"/>
    <col min="4097" max="4097" width="5" style="219" customWidth="1"/>
    <col min="4098" max="4098" width="15.85546875" style="219" customWidth="1"/>
    <col min="4099" max="4102" width="7.7109375" style="219" customWidth="1"/>
    <col min="4103" max="4122" width="7" style="219" customWidth="1"/>
    <col min="4123" max="4352" width="9.140625" style="219"/>
    <col min="4353" max="4353" width="5" style="219" customWidth="1"/>
    <col min="4354" max="4354" width="15.85546875" style="219" customWidth="1"/>
    <col min="4355" max="4358" width="7.7109375" style="219" customWidth="1"/>
    <col min="4359" max="4378" width="7" style="219" customWidth="1"/>
    <col min="4379" max="4608" width="9.140625" style="219"/>
    <col min="4609" max="4609" width="5" style="219" customWidth="1"/>
    <col min="4610" max="4610" width="15.85546875" style="219" customWidth="1"/>
    <col min="4611" max="4614" width="7.7109375" style="219" customWidth="1"/>
    <col min="4615" max="4634" width="7" style="219" customWidth="1"/>
    <col min="4635" max="4864" width="9.140625" style="219"/>
    <col min="4865" max="4865" width="5" style="219" customWidth="1"/>
    <col min="4866" max="4866" width="15.85546875" style="219" customWidth="1"/>
    <col min="4867" max="4870" width="7.7109375" style="219" customWidth="1"/>
    <col min="4871" max="4890" width="7" style="219" customWidth="1"/>
    <col min="4891" max="5120" width="9.140625" style="219"/>
    <col min="5121" max="5121" width="5" style="219" customWidth="1"/>
    <col min="5122" max="5122" width="15.85546875" style="219" customWidth="1"/>
    <col min="5123" max="5126" width="7.7109375" style="219" customWidth="1"/>
    <col min="5127" max="5146" width="7" style="219" customWidth="1"/>
    <col min="5147" max="5376" width="9.140625" style="219"/>
    <col min="5377" max="5377" width="5" style="219" customWidth="1"/>
    <col min="5378" max="5378" width="15.85546875" style="219" customWidth="1"/>
    <col min="5379" max="5382" width="7.7109375" style="219" customWidth="1"/>
    <col min="5383" max="5402" width="7" style="219" customWidth="1"/>
    <col min="5403" max="5632" width="9.140625" style="219"/>
    <col min="5633" max="5633" width="5" style="219" customWidth="1"/>
    <col min="5634" max="5634" width="15.85546875" style="219" customWidth="1"/>
    <col min="5635" max="5638" width="7.7109375" style="219" customWidth="1"/>
    <col min="5639" max="5658" width="7" style="219" customWidth="1"/>
    <col min="5659" max="5888" width="9.140625" style="219"/>
    <col min="5889" max="5889" width="5" style="219" customWidth="1"/>
    <col min="5890" max="5890" width="15.85546875" style="219" customWidth="1"/>
    <col min="5891" max="5894" width="7.7109375" style="219" customWidth="1"/>
    <col min="5895" max="5914" width="7" style="219" customWidth="1"/>
    <col min="5915" max="6144" width="9.140625" style="219"/>
    <col min="6145" max="6145" width="5" style="219" customWidth="1"/>
    <col min="6146" max="6146" width="15.85546875" style="219" customWidth="1"/>
    <col min="6147" max="6150" width="7.7109375" style="219" customWidth="1"/>
    <col min="6151" max="6170" width="7" style="219" customWidth="1"/>
    <col min="6171" max="6400" width="9.140625" style="219"/>
    <col min="6401" max="6401" width="5" style="219" customWidth="1"/>
    <col min="6402" max="6402" width="15.85546875" style="219" customWidth="1"/>
    <col min="6403" max="6406" width="7.7109375" style="219" customWidth="1"/>
    <col min="6407" max="6426" width="7" style="219" customWidth="1"/>
    <col min="6427" max="6656" width="9.140625" style="219"/>
    <col min="6657" max="6657" width="5" style="219" customWidth="1"/>
    <col min="6658" max="6658" width="15.85546875" style="219" customWidth="1"/>
    <col min="6659" max="6662" width="7.7109375" style="219" customWidth="1"/>
    <col min="6663" max="6682" width="7" style="219" customWidth="1"/>
    <col min="6683" max="6912" width="9.140625" style="219"/>
    <col min="6913" max="6913" width="5" style="219" customWidth="1"/>
    <col min="6914" max="6914" width="15.85546875" style="219" customWidth="1"/>
    <col min="6915" max="6918" width="7.7109375" style="219" customWidth="1"/>
    <col min="6919" max="6938" width="7" style="219" customWidth="1"/>
    <col min="6939" max="7168" width="9.140625" style="219"/>
    <col min="7169" max="7169" width="5" style="219" customWidth="1"/>
    <col min="7170" max="7170" width="15.85546875" style="219" customWidth="1"/>
    <col min="7171" max="7174" width="7.7109375" style="219" customWidth="1"/>
    <col min="7175" max="7194" width="7" style="219" customWidth="1"/>
    <col min="7195" max="7424" width="9.140625" style="219"/>
    <col min="7425" max="7425" width="5" style="219" customWidth="1"/>
    <col min="7426" max="7426" width="15.85546875" style="219" customWidth="1"/>
    <col min="7427" max="7430" width="7.7109375" style="219" customWidth="1"/>
    <col min="7431" max="7450" width="7" style="219" customWidth="1"/>
    <col min="7451" max="7680" width="9.140625" style="219"/>
    <col min="7681" max="7681" width="5" style="219" customWidth="1"/>
    <col min="7682" max="7682" width="15.85546875" style="219" customWidth="1"/>
    <col min="7683" max="7686" width="7.7109375" style="219" customWidth="1"/>
    <col min="7687" max="7706" width="7" style="219" customWidth="1"/>
    <col min="7707" max="7936" width="9.140625" style="219"/>
    <col min="7937" max="7937" width="5" style="219" customWidth="1"/>
    <col min="7938" max="7938" width="15.85546875" style="219" customWidth="1"/>
    <col min="7939" max="7942" width="7.7109375" style="219" customWidth="1"/>
    <col min="7943" max="7962" width="7" style="219" customWidth="1"/>
    <col min="7963" max="8192" width="9.140625" style="219"/>
    <col min="8193" max="8193" width="5" style="219" customWidth="1"/>
    <col min="8194" max="8194" width="15.85546875" style="219" customWidth="1"/>
    <col min="8195" max="8198" width="7.7109375" style="219" customWidth="1"/>
    <col min="8199" max="8218" width="7" style="219" customWidth="1"/>
    <col min="8219" max="8448" width="9.140625" style="219"/>
    <col min="8449" max="8449" width="5" style="219" customWidth="1"/>
    <col min="8450" max="8450" width="15.85546875" style="219" customWidth="1"/>
    <col min="8451" max="8454" width="7.7109375" style="219" customWidth="1"/>
    <col min="8455" max="8474" width="7" style="219" customWidth="1"/>
    <col min="8475" max="8704" width="9.140625" style="219"/>
    <col min="8705" max="8705" width="5" style="219" customWidth="1"/>
    <col min="8706" max="8706" width="15.85546875" style="219" customWidth="1"/>
    <col min="8707" max="8710" width="7.7109375" style="219" customWidth="1"/>
    <col min="8711" max="8730" width="7" style="219" customWidth="1"/>
    <col min="8731" max="8960" width="9.140625" style="219"/>
    <col min="8961" max="8961" width="5" style="219" customWidth="1"/>
    <col min="8962" max="8962" width="15.85546875" style="219" customWidth="1"/>
    <col min="8963" max="8966" width="7.7109375" style="219" customWidth="1"/>
    <col min="8967" max="8986" width="7" style="219" customWidth="1"/>
    <col min="8987" max="9216" width="9.140625" style="219"/>
    <col min="9217" max="9217" width="5" style="219" customWidth="1"/>
    <col min="9218" max="9218" width="15.85546875" style="219" customWidth="1"/>
    <col min="9219" max="9222" width="7.7109375" style="219" customWidth="1"/>
    <col min="9223" max="9242" width="7" style="219" customWidth="1"/>
    <col min="9243" max="9472" width="9.140625" style="219"/>
    <col min="9473" max="9473" width="5" style="219" customWidth="1"/>
    <col min="9474" max="9474" width="15.85546875" style="219" customWidth="1"/>
    <col min="9475" max="9478" width="7.7109375" style="219" customWidth="1"/>
    <col min="9479" max="9498" width="7" style="219" customWidth="1"/>
    <col min="9499" max="9728" width="9.140625" style="219"/>
    <col min="9729" max="9729" width="5" style="219" customWidth="1"/>
    <col min="9730" max="9730" width="15.85546875" style="219" customWidth="1"/>
    <col min="9731" max="9734" width="7.7109375" style="219" customWidth="1"/>
    <col min="9735" max="9754" width="7" style="219" customWidth="1"/>
    <col min="9755" max="9984" width="9.140625" style="219"/>
    <col min="9985" max="9985" width="5" style="219" customWidth="1"/>
    <col min="9986" max="9986" width="15.85546875" style="219" customWidth="1"/>
    <col min="9987" max="9990" width="7.7109375" style="219" customWidth="1"/>
    <col min="9991" max="10010" width="7" style="219" customWidth="1"/>
    <col min="10011" max="10240" width="9.140625" style="219"/>
    <col min="10241" max="10241" width="5" style="219" customWidth="1"/>
    <col min="10242" max="10242" width="15.85546875" style="219" customWidth="1"/>
    <col min="10243" max="10246" width="7.7109375" style="219" customWidth="1"/>
    <col min="10247" max="10266" width="7" style="219" customWidth="1"/>
    <col min="10267" max="10496" width="9.140625" style="219"/>
    <col min="10497" max="10497" width="5" style="219" customWidth="1"/>
    <col min="10498" max="10498" width="15.85546875" style="219" customWidth="1"/>
    <col min="10499" max="10502" width="7.7109375" style="219" customWidth="1"/>
    <col min="10503" max="10522" width="7" style="219" customWidth="1"/>
    <col min="10523" max="10752" width="9.140625" style="219"/>
    <col min="10753" max="10753" width="5" style="219" customWidth="1"/>
    <col min="10754" max="10754" width="15.85546875" style="219" customWidth="1"/>
    <col min="10755" max="10758" width="7.7109375" style="219" customWidth="1"/>
    <col min="10759" max="10778" width="7" style="219" customWidth="1"/>
    <col min="10779" max="11008" width="9.140625" style="219"/>
    <col min="11009" max="11009" width="5" style="219" customWidth="1"/>
    <col min="11010" max="11010" width="15.85546875" style="219" customWidth="1"/>
    <col min="11011" max="11014" width="7.7109375" style="219" customWidth="1"/>
    <col min="11015" max="11034" width="7" style="219" customWidth="1"/>
    <col min="11035" max="11264" width="9.140625" style="219"/>
    <col min="11265" max="11265" width="5" style="219" customWidth="1"/>
    <col min="11266" max="11266" width="15.85546875" style="219" customWidth="1"/>
    <col min="11267" max="11270" width="7.7109375" style="219" customWidth="1"/>
    <col min="11271" max="11290" width="7" style="219" customWidth="1"/>
    <col min="11291" max="11520" width="9.140625" style="219"/>
    <col min="11521" max="11521" width="5" style="219" customWidth="1"/>
    <col min="11522" max="11522" width="15.85546875" style="219" customWidth="1"/>
    <col min="11523" max="11526" width="7.7109375" style="219" customWidth="1"/>
    <col min="11527" max="11546" width="7" style="219" customWidth="1"/>
    <col min="11547" max="11776" width="9.140625" style="219"/>
    <col min="11777" max="11777" width="5" style="219" customWidth="1"/>
    <col min="11778" max="11778" width="15.85546875" style="219" customWidth="1"/>
    <col min="11779" max="11782" width="7.7109375" style="219" customWidth="1"/>
    <col min="11783" max="11802" width="7" style="219" customWidth="1"/>
    <col min="11803" max="12032" width="9.140625" style="219"/>
    <col min="12033" max="12033" width="5" style="219" customWidth="1"/>
    <col min="12034" max="12034" width="15.85546875" style="219" customWidth="1"/>
    <col min="12035" max="12038" width="7.7109375" style="219" customWidth="1"/>
    <col min="12039" max="12058" width="7" style="219" customWidth="1"/>
    <col min="12059" max="12288" width="9.140625" style="219"/>
    <col min="12289" max="12289" width="5" style="219" customWidth="1"/>
    <col min="12290" max="12290" width="15.85546875" style="219" customWidth="1"/>
    <col min="12291" max="12294" width="7.7109375" style="219" customWidth="1"/>
    <col min="12295" max="12314" width="7" style="219" customWidth="1"/>
    <col min="12315" max="12544" width="9.140625" style="219"/>
    <col min="12545" max="12545" width="5" style="219" customWidth="1"/>
    <col min="12546" max="12546" width="15.85546875" style="219" customWidth="1"/>
    <col min="12547" max="12550" width="7.7109375" style="219" customWidth="1"/>
    <col min="12551" max="12570" width="7" style="219" customWidth="1"/>
    <col min="12571" max="12800" width="9.140625" style="219"/>
    <col min="12801" max="12801" width="5" style="219" customWidth="1"/>
    <col min="12802" max="12802" width="15.85546875" style="219" customWidth="1"/>
    <col min="12803" max="12806" width="7.7109375" style="219" customWidth="1"/>
    <col min="12807" max="12826" width="7" style="219" customWidth="1"/>
    <col min="12827" max="13056" width="9.140625" style="219"/>
    <col min="13057" max="13057" width="5" style="219" customWidth="1"/>
    <col min="13058" max="13058" width="15.85546875" style="219" customWidth="1"/>
    <col min="13059" max="13062" width="7.7109375" style="219" customWidth="1"/>
    <col min="13063" max="13082" width="7" style="219" customWidth="1"/>
    <col min="13083" max="13312" width="9.140625" style="219"/>
    <col min="13313" max="13313" width="5" style="219" customWidth="1"/>
    <col min="13314" max="13314" width="15.85546875" style="219" customWidth="1"/>
    <col min="13315" max="13318" width="7.7109375" style="219" customWidth="1"/>
    <col min="13319" max="13338" width="7" style="219" customWidth="1"/>
    <col min="13339" max="13568" width="9.140625" style="219"/>
    <col min="13569" max="13569" width="5" style="219" customWidth="1"/>
    <col min="13570" max="13570" width="15.85546875" style="219" customWidth="1"/>
    <col min="13571" max="13574" width="7.7109375" style="219" customWidth="1"/>
    <col min="13575" max="13594" width="7" style="219" customWidth="1"/>
    <col min="13595" max="13824" width="9.140625" style="219"/>
    <col min="13825" max="13825" width="5" style="219" customWidth="1"/>
    <col min="13826" max="13826" width="15.85546875" style="219" customWidth="1"/>
    <col min="13827" max="13830" width="7.7109375" style="219" customWidth="1"/>
    <col min="13831" max="13850" width="7" style="219" customWidth="1"/>
    <col min="13851" max="14080" width="9.140625" style="219"/>
    <col min="14081" max="14081" width="5" style="219" customWidth="1"/>
    <col min="14082" max="14082" width="15.85546875" style="219" customWidth="1"/>
    <col min="14083" max="14086" width="7.7109375" style="219" customWidth="1"/>
    <col min="14087" max="14106" width="7" style="219" customWidth="1"/>
    <col min="14107" max="14336" width="9.140625" style="219"/>
    <col min="14337" max="14337" width="5" style="219" customWidth="1"/>
    <col min="14338" max="14338" width="15.85546875" style="219" customWidth="1"/>
    <col min="14339" max="14342" width="7.7109375" style="219" customWidth="1"/>
    <col min="14343" max="14362" width="7" style="219" customWidth="1"/>
    <col min="14363" max="14592" width="9.140625" style="219"/>
    <col min="14593" max="14593" width="5" style="219" customWidth="1"/>
    <col min="14594" max="14594" width="15.85546875" style="219" customWidth="1"/>
    <col min="14595" max="14598" width="7.7109375" style="219" customWidth="1"/>
    <col min="14599" max="14618" width="7" style="219" customWidth="1"/>
    <col min="14619" max="14848" width="9.140625" style="219"/>
    <col min="14849" max="14849" width="5" style="219" customWidth="1"/>
    <col min="14850" max="14850" width="15.85546875" style="219" customWidth="1"/>
    <col min="14851" max="14854" width="7.7109375" style="219" customWidth="1"/>
    <col min="14855" max="14874" width="7" style="219" customWidth="1"/>
    <col min="14875" max="15104" width="9.140625" style="219"/>
    <col min="15105" max="15105" width="5" style="219" customWidth="1"/>
    <col min="15106" max="15106" width="15.85546875" style="219" customWidth="1"/>
    <col min="15107" max="15110" width="7.7109375" style="219" customWidth="1"/>
    <col min="15111" max="15130" width="7" style="219" customWidth="1"/>
    <col min="15131" max="15360" width="9.140625" style="219"/>
    <col min="15361" max="15361" width="5" style="219" customWidth="1"/>
    <col min="15362" max="15362" width="15.85546875" style="219" customWidth="1"/>
    <col min="15363" max="15366" width="7.7109375" style="219" customWidth="1"/>
    <col min="15367" max="15386" width="7" style="219" customWidth="1"/>
    <col min="15387" max="15616" width="9.140625" style="219"/>
    <col min="15617" max="15617" width="5" style="219" customWidth="1"/>
    <col min="15618" max="15618" width="15.85546875" style="219" customWidth="1"/>
    <col min="15619" max="15622" width="7.7109375" style="219" customWidth="1"/>
    <col min="15623" max="15642" width="7" style="219" customWidth="1"/>
    <col min="15643" max="15872" width="9.140625" style="219"/>
    <col min="15873" max="15873" width="5" style="219" customWidth="1"/>
    <col min="15874" max="15874" width="15.85546875" style="219" customWidth="1"/>
    <col min="15875" max="15878" width="7.7109375" style="219" customWidth="1"/>
    <col min="15879" max="15898" width="7" style="219" customWidth="1"/>
    <col min="15899" max="16128" width="9.140625" style="219"/>
    <col min="16129" max="16129" width="5" style="219" customWidth="1"/>
    <col min="16130" max="16130" width="15.85546875" style="219" customWidth="1"/>
    <col min="16131" max="16134" width="7.7109375" style="219" customWidth="1"/>
    <col min="16135" max="16154" width="7" style="219" customWidth="1"/>
    <col min="16155" max="16384" width="9.140625" style="219"/>
  </cols>
  <sheetData>
    <row r="1" spans="1:28" s="66" customFormat="1" ht="60" customHeight="1">
      <c r="A1" s="644" t="s">
        <v>0</v>
      </c>
      <c r="B1" s="644"/>
      <c r="C1" s="644"/>
      <c r="D1" s="644"/>
      <c r="E1" s="644"/>
      <c r="F1" s="586" t="s">
        <v>806</v>
      </c>
      <c r="G1" s="586"/>
      <c r="H1" s="586"/>
      <c r="I1" s="586"/>
      <c r="J1" s="586"/>
      <c r="K1" s="586"/>
      <c r="L1" s="586"/>
      <c r="M1" s="586"/>
      <c r="N1" s="586"/>
      <c r="O1" s="586"/>
      <c r="P1" s="586"/>
      <c r="Q1" s="586"/>
      <c r="R1" s="586"/>
    </row>
    <row r="2" spans="1:28" ht="9.75" customHeight="1"/>
    <row r="3" spans="1:28" ht="16.5" customHeight="1">
      <c r="A3" s="588" t="s">
        <v>25</v>
      </c>
      <c r="B3" s="588"/>
      <c r="C3" s="588"/>
      <c r="D3" s="588"/>
      <c r="E3" s="588"/>
      <c r="F3" s="588"/>
      <c r="G3" s="588"/>
      <c r="H3" s="588"/>
      <c r="I3" s="588"/>
      <c r="J3" s="588"/>
      <c r="K3" s="588"/>
      <c r="L3" s="588"/>
      <c r="M3" s="588"/>
      <c r="N3" s="588"/>
      <c r="O3" s="588"/>
      <c r="P3" s="588"/>
      <c r="Q3" s="588"/>
      <c r="R3" s="588"/>
      <c r="S3" s="588"/>
      <c r="T3" s="588"/>
      <c r="U3" s="588"/>
      <c r="V3" s="588"/>
      <c r="W3" s="588"/>
      <c r="X3" s="588"/>
      <c r="Y3" s="588"/>
      <c r="Z3" s="588"/>
    </row>
    <row r="4" spans="1:28" ht="45.75" customHeight="1">
      <c r="A4" s="589" t="s">
        <v>3</v>
      </c>
      <c r="B4" s="592" t="s">
        <v>26</v>
      </c>
      <c r="C4" s="595" t="s">
        <v>27</v>
      </c>
      <c r="D4" s="596"/>
      <c r="E4" s="596"/>
      <c r="F4" s="597"/>
      <c r="G4" s="601" t="s">
        <v>28</v>
      </c>
      <c r="H4" s="601"/>
      <c r="I4" s="601"/>
      <c r="J4" s="601"/>
      <c r="K4" s="601"/>
      <c r="L4" s="601"/>
      <c r="M4" s="601"/>
      <c r="N4" s="601"/>
      <c r="O4" s="601"/>
      <c r="P4" s="601"/>
      <c r="Q4" s="601"/>
      <c r="R4" s="601"/>
      <c r="S4" s="601"/>
      <c r="T4" s="601"/>
      <c r="U4" s="601"/>
      <c r="V4" s="601"/>
      <c r="W4" s="601"/>
      <c r="X4" s="601"/>
      <c r="Y4" s="601"/>
      <c r="Z4" s="601"/>
      <c r="AA4" s="513" t="s">
        <v>124</v>
      </c>
      <c r="AB4" s="513" t="s">
        <v>125</v>
      </c>
    </row>
    <row r="5" spans="1:28" ht="45" customHeight="1">
      <c r="A5" s="590"/>
      <c r="B5" s="593"/>
      <c r="C5" s="598"/>
      <c r="D5" s="599"/>
      <c r="E5" s="599"/>
      <c r="F5" s="600"/>
      <c r="G5" s="601" t="s">
        <v>9</v>
      </c>
      <c r="H5" s="601"/>
      <c r="I5" s="601"/>
      <c r="J5" s="601"/>
      <c r="K5" s="601" t="s">
        <v>10</v>
      </c>
      <c r="L5" s="601"/>
      <c r="M5" s="601"/>
      <c r="N5" s="601"/>
      <c r="O5" s="601" t="s">
        <v>11</v>
      </c>
      <c r="P5" s="601"/>
      <c r="Q5" s="601"/>
      <c r="R5" s="601"/>
      <c r="S5" s="601" t="s">
        <v>12</v>
      </c>
      <c r="T5" s="601"/>
      <c r="U5" s="601"/>
      <c r="V5" s="601"/>
      <c r="W5" s="601" t="s">
        <v>13</v>
      </c>
      <c r="X5" s="601"/>
      <c r="Y5" s="601"/>
      <c r="Z5" s="601"/>
      <c r="AA5" s="513" t="s">
        <v>124</v>
      </c>
      <c r="AB5" s="513" t="s">
        <v>125</v>
      </c>
    </row>
    <row r="6" spans="1:28" ht="78.75" customHeight="1">
      <c r="A6" s="591"/>
      <c r="B6" s="594"/>
      <c r="C6" s="68" t="s">
        <v>31</v>
      </c>
      <c r="D6" s="68" t="s">
        <v>32</v>
      </c>
      <c r="E6" s="68" t="s">
        <v>33</v>
      </c>
      <c r="F6" s="68" t="s">
        <v>17</v>
      </c>
      <c r="G6" s="68" t="s">
        <v>34</v>
      </c>
      <c r="H6" s="68" t="s">
        <v>32</v>
      </c>
      <c r="I6" s="68" t="s">
        <v>33</v>
      </c>
      <c r="J6" s="68" t="s">
        <v>19</v>
      </c>
      <c r="K6" s="68" t="s">
        <v>34</v>
      </c>
      <c r="L6" s="68" t="s">
        <v>32</v>
      </c>
      <c r="M6" s="68" t="s">
        <v>33</v>
      </c>
      <c r="N6" s="68" t="s">
        <v>19</v>
      </c>
      <c r="O6" s="68" t="s">
        <v>34</v>
      </c>
      <c r="P6" s="68" t="s">
        <v>32</v>
      </c>
      <c r="Q6" s="68" t="s">
        <v>33</v>
      </c>
      <c r="R6" s="68" t="s">
        <v>19</v>
      </c>
      <c r="S6" s="68" t="s">
        <v>34</v>
      </c>
      <c r="T6" s="68" t="s">
        <v>32</v>
      </c>
      <c r="U6" s="68" t="s">
        <v>33</v>
      </c>
      <c r="V6" s="68" t="s">
        <v>19</v>
      </c>
      <c r="W6" s="68" t="s">
        <v>34</v>
      </c>
      <c r="X6" s="68" t="s">
        <v>32</v>
      </c>
      <c r="Y6" s="68" t="s">
        <v>33</v>
      </c>
      <c r="Z6" s="68" t="s">
        <v>19</v>
      </c>
      <c r="AA6" s="513" t="s">
        <v>124</v>
      </c>
      <c r="AB6" s="513" t="s">
        <v>125</v>
      </c>
    </row>
    <row r="7" spans="1:28" ht="121.5" customHeight="1">
      <c r="A7" s="480" t="s">
        <v>20</v>
      </c>
      <c r="B7" s="480" t="s">
        <v>807</v>
      </c>
      <c r="C7" s="480"/>
      <c r="D7" s="480"/>
      <c r="E7" s="480"/>
      <c r="F7" s="480"/>
      <c r="G7" s="480"/>
      <c r="H7" s="480"/>
      <c r="I7" s="480"/>
      <c r="J7" s="480"/>
      <c r="K7" s="480"/>
      <c r="L7" s="480"/>
      <c r="M7" s="480"/>
      <c r="N7" s="480"/>
      <c r="O7" s="480"/>
      <c r="P7" s="480"/>
      <c r="Q7" s="480"/>
      <c r="R7" s="480"/>
      <c r="S7" s="480"/>
      <c r="T7" s="480"/>
      <c r="U7" s="480"/>
      <c r="V7" s="480"/>
      <c r="W7" s="480"/>
      <c r="X7" s="480"/>
      <c r="Y7" s="480"/>
      <c r="Z7" s="480"/>
      <c r="AA7" s="183"/>
      <c r="AB7" s="183"/>
    </row>
    <row r="8" spans="1:28" ht="111.75" customHeight="1">
      <c r="A8" s="69" t="s">
        <v>36</v>
      </c>
      <c r="B8" s="69" t="s">
        <v>808</v>
      </c>
      <c r="C8" s="481">
        <v>0</v>
      </c>
      <c r="D8" s="481">
        <v>23279</v>
      </c>
      <c r="E8" s="481">
        <v>220</v>
      </c>
      <c r="F8" s="481">
        <v>221</v>
      </c>
      <c r="G8" s="481">
        <v>428803</v>
      </c>
      <c r="H8" s="481">
        <v>428803</v>
      </c>
      <c r="I8" s="481">
        <v>222</v>
      </c>
      <c r="J8" s="481">
        <v>223</v>
      </c>
      <c r="K8" s="481">
        <v>316803</v>
      </c>
      <c r="L8" s="481">
        <v>316803</v>
      </c>
      <c r="M8" s="481">
        <v>223</v>
      </c>
      <c r="N8" s="481">
        <v>224</v>
      </c>
      <c r="O8" s="481">
        <v>238893</v>
      </c>
      <c r="P8" s="481">
        <v>238893</v>
      </c>
      <c r="Q8" s="481">
        <v>224</v>
      </c>
      <c r="R8" s="481">
        <v>225</v>
      </c>
      <c r="S8" s="481">
        <v>232120</v>
      </c>
      <c r="T8" s="481">
        <v>232120</v>
      </c>
      <c r="U8" s="481">
        <v>225</v>
      </c>
      <c r="V8" s="481">
        <v>226</v>
      </c>
      <c r="W8" s="481">
        <v>380919</v>
      </c>
      <c r="X8" s="481">
        <v>380919</v>
      </c>
      <c r="Y8" s="481">
        <v>226</v>
      </c>
      <c r="Z8" s="481">
        <v>227</v>
      </c>
      <c r="AA8" s="482">
        <f>C8/W8</f>
        <v>0</v>
      </c>
      <c r="AB8" s="482">
        <f>W8/X8</f>
        <v>1</v>
      </c>
    </row>
    <row r="9" spans="1:28" ht="26.25">
      <c r="Z9" s="212" t="s">
        <v>123</v>
      </c>
      <c r="AA9" s="482">
        <f>AVERAGE(AA8)</f>
        <v>0</v>
      </c>
      <c r="AB9" s="482">
        <f>AVERAGE(AB8)</f>
        <v>1</v>
      </c>
    </row>
    <row r="10" spans="1:28">
      <c r="A10" s="77"/>
      <c r="B10" s="77" t="s">
        <v>40</v>
      </c>
    </row>
    <row r="12" spans="1:28" ht="31.5" customHeight="1">
      <c r="A12" s="10" t="s">
        <v>41</v>
      </c>
      <c r="B12" s="602" t="s">
        <v>42</v>
      </c>
      <c r="C12" s="602"/>
      <c r="D12" s="602"/>
      <c r="E12" s="602"/>
      <c r="F12" s="602"/>
      <c r="G12" s="602"/>
      <c r="H12" s="602"/>
      <c r="I12" s="602"/>
      <c r="J12" s="602"/>
      <c r="K12" s="602"/>
      <c r="L12" s="602"/>
      <c r="M12" s="602"/>
      <c r="N12" s="602"/>
      <c r="O12" s="602"/>
      <c r="P12" s="602"/>
      <c r="Q12" s="602"/>
      <c r="R12" s="602"/>
    </row>
    <row r="13" spans="1:28" ht="31.5" customHeight="1">
      <c r="A13" s="10" t="s">
        <v>43</v>
      </c>
      <c r="B13" s="602" t="s">
        <v>44</v>
      </c>
      <c r="C13" s="602"/>
      <c r="D13" s="602"/>
      <c r="E13" s="602"/>
      <c r="F13" s="602"/>
      <c r="G13" s="602"/>
      <c r="H13" s="602"/>
      <c r="I13" s="602"/>
      <c r="J13" s="602"/>
      <c r="K13" s="602"/>
      <c r="L13" s="602"/>
      <c r="M13" s="602"/>
      <c r="N13" s="602"/>
      <c r="O13" s="602"/>
      <c r="P13" s="602"/>
      <c r="Q13" s="602"/>
      <c r="R13" s="602"/>
    </row>
    <row r="14" spans="1:28" ht="31.5" customHeight="1">
      <c r="B14" s="602" t="s">
        <v>45</v>
      </c>
      <c r="C14" s="602"/>
      <c r="D14" s="602"/>
      <c r="E14" s="602"/>
      <c r="F14" s="602"/>
      <c r="G14" s="602"/>
      <c r="H14" s="602"/>
      <c r="I14" s="602"/>
      <c r="J14" s="602"/>
      <c r="K14" s="602"/>
      <c r="L14" s="602"/>
      <c r="M14" s="602"/>
      <c r="N14" s="602"/>
      <c r="O14" s="602"/>
      <c r="P14" s="602"/>
      <c r="Q14" s="602"/>
      <c r="R14" s="602"/>
    </row>
    <row r="15" spans="1:28" ht="31.5" customHeight="1">
      <c r="B15" s="602" t="s">
        <v>46</v>
      </c>
      <c r="C15" s="602"/>
      <c r="D15" s="602"/>
      <c r="E15" s="602"/>
      <c r="F15" s="602"/>
      <c r="G15" s="602"/>
      <c r="H15" s="602"/>
      <c r="I15" s="602"/>
      <c r="J15" s="602"/>
      <c r="K15" s="602"/>
      <c r="L15" s="602"/>
      <c r="M15" s="602"/>
      <c r="N15" s="602"/>
      <c r="O15" s="602"/>
      <c r="P15" s="602"/>
      <c r="Q15" s="602"/>
      <c r="R15" s="602"/>
    </row>
    <row r="16" spans="1:28" ht="31.5" customHeight="1">
      <c r="B16" s="602" t="s">
        <v>47</v>
      </c>
      <c r="C16" s="602"/>
      <c r="D16" s="602"/>
      <c r="E16" s="602"/>
      <c r="F16" s="602"/>
      <c r="G16" s="602"/>
      <c r="H16" s="602"/>
      <c r="I16" s="602"/>
      <c r="J16" s="602"/>
      <c r="K16" s="602"/>
      <c r="L16" s="602"/>
      <c r="M16" s="602"/>
      <c r="N16" s="602"/>
      <c r="O16" s="602"/>
      <c r="P16" s="602"/>
      <c r="Q16" s="602"/>
      <c r="R16" s="602"/>
    </row>
    <row r="17" spans="2:18" ht="31.5" customHeight="1">
      <c r="B17" s="602" t="s">
        <v>48</v>
      </c>
      <c r="C17" s="602"/>
      <c r="D17" s="602"/>
      <c r="E17" s="602"/>
      <c r="F17" s="602"/>
      <c r="G17" s="602"/>
      <c r="H17" s="602"/>
      <c r="I17" s="602"/>
      <c r="J17" s="602"/>
      <c r="K17" s="602"/>
      <c r="L17" s="602"/>
      <c r="M17" s="602"/>
      <c r="N17" s="602"/>
      <c r="O17" s="602"/>
      <c r="P17" s="602"/>
      <c r="Q17" s="602"/>
      <c r="R17" s="602"/>
    </row>
    <row r="18" spans="2:18" ht="73.5" customHeight="1">
      <c r="B18" s="602" t="s">
        <v>49</v>
      </c>
      <c r="C18" s="602"/>
      <c r="D18" s="602"/>
      <c r="E18" s="602"/>
      <c r="F18" s="602"/>
      <c r="G18" s="602"/>
      <c r="H18" s="602"/>
      <c r="I18" s="602"/>
      <c r="J18" s="602"/>
      <c r="K18" s="602"/>
      <c r="L18" s="602"/>
      <c r="M18" s="602"/>
      <c r="N18" s="602"/>
      <c r="O18" s="602"/>
      <c r="P18" s="602"/>
      <c r="Q18" s="602"/>
      <c r="R18" s="602"/>
    </row>
    <row r="19" spans="2:18" ht="39" customHeight="1">
      <c r="B19" s="602" t="s">
        <v>50</v>
      </c>
      <c r="C19" s="602"/>
      <c r="D19" s="602"/>
      <c r="E19" s="602"/>
      <c r="F19" s="602"/>
      <c r="G19" s="602"/>
      <c r="H19" s="602"/>
      <c r="I19" s="602"/>
      <c r="J19" s="602"/>
      <c r="K19" s="602"/>
      <c r="L19" s="602"/>
      <c r="M19" s="602"/>
      <c r="N19" s="602"/>
      <c r="O19" s="602"/>
      <c r="P19" s="602"/>
      <c r="Q19" s="602"/>
      <c r="R19" s="602"/>
    </row>
    <row r="20" spans="2:18">
      <c r="B20" s="78"/>
    </row>
    <row r="21" spans="2:18">
      <c r="B21" s="78"/>
    </row>
    <row r="23" spans="2:18">
      <c r="B23" s="78"/>
    </row>
  </sheetData>
  <mergeCells count="22">
    <mergeCell ref="A1:E1"/>
    <mergeCell ref="F1:R1"/>
    <mergeCell ref="A3:Z3"/>
    <mergeCell ref="A4:A6"/>
    <mergeCell ref="B4:B6"/>
    <mergeCell ref="C4:F5"/>
    <mergeCell ref="G4:Z4"/>
    <mergeCell ref="AA4:AA6"/>
    <mergeCell ref="AB4:AB6"/>
    <mergeCell ref="G5:J5"/>
    <mergeCell ref="K5:N5"/>
    <mergeCell ref="O5:R5"/>
    <mergeCell ref="S5:V5"/>
    <mergeCell ref="W5:Z5"/>
    <mergeCell ref="B18:R18"/>
    <mergeCell ref="B19:R19"/>
    <mergeCell ref="B12:R12"/>
    <mergeCell ref="B13:R13"/>
    <mergeCell ref="B14:R14"/>
    <mergeCell ref="B15:R15"/>
    <mergeCell ref="B16:R16"/>
    <mergeCell ref="B17:R17"/>
  </mergeCells>
  <pageMargins left="0.7" right="0.7" top="0.75" bottom="0.75" header="0.3" footer="0.3"/>
  <pageSetup paperSize="9" orientation="portrait" r:id="rId1"/>
  <legacyDrawing r:id="rId2"/>
</worksheet>
</file>

<file path=xl/worksheets/sheet45.xml><?xml version="1.0" encoding="utf-8"?>
<worksheet xmlns="http://schemas.openxmlformats.org/spreadsheetml/2006/main" xmlns:r="http://schemas.openxmlformats.org/officeDocument/2006/relationships">
  <dimension ref="A1:AB28"/>
  <sheetViews>
    <sheetView topLeftCell="A19" workbookViewId="0">
      <selection activeCell="Q45" sqref="Q45"/>
    </sheetView>
  </sheetViews>
  <sheetFormatPr defaultRowHeight="15"/>
  <cols>
    <col min="1" max="1" width="5" style="219" customWidth="1"/>
    <col min="2" max="2" width="15.85546875" style="219" customWidth="1"/>
    <col min="3" max="3" width="7.5703125" style="219" customWidth="1"/>
    <col min="4" max="6" width="7.7109375" style="219" customWidth="1"/>
    <col min="7" max="7" width="7" style="219" customWidth="1"/>
    <col min="8" max="8" width="9.140625" style="219" customWidth="1"/>
    <col min="9" max="10" width="7" style="219" customWidth="1"/>
    <col min="11" max="11" width="9.42578125" style="219" customWidth="1"/>
    <col min="12" max="12" width="8.85546875" style="219" customWidth="1"/>
    <col min="13" max="14" width="7" style="219" customWidth="1"/>
    <col min="15" max="15" width="9.140625" style="219" customWidth="1"/>
    <col min="16" max="16" width="9" style="219" customWidth="1"/>
    <col min="17" max="17" width="7" style="219" customWidth="1"/>
    <col min="18" max="18" width="7.28515625" style="219" customWidth="1"/>
    <col min="19" max="19" width="9.7109375" style="219" customWidth="1"/>
    <col min="20" max="20" width="9.28515625" style="219" customWidth="1"/>
    <col min="21" max="22" width="7" style="219" customWidth="1"/>
    <col min="23" max="23" width="8.85546875" style="219" customWidth="1"/>
    <col min="24" max="24" width="8.5703125" style="219" customWidth="1"/>
    <col min="25" max="25" width="7" style="219" customWidth="1"/>
    <col min="26" max="26" width="8" style="219" customWidth="1"/>
    <col min="27" max="16384" width="9.140625" style="219"/>
  </cols>
  <sheetData>
    <row r="1" spans="1:28" s="66" customFormat="1" ht="56.25" customHeight="1">
      <c r="A1" s="644" t="s">
        <v>0</v>
      </c>
      <c r="B1" s="644"/>
      <c r="C1" s="644"/>
      <c r="D1" s="644"/>
      <c r="E1" s="644"/>
      <c r="F1" s="586" t="s">
        <v>809</v>
      </c>
      <c r="G1" s="586"/>
      <c r="H1" s="586"/>
      <c r="I1" s="586"/>
      <c r="J1" s="586"/>
      <c r="K1" s="586"/>
      <c r="L1" s="586"/>
      <c r="M1" s="586"/>
      <c r="N1" s="586"/>
      <c r="O1" s="586"/>
      <c r="P1" s="586"/>
      <c r="Q1" s="586"/>
      <c r="R1" s="586"/>
    </row>
    <row r="2" spans="1:28" ht="31.5" customHeight="1">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8" ht="44.25" customHeight="1">
      <c r="A3" s="589" t="s">
        <v>3</v>
      </c>
      <c r="B3" s="592" t="s">
        <v>4</v>
      </c>
      <c r="C3" s="595" t="s">
        <v>5</v>
      </c>
      <c r="D3" s="596"/>
      <c r="E3" s="596"/>
      <c r="F3" s="597"/>
      <c r="G3" s="601" t="s">
        <v>6</v>
      </c>
      <c r="H3" s="601"/>
      <c r="I3" s="601"/>
      <c r="J3" s="601"/>
      <c r="K3" s="601"/>
      <c r="L3" s="601"/>
      <c r="M3" s="601"/>
      <c r="N3" s="601"/>
      <c r="O3" s="601"/>
      <c r="P3" s="601"/>
      <c r="Q3" s="601"/>
      <c r="R3" s="601"/>
      <c r="S3" s="601"/>
      <c r="T3" s="601"/>
      <c r="U3" s="601"/>
      <c r="V3" s="601"/>
      <c r="W3" s="601"/>
      <c r="X3" s="601"/>
      <c r="Y3" s="601"/>
      <c r="Z3" s="601"/>
      <c r="AA3" s="589" t="s">
        <v>7</v>
      </c>
      <c r="AB3" s="771" t="s">
        <v>8</v>
      </c>
    </row>
    <row r="4" spans="1:28" ht="44.25" customHeight="1">
      <c r="A4" s="590"/>
      <c r="B4" s="593"/>
      <c r="C4" s="598"/>
      <c r="D4" s="599"/>
      <c r="E4" s="599"/>
      <c r="F4" s="600"/>
      <c r="G4" s="601" t="s">
        <v>9</v>
      </c>
      <c r="H4" s="601"/>
      <c r="I4" s="601"/>
      <c r="J4" s="601"/>
      <c r="K4" s="601" t="s">
        <v>10</v>
      </c>
      <c r="L4" s="601"/>
      <c r="M4" s="601"/>
      <c r="N4" s="601"/>
      <c r="O4" s="601" t="s">
        <v>11</v>
      </c>
      <c r="P4" s="601"/>
      <c r="Q4" s="601"/>
      <c r="R4" s="601"/>
      <c r="S4" s="601" t="s">
        <v>12</v>
      </c>
      <c r="T4" s="601"/>
      <c r="U4" s="601"/>
      <c r="V4" s="601"/>
      <c r="W4" s="601" t="s">
        <v>13</v>
      </c>
      <c r="X4" s="601"/>
      <c r="Y4" s="601"/>
      <c r="Z4" s="601"/>
      <c r="AA4" s="527"/>
      <c r="AB4" s="511"/>
    </row>
    <row r="5" spans="1:28" ht="75.75" customHeight="1">
      <c r="A5" s="591"/>
      <c r="B5" s="594"/>
      <c r="C5" s="68" t="s">
        <v>14</v>
      </c>
      <c r="D5" s="68" t="s">
        <v>15</v>
      </c>
      <c r="E5" s="68" t="s">
        <v>16</v>
      </c>
      <c r="F5" s="68" t="s">
        <v>17</v>
      </c>
      <c r="G5" s="68" t="s">
        <v>14</v>
      </c>
      <c r="H5" s="68" t="s">
        <v>15</v>
      </c>
      <c r="I5" s="68" t="s">
        <v>18</v>
      </c>
      <c r="J5" s="68" t="s">
        <v>19</v>
      </c>
      <c r="K5" s="68" t="s">
        <v>14</v>
      </c>
      <c r="L5" s="68" t="s">
        <v>15</v>
      </c>
      <c r="M5" s="68" t="s">
        <v>18</v>
      </c>
      <c r="N5" s="68" t="s">
        <v>19</v>
      </c>
      <c r="O5" s="68" t="s">
        <v>14</v>
      </c>
      <c r="P5" s="68" t="s">
        <v>15</v>
      </c>
      <c r="Q5" s="68" t="s">
        <v>18</v>
      </c>
      <c r="R5" s="68" t="s">
        <v>19</v>
      </c>
      <c r="S5" s="68" t="s">
        <v>14</v>
      </c>
      <c r="T5" s="68" t="s">
        <v>15</v>
      </c>
      <c r="U5" s="68" t="s">
        <v>18</v>
      </c>
      <c r="V5" s="68" t="s">
        <v>19</v>
      </c>
      <c r="W5" s="68" t="s">
        <v>14</v>
      </c>
      <c r="X5" s="68" t="s">
        <v>15</v>
      </c>
      <c r="Y5" s="68" t="s">
        <v>18</v>
      </c>
      <c r="Z5" s="68" t="s">
        <v>19</v>
      </c>
      <c r="AA5" s="528"/>
      <c r="AB5" s="512"/>
    </row>
    <row r="6" spans="1:28" s="157" customFormat="1" ht="153.75" customHeight="1">
      <c r="A6" s="69" t="s">
        <v>20</v>
      </c>
      <c r="B6" s="484" t="s">
        <v>810</v>
      </c>
      <c r="C6" s="485">
        <v>0</v>
      </c>
      <c r="D6" s="485">
        <v>3500000</v>
      </c>
      <c r="E6" s="485">
        <v>0</v>
      </c>
      <c r="F6" s="485">
        <v>0</v>
      </c>
      <c r="G6" s="485">
        <v>700000</v>
      </c>
      <c r="H6" s="485">
        <v>3500000</v>
      </c>
      <c r="I6" s="485">
        <v>1000</v>
      </c>
      <c r="J6" s="485">
        <v>8573</v>
      </c>
      <c r="K6" s="485">
        <v>1300000</v>
      </c>
      <c r="L6" s="485">
        <v>3600000</v>
      </c>
      <c r="M6" s="485">
        <v>2000</v>
      </c>
      <c r="N6" s="485">
        <v>8573</v>
      </c>
      <c r="O6" s="485">
        <v>1750000</v>
      </c>
      <c r="P6" s="485">
        <v>3700000</v>
      </c>
      <c r="Q6" s="485">
        <v>3000</v>
      </c>
      <c r="R6" s="485">
        <v>8573</v>
      </c>
      <c r="S6" s="485">
        <v>2000000</v>
      </c>
      <c r="T6" s="485">
        <v>3800000</v>
      </c>
      <c r="U6" s="485">
        <v>4000</v>
      </c>
      <c r="V6" s="485">
        <v>8573</v>
      </c>
      <c r="W6" s="485">
        <v>2250000</v>
      </c>
      <c r="X6" s="485">
        <v>3900000</v>
      </c>
      <c r="Y6" s="485">
        <v>4250</v>
      </c>
      <c r="Z6" s="485">
        <v>8573</v>
      </c>
      <c r="AA6" s="486">
        <f>C6/W6</f>
        <v>0</v>
      </c>
      <c r="AB6" s="486">
        <f>W6/X6</f>
        <v>0.57692307692307687</v>
      </c>
    </row>
    <row r="7" spans="1:28" s="157" customFormat="1" ht="179.25">
      <c r="A7" s="69" t="s">
        <v>22</v>
      </c>
      <c r="B7" s="484" t="s">
        <v>811</v>
      </c>
      <c r="C7" s="485">
        <v>0</v>
      </c>
      <c r="D7" s="485">
        <v>3500000</v>
      </c>
      <c r="E7" s="485">
        <v>0</v>
      </c>
      <c r="F7" s="485">
        <v>0</v>
      </c>
      <c r="G7" s="485">
        <v>700000</v>
      </c>
      <c r="H7" s="485">
        <v>3500000</v>
      </c>
      <c r="I7" s="485">
        <v>5</v>
      </c>
      <c r="J7" s="485">
        <v>8</v>
      </c>
      <c r="K7" s="485">
        <v>1300000</v>
      </c>
      <c r="L7" s="485">
        <v>3600000</v>
      </c>
      <c r="M7" s="485">
        <v>6</v>
      </c>
      <c r="N7" s="485">
        <v>8</v>
      </c>
      <c r="O7" s="485">
        <v>1750000</v>
      </c>
      <c r="P7" s="485">
        <v>3700000</v>
      </c>
      <c r="Q7" s="485">
        <v>7</v>
      </c>
      <c r="R7" s="485">
        <v>9</v>
      </c>
      <c r="S7" s="485">
        <v>2000000</v>
      </c>
      <c r="T7" s="485">
        <v>3800000</v>
      </c>
      <c r="U7" s="485">
        <v>8</v>
      </c>
      <c r="V7" s="485">
        <v>9</v>
      </c>
      <c r="W7" s="485">
        <v>2250000</v>
      </c>
      <c r="X7" s="485">
        <v>3900000</v>
      </c>
      <c r="Y7" s="485">
        <v>8</v>
      </c>
      <c r="Z7" s="485">
        <v>9</v>
      </c>
      <c r="AA7" s="486">
        <f>C7/W7</f>
        <v>0</v>
      </c>
      <c r="AB7" s="486">
        <f>W7/X7</f>
        <v>0.57692307692307687</v>
      </c>
    </row>
    <row r="8" spans="1:28" s="157" customFormat="1" ht="94.5">
      <c r="A8" s="69" t="s">
        <v>61</v>
      </c>
      <c r="B8" s="481" t="s">
        <v>812</v>
      </c>
      <c r="C8" s="485">
        <v>0</v>
      </c>
      <c r="D8" s="485" t="s">
        <v>813</v>
      </c>
      <c r="E8" s="485">
        <v>0</v>
      </c>
      <c r="F8" s="485">
        <v>0</v>
      </c>
      <c r="G8" s="485">
        <v>700000</v>
      </c>
      <c r="H8" s="485">
        <v>2500000</v>
      </c>
      <c r="I8" s="485">
        <v>4000</v>
      </c>
      <c r="J8" s="485">
        <v>8573</v>
      </c>
      <c r="K8" s="485">
        <v>800000</v>
      </c>
      <c r="L8" s="485">
        <v>2500000</v>
      </c>
      <c r="M8" s="485">
        <v>4000</v>
      </c>
      <c r="N8" s="485">
        <v>8573</v>
      </c>
      <c r="O8" s="485">
        <v>1000000</v>
      </c>
      <c r="P8" s="485">
        <v>2700000</v>
      </c>
      <c r="Q8" s="485">
        <v>5000</v>
      </c>
      <c r="R8" s="485">
        <v>8573</v>
      </c>
      <c r="S8" s="485">
        <v>1500000</v>
      </c>
      <c r="T8" s="485">
        <v>2700000</v>
      </c>
      <c r="U8" s="485">
        <v>5000</v>
      </c>
      <c r="V8" s="485">
        <v>8573</v>
      </c>
      <c r="W8" s="485">
        <v>2000000</v>
      </c>
      <c r="X8" s="487">
        <v>2750000</v>
      </c>
      <c r="Y8" s="485">
        <v>5000</v>
      </c>
      <c r="Z8" s="485">
        <v>8573</v>
      </c>
      <c r="AA8" s="486">
        <f>C8/W8</f>
        <v>0</v>
      </c>
      <c r="AB8" s="486">
        <f>W8/X8</f>
        <v>0.72727272727272729</v>
      </c>
    </row>
    <row r="9" spans="1:28" ht="26.25">
      <c r="Z9" s="189" t="s">
        <v>123</v>
      </c>
      <c r="AA9" s="483">
        <f>AVERAGE(AA6:AA8)</f>
        <v>0</v>
      </c>
      <c r="AB9" s="483">
        <f>AVERAGE(AB6:AB8)</f>
        <v>0.62703962703962701</v>
      </c>
    </row>
    <row r="10" spans="1:28" ht="23.25">
      <c r="A10" s="588" t="s">
        <v>25</v>
      </c>
      <c r="B10" s="588"/>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row>
    <row r="11" spans="1:28" ht="45.75" customHeight="1">
      <c r="A11" s="589" t="s">
        <v>3</v>
      </c>
      <c r="B11" s="592" t="s">
        <v>26</v>
      </c>
      <c r="C11" s="595" t="s">
        <v>27</v>
      </c>
      <c r="D11" s="596"/>
      <c r="E11" s="596"/>
      <c r="F11" s="597"/>
      <c r="G11" s="601" t="s">
        <v>28</v>
      </c>
      <c r="H11" s="601"/>
      <c r="I11" s="601"/>
      <c r="J11" s="601"/>
      <c r="K11" s="601"/>
      <c r="L11" s="601"/>
      <c r="M11" s="601"/>
      <c r="N11" s="601"/>
      <c r="O11" s="601"/>
      <c r="P11" s="601"/>
      <c r="Q11" s="601"/>
      <c r="R11" s="601"/>
      <c r="S11" s="601"/>
      <c r="T11" s="601"/>
      <c r="U11" s="601"/>
      <c r="V11" s="601"/>
      <c r="W11" s="601"/>
      <c r="X11" s="601"/>
      <c r="Y11" s="601"/>
      <c r="Z11" s="601"/>
      <c r="AA11" s="601" t="s">
        <v>124</v>
      </c>
      <c r="AB11" s="601" t="s">
        <v>125</v>
      </c>
    </row>
    <row r="12" spans="1:28" ht="45" customHeight="1">
      <c r="A12" s="590"/>
      <c r="B12" s="593"/>
      <c r="C12" s="598"/>
      <c r="D12" s="599"/>
      <c r="E12" s="599"/>
      <c r="F12" s="600"/>
      <c r="G12" s="601" t="s">
        <v>9</v>
      </c>
      <c r="H12" s="601"/>
      <c r="I12" s="601"/>
      <c r="J12" s="601"/>
      <c r="K12" s="601" t="s">
        <v>10</v>
      </c>
      <c r="L12" s="601"/>
      <c r="M12" s="601"/>
      <c r="N12" s="601"/>
      <c r="O12" s="601" t="s">
        <v>11</v>
      </c>
      <c r="P12" s="601"/>
      <c r="Q12" s="601"/>
      <c r="R12" s="601"/>
      <c r="S12" s="601" t="s">
        <v>12</v>
      </c>
      <c r="T12" s="601"/>
      <c r="U12" s="601"/>
      <c r="V12" s="601"/>
      <c r="W12" s="601" t="s">
        <v>13</v>
      </c>
      <c r="X12" s="601"/>
      <c r="Y12" s="601"/>
      <c r="Z12" s="601"/>
      <c r="AA12" s="601" t="s">
        <v>124</v>
      </c>
      <c r="AB12" s="601" t="s">
        <v>125</v>
      </c>
    </row>
    <row r="13" spans="1:28" ht="78.75" customHeight="1">
      <c r="A13" s="591"/>
      <c r="B13" s="594"/>
      <c r="C13" s="68" t="s">
        <v>31</v>
      </c>
      <c r="D13" s="68" t="s">
        <v>32</v>
      </c>
      <c r="E13" s="68" t="s">
        <v>33</v>
      </c>
      <c r="F13" s="68" t="s">
        <v>17</v>
      </c>
      <c r="G13" s="68" t="s">
        <v>34</v>
      </c>
      <c r="H13" s="68" t="s">
        <v>32</v>
      </c>
      <c r="I13" s="68" t="s">
        <v>33</v>
      </c>
      <c r="J13" s="68" t="s">
        <v>19</v>
      </c>
      <c r="K13" s="68" t="s">
        <v>34</v>
      </c>
      <c r="L13" s="68" t="s">
        <v>32</v>
      </c>
      <c r="M13" s="68" t="s">
        <v>33</v>
      </c>
      <c r="N13" s="68" t="s">
        <v>19</v>
      </c>
      <c r="O13" s="68" t="s">
        <v>34</v>
      </c>
      <c r="P13" s="68" t="s">
        <v>32</v>
      </c>
      <c r="Q13" s="68" t="s">
        <v>33</v>
      </c>
      <c r="R13" s="68" t="s">
        <v>19</v>
      </c>
      <c r="S13" s="68" t="s">
        <v>34</v>
      </c>
      <c r="T13" s="68" t="s">
        <v>32</v>
      </c>
      <c r="U13" s="68" t="s">
        <v>33</v>
      </c>
      <c r="V13" s="68" t="s">
        <v>19</v>
      </c>
      <c r="W13" s="68" t="s">
        <v>34</v>
      </c>
      <c r="X13" s="68" t="s">
        <v>32</v>
      </c>
      <c r="Y13" s="68" t="s">
        <v>33</v>
      </c>
      <c r="Z13" s="68" t="s">
        <v>19</v>
      </c>
      <c r="AA13" s="601" t="s">
        <v>124</v>
      </c>
      <c r="AB13" s="601" t="s">
        <v>125</v>
      </c>
    </row>
    <row r="14" spans="1:28" s="157" customFormat="1" ht="63.75">
      <c r="A14" s="69" t="s">
        <v>20</v>
      </c>
      <c r="B14" s="69" t="s">
        <v>814</v>
      </c>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8"/>
      <c r="AB14" s="488"/>
    </row>
    <row r="15" spans="1:28" s="494" customFormat="1" ht="227.25" customHeight="1">
      <c r="A15" s="490" t="s">
        <v>36</v>
      </c>
      <c r="B15" s="490" t="s">
        <v>815</v>
      </c>
      <c r="C15" s="491">
        <v>0</v>
      </c>
      <c r="D15" s="492">
        <v>3500000</v>
      </c>
      <c r="E15" s="492">
        <v>0</v>
      </c>
      <c r="F15" s="492">
        <v>0</v>
      </c>
      <c r="G15" s="492">
        <v>700000</v>
      </c>
      <c r="H15" s="492">
        <v>3500000</v>
      </c>
      <c r="I15" s="492">
        <v>1000</v>
      </c>
      <c r="J15" s="492">
        <v>8573</v>
      </c>
      <c r="K15" s="492">
        <v>1300000</v>
      </c>
      <c r="L15" s="492">
        <v>3600000</v>
      </c>
      <c r="M15" s="492">
        <v>2000</v>
      </c>
      <c r="N15" s="492">
        <v>8573</v>
      </c>
      <c r="O15" s="492">
        <v>1750000</v>
      </c>
      <c r="P15" s="492">
        <v>3700000</v>
      </c>
      <c r="Q15" s="492">
        <v>3000</v>
      </c>
      <c r="R15" s="492">
        <v>8573</v>
      </c>
      <c r="S15" s="492">
        <v>2000000</v>
      </c>
      <c r="T15" s="492">
        <v>3800000</v>
      </c>
      <c r="U15" s="492">
        <v>4000</v>
      </c>
      <c r="V15" s="492">
        <v>8573</v>
      </c>
      <c r="W15" s="492">
        <v>2250000</v>
      </c>
      <c r="X15" s="492">
        <v>3900000</v>
      </c>
      <c r="Y15" s="492">
        <v>4250</v>
      </c>
      <c r="Z15" s="492">
        <v>8573</v>
      </c>
      <c r="AA15" s="489">
        <f>C15/W15</f>
        <v>0</v>
      </c>
      <c r="AB15" s="489">
        <f>W15/X15</f>
        <v>0.57692307692307687</v>
      </c>
    </row>
    <row r="16" spans="1:28" s="494" customFormat="1" ht="127.5">
      <c r="A16" s="490" t="s">
        <v>38</v>
      </c>
      <c r="B16" s="490" t="s">
        <v>816</v>
      </c>
      <c r="C16" s="492">
        <v>0</v>
      </c>
      <c r="D16" s="492" t="s">
        <v>813</v>
      </c>
      <c r="E16" s="492">
        <v>0</v>
      </c>
      <c r="F16" s="492">
        <v>0</v>
      </c>
      <c r="G16" s="492">
        <v>700000</v>
      </c>
      <c r="H16" s="492">
        <v>2500000</v>
      </c>
      <c r="I16" s="492">
        <v>4000</v>
      </c>
      <c r="J16" s="492">
        <v>8573</v>
      </c>
      <c r="K16" s="492">
        <v>800000</v>
      </c>
      <c r="L16" s="492">
        <v>2500000</v>
      </c>
      <c r="M16" s="492">
        <v>4000</v>
      </c>
      <c r="N16" s="492">
        <v>8573</v>
      </c>
      <c r="O16" s="492">
        <v>1000000</v>
      </c>
      <c r="P16" s="492">
        <v>2700000</v>
      </c>
      <c r="Q16" s="492">
        <v>5000</v>
      </c>
      <c r="R16" s="492">
        <v>8573</v>
      </c>
      <c r="S16" s="492">
        <v>1500000</v>
      </c>
      <c r="T16" s="492">
        <v>2700000</v>
      </c>
      <c r="U16" s="492">
        <v>5000</v>
      </c>
      <c r="V16" s="492">
        <v>8573</v>
      </c>
      <c r="W16" s="495">
        <v>2000000</v>
      </c>
      <c r="X16" s="492">
        <v>2750000</v>
      </c>
      <c r="Y16" s="492">
        <v>5000</v>
      </c>
      <c r="Z16" s="492">
        <v>8573</v>
      </c>
      <c r="AA16" s="489">
        <f>C16/W16</f>
        <v>0</v>
      </c>
      <c r="AB16" s="489">
        <f>W16/X16</f>
        <v>0.72727272727272729</v>
      </c>
    </row>
    <row r="17" spans="1:28" s="496" customFormat="1" ht="33.75" customHeight="1">
      <c r="Z17" s="497" t="s">
        <v>123</v>
      </c>
      <c r="AA17" s="493">
        <f>AVERAGE(AA15:AA16)</f>
        <v>0</v>
      </c>
      <c r="AB17" s="489">
        <f>AVERAGE(AB15:AB16)</f>
        <v>0.65209790209790208</v>
      </c>
    </row>
    <row r="18" spans="1:28">
      <c r="A18" s="77"/>
      <c r="B18" s="77" t="s">
        <v>40</v>
      </c>
    </row>
    <row r="20" spans="1:28" ht="31.5" customHeight="1">
      <c r="A20" s="10" t="s">
        <v>41</v>
      </c>
      <c r="B20" s="602" t="s">
        <v>42</v>
      </c>
      <c r="C20" s="602"/>
      <c r="D20" s="602"/>
      <c r="E20" s="602"/>
      <c r="F20" s="602"/>
      <c r="G20" s="602"/>
      <c r="H20" s="602"/>
      <c r="I20" s="602"/>
      <c r="J20" s="602"/>
      <c r="K20" s="602"/>
      <c r="L20" s="602"/>
      <c r="M20" s="602"/>
      <c r="N20" s="602"/>
      <c r="O20" s="602"/>
      <c r="P20" s="602"/>
      <c r="Q20" s="602"/>
      <c r="R20" s="602"/>
    </row>
    <row r="21" spans="1:28" ht="25.5" customHeight="1">
      <c r="A21" s="10" t="s">
        <v>43</v>
      </c>
      <c r="B21" s="602" t="s">
        <v>44</v>
      </c>
      <c r="C21" s="602"/>
      <c r="D21" s="602"/>
      <c r="E21" s="602"/>
      <c r="F21" s="602"/>
      <c r="G21" s="602"/>
      <c r="H21" s="602"/>
      <c r="I21" s="602"/>
      <c r="J21" s="602"/>
      <c r="K21" s="602"/>
      <c r="L21" s="602"/>
      <c r="M21" s="602"/>
      <c r="N21" s="602"/>
      <c r="O21" s="602"/>
      <c r="P21" s="602"/>
      <c r="Q21" s="602"/>
      <c r="R21" s="602"/>
    </row>
    <row r="22" spans="1:28" ht="19.5" customHeight="1">
      <c r="B22" s="602" t="s">
        <v>45</v>
      </c>
      <c r="C22" s="602"/>
      <c r="D22" s="602"/>
      <c r="E22" s="602"/>
      <c r="F22" s="602"/>
      <c r="G22" s="602"/>
      <c r="H22" s="602"/>
      <c r="I22" s="602"/>
      <c r="J22" s="602"/>
      <c r="K22" s="602"/>
      <c r="L22" s="602"/>
      <c r="M22" s="602"/>
      <c r="N22" s="602"/>
      <c r="O22" s="602"/>
      <c r="P22" s="602"/>
      <c r="Q22" s="602"/>
      <c r="R22" s="602"/>
    </row>
    <row r="23" spans="1:28" ht="20.25" customHeight="1">
      <c r="B23" s="602" t="s">
        <v>46</v>
      </c>
      <c r="C23" s="602"/>
      <c r="D23" s="602"/>
      <c r="E23" s="602"/>
      <c r="F23" s="602"/>
      <c r="G23" s="602"/>
      <c r="H23" s="602"/>
      <c r="I23" s="602"/>
      <c r="J23" s="602"/>
      <c r="K23" s="602"/>
      <c r="L23" s="602"/>
      <c r="M23" s="602"/>
      <c r="N23" s="602"/>
      <c r="O23" s="602"/>
      <c r="P23" s="602"/>
      <c r="Q23" s="602"/>
      <c r="R23" s="602"/>
    </row>
    <row r="24" spans="1:28" ht="31.5" customHeight="1">
      <c r="B24" s="602" t="s">
        <v>47</v>
      </c>
      <c r="C24" s="602"/>
      <c r="D24" s="602"/>
      <c r="E24" s="602"/>
      <c r="F24" s="602"/>
      <c r="G24" s="602"/>
      <c r="H24" s="602"/>
      <c r="I24" s="602"/>
      <c r="J24" s="602"/>
      <c r="K24" s="602"/>
      <c r="L24" s="602"/>
      <c r="M24" s="602"/>
      <c r="N24" s="602"/>
      <c r="O24" s="602"/>
      <c r="P24" s="602"/>
      <c r="Q24" s="602"/>
      <c r="R24" s="602"/>
    </row>
    <row r="25" spans="1:28" ht="31.5" customHeight="1">
      <c r="B25" s="602" t="s">
        <v>48</v>
      </c>
      <c r="C25" s="602"/>
      <c r="D25" s="602"/>
      <c r="E25" s="602"/>
      <c r="F25" s="602"/>
      <c r="G25" s="602"/>
      <c r="H25" s="602"/>
      <c r="I25" s="602"/>
      <c r="J25" s="602"/>
      <c r="K25" s="602"/>
      <c r="L25" s="602"/>
      <c r="M25" s="602"/>
      <c r="N25" s="602"/>
      <c r="O25" s="602"/>
      <c r="P25" s="602"/>
      <c r="Q25" s="602"/>
      <c r="R25" s="602"/>
    </row>
    <row r="26" spans="1:28" ht="73.5" customHeight="1">
      <c r="B26" s="602" t="s">
        <v>49</v>
      </c>
      <c r="C26" s="602"/>
      <c r="D26" s="602"/>
      <c r="E26" s="602"/>
      <c r="F26" s="602"/>
      <c r="G26" s="602"/>
      <c r="H26" s="602"/>
      <c r="I26" s="602"/>
      <c r="J26" s="602"/>
      <c r="K26" s="602"/>
      <c r="L26" s="602"/>
      <c r="M26" s="602"/>
      <c r="N26" s="602"/>
      <c r="O26" s="602"/>
      <c r="P26" s="602"/>
      <c r="Q26" s="602"/>
      <c r="R26" s="602"/>
    </row>
    <row r="27" spans="1:28" ht="39" customHeight="1">
      <c r="B27" s="602" t="s">
        <v>50</v>
      </c>
      <c r="C27" s="602"/>
      <c r="D27" s="602"/>
      <c r="E27" s="602"/>
      <c r="F27" s="602"/>
      <c r="G27" s="602"/>
      <c r="H27" s="602"/>
      <c r="I27" s="602"/>
      <c r="J27" s="602"/>
      <c r="K27" s="602"/>
      <c r="L27" s="602"/>
      <c r="M27" s="602"/>
      <c r="N27" s="602"/>
      <c r="O27" s="602"/>
      <c r="P27" s="602"/>
      <c r="Q27" s="602"/>
      <c r="R27" s="602"/>
    </row>
    <row r="28" spans="1:28">
      <c r="B28" s="78"/>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0:Z10"/>
    <mergeCell ref="A11:A13"/>
    <mergeCell ref="B11:B13"/>
    <mergeCell ref="C11:F12"/>
    <mergeCell ref="G11:Z11"/>
    <mergeCell ref="AB11:AB13"/>
    <mergeCell ref="G12:J12"/>
    <mergeCell ref="K12:N12"/>
    <mergeCell ref="O12:R12"/>
    <mergeCell ref="S12:V12"/>
    <mergeCell ref="W12:Z12"/>
    <mergeCell ref="AA11:AA13"/>
    <mergeCell ref="B26:R26"/>
    <mergeCell ref="B27:R27"/>
    <mergeCell ref="B20:R20"/>
    <mergeCell ref="B21:R21"/>
    <mergeCell ref="B22:R22"/>
    <mergeCell ref="B23:R23"/>
    <mergeCell ref="B24:R24"/>
    <mergeCell ref="B25:R25"/>
  </mergeCells>
  <pageMargins left="0.7" right="0.7" top="0.75" bottom="0.75" header="0.3" footer="0.3"/>
  <pageSetup paperSize="9" orientation="portrait" r:id="rId1"/>
  <legacyDrawing r:id="rId2"/>
</worksheet>
</file>

<file path=xl/worksheets/sheet46.xml><?xml version="1.0" encoding="utf-8"?>
<worksheet xmlns="http://schemas.openxmlformats.org/spreadsheetml/2006/main" xmlns:r="http://schemas.openxmlformats.org/officeDocument/2006/relationships">
  <dimension ref="A1:AC48"/>
  <sheetViews>
    <sheetView tabSelected="1" topLeftCell="A34" workbookViewId="0">
      <selection activeCell="B46" sqref="B46"/>
    </sheetView>
  </sheetViews>
  <sheetFormatPr defaultRowHeight="15"/>
  <cols>
    <col min="1" max="1" width="5" style="499" customWidth="1"/>
    <col min="2" max="2" width="15.85546875" style="499" customWidth="1"/>
    <col min="3" max="5" width="7.7109375" style="499" customWidth="1"/>
    <col min="6" max="6" width="8.5703125" style="499" bestFit="1" customWidth="1"/>
    <col min="7" max="25" width="7" style="499" customWidth="1"/>
    <col min="26" max="26" width="7.85546875" style="499" customWidth="1"/>
    <col min="27" max="256" width="9.140625" style="499"/>
    <col min="257" max="257" width="5" style="499" customWidth="1"/>
    <col min="258" max="258" width="15.85546875" style="499" customWidth="1"/>
    <col min="259" max="261" width="7.7109375" style="499" customWidth="1"/>
    <col min="262" max="262" width="8.5703125" style="499" bestFit="1" customWidth="1"/>
    <col min="263" max="282" width="7" style="499" customWidth="1"/>
    <col min="283" max="512" width="9.140625" style="499"/>
    <col min="513" max="513" width="5" style="499" customWidth="1"/>
    <col min="514" max="514" width="15.85546875" style="499" customWidth="1"/>
    <col min="515" max="517" width="7.7109375" style="499" customWidth="1"/>
    <col min="518" max="518" width="8.5703125" style="499" bestFit="1" customWidth="1"/>
    <col min="519" max="538" width="7" style="499" customWidth="1"/>
    <col min="539" max="768" width="9.140625" style="499"/>
    <col min="769" max="769" width="5" style="499" customWidth="1"/>
    <col min="770" max="770" width="15.85546875" style="499" customWidth="1"/>
    <col min="771" max="773" width="7.7109375" style="499" customWidth="1"/>
    <col min="774" max="774" width="8.5703125" style="499" bestFit="1" customWidth="1"/>
    <col min="775" max="794" width="7" style="499" customWidth="1"/>
    <col min="795" max="1024" width="9.140625" style="499"/>
    <col min="1025" max="1025" width="5" style="499" customWidth="1"/>
    <col min="1026" max="1026" width="15.85546875" style="499" customWidth="1"/>
    <col min="1027" max="1029" width="7.7109375" style="499" customWidth="1"/>
    <col min="1030" max="1030" width="8.5703125" style="499" bestFit="1" customWidth="1"/>
    <col min="1031" max="1050" width="7" style="499" customWidth="1"/>
    <col min="1051" max="1280" width="9.140625" style="499"/>
    <col min="1281" max="1281" width="5" style="499" customWidth="1"/>
    <col min="1282" max="1282" width="15.85546875" style="499" customWidth="1"/>
    <col min="1283" max="1285" width="7.7109375" style="499" customWidth="1"/>
    <col min="1286" max="1286" width="8.5703125" style="499" bestFit="1" customWidth="1"/>
    <col min="1287" max="1306" width="7" style="499" customWidth="1"/>
    <col min="1307" max="1536" width="9.140625" style="499"/>
    <col min="1537" max="1537" width="5" style="499" customWidth="1"/>
    <col min="1538" max="1538" width="15.85546875" style="499" customWidth="1"/>
    <col min="1539" max="1541" width="7.7109375" style="499" customWidth="1"/>
    <col min="1542" max="1542" width="8.5703125" style="499" bestFit="1" customWidth="1"/>
    <col min="1543" max="1562" width="7" style="499" customWidth="1"/>
    <col min="1563" max="1792" width="9.140625" style="499"/>
    <col min="1793" max="1793" width="5" style="499" customWidth="1"/>
    <col min="1794" max="1794" width="15.85546875" style="499" customWidth="1"/>
    <col min="1795" max="1797" width="7.7109375" style="499" customWidth="1"/>
    <col min="1798" max="1798" width="8.5703125" style="499" bestFit="1" customWidth="1"/>
    <col min="1799" max="1818" width="7" style="499" customWidth="1"/>
    <col min="1819" max="2048" width="9.140625" style="499"/>
    <col min="2049" max="2049" width="5" style="499" customWidth="1"/>
    <col min="2050" max="2050" width="15.85546875" style="499" customWidth="1"/>
    <col min="2051" max="2053" width="7.7109375" style="499" customWidth="1"/>
    <col min="2054" max="2054" width="8.5703125" style="499" bestFit="1" customWidth="1"/>
    <col min="2055" max="2074" width="7" style="499" customWidth="1"/>
    <col min="2075" max="2304" width="9.140625" style="499"/>
    <col min="2305" max="2305" width="5" style="499" customWidth="1"/>
    <col min="2306" max="2306" width="15.85546875" style="499" customWidth="1"/>
    <col min="2307" max="2309" width="7.7109375" style="499" customWidth="1"/>
    <col min="2310" max="2310" width="8.5703125" style="499" bestFit="1" customWidth="1"/>
    <col min="2311" max="2330" width="7" style="499" customWidth="1"/>
    <col min="2331" max="2560" width="9.140625" style="499"/>
    <col min="2561" max="2561" width="5" style="499" customWidth="1"/>
    <col min="2562" max="2562" width="15.85546875" style="499" customWidth="1"/>
    <col min="2563" max="2565" width="7.7109375" style="499" customWidth="1"/>
    <col min="2566" max="2566" width="8.5703125" style="499" bestFit="1" customWidth="1"/>
    <col min="2567" max="2586" width="7" style="499" customWidth="1"/>
    <col min="2587" max="2816" width="9.140625" style="499"/>
    <col min="2817" max="2817" width="5" style="499" customWidth="1"/>
    <col min="2818" max="2818" width="15.85546875" style="499" customWidth="1"/>
    <col min="2819" max="2821" width="7.7109375" style="499" customWidth="1"/>
    <col min="2822" max="2822" width="8.5703125" style="499" bestFit="1" customWidth="1"/>
    <col min="2823" max="2842" width="7" style="499" customWidth="1"/>
    <col min="2843" max="3072" width="9.140625" style="499"/>
    <col min="3073" max="3073" width="5" style="499" customWidth="1"/>
    <col min="3074" max="3074" width="15.85546875" style="499" customWidth="1"/>
    <col min="3075" max="3077" width="7.7109375" style="499" customWidth="1"/>
    <col min="3078" max="3078" width="8.5703125" style="499" bestFit="1" customWidth="1"/>
    <col min="3079" max="3098" width="7" style="499" customWidth="1"/>
    <col min="3099" max="3328" width="9.140625" style="499"/>
    <col min="3329" max="3329" width="5" style="499" customWidth="1"/>
    <col min="3330" max="3330" width="15.85546875" style="499" customWidth="1"/>
    <col min="3331" max="3333" width="7.7109375" style="499" customWidth="1"/>
    <col min="3334" max="3334" width="8.5703125" style="499" bestFit="1" customWidth="1"/>
    <col min="3335" max="3354" width="7" style="499" customWidth="1"/>
    <col min="3355" max="3584" width="9.140625" style="499"/>
    <col min="3585" max="3585" width="5" style="499" customWidth="1"/>
    <col min="3586" max="3586" width="15.85546875" style="499" customWidth="1"/>
    <col min="3587" max="3589" width="7.7109375" style="499" customWidth="1"/>
    <col min="3590" max="3590" width="8.5703125" style="499" bestFit="1" customWidth="1"/>
    <col min="3591" max="3610" width="7" style="499" customWidth="1"/>
    <col min="3611" max="3840" width="9.140625" style="499"/>
    <col min="3841" max="3841" width="5" style="499" customWidth="1"/>
    <col min="3842" max="3842" width="15.85546875" style="499" customWidth="1"/>
    <col min="3843" max="3845" width="7.7109375" style="499" customWidth="1"/>
    <col min="3846" max="3846" width="8.5703125" style="499" bestFit="1" customWidth="1"/>
    <col min="3847" max="3866" width="7" style="499" customWidth="1"/>
    <col min="3867" max="4096" width="9.140625" style="499"/>
    <col min="4097" max="4097" width="5" style="499" customWidth="1"/>
    <col min="4098" max="4098" width="15.85546875" style="499" customWidth="1"/>
    <col min="4099" max="4101" width="7.7109375" style="499" customWidth="1"/>
    <col min="4102" max="4102" width="8.5703125" style="499" bestFit="1" customWidth="1"/>
    <col min="4103" max="4122" width="7" style="499" customWidth="1"/>
    <col min="4123" max="4352" width="9.140625" style="499"/>
    <col min="4353" max="4353" width="5" style="499" customWidth="1"/>
    <col min="4354" max="4354" width="15.85546875" style="499" customWidth="1"/>
    <col min="4355" max="4357" width="7.7109375" style="499" customWidth="1"/>
    <col min="4358" max="4358" width="8.5703125" style="499" bestFit="1" customWidth="1"/>
    <col min="4359" max="4378" width="7" style="499" customWidth="1"/>
    <col min="4379" max="4608" width="9.140625" style="499"/>
    <col min="4609" max="4609" width="5" style="499" customWidth="1"/>
    <col min="4610" max="4610" width="15.85546875" style="499" customWidth="1"/>
    <col min="4611" max="4613" width="7.7109375" style="499" customWidth="1"/>
    <col min="4614" max="4614" width="8.5703125" style="499" bestFit="1" customWidth="1"/>
    <col min="4615" max="4634" width="7" style="499" customWidth="1"/>
    <col min="4635" max="4864" width="9.140625" style="499"/>
    <col min="4865" max="4865" width="5" style="499" customWidth="1"/>
    <col min="4866" max="4866" width="15.85546875" style="499" customWidth="1"/>
    <col min="4867" max="4869" width="7.7109375" style="499" customWidth="1"/>
    <col min="4870" max="4870" width="8.5703125" style="499" bestFit="1" customWidth="1"/>
    <col min="4871" max="4890" width="7" style="499" customWidth="1"/>
    <col min="4891" max="5120" width="9.140625" style="499"/>
    <col min="5121" max="5121" width="5" style="499" customWidth="1"/>
    <col min="5122" max="5122" width="15.85546875" style="499" customWidth="1"/>
    <col min="5123" max="5125" width="7.7109375" style="499" customWidth="1"/>
    <col min="5126" max="5126" width="8.5703125" style="499" bestFit="1" customWidth="1"/>
    <col min="5127" max="5146" width="7" style="499" customWidth="1"/>
    <col min="5147" max="5376" width="9.140625" style="499"/>
    <col min="5377" max="5377" width="5" style="499" customWidth="1"/>
    <col min="5378" max="5378" width="15.85546875" style="499" customWidth="1"/>
    <col min="5379" max="5381" width="7.7109375" style="499" customWidth="1"/>
    <col min="5382" max="5382" width="8.5703125" style="499" bestFit="1" customWidth="1"/>
    <col min="5383" max="5402" width="7" style="499" customWidth="1"/>
    <col min="5403" max="5632" width="9.140625" style="499"/>
    <col min="5633" max="5633" width="5" style="499" customWidth="1"/>
    <col min="5634" max="5634" width="15.85546875" style="499" customWidth="1"/>
    <col min="5635" max="5637" width="7.7109375" style="499" customWidth="1"/>
    <col min="5638" max="5638" width="8.5703125" style="499" bestFit="1" customWidth="1"/>
    <col min="5639" max="5658" width="7" style="499" customWidth="1"/>
    <col min="5659" max="5888" width="9.140625" style="499"/>
    <col min="5889" max="5889" width="5" style="499" customWidth="1"/>
    <col min="5890" max="5890" width="15.85546875" style="499" customWidth="1"/>
    <col min="5891" max="5893" width="7.7109375" style="499" customWidth="1"/>
    <col min="5894" max="5894" width="8.5703125" style="499" bestFit="1" customWidth="1"/>
    <col min="5895" max="5914" width="7" style="499" customWidth="1"/>
    <col min="5915" max="6144" width="9.140625" style="499"/>
    <col min="6145" max="6145" width="5" style="499" customWidth="1"/>
    <col min="6146" max="6146" width="15.85546875" style="499" customWidth="1"/>
    <col min="6147" max="6149" width="7.7109375" style="499" customWidth="1"/>
    <col min="6150" max="6150" width="8.5703125" style="499" bestFit="1" customWidth="1"/>
    <col min="6151" max="6170" width="7" style="499" customWidth="1"/>
    <col min="6171" max="6400" width="9.140625" style="499"/>
    <col min="6401" max="6401" width="5" style="499" customWidth="1"/>
    <col min="6402" max="6402" width="15.85546875" style="499" customWidth="1"/>
    <col min="6403" max="6405" width="7.7109375" style="499" customWidth="1"/>
    <col min="6406" max="6406" width="8.5703125" style="499" bestFit="1" customWidth="1"/>
    <col min="6407" max="6426" width="7" style="499" customWidth="1"/>
    <col min="6427" max="6656" width="9.140625" style="499"/>
    <col min="6657" max="6657" width="5" style="499" customWidth="1"/>
    <col min="6658" max="6658" width="15.85546875" style="499" customWidth="1"/>
    <col min="6659" max="6661" width="7.7109375" style="499" customWidth="1"/>
    <col min="6662" max="6662" width="8.5703125" style="499" bestFit="1" customWidth="1"/>
    <col min="6663" max="6682" width="7" style="499" customWidth="1"/>
    <col min="6683" max="6912" width="9.140625" style="499"/>
    <col min="6913" max="6913" width="5" style="499" customWidth="1"/>
    <col min="6914" max="6914" width="15.85546875" style="499" customWidth="1"/>
    <col min="6915" max="6917" width="7.7109375" style="499" customWidth="1"/>
    <col min="6918" max="6918" width="8.5703125" style="499" bestFit="1" customWidth="1"/>
    <col min="6919" max="6938" width="7" style="499" customWidth="1"/>
    <col min="6939" max="7168" width="9.140625" style="499"/>
    <col min="7169" max="7169" width="5" style="499" customWidth="1"/>
    <col min="7170" max="7170" width="15.85546875" style="499" customWidth="1"/>
    <col min="7171" max="7173" width="7.7109375" style="499" customWidth="1"/>
    <col min="7174" max="7174" width="8.5703125" style="499" bestFit="1" customWidth="1"/>
    <col min="7175" max="7194" width="7" style="499" customWidth="1"/>
    <col min="7195" max="7424" width="9.140625" style="499"/>
    <col min="7425" max="7425" width="5" style="499" customWidth="1"/>
    <col min="7426" max="7426" width="15.85546875" style="499" customWidth="1"/>
    <col min="7427" max="7429" width="7.7109375" style="499" customWidth="1"/>
    <col min="7430" max="7430" width="8.5703125" style="499" bestFit="1" customWidth="1"/>
    <col min="7431" max="7450" width="7" style="499" customWidth="1"/>
    <col min="7451" max="7680" width="9.140625" style="499"/>
    <col min="7681" max="7681" width="5" style="499" customWidth="1"/>
    <col min="7682" max="7682" width="15.85546875" style="499" customWidth="1"/>
    <col min="7683" max="7685" width="7.7109375" style="499" customWidth="1"/>
    <col min="7686" max="7686" width="8.5703125" style="499" bestFit="1" customWidth="1"/>
    <col min="7687" max="7706" width="7" style="499" customWidth="1"/>
    <col min="7707" max="7936" width="9.140625" style="499"/>
    <col min="7937" max="7937" width="5" style="499" customWidth="1"/>
    <col min="7938" max="7938" width="15.85546875" style="499" customWidth="1"/>
    <col min="7939" max="7941" width="7.7109375" style="499" customWidth="1"/>
    <col min="7942" max="7942" width="8.5703125" style="499" bestFit="1" customWidth="1"/>
    <col min="7943" max="7962" width="7" style="499" customWidth="1"/>
    <col min="7963" max="8192" width="9.140625" style="499"/>
    <col min="8193" max="8193" width="5" style="499" customWidth="1"/>
    <col min="8194" max="8194" width="15.85546875" style="499" customWidth="1"/>
    <col min="8195" max="8197" width="7.7109375" style="499" customWidth="1"/>
    <col min="8198" max="8198" width="8.5703125" style="499" bestFit="1" customWidth="1"/>
    <col min="8199" max="8218" width="7" style="499" customWidth="1"/>
    <col min="8219" max="8448" width="9.140625" style="499"/>
    <col min="8449" max="8449" width="5" style="499" customWidth="1"/>
    <col min="8450" max="8450" width="15.85546875" style="499" customWidth="1"/>
    <col min="8451" max="8453" width="7.7109375" style="499" customWidth="1"/>
    <col min="8454" max="8454" width="8.5703125" style="499" bestFit="1" customWidth="1"/>
    <col min="8455" max="8474" width="7" style="499" customWidth="1"/>
    <col min="8475" max="8704" width="9.140625" style="499"/>
    <col min="8705" max="8705" width="5" style="499" customWidth="1"/>
    <col min="8706" max="8706" width="15.85546875" style="499" customWidth="1"/>
    <col min="8707" max="8709" width="7.7109375" style="499" customWidth="1"/>
    <col min="8710" max="8710" width="8.5703125" style="499" bestFit="1" customWidth="1"/>
    <col min="8711" max="8730" width="7" style="499" customWidth="1"/>
    <col min="8731" max="8960" width="9.140625" style="499"/>
    <col min="8961" max="8961" width="5" style="499" customWidth="1"/>
    <col min="8962" max="8962" width="15.85546875" style="499" customWidth="1"/>
    <col min="8963" max="8965" width="7.7109375" style="499" customWidth="1"/>
    <col min="8966" max="8966" width="8.5703125" style="499" bestFit="1" customWidth="1"/>
    <col min="8967" max="8986" width="7" style="499" customWidth="1"/>
    <col min="8987" max="9216" width="9.140625" style="499"/>
    <col min="9217" max="9217" width="5" style="499" customWidth="1"/>
    <col min="9218" max="9218" width="15.85546875" style="499" customWidth="1"/>
    <col min="9219" max="9221" width="7.7109375" style="499" customWidth="1"/>
    <col min="9222" max="9222" width="8.5703125" style="499" bestFit="1" customWidth="1"/>
    <col min="9223" max="9242" width="7" style="499" customWidth="1"/>
    <col min="9243" max="9472" width="9.140625" style="499"/>
    <col min="9473" max="9473" width="5" style="499" customWidth="1"/>
    <col min="9474" max="9474" width="15.85546875" style="499" customWidth="1"/>
    <col min="9475" max="9477" width="7.7109375" style="499" customWidth="1"/>
    <col min="9478" max="9478" width="8.5703125" style="499" bestFit="1" customWidth="1"/>
    <col min="9479" max="9498" width="7" style="499" customWidth="1"/>
    <col min="9499" max="9728" width="9.140625" style="499"/>
    <col min="9729" max="9729" width="5" style="499" customWidth="1"/>
    <col min="9730" max="9730" width="15.85546875" style="499" customWidth="1"/>
    <col min="9731" max="9733" width="7.7109375" style="499" customWidth="1"/>
    <col min="9734" max="9734" width="8.5703125" style="499" bestFit="1" customWidth="1"/>
    <col min="9735" max="9754" width="7" style="499" customWidth="1"/>
    <col min="9755" max="9984" width="9.140625" style="499"/>
    <col min="9985" max="9985" width="5" style="499" customWidth="1"/>
    <col min="9986" max="9986" width="15.85546875" style="499" customWidth="1"/>
    <col min="9987" max="9989" width="7.7109375" style="499" customWidth="1"/>
    <col min="9990" max="9990" width="8.5703125" style="499" bestFit="1" customWidth="1"/>
    <col min="9991" max="10010" width="7" style="499" customWidth="1"/>
    <col min="10011" max="10240" width="9.140625" style="499"/>
    <col min="10241" max="10241" width="5" style="499" customWidth="1"/>
    <col min="10242" max="10242" width="15.85546875" style="499" customWidth="1"/>
    <col min="10243" max="10245" width="7.7109375" style="499" customWidth="1"/>
    <col min="10246" max="10246" width="8.5703125" style="499" bestFit="1" customWidth="1"/>
    <col min="10247" max="10266" width="7" style="499" customWidth="1"/>
    <col min="10267" max="10496" width="9.140625" style="499"/>
    <col min="10497" max="10497" width="5" style="499" customWidth="1"/>
    <col min="10498" max="10498" width="15.85546875" style="499" customWidth="1"/>
    <col min="10499" max="10501" width="7.7109375" style="499" customWidth="1"/>
    <col min="10502" max="10502" width="8.5703125" style="499" bestFit="1" customWidth="1"/>
    <col min="10503" max="10522" width="7" style="499" customWidth="1"/>
    <col min="10523" max="10752" width="9.140625" style="499"/>
    <col min="10753" max="10753" width="5" style="499" customWidth="1"/>
    <col min="10754" max="10754" width="15.85546875" style="499" customWidth="1"/>
    <col min="10755" max="10757" width="7.7109375" style="499" customWidth="1"/>
    <col min="10758" max="10758" width="8.5703125" style="499" bestFit="1" customWidth="1"/>
    <col min="10759" max="10778" width="7" style="499" customWidth="1"/>
    <col min="10779" max="11008" width="9.140625" style="499"/>
    <col min="11009" max="11009" width="5" style="499" customWidth="1"/>
    <col min="11010" max="11010" width="15.85546875" style="499" customWidth="1"/>
    <col min="11011" max="11013" width="7.7109375" style="499" customWidth="1"/>
    <col min="11014" max="11014" width="8.5703125" style="499" bestFit="1" customWidth="1"/>
    <col min="11015" max="11034" width="7" style="499" customWidth="1"/>
    <col min="11035" max="11264" width="9.140625" style="499"/>
    <col min="11265" max="11265" width="5" style="499" customWidth="1"/>
    <col min="11266" max="11266" width="15.85546875" style="499" customWidth="1"/>
    <col min="11267" max="11269" width="7.7109375" style="499" customWidth="1"/>
    <col min="11270" max="11270" width="8.5703125" style="499" bestFit="1" customWidth="1"/>
    <col min="11271" max="11290" width="7" style="499" customWidth="1"/>
    <col min="11291" max="11520" width="9.140625" style="499"/>
    <col min="11521" max="11521" width="5" style="499" customWidth="1"/>
    <col min="11522" max="11522" width="15.85546875" style="499" customWidth="1"/>
    <col min="11523" max="11525" width="7.7109375" style="499" customWidth="1"/>
    <col min="11526" max="11526" width="8.5703125" style="499" bestFit="1" customWidth="1"/>
    <col min="11527" max="11546" width="7" style="499" customWidth="1"/>
    <col min="11547" max="11776" width="9.140625" style="499"/>
    <col min="11777" max="11777" width="5" style="499" customWidth="1"/>
    <col min="11778" max="11778" width="15.85546875" style="499" customWidth="1"/>
    <col min="11779" max="11781" width="7.7109375" style="499" customWidth="1"/>
    <col min="11782" max="11782" width="8.5703125" style="499" bestFit="1" customWidth="1"/>
    <col min="11783" max="11802" width="7" style="499" customWidth="1"/>
    <col min="11803" max="12032" width="9.140625" style="499"/>
    <col min="12033" max="12033" width="5" style="499" customWidth="1"/>
    <col min="12034" max="12034" width="15.85546875" style="499" customWidth="1"/>
    <col min="12035" max="12037" width="7.7109375" style="499" customWidth="1"/>
    <col min="12038" max="12038" width="8.5703125" style="499" bestFit="1" customWidth="1"/>
    <col min="12039" max="12058" width="7" style="499" customWidth="1"/>
    <col min="12059" max="12288" width="9.140625" style="499"/>
    <col min="12289" max="12289" width="5" style="499" customWidth="1"/>
    <col min="12290" max="12290" width="15.85546875" style="499" customWidth="1"/>
    <col min="12291" max="12293" width="7.7109375" style="499" customWidth="1"/>
    <col min="12294" max="12294" width="8.5703125" style="499" bestFit="1" customWidth="1"/>
    <col min="12295" max="12314" width="7" style="499" customWidth="1"/>
    <col min="12315" max="12544" width="9.140625" style="499"/>
    <col min="12545" max="12545" width="5" style="499" customWidth="1"/>
    <col min="12546" max="12546" width="15.85546875" style="499" customWidth="1"/>
    <col min="12547" max="12549" width="7.7109375" style="499" customWidth="1"/>
    <col min="12550" max="12550" width="8.5703125" style="499" bestFit="1" customWidth="1"/>
    <col min="12551" max="12570" width="7" style="499" customWidth="1"/>
    <col min="12571" max="12800" width="9.140625" style="499"/>
    <col min="12801" max="12801" width="5" style="499" customWidth="1"/>
    <col min="12802" max="12802" width="15.85546875" style="499" customWidth="1"/>
    <col min="12803" max="12805" width="7.7109375" style="499" customWidth="1"/>
    <col min="12806" max="12806" width="8.5703125" style="499" bestFit="1" customWidth="1"/>
    <col min="12807" max="12826" width="7" style="499" customWidth="1"/>
    <col min="12827" max="13056" width="9.140625" style="499"/>
    <col min="13057" max="13057" width="5" style="499" customWidth="1"/>
    <col min="13058" max="13058" width="15.85546875" style="499" customWidth="1"/>
    <col min="13059" max="13061" width="7.7109375" style="499" customWidth="1"/>
    <col min="13062" max="13062" width="8.5703125" style="499" bestFit="1" customWidth="1"/>
    <col min="13063" max="13082" width="7" style="499" customWidth="1"/>
    <col min="13083" max="13312" width="9.140625" style="499"/>
    <col min="13313" max="13313" width="5" style="499" customWidth="1"/>
    <col min="13314" max="13314" width="15.85546875" style="499" customWidth="1"/>
    <col min="13315" max="13317" width="7.7109375" style="499" customWidth="1"/>
    <col min="13318" max="13318" width="8.5703125" style="499" bestFit="1" customWidth="1"/>
    <col min="13319" max="13338" width="7" style="499" customWidth="1"/>
    <col min="13339" max="13568" width="9.140625" style="499"/>
    <col min="13569" max="13569" width="5" style="499" customWidth="1"/>
    <col min="13570" max="13570" width="15.85546875" style="499" customWidth="1"/>
    <col min="13571" max="13573" width="7.7109375" style="499" customWidth="1"/>
    <col min="13574" max="13574" width="8.5703125" style="499" bestFit="1" customWidth="1"/>
    <col min="13575" max="13594" width="7" style="499" customWidth="1"/>
    <col min="13595" max="13824" width="9.140625" style="499"/>
    <col min="13825" max="13825" width="5" style="499" customWidth="1"/>
    <col min="13826" max="13826" width="15.85546875" style="499" customWidth="1"/>
    <col min="13827" max="13829" width="7.7109375" style="499" customWidth="1"/>
    <col min="13830" max="13830" width="8.5703125" style="499" bestFit="1" customWidth="1"/>
    <col min="13831" max="13850" width="7" style="499" customWidth="1"/>
    <col min="13851" max="14080" width="9.140625" style="499"/>
    <col min="14081" max="14081" width="5" style="499" customWidth="1"/>
    <col min="14082" max="14082" width="15.85546875" style="499" customWidth="1"/>
    <col min="14083" max="14085" width="7.7109375" style="499" customWidth="1"/>
    <col min="14086" max="14086" width="8.5703125" style="499" bestFit="1" customWidth="1"/>
    <col min="14087" max="14106" width="7" style="499" customWidth="1"/>
    <col min="14107" max="14336" width="9.140625" style="499"/>
    <col min="14337" max="14337" width="5" style="499" customWidth="1"/>
    <col min="14338" max="14338" width="15.85546875" style="499" customWidth="1"/>
    <col min="14339" max="14341" width="7.7109375" style="499" customWidth="1"/>
    <col min="14342" max="14342" width="8.5703125" style="499" bestFit="1" customWidth="1"/>
    <col min="14343" max="14362" width="7" style="499" customWidth="1"/>
    <col min="14363" max="14592" width="9.140625" style="499"/>
    <col min="14593" max="14593" width="5" style="499" customWidth="1"/>
    <col min="14594" max="14594" width="15.85546875" style="499" customWidth="1"/>
    <col min="14595" max="14597" width="7.7109375" style="499" customWidth="1"/>
    <col min="14598" max="14598" width="8.5703125" style="499" bestFit="1" customWidth="1"/>
    <col min="14599" max="14618" width="7" style="499" customWidth="1"/>
    <col min="14619" max="14848" width="9.140625" style="499"/>
    <col min="14849" max="14849" width="5" style="499" customWidth="1"/>
    <col min="14850" max="14850" width="15.85546875" style="499" customWidth="1"/>
    <col min="14851" max="14853" width="7.7109375" style="499" customWidth="1"/>
    <col min="14854" max="14854" width="8.5703125" style="499" bestFit="1" customWidth="1"/>
    <col min="14855" max="14874" width="7" style="499" customWidth="1"/>
    <col min="14875" max="15104" width="9.140625" style="499"/>
    <col min="15105" max="15105" width="5" style="499" customWidth="1"/>
    <col min="15106" max="15106" width="15.85546875" style="499" customWidth="1"/>
    <col min="15107" max="15109" width="7.7109375" style="499" customWidth="1"/>
    <col min="15110" max="15110" width="8.5703125" style="499" bestFit="1" customWidth="1"/>
    <col min="15111" max="15130" width="7" style="499" customWidth="1"/>
    <col min="15131" max="15360" width="9.140625" style="499"/>
    <col min="15361" max="15361" width="5" style="499" customWidth="1"/>
    <col min="15362" max="15362" width="15.85546875" style="499" customWidth="1"/>
    <col min="15363" max="15365" width="7.7109375" style="499" customWidth="1"/>
    <col min="15366" max="15366" width="8.5703125" style="499" bestFit="1" customWidth="1"/>
    <col min="15367" max="15386" width="7" style="499" customWidth="1"/>
    <col min="15387" max="15616" width="9.140625" style="499"/>
    <col min="15617" max="15617" width="5" style="499" customWidth="1"/>
    <col min="15618" max="15618" width="15.85546875" style="499" customWidth="1"/>
    <col min="15619" max="15621" width="7.7109375" style="499" customWidth="1"/>
    <col min="15622" max="15622" width="8.5703125" style="499" bestFit="1" customWidth="1"/>
    <col min="15623" max="15642" width="7" style="499" customWidth="1"/>
    <col min="15643" max="15872" width="9.140625" style="499"/>
    <col min="15873" max="15873" width="5" style="499" customWidth="1"/>
    <col min="15874" max="15874" width="15.85546875" style="499" customWidth="1"/>
    <col min="15875" max="15877" width="7.7109375" style="499" customWidth="1"/>
    <col min="15878" max="15878" width="8.5703125" style="499" bestFit="1" customWidth="1"/>
    <col min="15879" max="15898" width="7" style="499" customWidth="1"/>
    <col min="15899" max="16128" width="9.140625" style="499"/>
    <col min="16129" max="16129" width="5" style="499" customWidth="1"/>
    <col min="16130" max="16130" width="15.85546875" style="499" customWidth="1"/>
    <col min="16131" max="16133" width="7.7109375" style="499" customWidth="1"/>
    <col min="16134" max="16134" width="8.5703125" style="499" bestFit="1" customWidth="1"/>
    <col min="16135" max="16154" width="7" style="499" customWidth="1"/>
    <col min="16155" max="16384" width="9.140625" style="499"/>
  </cols>
  <sheetData>
    <row r="1" spans="1:28" s="66" customFormat="1" ht="61.5" customHeight="1">
      <c r="A1" s="644" t="s">
        <v>0</v>
      </c>
      <c r="B1" s="644"/>
      <c r="C1" s="644"/>
      <c r="D1" s="644"/>
      <c r="E1" s="644"/>
      <c r="F1" s="586" t="s">
        <v>818</v>
      </c>
      <c r="G1" s="586"/>
      <c r="H1" s="586"/>
      <c r="I1" s="586"/>
      <c r="J1" s="586"/>
      <c r="K1" s="586"/>
      <c r="L1" s="586"/>
      <c r="M1" s="586"/>
      <c r="N1" s="586"/>
      <c r="O1" s="586"/>
      <c r="P1" s="586"/>
      <c r="Q1" s="586"/>
      <c r="R1" s="586"/>
    </row>
    <row r="2" spans="1:28" ht="31.5" customHeight="1">
      <c r="A2" s="588" t="s">
        <v>2</v>
      </c>
      <c r="B2" s="588"/>
      <c r="C2" s="588"/>
      <c r="D2" s="588"/>
      <c r="E2" s="588"/>
      <c r="F2" s="588"/>
      <c r="G2" s="588"/>
      <c r="H2" s="588"/>
      <c r="I2" s="588"/>
      <c r="J2" s="588"/>
      <c r="K2" s="588"/>
      <c r="L2" s="588"/>
      <c r="M2" s="588"/>
      <c r="N2" s="588"/>
      <c r="O2" s="588"/>
      <c r="P2" s="588"/>
      <c r="Q2" s="588"/>
      <c r="R2" s="588"/>
      <c r="S2" s="588"/>
      <c r="T2" s="588"/>
      <c r="U2" s="588"/>
      <c r="V2" s="588"/>
      <c r="W2" s="588"/>
      <c r="X2" s="588"/>
      <c r="Y2" s="588"/>
      <c r="Z2" s="588"/>
    </row>
    <row r="3" spans="1:28" ht="44.25" customHeight="1">
      <c r="A3" s="694" t="s">
        <v>3</v>
      </c>
      <c r="B3" s="652" t="s">
        <v>4</v>
      </c>
      <c r="C3" s="700" t="s">
        <v>5</v>
      </c>
      <c r="D3" s="701"/>
      <c r="E3" s="701"/>
      <c r="F3" s="702"/>
      <c r="G3" s="693" t="s">
        <v>6</v>
      </c>
      <c r="H3" s="693"/>
      <c r="I3" s="693"/>
      <c r="J3" s="693"/>
      <c r="K3" s="693"/>
      <c r="L3" s="693"/>
      <c r="M3" s="693"/>
      <c r="N3" s="693"/>
      <c r="O3" s="693"/>
      <c r="P3" s="693"/>
      <c r="Q3" s="693"/>
      <c r="R3" s="693"/>
      <c r="S3" s="693"/>
      <c r="T3" s="693"/>
      <c r="U3" s="693"/>
      <c r="V3" s="693"/>
      <c r="W3" s="693"/>
      <c r="X3" s="693"/>
      <c r="Y3" s="693"/>
      <c r="Z3" s="693"/>
      <c r="AA3" s="694" t="s">
        <v>119</v>
      </c>
      <c r="AB3" s="693" t="s">
        <v>120</v>
      </c>
    </row>
    <row r="4" spans="1:28" ht="44.25" customHeight="1">
      <c r="A4" s="695"/>
      <c r="B4" s="653"/>
      <c r="C4" s="703"/>
      <c r="D4" s="704"/>
      <c r="E4" s="704"/>
      <c r="F4" s="705"/>
      <c r="G4" s="693" t="s">
        <v>9</v>
      </c>
      <c r="H4" s="693"/>
      <c r="I4" s="693"/>
      <c r="J4" s="693"/>
      <c r="K4" s="693" t="s">
        <v>10</v>
      </c>
      <c r="L4" s="693"/>
      <c r="M4" s="693"/>
      <c r="N4" s="693"/>
      <c r="O4" s="693" t="s">
        <v>11</v>
      </c>
      <c r="P4" s="693"/>
      <c r="Q4" s="693"/>
      <c r="R4" s="693"/>
      <c r="S4" s="693" t="s">
        <v>12</v>
      </c>
      <c r="T4" s="693"/>
      <c r="U4" s="693"/>
      <c r="V4" s="693"/>
      <c r="W4" s="693" t="s">
        <v>13</v>
      </c>
      <c r="X4" s="693"/>
      <c r="Y4" s="693"/>
      <c r="Z4" s="693"/>
      <c r="AA4" s="695"/>
      <c r="AB4" s="693"/>
    </row>
    <row r="5" spans="1:28" ht="75.75" customHeight="1">
      <c r="A5" s="696"/>
      <c r="B5" s="654"/>
      <c r="C5" s="500" t="s">
        <v>14</v>
      </c>
      <c r="D5" s="500" t="s">
        <v>15</v>
      </c>
      <c r="E5" s="500" t="s">
        <v>16</v>
      </c>
      <c r="F5" s="500" t="s">
        <v>17</v>
      </c>
      <c r="G5" s="500" t="s">
        <v>14</v>
      </c>
      <c r="H5" s="500" t="s">
        <v>15</v>
      </c>
      <c r="I5" s="500" t="s">
        <v>18</v>
      </c>
      <c r="J5" s="500" t="s">
        <v>19</v>
      </c>
      <c r="K5" s="500" t="s">
        <v>14</v>
      </c>
      <c r="L5" s="500" t="s">
        <v>15</v>
      </c>
      <c r="M5" s="500" t="s">
        <v>18</v>
      </c>
      <c r="N5" s="500" t="s">
        <v>19</v>
      </c>
      <c r="O5" s="500" t="s">
        <v>14</v>
      </c>
      <c r="P5" s="500" t="s">
        <v>15</v>
      </c>
      <c r="Q5" s="500" t="s">
        <v>18</v>
      </c>
      <c r="R5" s="500" t="s">
        <v>19</v>
      </c>
      <c r="S5" s="500" t="s">
        <v>14</v>
      </c>
      <c r="T5" s="500" t="s">
        <v>15</v>
      </c>
      <c r="U5" s="500" t="s">
        <v>18</v>
      </c>
      <c r="V5" s="500" t="s">
        <v>19</v>
      </c>
      <c r="W5" s="500" t="s">
        <v>14</v>
      </c>
      <c r="X5" s="500" t="s">
        <v>15</v>
      </c>
      <c r="Y5" s="500" t="s">
        <v>18</v>
      </c>
      <c r="Z5" s="500" t="s">
        <v>19</v>
      </c>
      <c r="AA5" s="696"/>
      <c r="AB5" s="693"/>
    </row>
    <row r="6" spans="1:28" ht="38.25">
      <c r="A6" s="181" t="s">
        <v>20</v>
      </c>
      <c r="B6" s="181" t="s">
        <v>819</v>
      </c>
      <c r="C6" s="501">
        <v>0</v>
      </c>
      <c r="D6" s="502">
        <v>387092</v>
      </c>
      <c r="E6" s="501">
        <v>0</v>
      </c>
      <c r="F6" s="502">
        <f>D6*0.9</f>
        <v>348382.8</v>
      </c>
      <c r="G6" s="501">
        <f>H6/2</f>
        <v>192500.00000000003</v>
      </c>
      <c r="H6" s="501">
        <f>J6*1.1</f>
        <v>385000.00000000006</v>
      </c>
      <c r="I6" s="501">
        <f>J6/2</f>
        <v>175000</v>
      </c>
      <c r="J6" s="501">
        <v>350000</v>
      </c>
      <c r="K6" s="501">
        <v>194000</v>
      </c>
      <c r="L6" s="501">
        <f>N6*1.06</f>
        <v>389550</v>
      </c>
      <c r="M6" s="501">
        <f>N6*0.7</f>
        <v>257249.99999999997</v>
      </c>
      <c r="N6" s="501">
        <f>J6*1.05</f>
        <v>367500</v>
      </c>
      <c r="O6" s="501">
        <v>271000</v>
      </c>
      <c r="P6" s="501">
        <f>R6*1.04</f>
        <v>397488</v>
      </c>
      <c r="Q6" s="501">
        <f>R6*0.7</f>
        <v>267540</v>
      </c>
      <c r="R6" s="501">
        <f>N6*1.04</f>
        <v>382200</v>
      </c>
      <c r="S6" s="501">
        <v>310000</v>
      </c>
      <c r="T6" s="501">
        <f>V6*1.05</f>
        <v>413349.30000000005</v>
      </c>
      <c r="U6" s="501">
        <f>V6*0.8</f>
        <v>314932.80000000005</v>
      </c>
      <c r="V6" s="501">
        <f>R6*1.03</f>
        <v>393666</v>
      </c>
      <c r="W6" s="501">
        <v>390000</v>
      </c>
      <c r="X6" s="501">
        <f>Z6*1.05</f>
        <v>421616.28600000002</v>
      </c>
      <c r="Y6" s="501">
        <f>Z6*0.85</f>
        <v>341308.42200000002</v>
      </c>
      <c r="Z6" s="501">
        <f>V6*1.02</f>
        <v>401539.32</v>
      </c>
      <c r="AA6" s="504">
        <f t="shared" ref="AA6:AA24" si="0">C6/W6</f>
        <v>0</v>
      </c>
      <c r="AB6" s="504">
        <f t="shared" ref="AB6:AB24" si="1">W6/X6</f>
        <v>0.92501170602313965</v>
      </c>
    </row>
    <row r="7" spans="1:28" ht="38.25">
      <c r="A7" s="181" t="s">
        <v>22</v>
      </c>
      <c r="B7" s="181" t="s">
        <v>820</v>
      </c>
      <c r="C7" s="501">
        <v>0</v>
      </c>
      <c r="D7" s="502">
        <v>504487</v>
      </c>
      <c r="E7" s="501">
        <v>0</v>
      </c>
      <c r="F7" s="502">
        <f t="shared" ref="F7:F24" si="2">D7*0.9</f>
        <v>454038.3</v>
      </c>
      <c r="G7" s="501">
        <f t="shared" ref="G7:G24" si="3">H7/2</f>
        <v>253000.00000000003</v>
      </c>
      <c r="H7" s="501">
        <f t="shared" ref="H7:H24" si="4">J7*1.1</f>
        <v>506000.00000000006</v>
      </c>
      <c r="I7" s="501">
        <f t="shared" ref="I7:I24" si="5">J7/2</f>
        <v>230000</v>
      </c>
      <c r="J7" s="501">
        <v>460000</v>
      </c>
      <c r="K7" s="501">
        <v>253000</v>
      </c>
      <c r="L7" s="501">
        <f t="shared" ref="L7:L24" si="6">N7*1.06</f>
        <v>511980</v>
      </c>
      <c r="M7" s="501">
        <f t="shared" ref="M7:M24" si="7">N7*0.7</f>
        <v>338100</v>
      </c>
      <c r="N7" s="501">
        <f t="shared" ref="N7:N24" si="8">J7*1.05</f>
        <v>483000</v>
      </c>
      <c r="O7" s="501">
        <v>354000</v>
      </c>
      <c r="P7" s="501">
        <f t="shared" ref="P7:P24" si="9">R7*1.04</f>
        <v>522412.80000000005</v>
      </c>
      <c r="Q7" s="501">
        <f t="shared" ref="Q7:Q24" si="10">R7*0.7</f>
        <v>351624</v>
      </c>
      <c r="R7" s="501">
        <f t="shared" ref="R7:R24" si="11">N7*1.04</f>
        <v>502320</v>
      </c>
      <c r="S7" s="501">
        <v>404000</v>
      </c>
      <c r="T7" s="501">
        <f t="shared" ref="T7:T24" si="12">V7*1.05</f>
        <v>543259.08000000007</v>
      </c>
      <c r="U7" s="501">
        <f t="shared" ref="U7:U24" si="13">V7*0.8</f>
        <v>413911.68000000005</v>
      </c>
      <c r="V7" s="501">
        <f t="shared" ref="V7:V24" si="14">R7*1.03</f>
        <v>517389.60000000003</v>
      </c>
      <c r="W7" s="501">
        <v>510000</v>
      </c>
      <c r="X7" s="501">
        <f t="shared" ref="X7:X24" si="15">Z7*1.05</f>
        <v>554124.26159999997</v>
      </c>
      <c r="Y7" s="501">
        <f t="shared" ref="Y7:Y24" si="16">Z7*0.85</f>
        <v>448576.78320000001</v>
      </c>
      <c r="Z7" s="501">
        <f t="shared" ref="Z7:Z24" si="17">V7*1.02</f>
        <v>527737.39199999999</v>
      </c>
      <c r="AA7" s="504">
        <f t="shared" si="0"/>
        <v>0</v>
      </c>
      <c r="AB7" s="504">
        <f t="shared" si="1"/>
        <v>0.92037117906984645</v>
      </c>
    </row>
    <row r="8" spans="1:28" ht="51" customHeight="1">
      <c r="A8" s="181" t="s">
        <v>61</v>
      </c>
      <c r="B8" s="181" t="s">
        <v>821</v>
      </c>
      <c r="C8" s="501">
        <v>0</v>
      </c>
      <c r="D8" s="502">
        <v>86705</v>
      </c>
      <c r="E8" s="501">
        <v>0</v>
      </c>
      <c r="F8" s="502">
        <f t="shared" si="2"/>
        <v>78034.5</v>
      </c>
      <c r="G8" s="501">
        <f t="shared" si="3"/>
        <v>44000</v>
      </c>
      <c r="H8" s="501">
        <f t="shared" si="4"/>
        <v>88000</v>
      </c>
      <c r="I8" s="501">
        <f t="shared" si="5"/>
        <v>40000</v>
      </c>
      <c r="J8" s="501">
        <v>80000</v>
      </c>
      <c r="K8" s="502">
        <v>70000</v>
      </c>
      <c r="L8" s="501">
        <f t="shared" si="6"/>
        <v>89040</v>
      </c>
      <c r="M8" s="501">
        <f t="shared" si="7"/>
        <v>58799.999999999993</v>
      </c>
      <c r="N8" s="501">
        <f t="shared" si="8"/>
        <v>84000</v>
      </c>
      <c r="O8" s="502">
        <v>72000</v>
      </c>
      <c r="P8" s="501">
        <f t="shared" si="9"/>
        <v>90854.400000000009</v>
      </c>
      <c r="Q8" s="501">
        <f t="shared" si="10"/>
        <v>61151.999999999993</v>
      </c>
      <c r="R8" s="501">
        <f t="shared" si="11"/>
        <v>87360</v>
      </c>
      <c r="S8" s="502">
        <v>74000</v>
      </c>
      <c r="T8" s="501">
        <f t="shared" si="12"/>
        <v>94479.840000000011</v>
      </c>
      <c r="U8" s="501">
        <f t="shared" si="13"/>
        <v>71984.639999999999</v>
      </c>
      <c r="V8" s="501">
        <f t="shared" si="14"/>
        <v>89980.800000000003</v>
      </c>
      <c r="W8" s="501">
        <v>90000</v>
      </c>
      <c r="X8" s="501">
        <f t="shared" si="15"/>
        <v>96369.436799999996</v>
      </c>
      <c r="Y8" s="501">
        <f t="shared" si="16"/>
        <v>78013.353600000002</v>
      </c>
      <c r="Z8" s="501">
        <f t="shared" si="17"/>
        <v>91780.415999999997</v>
      </c>
      <c r="AA8" s="504">
        <f t="shared" si="0"/>
        <v>0</v>
      </c>
      <c r="AB8" s="504">
        <f t="shared" si="1"/>
        <v>0.93390604935028532</v>
      </c>
    </row>
    <row r="9" spans="1:28" ht="25.5">
      <c r="A9" s="181" t="s">
        <v>63</v>
      </c>
      <c r="B9" s="181" t="s">
        <v>822</v>
      </c>
      <c r="C9" s="501">
        <v>0</v>
      </c>
      <c r="D9" s="502">
        <v>86705</v>
      </c>
      <c r="E9" s="501">
        <v>0</v>
      </c>
      <c r="F9" s="502">
        <f t="shared" si="2"/>
        <v>78034.5</v>
      </c>
      <c r="G9" s="501">
        <f t="shared" si="3"/>
        <v>44000</v>
      </c>
      <c r="H9" s="501">
        <f t="shared" si="4"/>
        <v>88000</v>
      </c>
      <c r="I9" s="501">
        <f t="shared" si="5"/>
        <v>40000</v>
      </c>
      <c r="J9" s="501">
        <v>80000</v>
      </c>
      <c r="K9" s="502">
        <v>70000</v>
      </c>
      <c r="L9" s="501">
        <f t="shared" si="6"/>
        <v>89040</v>
      </c>
      <c r="M9" s="501">
        <f t="shared" si="7"/>
        <v>58799.999999999993</v>
      </c>
      <c r="N9" s="501">
        <f t="shared" si="8"/>
        <v>84000</v>
      </c>
      <c r="O9" s="502">
        <v>72000</v>
      </c>
      <c r="P9" s="501">
        <f t="shared" si="9"/>
        <v>90854.400000000009</v>
      </c>
      <c r="Q9" s="501">
        <f t="shared" si="10"/>
        <v>61151.999999999993</v>
      </c>
      <c r="R9" s="501">
        <f t="shared" si="11"/>
        <v>87360</v>
      </c>
      <c r="S9" s="502">
        <v>74000</v>
      </c>
      <c r="T9" s="501">
        <f t="shared" si="12"/>
        <v>94479.840000000011</v>
      </c>
      <c r="U9" s="501">
        <f t="shared" si="13"/>
        <v>71984.639999999999</v>
      </c>
      <c r="V9" s="501">
        <f t="shared" si="14"/>
        <v>89980.800000000003</v>
      </c>
      <c r="W9" s="501">
        <v>90000</v>
      </c>
      <c r="X9" s="501">
        <f t="shared" si="15"/>
        <v>96369.436799999996</v>
      </c>
      <c r="Y9" s="501">
        <f t="shared" si="16"/>
        <v>78013.353600000002</v>
      </c>
      <c r="Z9" s="501">
        <f t="shared" si="17"/>
        <v>91780.415999999997</v>
      </c>
      <c r="AA9" s="504">
        <f t="shared" si="0"/>
        <v>0</v>
      </c>
      <c r="AB9" s="504">
        <f t="shared" si="1"/>
        <v>0.93390604935028532</v>
      </c>
    </row>
    <row r="10" spans="1:28" ht="66" customHeight="1">
      <c r="A10" s="181" t="s">
        <v>136</v>
      </c>
      <c r="B10" s="181" t="s">
        <v>823</v>
      </c>
      <c r="C10" s="501">
        <v>0</v>
      </c>
      <c r="D10" s="502">
        <v>1291</v>
      </c>
      <c r="E10" s="501">
        <v>0</v>
      </c>
      <c r="F10" s="502">
        <f t="shared" si="2"/>
        <v>1161.9000000000001</v>
      </c>
      <c r="G10" s="501">
        <f t="shared" si="3"/>
        <v>715.00000000000011</v>
      </c>
      <c r="H10" s="501">
        <f t="shared" si="4"/>
        <v>1430.0000000000002</v>
      </c>
      <c r="I10" s="501">
        <f t="shared" si="5"/>
        <v>650</v>
      </c>
      <c r="J10" s="501">
        <v>1300</v>
      </c>
      <c r="K10" s="502">
        <v>260</v>
      </c>
      <c r="L10" s="501">
        <f t="shared" si="6"/>
        <v>1446.9</v>
      </c>
      <c r="M10" s="501">
        <f t="shared" si="7"/>
        <v>955.49999999999989</v>
      </c>
      <c r="N10" s="501">
        <f t="shared" si="8"/>
        <v>1365</v>
      </c>
      <c r="O10" s="502">
        <v>455</v>
      </c>
      <c r="P10" s="501">
        <f t="shared" si="9"/>
        <v>1476.3840000000002</v>
      </c>
      <c r="Q10" s="501">
        <f t="shared" si="10"/>
        <v>993.72</v>
      </c>
      <c r="R10" s="501">
        <f t="shared" si="11"/>
        <v>1419.6000000000001</v>
      </c>
      <c r="S10" s="502">
        <v>520</v>
      </c>
      <c r="T10" s="501">
        <f t="shared" si="12"/>
        <v>1535.2974000000002</v>
      </c>
      <c r="U10" s="501">
        <f t="shared" si="13"/>
        <v>1169.7504000000001</v>
      </c>
      <c r="V10" s="501">
        <f t="shared" si="14"/>
        <v>1462.1880000000001</v>
      </c>
      <c r="W10" s="501">
        <v>1400</v>
      </c>
      <c r="X10" s="501">
        <f t="shared" si="15"/>
        <v>1566.0033480000002</v>
      </c>
      <c r="Y10" s="501">
        <f t="shared" si="16"/>
        <v>1267.7169960000001</v>
      </c>
      <c r="Z10" s="501">
        <f t="shared" si="17"/>
        <v>1491.4317600000002</v>
      </c>
      <c r="AA10" s="504">
        <f t="shared" si="0"/>
        <v>0</v>
      </c>
      <c r="AB10" s="504">
        <f t="shared" si="1"/>
        <v>0.89399553442078583</v>
      </c>
    </row>
    <row r="11" spans="1:28" ht="25.5">
      <c r="A11" s="181" t="s">
        <v>155</v>
      </c>
      <c r="B11" s="181" t="s">
        <v>824</v>
      </c>
      <c r="C11" s="501">
        <v>0</v>
      </c>
      <c r="D11" s="502">
        <v>106</v>
      </c>
      <c r="E11" s="501">
        <v>0</v>
      </c>
      <c r="F11" s="502">
        <f t="shared" si="2"/>
        <v>95.4</v>
      </c>
      <c r="G11" s="501">
        <f t="shared" si="3"/>
        <v>66</v>
      </c>
      <c r="H11" s="501">
        <f t="shared" si="4"/>
        <v>132</v>
      </c>
      <c r="I11" s="501">
        <f t="shared" si="5"/>
        <v>60</v>
      </c>
      <c r="J11" s="501">
        <v>120</v>
      </c>
      <c r="K11" s="502">
        <v>30</v>
      </c>
      <c r="L11" s="501">
        <f t="shared" si="6"/>
        <v>133.56</v>
      </c>
      <c r="M11" s="501">
        <f t="shared" si="7"/>
        <v>88.199999999999989</v>
      </c>
      <c r="N11" s="501">
        <f t="shared" si="8"/>
        <v>126</v>
      </c>
      <c r="O11" s="502">
        <v>45</v>
      </c>
      <c r="P11" s="501">
        <f t="shared" si="9"/>
        <v>136.2816</v>
      </c>
      <c r="Q11" s="501">
        <f t="shared" si="10"/>
        <v>91.727999999999994</v>
      </c>
      <c r="R11" s="501">
        <f t="shared" si="11"/>
        <v>131.04</v>
      </c>
      <c r="S11" s="502">
        <v>50</v>
      </c>
      <c r="T11" s="501">
        <f t="shared" si="12"/>
        <v>141.71975999999998</v>
      </c>
      <c r="U11" s="501">
        <f t="shared" si="13"/>
        <v>107.97695999999999</v>
      </c>
      <c r="V11" s="501">
        <f t="shared" si="14"/>
        <v>134.97119999999998</v>
      </c>
      <c r="W11" s="501">
        <v>130</v>
      </c>
      <c r="X11" s="501">
        <f t="shared" si="15"/>
        <v>144.55415519999997</v>
      </c>
      <c r="Y11" s="501">
        <f t="shared" si="16"/>
        <v>117.02003039999998</v>
      </c>
      <c r="Z11" s="501">
        <f t="shared" si="17"/>
        <v>137.67062399999998</v>
      </c>
      <c r="AA11" s="504">
        <f t="shared" si="0"/>
        <v>0</v>
      </c>
      <c r="AB11" s="504">
        <f t="shared" si="1"/>
        <v>0.89931693641138599</v>
      </c>
    </row>
    <row r="12" spans="1:28" ht="51">
      <c r="A12" s="181" t="s">
        <v>159</v>
      </c>
      <c r="B12" s="181" t="s">
        <v>825</v>
      </c>
      <c r="C12" s="501">
        <v>0</v>
      </c>
      <c r="D12" s="502">
        <v>4800</v>
      </c>
      <c r="E12" s="501">
        <v>0</v>
      </c>
      <c r="F12" s="502">
        <f t="shared" si="2"/>
        <v>4320</v>
      </c>
      <c r="G12" s="501">
        <f t="shared" si="3"/>
        <v>2475</v>
      </c>
      <c r="H12" s="501">
        <f t="shared" si="4"/>
        <v>4950</v>
      </c>
      <c r="I12" s="501">
        <f t="shared" si="5"/>
        <v>2250</v>
      </c>
      <c r="J12" s="501">
        <v>4500</v>
      </c>
      <c r="K12" s="502">
        <v>2400</v>
      </c>
      <c r="L12" s="501">
        <f t="shared" si="6"/>
        <v>5008.5</v>
      </c>
      <c r="M12" s="501">
        <f t="shared" si="7"/>
        <v>3307.5</v>
      </c>
      <c r="N12" s="501">
        <f t="shared" si="8"/>
        <v>4725</v>
      </c>
      <c r="O12" s="502">
        <v>3360</v>
      </c>
      <c r="P12" s="501">
        <f t="shared" si="9"/>
        <v>5110.5600000000004</v>
      </c>
      <c r="Q12" s="501">
        <f t="shared" si="10"/>
        <v>3439.7999999999997</v>
      </c>
      <c r="R12" s="501">
        <f t="shared" si="11"/>
        <v>4914</v>
      </c>
      <c r="S12" s="502">
        <v>3840</v>
      </c>
      <c r="T12" s="501">
        <f t="shared" si="12"/>
        <v>5314.491</v>
      </c>
      <c r="U12" s="501">
        <f t="shared" si="13"/>
        <v>4049.1360000000004</v>
      </c>
      <c r="V12" s="501">
        <f t="shared" si="14"/>
        <v>5061.42</v>
      </c>
      <c r="W12" s="501">
        <v>5000</v>
      </c>
      <c r="X12" s="501">
        <f t="shared" si="15"/>
        <v>5420.7808199999999</v>
      </c>
      <c r="Y12" s="501">
        <f t="shared" si="16"/>
        <v>4388.2511400000003</v>
      </c>
      <c r="Z12" s="501">
        <f t="shared" si="17"/>
        <v>5162.6484</v>
      </c>
      <c r="AA12" s="504">
        <f t="shared" si="0"/>
        <v>0</v>
      </c>
      <c r="AB12" s="504">
        <f t="shared" si="1"/>
        <v>0.9223763450373188</v>
      </c>
    </row>
    <row r="13" spans="1:28" ht="38.25">
      <c r="A13" s="181" t="s">
        <v>244</v>
      </c>
      <c r="B13" s="181" t="s">
        <v>826</v>
      </c>
      <c r="C13" s="501">
        <v>0</v>
      </c>
      <c r="D13" s="502">
        <v>48090</v>
      </c>
      <c r="E13" s="501">
        <v>0</v>
      </c>
      <c r="F13" s="502">
        <f t="shared" si="2"/>
        <v>43281</v>
      </c>
      <c r="G13" s="501">
        <f t="shared" si="3"/>
        <v>24200.000000000004</v>
      </c>
      <c r="H13" s="501">
        <f t="shared" si="4"/>
        <v>48400.000000000007</v>
      </c>
      <c r="I13" s="501">
        <f t="shared" si="5"/>
        <v>22000</v>
      </c>
      <c r="J13" s="501">
        <v>44000</v>
      </c>
      <c r="K13" s="502">
        <v>19200</v>
      </c>
      <c r="L13" s="501">
        <f t="shared" si="6"/>
        <v>48972</v>
      </c>
      <c r="M13" s="501">
        <f t="shared" si="7"/>
        <v>32339.999999999996</v>
      </c>
      <c r="N13" s="501">
        <f t="shared" si="8"/>
        <v>46200</v>
      </c>
      <c r="O13" s="502">
        <v>24000</v>
      </c>
      <c r="P13" s="501">
        <f t="shared" si="9"/>
        <v>49969.919999999998</v>
      </c>
      <c r="Q13" s="501">
        <f t="shared" si="10"/>
        <v>33633.599999999999</v>
      </c>
      <c r="R13" s="501">
        <f t="shared" si="11"/>
        <v>48048</v>
      </c>
      <c r="S13" s="502">
        <v>38400</v>
      </c>
      <c r="T13" s="501">
        <f t="shared" si="12"/>
        <v>51963.912000000004</v>
      </c>
      <c r="U13" s="501">
        <f t="shared" si="13"/>
        <v>39591.552000000003</v>
      </c>
      <c r="V13" s="501">
        <f t="shared" si="14"/>
        <v>49489.440000000002</v>
      </c>
      <c r="W13" s="501">
        <v>50000</v>
      </c>
      <c r="X13" s="501">
        <f t="shared" si="15"/>
        <v>53003.190240000004</v>
      </c>
      <c r="Y13" s="501">
        <f t="shared" si="16"/>
        <v>42907.34448</v>
      </c>
      <c r="Z13" s="501">
        <f t="shared" si="17"/>
        <v>50479.228800000004</v>
      </c>
      <c r="AA13" s="504">
        <f t="shared" si="0"/>
        <v>0</v>
      </c>
      <c r="AB13" s="504">
        <f t="shared" si="1"/>
        <v>0.94333944378816692</v>
      </c>
    </row>
    <row r="14" spans="1:28" ht="38.25">
      <c r="A14" s="181" t="s">
        <v>219</v>
      </c>
      <c r="B14" s="181" t="s">
        <v>827</v>
      </c>
      <c r="C14" s="501">
        <v>0</v>
      </c>
      <c r="D14" s="502">
        <v>69500</v>
      </c>
      <c r="E14" s="501">
        <v>0</v>
      </c>
      <c r="F14" s="502">
        <f t="shared" si="2"/>
        <v>62550</v>
      </c>
      <c r="G14" s="501">
        <f t="shared" si="3"/>
        <v>34650</v>
      </c>
      <c r="H14" s="501">
        <f t="shared" si="4"/>
        <v>69300</v>
      </c>
      <c r="I14" s="501">
        <f t="shared" si="5"/>
        <v>31500</v>
      </c>
      <c r="J14" s="501">
        <v>63000</v>
      </c>
      <c r="K14" s="502">
        <v>49000</v>
      </c>
      <c r="L14" s="501">
        <f t="shared" si="6"/>
        <v>70119</v>
      </c>
      <c r="M14" s="501">
        <f t="shared" si="7"/>
        <v>46305</v>
      </c>
      <c r="N14" s="501">
        <f t="shared" si="8"/>
        <v>66150</v>
      </c>
      <c r="O14" s="502">
        <v>52500</v>
      </c>
      <c r="P14" s="501">
        <f t="shared" si="9"/>
        <v>71547.839999999997</v>
      </c>
      <c r="Q14" s="501">
        <f t="shared" si="10"/>
        <v>48157.2</v>
      </c>
      <c r="R14" s="501">
        <f t="shared" si="11"/>
        <v>68796</v>
      </c>
      <c r="S14" s="502">
        <v>56000</v>
      </c>
      <c r="T14" s="501">
        <f t="shared" si="12"/>
        <v>74402.874000000011</v>
      </c>
      <c r="U14" s="501">
        <f t="shared" si="13"/>
        <v>56687.90400000001</v>
      </c>
      <c r="V14" s="501">
        <f t="shared" si="14"/>
        <v>70859.88</v>
      </c>
      <c r="W14" s="501">
        <v>70000</v>
      </c>
      <c r="X14" s="501">
        <f t="shared" si="15"/>
        <v>75890.931480000014</v>
      </c>
      <c r="Y14" s="501">
        <f t="shared" si="16"/>
        <v>61435.515960000004</v>
      </c>
      <c r="Z14" s="501">
        <f t="shared" si="17"/>
        <v>72277.077600000004</v>
      </c>
      <c r="AA14" s="504">
        <f t="shared" si="0"/>
        <v>0</v>
      </c>
      <c r="AB14" s="504">
        <f t="shared" si="1"/>
        <v>0.92237634503731869</v>
      </c>
    </row>
    <row r="15" spans="1:28">
      <c r="A15" s="181" t="s">
        <v>247</v>
      </c>
      <c r="B15" s="181" t="s">
        <v>828</v>
      </c>
      <c r="C15" s="501">
        <v>0</v>
      </c>
      <c r="D15" s="502">
        <v>124000</v>
      </c>
      <c r="E15" s="501">
        <v>0</v>
      </c>
      <c r="F15" s="502">
        <f t="shared" si="2"/>
        <v>111600</v>
      </c>
      <c r="G15" s="501">
        <f t="shared" si="3"/>
        <v>61600.000000000007</v>
      </c>
      <c r="H15" s="501">
        <f t="shared" si="4"/>
        <v>123200.00000000001</v>
      </c>
      <c r="I15" s="501">
        <f t="shared" si="5"/>
        <v>56000</v>
      </c>
      <c r="J15" s="501">
        <v>112000</v>
      </c>
      <c r="K15" s="502">
        <v>24800</v>
      </c>
      <c r="L15" s="501">
        <f t="shared" si="6"/>
        <v>124656</v>
      </c>
      <c r="M15" s="501">
        <f t="shared" si="7"/>
        <v>82320</v>
      </c>
      <c r="N15" s="501">
        <f t="shared" si="8"/>
        <v>117600</v>
      </c>
      <c r="O15" s="502">
        <v>27280</v>
      </c>
      <c r="P15" s="501">
        <f t="shared" si="9"/>
        <v>127196.16</v>
      </c>
      <c r="Q15" s="501">
        <f t="shared" si="10"/>
        <v>85612.799999999988</v>
      </c>
      <c r="R15" s="501">
        <f t="shared" si="11"/>
        <v>122304</v>
      </c>
      <c r="S15" s="502">
        <v>29760</v>
      </c>
      <c r="T15" s="501">
        <f t="shared" si="12"/>
        <v>132271.77600000001</v>
      </c>
      <c r="U15" s="501">
        <f t="shared" si="13"/>
        <v>100778.49600000001</v>
      </c>
      <c r="V15" s="501">
        <f t="shared" si="14"/>
        <v>125973.12000000001</v>
      </c>
      <c r="W15" s="501">
        <v>127000</v>
      </c>
      <c r="X15" s="501">
        <f t="shared" si="15"/>
        <v>134917.21152000001</v>
      </c>
      <c r="Y15" s="501">
        <f t="shared" si="16"/>
        <v>109218.69504000001</v>
      </c>
      <c r="Z15" s="501">
        <f t="shared" si="17"/>
        <v>128492.58240000001</v>
      </c>
      <c r="AA15" s="504">
        <f t="shared" si="0"/>
        <v>0</v>
      </c>
      <c r="AB15" s="504">
        <f t="shared" si="1"/>
        <v>0.94131800212290651</v>
      </c>
    </row>
    <row r="16" spans="1:28" ht="51">
      <c r="A16" s="181" t="s">
        <v>249</v>
      </c>
      <c r="B16" s="181" t="s">
        <v>829</v>
      </c>
      <c r="C16" s="501">
        <v>0</v>
      </c>
      <c r="D16" s="502">
        <v>65931</v>
      </c>
      <c r="E16" s="501">
        <v>0</v>
      </c>
      <c r="F16" s="502">
        <f t="shared" si="2"/>
        <v>59337.9</v>
      </c>
      <c r="G16" s="501">
        <f t="shared" si="3"/>
        <v>33000</v>
      </c>
      <c r="H16" s="501">
        <f t="shared" si="4"/>
        <v>66000</v>
      </c>
      <c r="I16" s="501">
        <f t="shared" si="5"/>
        <v>30000</v>
      </c>
      <c r="J16" s="501">
        <v>60000</v>
      </c>
      <c r="K16" s="502">
        <v>62700</v>
      </c>
      <c r="L16" s="501">
        <f t="shared" si="6"/>
        <v>66780</v>
      </c>
      <c r="M16" s="501">
        <f t="shared" si="7"/>
        <v>44100</v>
      </c>
      <c r="N16" s="501">
        <f t="shared" si="8"/>
        <v>63000</v>
      </c>
      <c r="O16" s="502">
        <v>62700</v>
      </c>
      <c r="P16" s="501">
        <f t="shared" si="9"/>
        <v>68140.800000000003</v>
      </c>
      <c r="Q16" s="501">
        <f t="shared" si="10"/>
        <v>45864</v>
      </c>
      <c r="R16" s="501">
        <f t="shared" si="11"/>
        <v>65520</v>
      </c>
      <c r="S16" s="502">
        <v>62700</v>
      </c>
      <c r="T16" s="501">
        <f t="shared" si="12"/>
        <v>70859.88</v>
      </c>
      <c r="U16" s="501">
        <f t="shared" si="13"/>
        <v>53988.48000000001</v>
      </c>
      <c r="V16" s="501">
        <f t="shared" si="14"/>
        <v>67485.600000000006</v>
      </c>
      <c r="W16" s="501">
        <v>67000</v>
      </c>
      <c r="X16" s="501">
        <f t="shared" si="15"/>
        <v>72277.077600000004</v>
      </c>
      <c r="Y16" s="501">
        <f t="shared" si="16"/>
        <v>58510.015200000002</v>
      </c>
      <c r="Z16" s="501">
        <f t="shared" si="17"/>
        <v>68835.312000000005</v>
      </c>
      <c r="AA16" s="504">
        <f t="shared" si="0"/>
        <v>0</v>
      </c>
      <c r="AB16" s="504">
        <f t="shared" si="1"/>
        <v>0.92698822676250536</v>
      </c>
    </row>
    <row r="17" spans="1:29" ht="38.25">
      <c r="A17" s="181" t="s">
        <v>251</v>
      </c>
      <c r="B17" s="181" t="s">
        <v>830</v>
      </c>
      <c r="C17" s="501">
        <v>0</v>
      </c>
      <c r="D17" s="502">
        <v>18111</v>
      </c>
      <c r="E17" s="501">
        <v>0</v>
      </c>
      <c r="F17" s="502">
        <f t="shared" si="2"/>
        <v>16299.9</v>
      </c>
      <c r="G17" s="501">
        <f t="shared" si="3"/>
        <v>9350</v>
      </c>
      <c r="H17" s="501">
        <f t="shared" si="4"/>
        <v>18700</v>
      </c>
      <c r="I17" s="501">
        <f t="shared" si="5"/>
        <v>8500</v>
      </c>
      <c r="J17" s="501">
        <v>17000</v>
      </c>
      <c r="K17" s="502">
        <v>6300</v>
      </c>
      <c r="L17" s="501">
        <f t="shared" si="6"/>
        <v>18921</v>
      </c>
      <c r="M17" s="501">
        <f t="shared" si="7"/>
        <v>12495</v>
      </c>
      <c r="N17" s="501">
        <f t="shared" si="8"/>
        <v>17850</v>
      </c>
      <c r="O17" s="502">
        <v>6660</v>
      </c>
      <c r="P17" s="501">
        <f t="shared" si="9"/>
        <v>19306.560000000001</v>
      </c>
      <c r="Q17" s="501">
        <f t="shared" si="10"/>
        <v>12994.8</v>
      </c>
      <c r="R17" s="501">
        <f t="shared" si="11"/>
        <v>18564</v>
      </c>
      <c r="S17" s="502">
        <v>7020</v>
      </c>
      <c r="T17" s="501">
        <f t="shared" si="12"/>
        <v>20076.966000000004</v>
      </c>
      <c r="U17" s="501">
        <f t="shared" si="13"/>
        <v>15296.736000000003</v>
      </c>
      <c r="V17" s="501">
        <f t="shared" si="14"/>
        <v>19120.920000000002</v>
      </c>
      <c r="W17" s="501">
        <v>18000</v>
      </c>
      <c r="X17" s="501">
        <f t="shared" si="15"/>
        <v>20478.50532</v>
      </c>
      <c r="Y17" s="501">
        <f t="shared" si="16"/>
        <v>16577.837640000002</v>
      </c>
      <c r="Z17" s="501">
        <f t="shared" si="17"/>
        <v>19503.338400000001</v>
      </c>
      <c r="AA17" s="504">
        <f t="shared" si="0"/>
        <v>0</v>
      </c>
      <c r="AB17" s="504">
        <f t="shared" si="1"/>
        <v>0.87897039938850385</v>
      </c>
    </row>
    <row r="18" spans="1:29" ht="25.5">
      <c r="A18" s="181" t="s">
        <v>253</v>
      </c>
      <c r="B18" s="181" t="s">
        <v>831</v>
      </c>
      <c r="C18" s="501">
        <v>0</v>
      </c>
      <c r="D18" s="502">
        <v>2666</v>
      </c>
      <c r="E18" s="501">
        <v>0</v>
      </c>
      <c r="F18" s="502">
        <f t="shared" si="2"/>
        <v>2399.4</v>
      </c>
      <c r="G18" s="501">
        <f t="shared" si="3"/>
        <v>110.00000000000001</v>
      </c>
      <c r="H18" s="501">
        <f t="shared" si="4"/>
        <v>220.00000000000003</v>
      </c>
      <c r="I18" s="501">
        <f t="shared" si="5"/>
        <v>100</v>
      </c>
      <c r="J18" s="501">
        <v>200</v>
      </c>
      <c r="K18" s="502">
        <v>750</v>
      </c>
      <c r="L18" s="501">
        <f t="shared" si="6"/>
        <v>222.60000000000002</v>
      </c>
      <c r="M18" s="501">
        <f t="shared" si="7"/>
        <v>147</v>
      </c>
      <c r="N18" s="501">
        <f t="shared" si="8"/>
        <v>210</v>
      </c>
      <c r="O18" s="502">
        <v>800</v>
      </c>
      <c r="P18" s="501">
        <f t="shared" si="9"/>
        <v>227.13600000000002</v>
      </c>
      <c r="Q18" s="501">
        <f t="shared" si="10"/>
        <v>152.88</v>
      </c>
      <c r="R18" s="501">
        <f t="shared" si="11"/>
        <v>218.4</v>
      </c>
      <c r="S18" s="502">
        <v>850</v>
      </c>
      <c r="T18" s="501">
        <f t="shared" si="12"/>
        <v>236.1996</v>
      </c>
      <c r="U18" s="501">
        <f t="shared" si="13"/>
        <v>179.9616</v>
      </c>
      <c r="V18" s="501">
        <f t="shared" si="14"/>
        <v>224.952</v>
      </c>
      <c r="W18" s="501">
        <v>220</v>
      </c>
      <c r="X18" s="501">
        <f t="shared" si="15"/>
        <v>240.92359200000001</v>
      </c>
      <c r="Y18" s="501">
        <f t="shared" si="16"/>
        <v>195.03338400000001</v>
      </c>
      <c r="Z18" s="501">
        <f t="shared" si="17"/>
        <v>229.45104000000001</v>
      </c>
      <c r="AA18" s="504">
        <f t="shared" si="0"/>
        <v>0</v>
      </c>
      <c r="AB18" s="504">
        <f t="shared" si="1"/>
        <v>0.91315258158694557</v>
      </c>
    </row>
    <row r="19" spans="1:29" ht="38.25">
      <c r="A19" s="181" t="s">
        <v>255</v>
      </c>
      <c r="B19" s="181" t="s">
        <v>832</v>
      </c>
      <c r="C19" s="501">
        <v>0</v>
      </c>
      <c r="D19" s="502">
        <v>132230</v>
      </c>
      <c r="E19" s="501">
        <v>0</v>
      </c>
      <c r="F19" s="502">
        <f t="shared" si="2"/>
        <v>119007</v>
      </c>
      <c r="G19" s="501">
        <f t="shared" si="3"/>
        <v>68750</v>
      </c>
      <c r="H19" s="501">
        <f t="shared" si="4"/>
        <v>137500</v>
      </c>
      <c r="I19" s="501">
        <f t="shared" si="5"/>
        <v>62500</v>
      </c>
      <c r="J19" s="501">
        <v>125000</v>
      </c>
      <c r="K19" s="502">
        <v>30000</v>
      </c>
      <c r="L19" s="501">
        <f t="shared" si="6"/>
        <v>139125</v>
      </c>
      <c r="M19" s="501">
        <f t="shared" si="7"/>
        <v>91875</v>
      </c>
      <c r="N19" s="501">
        <f t="shared" si="8"/>
        <v>131250</v>
      </c>
      <c r="O19" s="502">
        <v>32400</v>
      </c>
      <c r="P19" s="501">
        <f t="shared" si="9"/>
        <v>141960</v>
      </c>
      <c r="Q19" s="501">
        <f t="shared" si="10"/>
        <v>95550</v>
      </c>
      <c r="R19" s="501">
        <f t="shared" si="11"/>
        <v>136500</v>
      </c>
      <c r="S19" s="502">
        <v>34800</v>
      </c>
      <c r="T19" s="501">
        <f t="shared" si="12"/>
        <v>147624.75</v>
      </c>
      <c r="U19" s="501">
        <f t="shared" si="13"/>
        <v>112476</v>
      </c>
      <c r="V19" s="501">
        <f t="shared" si="14"/>
        <v>140595</v>
      </c>
      <c r="W19" s="501">
        <v>141000</v>
      </c>
      <c r="X19" s="501">
        <f t="shared" si="15"/>
        <v>150577.245</v>
      </c>
      <c r="Y19" s="501">
        <f t="shared" si="16"/>
        <v>121895.86499999999</v>
      </c>
      <c r="Z19" s="501">
        <f t="shared" si="17"/>
        <v>143406.9</v>
      </c>
      <c r="AA19" s="504">
        <f t="shared" si="0"/>
        <v>0</v>
      </c>
      <c r="AB19" s="504">
        <f t="shared" si="1"/>
        <v>0.93639646548188604</v>
      </c>
    </row>
    <row r="20" spans="1:29" ht="25.5">
      <c r="A20" s="181" t="s">
        <v>257</v>
      </c>
      <c r="B20" s="181" t="s">
        <v>833</v>
      </c>
      <c r="C20" s="501">
        <v>0</v>
      </c>
      <c r="D20" s="502">
        <v>47721</v>
      </c>
      <c r="E20" s="501">
        <v>0</v>
      </c>
      <c r="F20" s="502">
        <f t="shared" si="2"/>
        <v>42948.9</v>
      </c>
      <c r="G20" s="501">
        <f t="shared" si="3"/>
        <v>24750.000000000004</v>
      </c>
      <c r="H20" s="501">
        <f t="shared" si="4"/>
        <v>49500.000000000007</v>
      </c>
      <c r="I20" s="501">
        <f t="shared" si="5"/>
        <v>22500</v>
      </c>
      <c r="J20" s="501">
        <v>45000</v>
      </c>
      <c r="K20" s="502">
        <v>7500</v>
      </c>
      <c r="L20" s="501">
        <f t="shared" si="6"/>
        <v>50085</v>
      </c>
      <c r="M20" s="501">
        <f t="shared" si="7"/>
        <v>33075</v>
      </c>
      <c r="N20" s="501">
        <f t="shared" si="8"/>
        <v>47250</v>
      </c>
      <c r="O20" s="502">
        <v>8500</v>
      </c>
      <c r="P20" s="501">
        <f t="shared" si="9"/>
        <v>51105.599999999999</v>
      </c>
      <c r="Q20" s="501">
        <f t="shared" si="10"/>
        <v>34398</v>
      </c>
      <c r="R20" s="501">
        <f t="shared" si="11"/>
        <v>49140</v>
      </c>
      <c r="S20" s="502">
        <v>9500</v>
      </c>
      <c r="T20" s="501">
        <f t="shared" si="12"/>
        <v>53144.91</v>
      </c>
      <c r="U20" s="501">
        <f t="shared" si="13"/>
        <v>40491.360000000008</v>
      </c>
      <c r="V20" s="501">
        <f t="shared" si="14"/>
        <v>50614.200000000004</v>
      </c>
      <c r="W20" s="501">
        <v>50000</v>
      </c>
      <c r="X20" s="501">
        <f t="shared" si="15"/>
        <v>54207.808200000007</v>
      </c>
      <c r="Y20" s="501">
        <f t="shared" si="16"/>
        <v>43882.511400000003</v>
      </c>
      <c r="Z20" s="501">
        <f t="shared" si="17"/>
        <v>51626.484000000004</v>
      </c>
      <c r="AA20" s="504">
        <f t="shared" si="0"/>
        <v>0</v>
      </c>
      <c r="AB20" s="504">
        <f t="shared" si="1"/>
        <v>0.92237634503731869</v>
      </c>
    </row>
    <row r="21" spans="1:29" ht="51">
      <c r="A21" s="181" t="s">
        <v>259</v>
      </c>
      <c r="B21" s="181" t="s">
        <v>834</v>
      </c>
      <c r="C21" s="501">
        <v>0</v>
      </c>
      <c r="D21" s="502">
        <v>2000</v>
      </c>
      <c r="E21" s="501">
        <v>0</v>
      </c>
      <c r="F21" s="502">
        <f t="shared" si="2"/>
        <v>1800</v>
      </c>
      <c r="G21" s="501">
        <f t="shared" si="3"/>
        <v>12100.000000000002</v>
      </c>
      <c r="H21" s="501">
        <f t="shared" si="4"/>
        <v>24200.000000000004</v>
      </c>
      <c r="I21" s="501">
        <f t="shared" si="5"/>
        <v>11000</v>
      </c>
      <c r="J21" s="501">
        <v>22000</v>
      </c>
      <c r="K21" s="502">
        <v>400</v>
      </c>
      <c r="L21" s="501">
        <f t="shared" si="6"/>
        <v>24486</v>
      </c>
      <c r="M21" s="501">
        <f t="shared" si="7"/>
        <v>16169.999999999998</v>
      </c>
      <c r="N21" s="501">
        <f t="shared" si="8"/>
        <v>23100</v>
      </c>
      <c r="O21" s="502">
        <v>1000</v>
      </c>
      <c r="P21" s="501">
        <f t="shared" si="9"/>
        <v>24984.959999999999</v>
      </c>
      <c r="Q21" s="501">
        <f t="shared" si="10"/>
        <v>16816.8</v>
      </c>
      <c r="R21" s="501">
        <f t="shared" si="11"/>
        <v>24024</v>
      </c>
      <c r="S21" s="502">
        <v>1600</v>
      </c>
      <c r="T21" s="501">
        <f t="shared" si="12"/>
        <v>25981.956000000002</v>
      </c>
      <c r="U21" s="501">
        <f t="shared" si="13"/>
        <v>19795.776000000002</v>
      </c>
      <c r="V21" s="501">
        <f t="shared" si="14"/>
        <v>24744.720000000001</v>
      </c>
      <c r="W21" s="501">
        <v>24000</v>
      </c>
      <c r="X21" s="501">
        <f t="shared" si="15"/>
        <v>26501.595120000002</v>
      </c>
      <c r="Y21" s="501">
        <f t="shared" si="16"/>
        <v>21453.67224</v>
      </c>
      <c r="Z21" s="501">
        <f t="shared" si="17"/>
        <v>25239.614400000002</v>
      </c>
      <c r="AA21" s="504">
        <f t="shared" si="0"/>
        <v>0</v>
      </c>
      <c r="AB21" s="504">
        <f t="shared" si="1"/>
        <v>0.90560586603664017</v>
      </c>
    </row>
    <row r="22" spans="1:29" ht="63.75">
      <c r="A22" s="181" t="s">
        <v>261</v>
      </c>
      <c r="B22" s="181" t="s">
        <v>835</v>
      </c>
      <c r="C22" s="501">
        <v>0</v>
      </c>
      <c r="D22" s="502">
        <v>2545</v>
      </c>
      <c r="E22" s="501">
        <v>0</v>
      </c>
      <c r="F22" s="502">
        <f t="shared" si="2"/>
        <v>2290.5</v>
      </c>
      <c r="G22" s="501">
        <f t="shared" si="3"/>
        <v>13200.000000000002</v>
      </c>
      <c r="H22" s="501">
        <f t="shared" si="4"/>
        <v>26400.000000000004</v>
      </c>
      <c r="I22" s="501">
        <f t="shared" si="5"/>
        <v>12000</v>
      </c>
      <c r="J22" s="501">
        <v>24000</v>
      </c>
      <c r="K22" s="502">
        <v>750</v>
      </c>
      <c r="L22" s="501">
        <f t="shared" si="6"/>
        <v>26712</v>
      </c>
      <c r="M22" s="501">
        <f t="shared" si="7"/>
        <v>17640</v>
      </c>
      <c r="N22" s="501">
        <f t="shared" si="8"/>
        <v>25200</v>
      </c>
      <c r="O22" s="502">
        <v>800</v>
      </c>
      <c r="P22" s="501">
        <f t="shared" si="9"/>
        <v>27256.32</v>
      </c>
      <c r="Q22" s="501">
        <f t="shared" si="10"/>
        <v>18345.599999999999</v>
      </c>
      <c r="R22" s="501">
        <f t="shared" si="11"/>
        <v>26208</v>
      </c>
      <c r="S22" s="502">
        <v>850</v>
      </c>
      <c r="T22" s="501">
        <f t="shared" si="12"/>
        <v>28343.952000000001</v>
      </c>
      <c r="U22" s="501">
        <f t="shared" si="13"/>
        <v>21595.392000000003</v>
      </c>
      <c r="V22" s="501">
        <f t="shared" si="14"/>
        <v>26994.240000000002</v>
      </c>
      <c r="W22" s="501">
        <v>27000</v>
      </c>
      <c r="X22" s="501">
        <f t="shared" si="15"/>
        <v>28910.831040000001</v>
      </c>
      <c r="Y22" s="501">
        <f t="shared" si="16"/>
        <v>23404.006079999999</v>
      </c>
      <c r="Z22" s="501">
        <f t="shared" si="17"/>
        <v>27534.124800000001</v>
      </c>
      <c r="AA22" s="504">
        <f t="shared" si="0"/>
        <v>0</v>
      </c>
      <c r="AB22" s="504">
        <f t="shared" si="1"/>
        <v>0.93390604935028532</v>
      </c>
    </row>
    <row r="23" spans="1:29" ht="38.25">
      <c r="A23" s="181" t="s">
        <v>263</v>
      </c>
      <c r="B23" s="181" t="s">
        <v>836</v>
      </c>
      <c r="C23" s="501">
        <v>0</v>
      </c>
      <c r="D23" s="502">
        <v>53715</v>
      </c>
      <c r="E23" s="501">
        <v>0</v>
      </c>
      <c r="F23" s="502">
        <f t="shared" si="2"/>
        <v>48343.5</v>
      </c>
      <c r="G23" s="501">
        <f t="shared" si="3"/>
        <v>27500.000000000004</v>
      </c>
      <c r="H23" s="501">
        <f t="shared" si="4"/>
        <v>55000.000000000007</v>
      </c>
      <c r="I23" s="501">
        <f t="shared" si="5"/>
        <v>25000</v>
      </c>
      <c r="J23" s="501">
        <v>50000</v>
      </c>
      <c r="K23" s="502">
        <v>10000</v>
      </c>
      <c r="L23" s="501">
        <f t="shared" si="6"/>
        <v>55650</v>
      </c>
      <c r="M23" s="501">
        <f t="shared" si="7"/>
        <v>36750</v>
      </c>
      <c r="N23" s="501">
        <f t="shared" si="8"/>
        <v>52500</v>
      </c>
      <c r="O23" s="502">
        <v>11000</v>
      </c>
      <c r="P23" s="501">
        <f t="shared" si="9"/>
        <v>56784</v>
      </c>
      <c r="Q23" s="501">
        <f t="shared" si="10"/>
        <v>38220</v>
      </c>
      <c r="R23" s="501">
        <f t="shared" si="11"/>
        <v>54600</v>
      </c>
      <c r="S23" s="502">
        <v>12000</v>
      </c>
      <c r="T23" s="501">
        <f t="shared" si="12"/>
        <v>59049.9</v>
      </c>
      <c r="U23" s="501">
        <f t="shared" si="13"/>
        <v>44990.400000000001</v>
      </c>
      <c r="V23" s="501">
        <f t="shared" si="14"/>
        <v>56238</v>
      </c>
      <c r="W23" s="501">
        <v>56000</v>
      </c>
      <c r="X23" s="501">
        <f t="shared" si="15"/>
        <v>60230.898000000001</v>
      </c>
      <c r="Y23" s="501">
        <f t="shared" si="16"/>
        <v>48758.345999999998</v>
      </c>
      <c r="Z23" s="501">
        <f t="shared" si="17"/>
        <v>57362.76</v>
      </c>
      <c r="AA23" s="504">
        <f t="shared" si="0"/>
        <v>0</v>
      </c>
      <c r="AB23" s="504">
        <f t="shared" si="1"/>
        <v>0.92975535579761737</v>
      </c>
    </row>
    <row r="24" spans="1:29" ht="38.25">
      <c r="A24" s="181" t="s">
        <v>265</v>
      </c>
      <c r="B24" s="181" t="s">
        <v>837</v>
      </c>
      <c r="C24" s="501">
        <v>0</v>
      </c>
      <c r="D24" s="502">
        <v>744000</v>
      </c>
      <c r="E24" s="501">
        <v>0</v>
      </c>
      <c r="F24" s="502">
        <f t="shared" si="2"/>
        <v>669600</v>
      </c>
      <c r="G24" s="501">
        <f t="shared" si="3"/>
        <v>385000.00000000006</v>
      </c>
      <c r="H24" s="501">
        <f t="shared" si="4"/>
        <v>770000.00000000012</v>
      </c>
      <c r="I24" s="501">
        <f t="shared" si="5"/>
        <v>350000</v>
      </c>
      <c r="J24" s="501">
        <v>700000</v>
      </c>
      <c r="K24" s="501">
        <v>150000</v>
      </c>
      <c r="L24" s="501">
        <f t="shared" si="6"/>
        <v>779100</v>
      </c>
      <c r="M24" s="501">
        <f t="shared" si="7"/>
        <v>514499.99999999994</v>
      </c>
      <c r="N24" s="501">
        <f t="shared" si="8"/>
        <v>735000</v>
      </c>
      <c r="O24" s="501">
        <v>165000</v>
      </c>
      <c r="P24" s="501">
        <f t="shared" si="9"/>
        <v>794976</v>
      </c>
      <c r="Q24" s="501">
        <f t="shared" si="10"/>
        <v>535080</v>
      </c>
      <c r="R24" s="501">
        <f t="shared" si="11"/>
        <v>764400</v>
      </c>
      <c r="S24" s="501">
        <v>165000</v>
      </c>
      <c r="T24" s="501">
        <f t="shared" si="12"/>
        <v>826698.60000000009</v>
      </c>
      <c r="U24" s="501">
        <f t="shared" si="13"/>
        <v>629865.60000000009</v>
      </c>
      <c r="V24" s="501">
        <f t="shared" si="14"/>
        <v>787332</v>
      </c>
      <c r="W24" s="501">
        <v>800000</v>
      </c>
      <c r="X24" s="501">
        <f t="shared" si="15"/>
        <v>843232.57200000004</v>
      </c>
      <c r="Y24" s="501">
        <f t="shared" si="16"/>
        <v>682616.84400000004</v>
      </c>
      <c r="Z24" s="501">
        <f t="shared" si="17"/>
        <v>803078.64</v>
      </c>
      <c r="AA24" s="504">
        <f t="shared" si="0"/>
        <v>0</v>
      </c>
      <c r="AB24" s="504">
        <f t="shared" si="1"/>
        <v>0.94872995489552792</v>
      </c>
    </row>
    <row r="25" spans="1:29" ht="29.2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05" t="s">
        <v>123</v>
      </c>
      <c r="AA25" s="504">
        <f>AVERAGE(AA6:AA24)</f>
        <v>0</v>
      </c>
      <c r="AB25" s="504">
        <f>AVERAGE(AB6:AB24)</f>
        <v>0.92272625447098267</v>
      </c>
    </row>
    <row r="26" spans="1:29">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248"/>
      <c r="AA26" s="503"/>
      <c r="AB26" s="503"/>
      <c r="AC26" s="51"/>
    </row>
    <row r="27" spans="1:29" ht="23.25">
      <c r="A27" s="772" t="s">
        <v>25</v>
      </c>
      <c r="B27" s="772"/>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393"/>
      <c r="AB27" s="393"/>
    </row>
    <row r="28" spans="1:29" ht="45.75" customHeight="1">
      <c r="A28" s="694" t="s">
        <v>3</v>
      </c>
      <c r="B28" s="652" t="s">
        <v>26</v>
      </c>
      <c r="C28" s="700" t="s">
        <v>27</v>
      </c>
      <c r="D28" s="701"/>
      <c r="E28" s="701"/>
      <c r="F28" s="702"/>
      <c r="G28" s="693" t="s">
        <v>28</v>
      </c>
      <c r="H28" s="693"/>
      <c r="I28" s="693"/>
      <c r="J28" s="693"/>
      <c r="K28" s="693"/>
      <c r="L28" s="693"/>
      <c r="M28" s="693"/>
      <c r="N28" s="693"/>
      <c r="O28" s="693"/>
      <c r="P28" s="693"/>
      <c r="Q28" s="693"/>
      <c r="R28" s="693"/>
      <c r="S28" s="693"/>
      <c r="T28" s="693"/>
      <c r="U28" s="693"/>
      <c r="V28" s="693"/>
      <c r="W28" s="693"/>
      <c r="X28" s="693"/>
      <c r="Y28" s="693"/>
      <c r="Z28" s="693"/>
      <c r="AA28" s="694" t="s">
        <v>124</v>
      </c>
      <c r="AB28" s="694" t="s">
        <v>125</v>
      </c>
    </row>
    <row r="29" spans="1:29" ht="45" customHeight="1">
      <c r="A29" s="695"/>
      <c r="B29" s="653"/>
      <c r="C29" s="703"/>
      <c r="D29" s="704"/>
      <c r="E29" s="704"/>
      <c r="F29" s="705"/>
      <c r="G29" s="693" t="s">
        <v>9</v>
      </c>
      <c r="H29" s="693"/>
      <c r="I29" s="693"/>
      <c r="J29" s="693"/>
      <c r="K29" s="693" t="s">
        <v>10</v>
      </c>
      <c r="L29" s="693"/>
      <c r="M29" s="693"/>
      <c r="N29" s="693"/>
      <c r="O29" s="693" t="s">
        <v>11</v>
      </c>
      <c r="P29" s="693"/>
      <c r="Q29" s="693"/>
      <c r="R29" s="693"/>
      <c r="S29" s="693" t="s">
        <v>12</v>
      </c>
      <c r="T29" s="693"/>
      <c r="U29" s="693"/>
      <c r="V29" s="693"/>
      <c r="W29" s="693" t="s">
        <v>13</v>
      </c>
      <c r="X29" s="693"/>
      <c r="Y29" s="693"/>
      <c r="Z29" s="693"/>
      <c r="AA29" s="695"/>
      <c r="AB29" s="695"/>
    </row>
    <row r="30" spans="1:29" ht="78.75" customHeight="1">
      <c r="A30" s="696"/>
      <c r="B30" s="654"/>
      <c r="C30" s="500" t="s">
        <v>31</v>
      </c>
      <c r="D30" s="500" t="s">
        <v>32</v>
      </c>
      <c r="E30" s="500" t="s">
        <v>33</v>
      </c>
      <c r="F30" s="500" t="s">
        <v>17</v>
      </c>
      <c r="G30" s="500" t="s">
        <v>34</v>
      </c>
      <c r="H30" s="500" t="s">
        <v>32</v>
      </c>
      <c r="I30" s="500" t="s">
        <v>33</v>
      </c>
      <c r="J30" s="500" t="s">
        <v>19</v>
      </c>
      <c r="K30" s="500" t="s">
        <v>34</v>
      </c>
      <c r="L30" s="500" t="s">
        <v>32</v>
      </c>
      <c r="M30" s="500" t="s">
        <v>33</v>
      </c>
      <c r="N30" s="500" t="s">
        <v>19</v>
      </c>
      <c r="O30" s="500" t="s">
        <v>34</v>
      </c>
      <c r="P30" s="500" t="s">
        <v>32</v>
      </c>
      <c r="Q30" s="500" t="s">
        <v>33</v>
      </c>
      <c r="R30" s="500" t="s">
        <v>19</v>
      </c>
      <c r="S30" s="500" t="s">
        <v>34</v>
      </c>
      <c r="T30" s="500" t="s">
        <v>32</v>
      </c>
      <c r="U30" s="500" t="s">
        <v>33</v>
      </c>
      <c r="V30" s="500" t="s">
        <v>19</v>
      </c>
      <c r="W30" s="500" t="s">
        <v>34</v>
      </c>
      <c r="X30" s="500" t="s">
        <v>32</v>
      </c>
      <c r="Y30" s="500" t="s">
        <v>33</v>
      </c>
      <c r="Z30" s="500" t="s">
        <v>19</v>
      </c>
      <c r="AA30" s="696"/>
      <c r="AB30" s="696"/>
    </row>
    <row r="31" spans="1:29" ht="51">
      <c r="A31" s="181" t="s">
        <v>20</v>
      </c>
      <c r="B31" s="181" t="s">
        <v>838</v>
      </c>
      <c r="C31" s="501">
        <v>5000</v>
      </c>
      <c r="D31" s="501">
        <v>6500</v>
      </c>
      <c r="E31" s="501">
        <v>165</v>
      </c>
      <c r="F31" s="501">
        <v>170</v>
      </c>
      <c r="G31" s="501">
        <f>C31*6</f>
        <v>30000</v>
      </c>
      <c r="H31" s="501">
        <v>32000</v>
      </c>
      <c r="I31" s="501">
        <f>E31*6</f>
        <v>990</v>
      </c>
      <c r="J31" s="501">
        <v>1074</v>
      </c>
      <c r="K31" s="501">
        <f>G31*1.1</f>
        <v>33000</v>
      </c>
      <c r="L31" s="501">
        <v>34000</v>
      </c>
      <c r="M31" s="501">
        <f>I31*1.1</f>
        <v>1089</v>
      </c>
      <c r="N31" s="501">
        <f>J31*1.1</f>
        <v>1181.4000000000001</v>
      </c>
      <c r="O31" s="501">
        <f t="shared" ref="O31:R32" si="18">K31*1.2</f>
        <v>39600</v>
      </c>
      <c r="P31" s="501">
        <f t="shared" si="18"/>
        <v>40800</v>
      </c>
      <c r="Q31" s="501">
        <f t="shared" si="18"/>
        <v>1306.8</v>
      </c>
      <c r="R31" s="501">
        <f t="shared" si="18"/>
        <v>1417.68</v>
      </c>
      <c r="S31" s="501">
        <f>O31*1.3</f>
        <v>51480</v>
      </c>
      <c r="T31" s="501">
        <v>52000</v>
      </c>
      <c r="U31" s="501">
        <f>Q31*1.3</f>
        <v>1698.84</v>
      </c>
      <c r="V31" s="501">
        <f>R31*1.3</f>
        <v>1842.9840000000002</v>
      </c>
      <c r="W31" s="501">
        <f t="shared" ref="W31:Z32" si="19">S31*1.5</f>
        <v>77220</v>
      </c>
      <c r="X31" s="501">
        <f t="shared" si="19"/>
        <v>78000</v>
      </c>
      <c r="Y31" s="501">
        <f t="shared" si="19"/>
        <v>2548.2599999999998</v>
      </c>
      <c r="Z31" s="501">
        <f t="shared" si="19"/>
        <v>2764.4760000000001</v>
      </c>
      <c r="AA31" s="504">
        <f>C31/W31</f>
        <v>6.4750064750064756E-2</v>
      </c>
      <c r="AB31" s="504">
        <f>W31/X31</f>
        <v>0.99</v>
      </c>
    </row>
    <row r="32" spans="1:29" ht="114.75">
      <c r="A32" s="181" t="s">
        <v>36</v>
      </c>
      <c r="B32" s="181" t="s">
        <v>839</v>
      </c>
      <c r="C32" s="501">
        <v>5000</v>
      </c>
      <c r="D32" s="501">
        <v>6500</v>
      </c>
      <c r="E32" s="501">
        <v>165</v>
      </c>
      <c r="F32" s="501">
        <v>170</v>
      </c>
      <c r="G32" s="501">
        <f>C32*6</f>
        <v>30000</v>
      </c>
      <c r="H32" s="501">
        <v>32000</v>
      </c>
      <c r="I32" s="501">
        <f>E32*6</f>
        <v>990</v>
      </c>
      <c r="J32" s="501">
        <v>1074</v>
      </c>
      <c r="K32" s="501">
        <f>G32*1.1</f>
        <v>33000</v>
      </c>
      <c r="L32" s="501">
        <v>34000</v>
      </c>
      <c r="M32" s="501">
        <f>I32*1.1</f>
        <v>1089</v>
      </c>
      <c r="N32" s="501">
        <f>J32*1.1</f>
        <v>1181.4000000000001</v>
      </c>
      <c r="O32" s="501">
        <f t="shared" si="18"/>
        <v>39600</v>
      </c>
      <c r="P32" s="501">
        <f t="shared" si="18"/>
        <v>40800</v>
      </c>
      <c r="Q32" s="501">
        <f t="shared" si="18"/>
        <v>1306.8</v>
      </c>
      <c r="R32" s="501">
        <f t="shared" si="18"/>
        <v>1417.68</v>
      </c>
      <c r="S32" s="501">
        <f>O32*1.3</f>
        <v>51480</v>
      </c>
      <c r="T32" s="501">
        <v>52000</v>
      </c>
      <c r="U32" s="501">
        <f>Q32*1.3</f>
        <v>1698.84</v>
      </c>
      <c r="V32" s="501">
        <f>R32*1.3</f>
        <v>1842.9840000000002</v>
      </c>
      <c r="W32" s="501">
        <f t="shared" si="19"/>
        <v>77220</v>
      </c>
      <c r="X32" s="501">
        <f t="shared" si="19"/>
        <v>78000</v>
      </c>
      <c r="Y32" s="501">
        <f t="shared" si="19"/>
        <v>2548.2599999999998</v>
      </c>
      <c r="Z32" s="501">
        <f t="shared" si="19"/>
        <v>2764.4760000000001</v>
      </c>
      <c r="AA32" s="504">
        <f>C32/W32</f>
        <v>6.4750064750064756E-2</v>
      </c>
      <c r="AB32" s="504">
        <f>W32/X32</f>
        <v>0.99</v>
      </c>
    </row>
    <row r="33" spans="1:28" ht="39.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439" t="s">
        <v>123</v>
      </c>
      <c r="AA33" s="504">
        <f>AVERAGE(AA31:AA32)</f>
        <v>6.4750064750064756E-2</v>
      </c>
      <c r="AB33" s="504">
        <f>AVERAGE(AB31:AB32)</f>
        <v>0.99</v>
      </c>
    </row>
    <row r="34" spans="1:28">
      <c r="A34" s="77"/>
      <c r="B34" s="77" t="s">
        <v>40</v>
      </c>
    </row>
    <row r="36" spans="1:28" ht="31.5" customHeight="1">
      <c r="A36" s="10" t="s">
        <v>41</v>
      </c>
      <c r="B36" s="602" t="s">
        <v>42</v>
      </c>
      <c r="C36" s="602"/>
      <c r="D36" s="602"/>
      <c r="E36" s="602"/>
      <c r="F36" s="602"/>
      <c r="G36" s="602"/>
      <c r="H36" s="602"/>
      <c r="I36" s="602"/>
      <c r="J36" s="602"/>
      <c r="K36" s="602"/>
      <c r="L36" s="602"/>
      <c r="M36" s="602"/>
      <c r="N36" s="602"/>
      <c r="O36" s="602"/>
      <c r="P36" s="602"/>
      <c r="Q36" s="602"/>
      <c r="R36" s="602"/>
    </row>
    <row r="37" spans="1:28" ht="31.5" customHeight="1">
      <c r="A37" s="10" t="s">
        <v>43</v>
      </c>
      <c r="B37" s="602" t="s">
        <v>44</v>
      </c>
      <c r="C37" s="602"/>
      <c r="D37" s="602"/>
      <c r="E37" s="602"/>
      <c r="F37" s="602"/>
      <c r="G37" s="602"/>
      <c r="H37" s="602"/>
      <c r="I37" s="602"/>
      <c r="J37" s="602"/>
      <c r="K37" s="602"/>
      <c r="L37" s="602"/>
      <c r="M37" s="602"/>
      <c r="N37" s="602"/>
      <c r="O37" s="602"/>
      <c r="P37" s="602"/>
      <c r="Q37" s="602"/>
      <c r="R37" s="602"/>
    </row>
    <row r="38" spans="1:28" ht="31.5" customHeight="1">
      <c r="B38" s="602" t="s">
        <v>45</v>
      </c>
      <c r="C38" s="602"/>
      <c r="D38" s="602"/>
      <c r="E38" s="602"/>
      <c r="F38" s="602"/>
      <c r="G38" s="602"/>
      <c r="H38" s="602"/>
      <c r="I38" s="602"/>
      <c r="J38" s="602"/>
      <c r="K38" s="602"/>
      <c r="L38" s="602"/>
      <c r="M38" s="602"/>
      <c r="N38" s="602"/>
      <c r="O38" s="602"/>
      <c r="P38" s="602"/>
      <c r="Q38" s="602"/>
      <c r="R38" s="602"/>
    </row>
    <row r="39" spans="1:28" ht="31.5" customHeight="1">
      <c r="B39" s="602" t="s">
        <v>46</v>
      </c>
      <c r="C39" s="602"/>
      <c r="D39" s="602"/>
      <c r="E39" s="602"/>
      <c r="F39" s="602"/>
      <c r="G39" s="602"/>
      <c r="H39" s="602"/>
      <c r="I39" s="602"/>
      <c r="J39" s="602"/>
      <c r="K39" s="602"/>
      <c r="L39" s="602"/>
      <c r="M39" s="602"/>
      <c r="N39" s="602"/>
      <c r="O39" s="602"/>
      <c r="P39" s="602"/>
      <c r="Q39" s="602"/>
      <c r="R39" s="602"/>
    </row>
    <row r="40" spans="1:28" ht="31.5" customHeight="1">
      <c r="B40" s="602" t="s">
        <v>47</v>
      </c>
      <c r="C40" s="602"/>
      <c r="D40" s="602"/>
      <c r="E40" s="602"/>
      <c r="F40" s="602"/>
      <c r="G40" s="602"/>
      <c r="H40" s="602"/>
      <c r="I40" s="602"/>
      <c r="J40" s="602"/>
      <c r="K40" s="602"/>
      <c r="L40" s="602"/>
      <c r="M40" s="602"/>
      <c r="N40" s="602"/>
      <c r="O40" s="602"/>
      <c r="P40" s="602"/>
      <c r="Q40" s="602"/>
      <c r="R40" s="602"/>
    </row>
    <row r="41" spans="1:28" ht="31.5" customHeight="1">
      <c r="B41" s="602" t="s">
        <v>48</v>
      </c>
      <c r="C41" s="602"/>
      <c r="D41" s="602"/>
      <c r="E41" s="602"/>
      <c r="F41" s="602"/>
      <c r="G41" s="602"/>
      <c r="H41" s="602"/>
      <c r="I41" s="602"/>
      <c r="J41" s="602"/>
      <c r="K41" s="602"/>
      <c r="L41" s="602"/>
      <c r="M41" s="602"/>
      <c r="N41" s="602"/>
      <c r="O41" s="602"/>
      <c r="P41" s="602"/>
      <c r="Q41" s="602"/>
      <c r="R41" s="602"/>
    </row>
    <row r="42" spans="1:28" ht="73.5" customHeight="1">
      <c r="B42" s="602" t="s">
        <v>49</v>
      </c>
      <c r="C42" s="602"/>
      <c r="D42" s="602"/>
      <c r="E42" s="602"/>
      <c r="F42" s="602"/>
      <c r="G42" s="602"/>
      <c r="H42" s="602"/>
      <c r="I42" s="602"/>
      <c r="J42" s="602"/>
      <c r="K42" s="602"/>
      <c r="L42" s="602"/>
      <c r="M42" s="602"/>
      <c r="N42" s="602"/>
      <c r="O42" s="602"/>
      <c r="P42" s="602"/>
      <c r="Q42" s="602"/>
      <c r="R42" s="602"/>
    </row>
    <row r="43" spans="1:28" ht="39" customHeight="1">
      <c r="B43" s="602" t="s">
        <v>50</v>
      </c>
      <c r="C43" s="602"/>
      <c r="D43" s="602"/>
      <c r="E43" s="602"/>
      <c r="F43" s="602"/>
      <c r="G43" s="602"/>
      <c r="H43" s="602"/>
      <c r="I43" s="602"/>
      <c r="J43" s="602"/>
      <c r="K43" s="602"/>
      <c r="L43" s="602"/>
      <c r="M43" s="602"/>
      <c r="N43" s="602"/>
      <c r="O43" s="602"/>
      <c r="P43" s="602"/>
      <c r="Q43" s="602"/>
      <c r="R43" s="602"/>
    </row>
    <row r="44" spans="1:28">
      <c r="B44" s="78"/>
    </row>
    <row r="45" spans="1:28">
      <c r="B45" s="78"/>
    </row>
    <row r="46" spans="1:28">
      <c r="B46" s="462" t="s">
        <v>843</v>
      </c>
      <c r="C46" s="462"/>
      <c r="D46" s="462"/>
      <c r="E46" s="462"/>
    </row>
    <row r="47" spans="1:28">
      <c r="B47" s="462" t="s">
        <v>841</v>
      </c>
      <c r="C47" s="462"/>
      <c r="D47" s="462"/>
      <c r="E47" s="462"/>
    </row>
    <row r="48" spans="1:28">
      <c r="B48" s="462" t="s">
        <v>842</v>
      </c>
      <c r="C48" s="462"/>
      <c r="D48" s="462"/>
      <c r="E48" s="462"/>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27:Z27"/>
    <mergeCell ref="A28:A30"/>
    <mergeCell ref="B28:B30"/>
    <mergeCell ref="C28:F29"/>
    <mergeCell ref="G28:Z28"/>
    <mergeCell ref="AB28:AB30"/>
    <mergeCell ref="G29:J29"/>
    <mergeCell ref="K29:N29"/>
    <mergeCell ref="O29:R29"/>
    <mergeCell ref="S29:V29"/>
    <mergeCell ref="W29:Z29"/>
    <mergeCell ref="AA28:AA30"/>
    <mergeCell ref="B42:R42"/>
    <mergeCell ref="B43:R43"/>
    <mergeCell ref="B36:R36"/>
    <mergeCell ref="B37:R37"/>
    <mergeCell ref="B38:R38"/>
    <mergeCell ref="B39:R39"/>
    <mergeCell ref="B40:R40"/>
    <mergeCell ref="B41:R4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AD46"/>
  <sheetViews>
    <sheetView topLeftCell="B22" workbookViewId="0">
      <selection activeCell="B25" sqref="B24:R25"/>
    </sheetView>
  </sheetViews>
  <sheetFormatPr defaultRowHeight="15"/>
  <cols>
    <col min="1" max="1" width="5" customWidth="1"/>
    <col min="2" max="2" width="26.28515625" customWidth="1"/>
    <col min="3" max="6" width="7.7109375" customWidth="1"/>
    <col min="7" max="26" width="7" customWidth="1"/>
    <col min="27" max="28" width="14" customWidth="1"/>
  </cols>
  <sheetData>
    <row r="1" spans="1:30" s="1" customFormat="1" ht="71.25" customHeight="1">
      <c r="A1" s="529" t="s">
        <v>0</v>
      </c>
      <c r="B1" s="529"/>
      <c r="C1" s="529"/>
      <c r="D1" s="529"/>
      <c r="E1" s="529"/>
      <c r="F1" s="578" t="s">
        <v>128</v>
      </c>
      <c r="G1" s="578"/>
      <c r="H1" s="578"/>
      <c r="I1" s="578"/>
      <c r="J1" s="578"/>
      <c r="K1" s="578"/>
      <c r="L1" s="578"/>
      <c r="M1" s="578"/>
      <c r="N1" s="578"/>
      <c r="O1" s="578"/>
      <c r="P1" s="578"/>
      <c r="Q1" s="578"/>
      <c r="R1" s="578"/>
      <c r="S1" s="578"/>
      <c r="T1" s="578"/>
      <c r="U1" s="578"/>
      <c r="V1" s="578"/>
      <c r="W1" s="578"/>
      <c r="X1" s="578"/>
      <c r="Y1" s="578"/>
      <c r="Z1" s="578"/>
      <c r="AA1" s="38"/>
      <c r="AB1" s="38"/>
    </row>
    <row r="2" spans="1:30"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39"/>
      <c r="AB2" s="39"/>
    </row>
    <row r="3" spans="1:30">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5" t="s">
        <v>7</v>
      </c>
      <c r="AB3" s="510" t="s">
        <v>8</v>
      </c>
      <c r="AD3" s="11"/>
    </row>
    <row r="4" spans="1:30">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27"/>
      <c r="AB4" s="511"/>
    </row>
    <row r="5" spans="1:30" ht="110.2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28"/>
      <c r="AB5" s="512"/>
    </row>
    <row r="6" spans="1:30" ht="51">
      <c r="A6" s="6" t="s">
        <v>20</v>
      </c>
      <c r="B6" s="6" t="s">
        <v>132</v>
      </c>
      <c r="C6" s="6">
        <v>0</v>
      </c>
      <c r="D6" s="6">
        <f>(240+480)/2</f>
        <v>360</v>
      </c>
      <c r="E6" s="6">
        <v>0</v>
      </c>
      <c r="F6" s="6">
        <v>360</v>
      </c>
      <c r="G6" s="6">
        <v>360</v>
      </c>
      <c r="H6" s="6">
        <f>D6</f>
        <v>360</v>
      </c>
      <c r="I6" s="6">
        <f>G6</f>
        <v>360</v>
      </c>
      <c r="J6" s="6">
        <f>D6</f>
        <v>360</v>
      </c>
      <c r="K6" s="6">
        <v>500</v>
      </c>
      <c r="L6" s="6">
        <v>500</v>
      </c>
      <c r="M6" s="6">
        <v>500</v>
      </c>
      <c r="N6" s="6">
        <v>500</v>
      </c>
      <c r="O6" s="6">
        <v>750</v>
      </c>
      <c r="P6" s="6">
        <v>750</v>
      </c>
      <c r="Q6" s="6">
        <v>750</v>
      </c>
      <c r="R6" s="6">
        <v>750</v>
      </c>
      <c r="S6" s="6">
        <v>1000</v>
      </c>
      <c r="T6" s="6">
        <v>1000</v>
      </c>
      <c r="U6" s="6">
        <f>S6</f>
        <v>1000</v>
      </c>
      <c r="V6" s="6">
        <v>1000</v>
      </c>
      <c r="W6" s="6">
        <v>1500</v>
      </c>
      <c r="X6" s="6">
        <v>1500</v>
      </c>
      <c r="Y6" s="6">
        <v>1500</v>
      </c>
      <c r="Z6" s="40">
        <v>1500</v>
      </c>
      <c r="AA6" s="431">
        <f>C6/W6</f>
        <v>0</v>
      </c>
      <c r="AB6" s="431">
        <f>W6/X6</f>
        <v>1</v>
      </c>
    </row>
    <row r="7" spans="1:30" ht="38.25">
      <c r="A7" s="6" t="s">
        <v>22</v>
      </c>
      <c r="B7" s="6" t="s">
        <v>133</v>
      </c>
      <c r="C7" s="6">
        <v>0</v>
      </c>
      <c r="D7" s="6">
        <v>0</v>
      </c>
      <c r="E7" s="6">
        <v>0</v>
      </c>
      <c r="F7" s="6">
        <v>0</v>
      </c>
      <c r="G7" s="6">
        <v>50000</v>
      </c>
      <c r="H7" s="6">
        <v>50000</v>
      </c>
      <c r="I7" s="6">
        <v>50000</v>
      </c>
      <c r="J7" s="6">
        <v>50000</v>
      </c>
      <c r="K7" s="6">
        <v>200000</v>
      </c>
      <c r="L7" s="6">
        <v>200000</v>
      </c>
      <c r="M7" s="6">
        <v>200000</v>
      </c>
      <c r="N7" s="6">
        <v>200000</v>
      </c>
      <c r="O7" s="6">
        <v>300000</v>
      </c>
      <c r="P7" s="6">
        <v>300000</v>
      </c>
      <c r="Q7" s="6">
        <f>P7</f>
        <v>300000</v>
      </c>
      <c r="R7" s="6">
        <f>O7</f>
        <v>300000</v>
      </c>
      <c r="S7" s="6">
        <v>400000</v>
      </c>
      <c r="T7" s="6">
        <v>400000</v>
      </c>
      <c r="U7" s="6">
        <v>400000</v>
      </c>
      <c r="V7" s="6">
        <v>400000</v>
      </c>
      <c r="W7" s="6">
        <v>500000</v>
      </c>
      <c r="X7" s="6">
        <v>500000</v>
      </c>
      <c r="Y7" s="6">
        <v>500000</v>
      </c>
      <c r="Z7" s="40">
        <v>500000</v>
      </c>
      <c r="AA7" s="431">
        <f t="shared" ref="AA7:AA10" si="0">C7/W7</f>
        <v>0</v>
      </c>
      <c r="AB7" s="431">
        <f t="shared" ref="AB7:AB10" si="1">W7/X7</f>
        <v>1</v>
      </c>
    </row>
    <row r="8" spans="1:30" ht="25.5">
      <c r="A8" s="6" t="s">
        <v>61</v>
      </c>
      <c r="B8" s="6" t="s">
        <v>134</v>
      </c>
      <c r="C8" s="6">
        <v>0</v>
      </c>
      <c r="D8" s="6">
        <v>90000</v>
      </c>
      <c r="E8" s="6">
        <v>0</v>
      </c>
      <c r="F8" s="6">
        <f>D8</f>
        <v>90000</v>
      </c>
      <c r="G8" s="6">
        <v>1000</v>
      </c>
      <c r="H8" s="6">
        <f>D8</f>
        <v>90000</v>
      </c>
      <c r="I8" s="6">
        <v>1000</v>
      </c>
      <c r="J8" s="6">
        <f>F8</f>
        <v>90000</v>
      </c>
      <c r="K8" s="6">
        <v>10000</v>
      </c>
      <c r="L8" s="6">
        <v>90000</v>
      </c>
      <c r="M8" s="6">
        <v>10000</v>
      </c>
      <c r="N8" s="6">
        <v>90000</v>
      </c>
      <c r="O8" s="6">
        <v>15000</v>
      </c>
      <c r="P8" s="6">
        <v>90000</v>
      </c>
      <c r="Q8" s="6">
        <v>15000</v>
      </c>
      <c r="R8" s="6">
        <v>90000</v>
      </c>
      <c r="S8" s="6">
        <v>20000</v>
      </c>
      <c r="T8" s="6">
        <v>90000</v>
      </c>
      <c r="U8" s="6">
        <v>20000</v>
      </c>
      <c r="V8" s="6">
        <v>90000</v>
      </c>
      <c r="W8" s="6">
        <v>30000</v>
      </c>
      <c r="X8" s="6">
        <v>90000</v>
      </c>
      <c r="Y8" s="6">
        <v>30000</v>
      </c>
      <c r="Z8" s="40">
        <v>90000</v>
      </c>
      <c r="AA8" s="431">
        <f t="shared" si="0"/>
        <v>0</v>
      </c>
      <c r="AB8" s="451">
        <f t="shared" si="1"/>
        <v>0.33333333333333331</v>
      </c>
    </row>
    <row r="9" spans="1:30" ht="76.5">
      <c r="A9" s="41" t="s">
        <v>63</v>
      </c>
      <c r="B9" s="6" t="s">
        <v>135</v>
      </c>
      <c r="C9" s="6">
        <v>0</v>
      </c>
      <c r="D9" s="6">
        <f>(7126*2)+(4196*2)+(280*2)-4</f>
        <v>23200</v>
      </c>
      <c r="E9" s="6">
        <v>0</v>
      </c>
      <c r="F9" s="6">
        <v>135</v>
      </c>
      <c r="G9" s="6">
        <f>7126*2-2+11000</f>
        <v>25250</v>
      </c>
      <c r="H9" s="6">
        <f>D9+11000</f>
        <v>34200</v>
      </c>
      <c r="I9" s="6">
        <v>200</v>
      </c>
      <c r="J9" s="6">
        <v>200</v>
      </c>
      <c r="K9" s="6">
        <v>34200</v>
      </c>
      <c r="L9" s="6">
        <v>34200</v>
      </c>
      <c r="M9" s="6">
        <v>200</v>
      </c>
      <c r="N9" s="6">
        <v>200</v>
      </c>
      <c r="O9" s="6">
        <v>34200</v>
      </c>
      <c r="P9" s="6">
        <v>34200</v>
      </c>
      <c r="Q9" s="6">
        <v>200</v>
      </c>
      <c r="R9" s="6">
        <v>200</v>
      </c>
      <c r="S9" s="6">
        <v>34200</v>
      </c>
      <c r="T9" s="6">
        <v>34200</v>
      </c>
      <c r="U9" s="6">
        <v>200</v>
      </c>
      <c r="V9" s="6">
        <v>200</v>
      </c>
      <c r="W9" s="6">
        <v>34200</v>
      </c>
      <c r="X9" s="6">
        <v>34200</v>
      </c>
      <c r="Y9" s="6">
        <v>200</v>
      </c>
      <c r="Z9" s="40">
        <v>200</v>
      </c>
      <c r="AA9" s="431">
        <f t="shared" si="0"/>
        <v>0</v>
      </c>
      <c r="AB9" s="431">
        <f t="shared" si="1"/>
        <v>1</v>
      </c>
    </row>
    <row r="10" spans="1:30" ht="38.25">
      <c r="A10" s="41" t="s">
        <v>136</v>
      </c>
      <c r="B10" s="6" t="s">
        <v>137</v>
      </c>
      <c r="C10" s="6">
        <v>36</v>
      </c>
      <c r="D10" s="6">
        <v>36</v>
      </c>
      <c r="E10" s="6">
        <v>3</v>
      </c>
      <c r="F10" s="6">
        <v>3</v>
      </c>
      <c r="G10" s="6">
        <f>5*12</f>
        <v>60</v>
      </c>
      <c r="H10" s="6">
        <f>5*12</f>
        <v>60</v>
      </c>
      <c r="I10" s="6">
        <v>5</v>
      </c>
      <c r="J10" s="6">
        <v>5</v>
      </c>
      <c r="K10" s="6">
        <f>7*12</f>
        <v>84</v>
      </c>
      <c r="L10" s="6">
        <f>7*12</f>
        <v>84</v>
      </c>
      <c r="M10" s="6">
        <v>7</v>
      </c>
      <c r="N10" s="6">
        <v>7</v>
      </c>
      <c r="O10" s="6">
        <f>10*12</f>
        <v>120</v>
      </c>
      <c r="P10" s="6">
        <f>10*12</f>
        <v>120</v>
      </c>
      <c r="Q10" s="6">
        <v>10</v>
      </c>
      <c r="R10" s="6">
        <v>10</v>
      </c>
      <c r="S10" s="6">
        <f>12*12</f>
        <v>144</v>
      </c>
      <c r="T10" s="6">
        <f>12*12</f>
        <v>144</v>
      </c>
      <c r="U10" s="6">
        <v>12</v>
      </c>
      <c r="V10" s="6">
        <v>12</v>
      </c>
      <c r="W10" s="6">
        <f>15*12</f>
        <v>180</v>
      </c>
      <c r="X10" s="6">
        <f>15*12</f>
        <v>180</v>
      </c>
      <c r="Y10" s="6">
        <v>15</v>
      </c>
      <c r="Z10" s="40">
        <v>15</v>
      </c>
      <c r="AA10" s="431">
        <f t="shared" si="0"/>
        <v>0.2</v>
      </c>
      <c r="AB10" s="431">
        <f t="shared" si="1"/>
        <v>1</v>
      </c>
    </row>
    <row r="11" spans="1:30">
      <c r="Z11" s="42" t="s">
        <v>138</v>
      </c>
      <c r="AA11" s="431">
        <f>AVERAGE(AA6:AA10)</f>
        <v>0.04</v>
      </c>
      <c r="AB11" s="431">
        <f>AVERAGE(AB6:AB10)</f>
        <v>0.86666666666666681</v>
      </c>
    </row>
    <row r="12" spans="1:30" ht="23.25">
      <c r="A12" s="514" t="s">
        <v>25</v>
      </c>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39"/>
      <c r="AB12" s="39"/>
    </row>
    <row r="13" spans="1:30">
      <c r="A13" s="515" t="s">
        <v>3</v>
      </c>
      <c r="B13" s="518" t="s">
        <v>26</v>
      </c>
      <c r="C13" s="521" t="s">
        <v>139</v>
      </c>
      <c r="D13" s="522"/>
      <c r="E13" s="522"/>
      <c r="F13" s="523"/>
      <c r="G13" s="513" t="s">
        <v>28</v>
      </c>
      <c r="H13" s="513"/>
      <c r="I13" s="513"/>
      <c r="J13" s="513"/>
      <c r="K13" s="513"/>
      <c r="L13" s="513"/>
      <c r="M13" s="513"/>
      <c r="N13" s="513"/>
      <c r="O13" s="513"/>
      <c r="P13" s="513"/>
      <c r="Q13" s="513"/>
      <c r="R13" s="513"/>
      <c r="S13" s="513"/>
      <c r="T13" s="513"/>
      <c r="U13" s="513"/>
      <c r="V13" s="513"/>
      <c r="W13" s="513"/>
      <c r="X13" s="513"/>
      <c r="Y13" s="513"/>
      <c r="Z13" s="513"/>
      <c r="AA13" s="510" t="s">
        <v>29</v>
      </c>
      <c r="AB13" s="510" t="s">
        <v>30</v>
      </c>
    </row>
    <row r="14" spans="1:30">
      <c r="A14" s="516"/>
      <c r="B14" s="519"/>
      <c r="C14" s="524"/>
      <c r="D14" s="525"/>
      <c r="E14" s="525"/>
      <c r="F14" s="526"/>
      <c r="G14" s="513" t="s">
        <v>9</v>
      </c>
      <c r="H14" s="513"/>
      <c r="I14" s="513"/>
      <c r="J14" s="513"/>
      <c r="K14" s="513" t="s">
        <v>10</v>
      </c>
      <c r="L14" s="513"/>
      <c r="M14" s="513"/>
      <c r="N14" s="513"/>
      <c r="O14" s="513" t="s">
        <v>11</v>
      </c>
      <c r="P14" s="513"/>
      <c r="Q14" s="513"/>
      <c r="R14" s="513"/>
      <c r="S14" s="513" t="s">
        <v>12</v>
      </c>
      <c r="T14" s="513"/>
      <c r="U14" s="513"/>
      <c r="V14" s="513"/>
      <c r="W14" s="513" t="s">
        <v>13</v>
      </c>
      <c r="X14" s="513"/>
      <c r="Y14" s="513"/>
      <c r="Z14" s="513"/>
      <c r="AA14" s="511"/>
      <c r="AB14" s="511"/>
    </row>
    <row r="15" spans="1:30" ht="74.25">
      <c r="A15" s="517"/>
      <c r="B15" s="520"/>
      <c r="C15" s="5" t="s">
        <v>140</v>
      </c>
      <c r="D15" s="5" t="s">
        <v>32</v>
      </c>
      <c r="E15" s="5" t="s">
        <v>33</v>
      </c>
      <c r="F15" s="5" t="s">
        <v>131</v>
      </c>
      <c r="G15" s="5" t="s">
        <v>34</v>
      </c>
      <c r="H15" s="5" t="s">
        <v>32</v>
      </c>
      <c r="I15" s="5" t="s">
        <v>33</v>
      </c>
      <c r="J15" s="5" t="s">
        <v>19</v>
      </c>
      <c r="K15" s="5" t="s">
        <v>34</v>
      </c>
      <c r="L15" s="5" t="s">
        <v>32</v>
      </c>
      <c r="M15" s="5" t="s">
        <v>33</v>
      </c>
      <c r="N15" s="5" t="s">
        <v>19</v>
      </c>
      <c r="O15" s="5" t="s">
        <v>34</v>
      </c>
      <c r="P15" s="5" t="s">
        <v>32</v>
      </c>
      <c r="Q15" s="5" t="s">
        <v>33</v>
      </c>
      <c r="R15" s="5" t="s">
        <v>19</v>
      </c>
      <c r="S15" s="5" t="s">
        <v>34</v>
      </c>
      <c r="T15" s="5" t="s">
        <v>32</v>
      </c>
      <c r="U15" s="5" t="s">
        <v>33</v>
      </c>
      <c r="V15" s="5" t="s">
        <v>19</v>
      </c>
      <c r="W15" s="5" t="s">
        <v>34</v>
      </c>
      <c r="X15" s="5" t="s">
        <v>32</v>
      </c>
      <c r="Y15" s="5" t="s">
        <v>33</v>
      </c>
      <c r="Z15" s="5" t="s">
        <v>19</v>
      </c>
      <c r="AA15" s="512"/>
      <c r="AB15" s="512"/>
    </row>
    <row r="16" spans="1:30">
      <c r="A16" s="41" t="s">
        <v>20</v>
      </c>
      <c r="B16" s="43" t="s">
        <v>141</v>
      </c>
      <c r="C16" s="6"/>
      <c r="D16" s="6"/>
      <c r="E16" s="6"/>
      <c r="F16" s="6"/>
      <c r="G16" s="6"/>
      <c r="H16" s="6"/>
      <c r="I16" s="6"/>
      <c r="J16" s="6"/>
      <c r="K16" s="6"/>
      <c r="L16" s="6"/>
      <c r="M16" s="6"/>
      <c r="N16" s="6"/>
      <c r="O16" s="6"/>
      <c r="P16" s="6"/>
      <c r="Q16" s="6"/>
      <c r="R16" s="6"/>
      <c r="S16" s="6"/>
      <c r="T16" s="6"/>
      <c r="U16" s="6"/>
      <c r="V16" s="6"/>
      <c r="W16" s="6"/>
      <c r="X16" s="6"/>
      <c r="Y16" s="6"/>
      <c r="Z16" s="6"/>
      <c r="AA16" s="6"/>
      <c r="AB16" s="6"/>
    </row>
    <row r="17" spans="1:28" ht="25.5">
      <c r="A17" s="44" t="s">
        <v>36</v>
      </c>
      <c r="B17" s="6" t="s">
        <v>142</v>
      </c>
      <c r="C17" s="6">
        <v>0</v>
      </c>
      <c r="D17" s="6">
        <f>20000+70000</f>
        <v>90000</v>
      </c>
      <c r="E17" s="6">
        <v>0</v>
      </c>
      <c r="F17" s="6">
        <v>1</v>
      </c>
      <c r="G17" s="6">
        <f>100+300+600</f>
        <v>1000</v>
      </c>
      <c r="H17" s="6">
        <f>D17</f>
        <v>90000</v>
      </c>
      <c r="I17" s="6">
        <v>10</v>
      </c>
      <c r="J17" s="6">
        <v>10</v>
      </c>
      <c r="K17" s="6">
        <v>5000</v>
      </c>
      <c r="L17" s="6">
        <f>D17</f>
        <v>90000</v>
      </c>
      <c r="M17" s="6">
        <v>50</v>
      </c>
      <c r="N17" s="6">
        <v>50</v>
      </c>
      <c r="O17" s="6">
        <v>10000</v>
      </c>
      <c r="P17" s="6">
        <f>D17</f>
        <v>90000</v>
      </c>
      <c r="Q17" s="6">
        <v>70</v>
      </c>
      <c r="R17" s="6">
        <v>70</v>
      </c>
      <c r="S17" s="6">
        <v>15000</v>
      </c>
      <c r="T17" s="6">
        <f>D17</f>
        <v>90000</v>
      </c>
      <c r="U17" s="6">
        <v>100</v>
      </c>
      <c r="V17" s="6">
        <v>100</v>
      </c>
      <c r="W17" s="6">
        <v>19000</v>
      </c>
      <c r="X17" s="6">
        <v>20000</v>
      </c>
      <c r="Y17" s="6">
        <v>120</v>
      </c>
      <c r="Z17" s="6">
        <v>120</v>
      </c>
      <c r="AA17" s="431">
        <f>C17/W17</f>
        <v>0</v>
      </c>
      <c r="AB17" s="431">
        <f>W17/X17</f>
        <v>0.95</v>
      </c>
    </row>
    <row r="18" spans="1:28">
      <c r="A18" s="41" t="s">
        <v>22</v>
      </c>
      <c r="B18" s="43" t="s">
        <v>143</v>
      </c>
      <c r="C18" s="6"/>
      <c r="D18" s="6"/>
      <c r="E18" s="6"/>
      <c r="F18" s="6"/>
      <c r="G18" s="6"/>
      <c r="H18" s="6"/>
      <c r="I18" s="6"/>
      <c r="J18" s="6"/>
      <c r="K18" s="6"/>
      <c r="L18" s="6"/>
      <c r="M18" s="6"/>
      <c r="N18" s="6"/>
      <c r="O18" s="6"/>
      <c r="P18" s="6"/>
      <c r="Q18" s="6"/>
      <c r="R18" s="6"/>
      <c r="S18" s="6"/>
      <c r="T18" s="6"/>
      <c r="U18" s="6"/>
      <c r="V18" s="6"/>
      <c r="W18" s="6"/>
      <c r="X18" s="6"/>
      <c r="Y18" s="6"/>
      <c r="Z18" s="6"/>
      <c r="AA18" s="431"/>
      <c r="AB18" s="431"/>
    </row>
    <row r="19" spans="1:28" ht="25.5">
      <c r="A19" s="45" t="s">
        <v>144</v>
      </c>
      <c r="B19" s="6" t="s">
        <v>145</v>
      </c>
      <c r="C19" s="6">
        <v>0</v>
      </c>
      <c r="D19" s="6">
        <f>6972+15904+399+19373+25000+2352</f>
        <v>70000</v>
      </c>
      <c r="E19" s="6">
        <v>0</v>
      </c>
      <c r="F19" s="6">
        <v>1</v>
      </c>
      <c r="G19" s="6">
        <f>H19</f>
        <v>70000</v>
      </c>
      <c r="H19" s="6">
        <f>6972+15904+399+19373+25000+2352</f>
        <v>70000</v>
      </c>
      <c r="I19" s="6">
        <v>1</v>
      </c>
      <c r="J19" s="6">
        <v>1</v>
      </c>
      <c r="K19" s="6">
        <v>70000</v>
      </c>
      <c r="L19" s="6">
        <v>70000</v>
      </c>
      <c r="M19" s="6">
        <v>1</v>
      </c>
      <c r="N19" s="6">
        <v>1</v>
      </c>
      <c r="O19" s="6">
        <v>70000</v>
      </c>
      <c r="P19" s="6">
        <v>70000</v>
      </c>
      <c r="Q19" s="6">
        <v>1</v>
      </c>
      <c r="R19" s="6">
        <v>1</v>
      </c>
      <c r="S19" s="6">
        <v>70000</v>
      </c>
      <c r="T19" s="6">
        <v>70000</v>
      </c>
      <c r="U19" s="6">
        <v>1</v>
      </c>
      <c r="V19" s="6">
        <v>1</v>
      </c>
      <c r="W19" s="6">
        <v>70000</v>
      </c>
      <c r="X19" s="6">
        <v>70000</v>
      </c>
      <c r="Y19" s="6">
        <v>1</v>
      </c>
      <c r="Z19" s="6">
        <v>1</v>
      </c>
      <c r="AA19" s="431">
        <f t="shared" ref="AA19:AA30" si="2">C19/W19</f>
        <v>0</v>
      </c>
      <c r="AB19" s="431">
        <f t="shared" ref="AB19:AB30" si="3">W19/X19</f>
        <v>1</v>
      </c>
    </row>
    <row r="20" spans="1:28">
      <c r="A20" s="41" t="s">
        <v>61</v>
      </c>
      <c r="B20" s="43" t="s">
        <v>146</v>
      </c>
      <c r="C20" s="6"/>
      <c r="D20" s="6"/>
      <c r="E20" s="6"/>
      <c r="F20" s="6"/>
      <c r="G20" s="6"/>
      <c r="H20" s="6"/>
      <c r="I20" s="6"/>
      <c r="J20" s="6"/>
      <c r="K20" s="6"/>
      <c r="L20" s="6"/>
      <c r="M20" s="6"/>
      <c r="N20" s="6"/>
      <c r="O20" s="6"/>
      <c r="P20" s="6"/>
      <c r="Q20" s="6"/>
      <c r="R20" s="6"/>
      <c r="S20" s="6"/>
      <c r="T20" s="6"/>
      <c r="U20" s="6"/>
      <c r="V20" s="6"/>
      <c r="W20" s="6"/>
      <c r="X20" s="6"/>
      <c r="Y20" s="6"/>
      <c r="Z20" s="6"/>
      <c r="AA20" s="431"/>
      <c r="AB20" s="431"/>
    </row>
    <row r="21" spans="1:28" ht="38.25">
      <c r="A21" s="45" t="s">
        <v>147</v>
      </c>
      <c r="B21" s="6" t="s">
        <v>148</v>
      </c>
      <c r="C21" s="6">
        <v>0</v>
      </c>
      <c r="D21" s="6">
        <v>0</v>
      </c>
      <c r="E21" s="6">
        <v>0</v>
      </c>
      <c r="F21" s="6">
        <v>0</v>
      </c>
      <c r="G21" s="6">
        <f>4190000+425000</f>
        <v>4615000</v>
      </c>
      <c r="H21" s="6">
        <f>4190000+425000</f>
        <v>4615000</v>
      </c>
      <c r="I21" s="6">
        <v>50</v>
      </c>
      <c r="J21" s="6">
        <v>50</v>
      </c>
      <c r="K21" s="6">
        <f>L21</f>
        <v>25320000</v>
      </c>
      <c r="L21" s="6">
        <f>12570000+12750000</f>
        <v>25320000</v>
      </c>
      <c r="M21" s="6">
        <v>350</v>
      </c>
      <c r="N21" s="6">
        <v>350</v>
      </c>
      <c r="O21" s="6">
        <f>P21</f>
        <v>42200000</v>
      </c>
      <c r="P21" s="6">
        <f>20950000+21250000</f>
        <v>42200000</v>
      </c>
      <c r="Q21" s="6">
        <v>350</v>
      </c>
      <c r="R21" s="6">
        <v>350</v>
      </c>
      <c r="S21" s="6">
        <f>T21</f>
        <v>42223000</v>
      </c>
      <c r="T21" s="6">
        <f>20960000+21263000</f>
        <v>42223000</v>
      </c>
      <c r="U21" s="6">
        <v>350</v>
      </c>
      <c r="V21" s="6">
        <v>350</v>
      </c>
      <c r="W21" s="6">
        <f>X21</f>
        <v>42223000</v>
      </c>
      <c r="X21" s="6">
        <f>20960000+21263000</f>
        <v>42223000</v>
      </c>
      <c r="Y21" s="6">
        <v>350</v>
      </c>
      <c r="Z21" s="6">
        <v>350</v>
      </c>
      <c r="AA21" s="431">
        <f t="shared" si="2"/>
        <v>0</v>
      </c>
      <c r="AB21" s="431">
        <f t="shared" si="3"/>
        <v>1</v>
      </c>
    </row>
    <row r="22" spans="1:28">
      <c r="A22" s="41" t="s">
        <v>63</v>
      </c>
      <c r="B22" s="43" t="s">
        <v>149</v>
      </c>
      <c r="C22" s="6"/>
      <c r="D22" s="6"/>
      <c r="E22" s="6"/>
      <c r="F22" s="6"/>
      <c r="G22" s="6"/>
      <c r="H22" s="6"/>
      <c r="I22" s="6"/>
      <c r="J22" s="6"/>
      <c r="K22" s="6"/>
      <c r="L22" s="6"/>
      <c r="M22" s="6"/>
      <c r="N22" s="6"/>
      <c r="O22" s="6"/>
      <c r="P22" s="6"/>
      <c r="Q22" s="6"/>
      <c r="R22" s="6"/>
      <c r="S22" s="6"/>
      <c r="T22" s="6"/>
      <c r="U22" s="6"/>
      <c r="V22" s="6"/>
      <c r="W22" s="6"/>
      <c r="X22" s="6"/>
      <c r="Y22" s="6"/>
      <c r="Z22" s="6"/>
      <c r="AA22" s="431"/>
      <c r="AB22" s="431"/>
    </row>
    <row r="23" spans="1:28" ht="38.25">
      <c r="A23" s="45" t="s">
        <v>150</v>
      </c>
      <c r="B23" s="6" t="s">
        <v>151</v>
      </c>
      <c r="C23" s="6">
        <v>0</v>
      </c>
      <c r="D23" s="6">
        <v>80000</v>
      </c>
      <c r="E23" s="6">
        <v>0</v>
      </c>
      <c r="F23" s="6">
        <v>1</v>
      </c>
      <c r="G23" s="6">
        <v>80000</v>
      </c>
      <c r="H23" s="6">
        <v>80000</v>
      </c>
      <c r="I23" s="6">
        <v>120</v>
      </c>
      <c r="J23" s="6">
        <v>120</v>
      </c>
      <c r="K23" s="6">
        <v>80000</v>
      </c>
      <c r="L23" s="6">
        <v>80000</v>
      </c>
      <c r="M23" s="6">
        <v>120</v>
      </c>
      <c r="N23" s="6">
        <v>120</v>
      </c>
      <c r="O23" s="6">
        <v>80000</v>
      </c>
      <c r="P23" s="6">
        <v>80000</v>
      </c>
      <c r="Q23" s="6">
        <v>120</v>
      </c>
      <c r="R23" s="6">
        <v>120</v>
      </c>
      <c r="S23" s="6">
        <v>80000</v>
      </c>
      <c r="T23" s="6">
        <v>80000</v>
      </c>
      <c r="U23" s="6">
        <v>120</v>
      </c>
      <c r="V23" s="6">
        <v>120</v>
      </c>
      <c r="W23" s="6">
        <v>80000</v>
      </c>
      <c r="X23" s="6">
        <v>80000</v>
      </c>
      <c r="Y23" s="6">
        <v>120</v>
      </c>
      <c r="Z23" s="6">
        <v>120</v>
      </c>
      <c r="AA23" s="431">
        <f t="shared" si="2"/>
        <v>0</v>
      </c>
      <c r="AB23" s="431">
        <f t="shared" si="3"/>
        <v>1</v>
      </c>
    </row>
    <row r="24" spans="1:28">
      <c r="A24" s="41" t="s">
        <v>136</v>
      </c>
      <c r="B24" s="43" t="s">
        <v>152</v>
      </c>
      <c r="C24" s="6"/>
      <c r="D24" s="6"/>
      <c r="E24" s="6"/>
      <c r="F24" s="6"/>
      <c r="G24" s="6"/>
      <c r="H24" s="6"/>
      <c r="I24" s="6"/>
      <c r="J24" s="6"/>
      <c r="K24" s="6"/>
      <c r="L24" s="6"/>
      <c r="M24" s="6"/>
      <c r="N24" s="6"/>
      <c r="O24" s="6"/>
      <c r="P24" s="6"/>
      <c r="Q24" s="6"/>
      <c r="R24" s="6"/>
      <c r="S24" s="6"/>
      <c r="T24" s="6"/>
      <c r="U24" s="6"/>
      <c r="V24" s="6"/>
      <c r="W24" s="6"/>
      <c r="X24" s="6"/>
      <c r="Y24" s="6"/>
      <c r="Z24" s="6"/>
      <c r="AA24" s="431"/>
      <c r="AB24" s="431"/>
    </row>
    <row r="25" spans="1:28">
      <c r="A25" s="45" t="s">
        <v>153</v>
      </c>
      <c r="B25" s="6" t="s">
        <v>154</v>
      </c>
      <c r="C25" s="6">
        <v>0</v>
      </c>
      <c r="D25" s="6">
        <f>587+587+1535+1030+1201</f>
        <v>4940</v>
      </c>
      <c r="E25" s="6">
        <v>0</v>
      </c>
      <c r="F25" s="6">
        <v>1</v>
      </c>
      <c r="G25" s="6">
        <v>4940</v>
      </c>
      <c r="H25" s="6">
        <f>587+587+1535+1030+1201</f>
        <v>4940</v>
      </c>
      <c r="I25" s="6">
        <v>1</v>
      </c>
      <c r="J25" s="6">
        <v>1</v>
      </c>
      <c r="K25" s="6">
        <v>4940</v>
      </c>
      <c r="L25" s="6">
        <f>587+587+1535+1030+1201</f>
        <v>4940</v>
      </c>
      <c r="M25" s="6">
        <v>1</v>
      </c>
      <c r="N25" s="6">
        <v>1</v>
      </c>
      <c r="O25" s="6">
        <v>4940</v>
      </c>
      <c r="P25" s="6">
        <f>587+587+1535+1030+1201</f>
        <v>4940</v>
      </c>
      <c r="Q25" s="6">
        <v>1</v>
      </c>
      <c r="R25" s="6">
        <v>1</v>
      </c>
      <c r="S25" s="6">
        <v>4940</v>
      </c>
      <c r="T25" s="6">
        <f>587+587+1535+1030+1201</f>
        <v>4940</v>
      </c>
      <c r="U25" s="6">
        <v>1</v>
      </c>
      <c r="V25" s="6">
        <v>1</v>
      </c>
      <c r="W25" s="6">
        <v>4940</v>
      </c>
      <c r="X25" s="6">
        <f>587+587+1535+1030+1201</f>
        <v>4940</v>
      </c>
      <c r="Y25" s="6">
        <v>1</v>
      </c>
      <c r="Z25" s="6">
        <v>1</v>
      </c>
      <c r="AA25" s="431">
        <f t="shared" si="2"/>
        <v>0</v>
      </c>
      <c r="AB25" s="431">
        <f t="shared" si="3"/>
        <v>1</v>
      </c>
    </row>
    <row r="26" spans="1:28">
      <c r="A26" s="41" t="s">
        <v>155</v>
      </c>
      <c r="B26" s="43" t="s">
        <v>156</v>
      </c>
      <c r="C26" s="6"/>
      <c r="D26" s="6"/>
      <c r="E26" s="6"/>
      <c r="F26" s="6"/>
      <c r="G26" s="6"/>
      <c r="H26" s="6"/>
      <c r="I26" s="6"/>
      <c r="J26" s="6"/>
      <c r="K26" s="6"/>
      <c r="L26" s="6"/>
      <c r="M26" s="6"/>
      <c r="N26" s="6"/>
      <c r="O26" s="6"/>
      <c r="P26" s="6"/>
      <c r="Q26" s="6"/>
      <c r="R26" s="6"/>
      <c r="S26" s="6"/>
      <c r="T26" s="6"/>
      <c r="U26" s="6"/>
      <c r="V26" s="6"/>
      <c r="W26" s="6"/>
      <c r="X26" s="6"/>
      <c r="Y26" s="6"/>
      <c r="Z26" s="6"/>
      <c r="AA26" s="431"/>
      <c r="AB26" s="431"/>
    </row>
    <row r="27" spans="1:28" ht="38.25">
      <c r="A27" s="45" t="s">
        <v>157</v>
      </c>
      <c r="B27" s="6" t="s">
        <v>158</v>
      </c>
      <c r="C27" s="6">
        <v>0</v>
      </c>
      <c r="D27" s="6">
        <v>0</v>
      </c>
      <c r="E27" s="6">
        <v>0</v>
      </c>
      <c r="F27" s="6">
        <v>0</v>
      </c>
      <c r="G27" s="6">
        <f>365*5</f>
        <v>1825</v>
      </c>
      <c r="H27" s="6">
        <f>5*365</f>
        <v>1825</v>
      </c>
      <c r="I27" s="6">
        <v>1</v>
      </c>
      <c r="J27" s="6">
        <v>1</v>
      </c>
      <c r="K27" s="6">
        <f>365*5</f>
        <v>1825</v>
      </c>
      <c r="L27" s="6">
        <f>5*365</f>
        <v>1825</v>
      </c>
      <c r="M27" s="6">
        <v>1</v>
      </c>
      <c r="N27" s="6">
        <v>1</v>
      </c>
      <c r="O27" s="6">
        <f>365*5</f>
        <v>1825</v>
      </c>
      <c r="P27" s="6">
        <f>5*365</f>
        <v>1825</v>
      </c>
      <c r="Q27" s="6">
        <v>1</v>
      </c>
      <c r="R27" s="6">
        <v>1</v>
      </c>
      <c r="S27" s="6">
        <f>365*5</f>
        <v>1825</v>
      </c>
      <c r="T27" s="6">
        <f>5*365</f>
        <v>1825</v>
      </c>
      <c r="U27" s="6">
        <v>1</v>
      </c>
      <c r="V27" s="6">
        <v>1</v>
      </c>
      <c r="W27" s="6">
        <f>365*5</f>
        <v>1825</v>
      </c>
      <c r="X27" s="6">
        <f>5*365</f>
        <v>1825</v>
      </c>
      <c r="Y27" s="6">
        <v>1</v>
      </c>
      <c r="Z27" s="6">
        <v>1</v>
      </c>
      <c r="AA27" s="431">
        <f t="shared" si="2"/>
        <v>0</v>
      </c>
      <c r="AB27" s="431">
        <f t="shared" si="3"/>
        <v>1</v>
      </c>
    </row>
    <row r="28" spans="1:28">
      <c r="A28" s="41" t="s">
        <v>159</v>
      </c>
      <c r="B28" s="43" t="s">
        <v>160</v>
      </c>
      <c r="C28" s="6"/>
      <c r="D28" s="6"/>
      <c r="E28" s="6"/>
      <c r="F28" s="6"/>
      <c r="G28" s="6"/>
      <c r="H28" s="6"/>
      <c r="I28" s="6"/>
      <c r="J28" s="6"/>
      <c r="K28" s="6"/>
      <c r="L28" s="6"/>
      <c r="M28" s="6"/>
      <c r="N28" s="6"/>
      <c r="O28" s="6"/>
      <c r="P28" s="6"/>
      <c r="Q28" s="6"/>
      <c r="R28" s="6"/>
      <c r="S28" s="6"/>
      <c r="T28" s="6"/>
      <c r="U28" s="6"/>
      <c r="V28" s="6"/>
      <c r="W28" s="6"/>
      <c r="X28" s="6"/>
      <c r="Y28" s="6"/>
      <c r="Z28" s="6"/>
      <c r="AA28" s="431"/>
      <c r="AB28" s="431"/>
    </row>
    <row r="29" spans="1:28" ht="38.25">
      <c r="A29" s="45" t="s">
        <v>161</v>
      </c>
      <c r="B29" s="6" t="s">
        <v>162</v>
      </c>
      <c r="C29" s="6">
        <v>0</v>
      </c>
      <c r="D29" s="6">
        <v>0</v>
      </c>
      <c r="E29" s="6">
        <v>0</v>
      </c>
      <c r="F29" s="6">
        <v>0</v>
      </c>
      <c r="G29" s="6">
        <f>H29</f>
        <v>136000</v>
      </c>
      <c r="H29" s="6">
        <f>96000+15000+25000</f>
        <v>136000</v>
      </c>
      <c r="I29" s="6">
        <f>J29</f>
        <v>264</v>
      </c>
      <c r="J29" s="6">
        <f>88+76+100</f>
        <v>264</v>
      </c>
      <c r="K29" s="6">
        <f>L29</f>
        <v>136000</v>
      </c>
      <c r="L29" s="6">
        <f>96000+15000+25000</f>
        <v>136000</v>
      </c>
      <c r="M29" s="6">
        <f>N29</f>
        <v>264</v>
      </c>
      <c r="N29" s="6">
        <f>88+76+100</f>
        <v>264</v>
      </c>
      <c r="O29" s="6">
        <f>P29</f>
        <v>136000</v>
      </c>
      <c r="P29" s="6">
        <f>96000+15000+25000</f>
        <v>136000</v>
      </c>
      <c r="Q29" s="6">
        <f>R29</f>
        <v>264</v>
      </c>
      <c r="R29" s="6">
        <f>88+76+100</f>
        <v>264</v>
      </c>
      <c r="S29" s="6">
        <f>T29</f>
        <v>136000</v>
      </c>
      <c r="T29" s="6">
        <f>96000+15000+25000</f>
        <v>136000</v>
      </c>
      <c r="U29" s="6">
        <f>V29</f>
        <v>264</v>
      </c>
      <c r="V29" s="6">
        <f>88+76+100</f>
        <v>264</v>
      </c>
      <c r="W29" s="6">
        <f>X29</f>
        <v>136000</v>
      </c>
      <c r="X29" s="6">
        <f>96000+15000+25000</f>
        <v>136000</v>
      </c>
      <c r="Y29" s="6">
        <f>Z29</f>
        <v>264</v>
      </c>
      <c r="Z29" s="6">
        <f>88+76+100</f>
        <v>264</v>
      </c>
      <c r="AA29" s="431">
        <f t="shared" si="2"/>
        <v>0</v>
      </c>
      <c r="AB29" s="431">
        <f t="shared" si="3"/>
        <v>1</v>
      </c>
    </row>
    <row r="30" spans="1:28" ht="38.25">
      <c r="A30" s="286" t="s">
        <v>161</v>
      </c>
      <c r="B30" s="89" t="s">
        <v>163</v>
      </c>
      <c r="C30" s="89">
        <v>0</v>
      </c>
      <c r="D30" s="89">
        <v>0</v>
      </c>
      <c r="E30" s="89">
        <v>0</v>
      </c>
      <c r="F30" s="89">
        <v>0</v>
      </c>
      <c r="G30" s="89">
        <f>H30</f>
        <v>25000</v>
      </c>
      <c r="H30" s="89">
        <v>25000</v>
      </c>
      <c r="I30" s="89">
        <f>J30</f>
        <v>135</v>
      </c>
      <c r="J30" s="89">
        <v>135</v>
      </c>
      <c r="K30" s="89">
        <v>32000</v>
      </c>
      <c r="L30" s="89">
        <v>32000</v>
      </c>
      <c r="M30" s="89">
        <v>200</v>
      </c>
      <c r="N30" s="89">
        <v>200</v>
      </c>
      <c r="O30" s="89">
        <v>38000</v>
      </c>
      <c r="P30" s="89">
        <v>38000</v>
      </c>
      <c r="Q30" s="89">
        <v>300</v>
      </c>
      <c r="R30" s="89">
        <v>300</v>
      </c>
      <c r="S30" s="89">
        <v>45000</v>
      </c>
      <c r="T30" s="89">
        <v>45000</v>
      </c>
      <c r="U30" s="89">
        <v>400</v>
      </c>
      <c r="V30" s="89">
        <v>400</v>
      </c>
      <c r="W30" s="89">
        <f>X30</f>
        <v>50000</v>
      </c>
      <c r="X30" s="89">
        <v>50000</v>
      </c>
      <c r="Y30" s="89">
        <f>Z30</f>
        <v>500</v>
      </c>
      <c r="Z30" s="6">
        <v>500</v>
      </c>
      <c r="AA30" s="431">
        <f t="shared" si="2"/>
        <v>0</v>
      </c>
      <c r="AB30" s="431">
        <f t="shared" si="3"/>
        <v>1</v>
      </c>
    </row>
    <row r="31" spans="1:28" ht="21">
      <c r="A31" s="287"/>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8"/>
      <c r="Z31" s="285" t="s">
        <v>138</v>
      </c>
      <c r="AA31" s="430">
        <f>AVERAGE(AA17:AA30)</f>
        <v>0</v>
      </c>
      <c r="AB31" s="430">
        <f>AVERAGE(AB17:AB30)</f>
        <v>0.99375000000000002</v>
      </c>
    </row>
    <row r="33" spans="1:18">
      <c r="A33" s="9"/>
      <c r="B33" s="9" t="s">
        <v>40</v>
      </c>
    </row>
    <row r="35" spans="1:18">
      <c r="A35" s="10" t="s">
        <v>41</v>
      </c>
      <c r="B35" s="509" t="s">
        <v>42</v>
      </c>
      <c r="C35" s="509"/>
      <c r="D35" s="509"/>
      <c r="E35" s="509"/>
      <c r="F35" s="509"/>
      <c r="G35" s="509"/>
      <c r="H35" s="509"/>
      <c r="I35" s="509"/>
      <c r="J35" s="509"/>
      <c r="K35" s="509"/>
      <c r="L35" s="509"/>
      <c r="M35" s="509"/>
      <c r="N35" s="509"/>
      <c r="O35" s="509"/>
      <c r="P35" s="509"/>
      <c r="Q35" s="509"/>
      <c r="R35" s="509"/>
    </row>
    <row r="36" spans="1:18">
      <c r="A36" s="10" t="s">
        <v>43</v>
      </c>
      <c r="B36" s="509" t="s">
        <v>44</v>
      </c>
      <c r="C36" s="509"/>
      <c r="D36" s="509"/>
      <c r="E36" s="509"/>
      <c r="F36" s="509"/>
      <c r="G36" s="509"/>
      <c r="H36" s="509"/>
      <c r="I36" s="509"/>
      <c r="J36" s="509"/>
      <c r="K36" s="509"/>
      <c r="L36" s="509"/>
      <c r="M36" s="509"/>
      <c r="N36" s="509"/>
      <c r="O36" s="509"/>
      <c r="P36" s="509"/>
      <c r="Q36" s="509"/>
      <c r="R36" s="509"/>
    </row>
    <row r="37" spans="1:18">
      <c r="B37" s="509" t="s">
        <v>164</v>
      </c>
      <c r="C37" s="509"/>
      <c r="D37" s="509"/>
      <c r="E37" s="509"/>
      <c r="F37" s="509"/>
      <c r="G37" s="509"/>
      <c r="H37" s="509"/>
      <c r="I37" s="509"/>
      <c r="J37" s="509"/>
      <c r="K37" s="509"/>
      <c r="L37" s="509"/>
      <c r="M37" s="509"/>
      <c r="N37" s="509"/>
      <c r="O37" s="509"/>
      <c r="P37" s="509"/>
      <c r="Q37" s="509"/>
      <c r="R37" s="509"/>
    </row>
    <row r="38" spans="1:18">
      <c r="B38" s="509" t="s">
        <v>165</v>
      </c>
      <c r="C38" s="509"/>
      <c r="D38" s="509"/>
      <c r="E38" s="509"/>
      <c r="F38" s="509"/>
      <c r="G38" s="509"/>
      <c r="H38" s="509"/>
      <c r="I38" s="509"/>
      <c r="J38" s="509"/>
      <c r="K38" s="509"/>
      <c r="L38" s="509"/>
      <c r="M38" s="509"/>
      <c r="N38" s="509"/>
      <c r="O38" s="509"/>
      <c r="P38" s="509"/>
      <c r="Q38" s="509"/>
      <c r="R38" s="509"/>
    </row>
    <row r="39" spans="1:18">
      <c r="B39" s="509" t="s">
        <v>166</v>
      </c>
      <c r="C39" s="509"/>
      <c r="D39" s="509"/>
      <c r="E39" s="509"/>
      <c r="F39" s="509"/>
      <c r="G39" s="509"/>
      <c r="H39" s="509"/>
      <c r="I39" s="509"/>
      <c r="J39" s="509"/>
      <c r="K39" s="509"/>
      <c r="L39" s="509"/>
      <c r="M39" s="509"/>
      <c r="N39" s="509"/>
      <c r="O39" s="509"/>
      <c r="P39" s="509"/>
      <c r="Q39" s="509"/>
      <c r="R39" s="509"/>
    </row>
    <row r="40" spans="1:18">
      <c r="B40" s="509" t="s">
        <v>167</v>
      </c>
      <c r="C40" s="509"/>
      <c r="D40" s="509"/>
      <c r="E40" s="509"/>
      <c r="F40" s="509"/>
      <c r="G40" s="509"/>
      <c r="H40" s="509"/>
      <c r="I40" s="509"/>
      <c r="J40" s="509"/>
      <c r="K40" s="509"/>
      <c r="L40" s="509"/>
      <c r="M40" s="509"/>
      <c r="N40" s="509"/>
      <c r="O40" s="509"/>
      <c r="P40" s="509"/>
      <c r="Q40" s="509"/>
      <c r="R40" s="509"/>
    </row>
    <row r="41" spans="1:18">
      <c r="B41" s="509" t="s">
        <v>168</v>
      </c>
      <c r="C41" s="509"/>
      <c r="D41" s="509"/>
      <c r="E41" s="509"/>
      <c r="F41" s="509"/>
      <c r="G41" s="509"/>
      <c r="H41" s="509"/>
      <c r="I41" s="509"/>
      <c r="J41" s="509"/>
      <c r="K41" s="509"/>
      <c r="L41" s="509"/>
      <c r="M41" s="509"/>
      <c r="N41" s="509"/>
      <c r="O41" s="509"/>
      <c r="P41" s="509"/>
      <c r="Q41" s="509"/>
      <c r="R41" s="509"/>
    </row>
    <row r="42" spans="1:18">
      <c r="B42" s="509" t="s">
        <v>169</v>
      </c>
      <c r="C42" s="509"/>
      <c r="D42" s="509"/>
      <c r="E42" s="509"/>
      <c r="F42" s="509"/>
      <c r="G42" s="509"/>
      <c r="H42" s="509"/>
      <c r="I42" s="509"/>
      <c r="J42" s="509"/>
      <c r="K42" s="509"/>
      <c r="L42" s="509"/>
      <c r="M42" s="509"/>
      <c r="N42" s="509"/>
      <c r="O42" s="509"/>
      <c r="P42" s="509"/>
      <c r="Q42" s="509"/>
      <c r="R42" s="509"/>
    </row>
    <row r="43" spans="1:18">
      <c r="B43" s="11"/>
    </row>
    <row r="44" spans="1:18">
      <c r="B44" s="11"/>
    </row>
    <row r="46" spans="1:18">
      <c r="B46" s="11"/>
    </row>
  </sheetData>
  <mergeCells count="34">
    <mergeCell ref="B41:R41"/>
    <mergeCell ref="B42:R42"/>
    <mergeCell ref="B35:R35"/>
    <mergeCell ref="B36:R36"/>
    <mergeCell ref="B37:R37"/>
    <mergeCell ref="B38:R38"/>
    <mergeCell ref="B39:R39"/>
    <mergeCell ref="B40:R40"/>
    <mergeCell ref="AB13:AB15"/>
    <mergeCell ref="G14:J14"/>
    <mergeCell ref="K14:N14"/>
    <mergeCell ref="O14:R14"/>
    <mergeCell ref="S14:V14"/>
    <mergeCell ref="W14:Z14"/>
    <mergeCell ref="AA13:AA15"/>
    <mergeCell ref="A12:Z12"/>
    <mergeCell ref="A13:A15"/>
    <mergeCell ref="B13:B15"/>
    <mergeCell ref="C13:F14"/>
    <mergeCell ref="G13:Z13"/>
    <mergeCell ref="AA3:AA5"/>
    <mergeCell ref="AB3:AB5"/>
    <mergeCell ref="G4:J4"/>
    <mergeCell ref="K4:N4"/>
    <mergeCell ref="O4:R4"/>
    <mergeCell ref="S4:V4"/>
    <mergeCell ref="W4:Z4"/>
    <mergeCell ref="A1:E1"/>
    <mergeCell ref="F1:Z1"/>
    <mergeCell ref="A2:Z2"/>
    <mergeCell ref="A3:A5"/>
    <mergeCell ref="B3:B5"/>
    <mergeCell ref="C3:F4"/>
    <mergeCell ref="G3:Z3"/>
  </mergeCells>
  <pageMargins left="0.47244094488188981" right="0.47244094488188981" top="0.36" bottom="0.37" header="0.31496062992125984" footer="0.31496062992125984"/>
  <pageSetup paperSize="9" scale="60" orientation="landscape" r:id="rId1"/>
  <legacyDrawing r:id="rId2"/>
</worksheet>
</file>

<file path=xl/worksheets/sheet6.xml><?xml version="1.0" encoding="utf-8"?>
<worksheet xmlns="http://schemas.openxmlformats.org/spreadsheetml/2006/main" xmlns:r="http://schemas.openxmlformats.org/officeDocument/2006/relationships">
  <dimension ref="A1:AB29"/>
  <sheetViews>
    <sheetView topLeftCell="A4" workbookViewId="0">
      <selection activeCell="B25" sqref="B24:R25"/>
    </sheetView>
  </sheetViews>
  <sheetFormatPr defaultRowHeight="15"/>
  <cols>
    <col min="1" max="1" width="5" customWidth="1"/>
    <col min="2" max="2" width="15.85546875" customWidth="1"/>
    <col min="3" max="26" width="8.42578125" customWidth="1"/>
    <col min="27" max="27" width="10.5703125" customWidth="1"/>
  </cols>
  <sheetData>
    <row r="1" spans="1:28" s="1" customFormat="1" ht="50.25" customHeight="1">
      <c r="A1" s="529" t="s">
        <v>0</v>
      </c>
      <c r="B1" s="529"/>
      <c r="C1" s="529"/>
      <c r="D1" s="529"/>
      <c r="E1" s="529"/>
      <c r="F1" s="579" t="s">
        <v>170</v>
      </c>
      <c r="G1" s="579"/>
      <c r="H1" s="579"/>
      <c r="I1" s="579"/>
      <c r="J1" s="579"/>
      <c r="K1" s="579"/>
      <c r="L1" s="579"/>
      <c r="M1" s="579"/>
      <c r="N1" s="579"/>
      <c r="O1" s="579"/>
      <c r="P1" s="579"/>
      <c r="Q1" s="579"/>
      <c r="R1" s="579"/>
    </row>
    <row r="2" spans="1:28" ht="31.5" customHeight="1">
      <c r="A2" s="580" t="s">
        <v>2</v>
      </c>
      <c r="B2" s="580"/>
      <c r="C2" s="580"/>
      <c r="D2" s="580"/>
      <c r="E2" s="580"/>
      <c r="F2" s="580"/>
      <c r="G2" s="580"/>
      <c r="H2" s="580"/>
      <c r="I2" s="580"/>
      <c r="J2" s="580"/>
      <c r="K2" s="580"/>
      <c r="L2" s="580"/>
      <c r="M2" s="580"/>
      <c r="N2" s="580"/>
      <c r="O2" s="580"/>
      <c r="P2" s="580"/>
      <c r="Q2" s="580"/>
      <c r="R2" s="580"/>
      <c r="S2" s="580"/>
      <c r="T2" s="580"/>
      <c r="U2" s="580"/>
      <c r="V2" s="580"/>
      <c r="W2" s="580"/>
      <c r="X2" s="580"/>
      <c r="Y2" s="580"/>
      <c r="Z2" s="580"/>
    </row>
    <row r="3" spans="1:28" ht="44.25" customHeight="1">
      <c r="A3" s="515" t="s">
        <v>3</v>
      </c>
      <c r="B3" s="518" t="s">
        <v>52</v>
      </c>
      <c r="C3" s="521" t="s">
        <v>5</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120</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28" ht="75.75" customHeight="1">
      <c r="A5" s="517"/>
      <c r="B5" s="520"/>
      <c r="C5" s="133" t="s">
        <v>14</v>
      </c>
      <c r="D5" s="133" t="s">
        <v>15</v>
      </c>
      <c r="E5" s="133" t="s">
        <v>729</v>
      </c>
      <c r="F5" s="133" t="s">
        <v>730</v>
      </c>
      <c r="G5" s="133" t="s">
        <v>14</v>
      </c>
      <c r="H5" s="133" t="s">
        <v>15</v>
      </c>
      <c r="I5" s="133" t="s">
        <v>18</v>
      </c>
      <c r="J5" s="133" t="s">
        <v>19</v>
      </c>
      <c r="K5" s="133" t="s">
        <v>14</v>
      </c>
      <c r="L5" s="133" t="s">
        <v>15</v>
      </c>
      <c r="M5" s="133" t="s">
        <v>18</v>
      </c>
      <c r="N5" s="133" t="s">
        <v>19</v>
      </c>
      <c r="O5" s="133" t="s">
        <v>14</v>
      </c>
      <c r="P5" s="133" t="s">
        <v>15</v>
      </c>
      <c r="Q5" s="133" t="s">
        <v>18</v>
      </c>
      <c r="R5" s="133" t="s">
        <v>19</v>
      </c>
      <c r="S5" s="133" t="s">
        <v>14</v>
      </c>
      <c r="T5" s="133" t="s">
        <v>15</v>
      </c>
      <c r="U5" s="133" t="s">
        <v>18</v>
      </c>
      <c r="V5" s="133" t="s">
        <v>19</v>
      </c>
      <c r="W5" s="133" t="s">
        <v>14</v>
      </c>
      <c r="X5" s="133" t="s">
        <v>15</v>
      </c>
      <c r="Y5" s="133" t="s">
        <v>18</v>
      </c>
      <c r="Z5" s="133" t="s">
        <v>19</v>
      </c>
      <c r="AA5" s="513"/>
      <c r="AB5" s="513"/>
    </row>
    <row r="6" spans="1:28" ht="63.75">
      <c r="A6" s="46">
        <v>1</v>
      </c>
      <c r="B6" s="6" t="s">
        <v>171</v>
      </c>
      <c r="C6" s="289">
        <v>950000</v>
      </c>
      <c r="D6" s="289">
        <v>950000</v>
      </c>
      <c r="E6" s="290">
        <v>172</v>
      </c>
      <c r="F6" s="290">
        <v>660</v>
      </c>
      <c r="G6" s="290">
        <v>1951179</v>
      </c>
      <c r="H6" s="290">
        <v>1951179</v>
      </c>
      <c r="I6" s="290">
        <v>624</v>
      </c>
      <c r="J6" s="290">
        <v>2300</v>
      </c>
      <c r="K6" s="290">
        <v>2250500</v>
      </c>
      <c r="L6" s="290">
        <v>2250500</v>
      </c>
      <c r="M6" s="290">
        <v>650</v>
      </c>
      <c r="N6" s="290">
        <v>2600</v>
      </c>
      <c r="O6" s="290">
        <v>2600000</v>
      </c>
      <c r="P6" s="290">
        <v>2600000</v>
      </c>
      <c r="Q6" s="290">
        <v>680</v>
      </c>
      <c r="R6" s="290">
        <v>2720</v>
      </c>
      <c r="S6" s="290">
        <v>3100000</v>
      </c>
      <c r="T6" s="290">
        <v>3100000</v>
      </c>
      <c r="U6" s="290">
        <v>700</v>
      </c>
      <c r="V6" s="290">
        <v>2800</v>
      </c>
      <c r="W6" s="290">
        <v>3400000</v>
      </c>
      <c r="X6" s="290">
        <v>3400000</v>
      </c>
      <c r="Y6" s="290">
        <v>720</v>
      </c>
      <c r="Z6" s="290">
        <v>2880</v>
      </c>
      <c r="AA6" s="452">
        <f>C6/W6</f>
        <v>0.27941176470588236</v>
      </c>
      <c r="AB6" s="354">
        <f>W6/X6</f>
        <v>1</v>
      </c>
    </row>
    <row r="7" spans="1:28" ht="38.25">
      <c r="A7" s="46">
        <v>2</v>
      </c>
      <c r="B7" s="46" t="s">
        <v>172</v>
      </c>
      <c r="C7" s="290">
        <v>0</v>
      </c>
      <c r="D7" s="290">
        <v>0</v>
      </c>
      <c r="E7" s="290">
        <v>0</v>
      </c>
      <c r="F7" s="290">
        <v>0</v>
      </c>
      <c r="G7" s="290">
        <v>7488</v>
      </c>
      <c r="H7" s="290">
        <v>7488</v>
      </c>
      <c r="I7" s="290">
        <v>624</v>
      </c>
      <c r="J7" s="290">
        <v>2300</v>
      </c>
      <c r="K7" s="290">
        <v>7800</v>
      </c>
      <c r="L7" s="290">
        <v>7800</v>
      </c>
      <c r="M7" s="290">
        <v>650</v>
      </c>
      <c r="N7" s="290">
        <v>2600</v>
      </c>
      <c r="O7" s="290">
        <v>8160</v>
      </c>
      <c r="P7" s="290">
        <v>8160</v>
      </c>
      <c r="Q7" s="290">
        <v>680</v>
      </c>
      <c r="R7" s="290">
        <v>2720</v>
      </c>
      <c r="S7" s="290">
        <v>8400</v>
      </c>
      <c r="T7" s="290">
        <v>8400</v>
      </c>
      <c r="U7" s="290">
        <v>700</v>
      </c>
      <c r="V7" s="290">
        <v>2800</v>
      </c>
      <c r="W7" s="290">
        <v>8640</v>
      </c>
      <c r="X7" s="290">
        <v>8640</v>
      </c>
      <c r="Y7" s="290">
        <v>720</v>
      </c>
      <c r="Z7" s="290">
        <v>2880</v>
      </c>
      <c r="AA7" s="452">
        <f t="shared" ref="AA7" si="0">C7/W7</f>
        <v>0</v>
      </c>
      <c r="AB7" s="354">
        <f t="shared" ref="AB7" si="1">W7/X7</f>
        <v>1</v>
      </c>
    </row>
    <row r="8" spans="1:28" ht="26.25">
      <c r="A8" s="291"/>
      <c r="B8" s="291"/>
      <c r="C8" s="291"/>
      <c r="D8" s="291"/>
      <c r="E8" s="291"/>
      <c r="F8" s="291"/>
      <c r="G8" s="291"/>
      <c r="H8" s="291"/>
      <c r="I8" s="291"/>
      <c r="J8" s="291"/>
      <c r="K8" s="291"/>
      <c r="L8" s="291"/>
      <c r="M8" s="291"/>
      <c r="N8" s="291"/>
      <c r="O8" s="291"/>
      <c r="P8" s="291"/>
      <c r="Q8" s="291"/>
      <c r="R8" s="291"/>
      <c r="S8" s="291"/>
      <c r="T8" s="291"/>
      <c r="U8" s="291"/>
      <c r="V8" s="291"/>
      <c r="W8" s="291"/>
      <c r="X8" s="291"/>
      <c r="Y8" s="291"/>
      <c r="Z8" s="212" t="s">
        <v>123</v>
      </c>
      <c r="AA8" s="453">
        <f>AVERAGE(AA6:AA7)</f>
        <v>0.13970588235294118</v>
      </c>
      <c r="AB8" s="350">
        <f>AVERAGE(AB6:AB7)</f>
        <v>1</v>
      </c>
    </row>
    <row r="9" spans="1:28" ht="22.5">
      <c r="A9" s="561" t="s">
        <v>25</v>
      </c>
      <c r="B9" s="561"/>
      <c r="C9" s="561"/>
      <c r="D9" s="561"/>
      <c r="E9" s="561"/>
      <c r="F9" s="561"/>
      <c r="G9" s="561"/>
      <c r="H9" s="561"/>
      <c r="I9" s="561"/>
      <c r="J9" s="561"/>
      <c r="K9" s="561"/>
      <c r="L9" s="561"/>
      <c r="M9" s="561"/>
      <c r="N9" s="561"/>
      <c r="O9" s="561"/>
      <c r="P9" s="561"/>
      <c r="Q9" s="561"/>
      <c r="R9" s="561"/>
      <c r="S9" s="561"/>
      <c r="T9" s="561"/>
      <c r="U9" s="561"/>
      <c r="V9" s="561"/>
      <c r="W9" s="561"/>
      <c r="X9" s="561"/>
      <c r="Y9" s="561"/>
      <c r="Z9" s="561"/>
      <c r="AA9" s="291"/>
      <c r="AB9" s="291"/>
    </row>
    <row r="10" spans="1:28" ht="45.75" customHeight="1">
      <c r="A10" s="562" t="s">
        <v>3</v>
      </c>
      <c r="B10" s="565" t="s">
        <v>26</v>
      </c>
      <c r="C10" s="568" t="s">
        <v>731</v>
      </c>
      <c r="D10" s="569"/>
      <c r="E10" s="569"/>
      <c r="F10" s="570"/>
      <c r="G10" s="560" t="s">
        <v>28</v>
      </c>
      <c r="H10" s="560"/>
      <c r="I10" s="560"/>
      <c r="J10" s="560"/>
      <c r="K10" s="560"/>
      <c r="L10" s="560"/>
      <c r="M10" s="560"/>
      <c r="N10" s="560"/>
      <c r="O10" s="560"/>
      <c r="P10" s="560"/>
      <c r="Q10" s="560"/>
      <c r="R10" s="560"/>
      <c r="S10" s="560"/>
      <c r="T10" s="560"/>
      <c r="U10" s="560"/>
      <c r="V10" s="560"/>
      <c r="W10" s="560"/>
      <c r="X10" s="560"/>
      <c r="Y10" s="560"/>
      <c r="Z10" s="560"/>
      <c r="AA10" s="513" t="s">
        <v>124</v>
      </c>
      <c r="AB10" s="513" t="s">
        <v>125</v>
      </c>
    </row>
    <row r="11" spans="1:28" ht="45" customHeight="1">
      <c r="A11" s="563"/>
      <c r="B11" s="566"/>
      <c r="C11" s="571"/>
      <c r="D11" s="572"/>
      <c r="E11" s="572"/>
      <c r="F11" s="573"/>
      <c r="G11" s="560" t="s">
        <v>9</v>
      </c>
      <c r="H11" s="560"/>
      <c r="I11" s="560"/>
      <c r="J11" s="560"/>
      <c r="K11" s="560" t="s">
        <v>10</v>
      </c>
      <c r="L11" s="560"/>
      <c r="M11" s="560"/>
      <c r="N11" s="560"/>
      <c r="O11" s="560" t="s">
        <v>11</v>
      </c>
      <c r="P11" s="560"/>
      <c r="Q11" s="560"/>
      <c r="R11" s="560"/>
      <c r="S11" s="560" t="s">
        <v>12</v>
      </c>
      <c r="T11" s="560"/>
      <c r="U11" s="560"/>
      <c r="V11" s="560"/>
      <c r="W11" s="560" t="s">
        <v>13</v>
      </c>
      <c r="X11" s="560"/>
      <c r="Y11" s="560"/>
      <c r="Z11" s="560"/>
      <c r="AA11" s="513" t="s">
        <v>124</v>
      </c>
      <c r="AB11" s="513" t="s">
        <v>125</v>
      </c>
    </row>
    <row r="12" spans="1:28" ht="78.75" customHeight="1">
      <c r="A12" s="564"/>
      <c r="B12" s="567"/>
      <c r="C12" s="133" t="s">
        <v>732</v>
      </c>
      <c r="D12" s="133" t="s">
        <v>32</v>
      </c>
      <c r="E12" s="133" t="s">
        <v>33</v>
      </c>
      <c r="F12" s="133" t="s">
        <v>730</v>
      </c>
      <c r="G12" s="133" t="s">
        <v>34</v>
      </c>
      <c r="H12" s="133" t="s">
        <v>32</v>
      </c>
      <c r="I12" s="133" t="s">
        <v>33</v>
      </c>
      <c r="J12" s="133" t="s">
        <v>19</v>
      </c>
      <c r="K12" s="133" t="s">
        <v>34</v>
      </c>
      <c r="L12" s="133" t="s">
        <v>32</v>
      </c>
      <c r="M12" s="133" t="s">
        <v>33</v>
      </c>
      <c r="N12" s="133" t="s">
        <v>19</v>
      </c>
      <c r="O12" s="133" t="s">
        <v>34</v>
      </c>
      <c r="P12" s="133" t="s">
        <v>32</v>
      </c>
      <c r="Q12" s="133" t="s">
        <v>33</v>
      </c>
      <c r="R12" s="133" t="s">
        <v>19</v>
      </c>
      <c r="S12" s="133" t="s">
        <v>34</v>
      </c>
      <c r="T12" s="133" t="s">
        <v>32</v>
      </c>
      <c r="U12" s="133" t="s">
        <v>33</v>
      </c>
      <c r="V12" s="133" t="s">
        <v>19</v>
      </c>
      <c r="W12" s="133" t="s">
        <v>34</v>
      </c>
      <c r="X12" s="133" t="s">
        <v>32</v>
      </c>
      <c r="Y12" s="133" t="s">
        <v>33</v>
      </c>
      <c r="Z12" s="133" t="s">
        <v>19</v>
      </c>
      <c r="AA12" s="513" t="s">
        <v>124</v>
      </c>
      <c r="AB12" s="513" t="s">
        <v>125</v>
      </c>
    </row>
    <row r="13" spans="1:28" ht="25.5">
      <c r="A13" s="47"/>
      <c r="B13" s="48" t="s">
        <v>173</v>
      </c>
      <c r="C13" s="292"/>
      <c r="D13" s="292"/>
      <c r="E13" s="283"/>
      <c r="F13" s="283"/>
      <c r="G13" s="283"/>
      <c r="H13" s="283"/>
      <c r="I13" s="283"/>
      <c r="J13" s="283"/>
      <c r="K13" s="283"/>
      <c r="L13" s="283"/>
      <c r="M13" s="283"/>
      <c r="N13" s="283"/>
      <c r="O13" s="283"/>
      <c r="P13" s="283"/>
      <c r="Q13" s="283"/>
      <c r="R13" s="283"/>
      <c r="S13" s="283"/>
      <c r="T13" s="283"/>
      <c r="U13" s="283"/>
      <c r="V13" s="283"/>
      <c r="W13" s="283"/>
      <c r="X13" s="283"/>
      <c r="Y13" s="283"/>
      <c r="Z13" s="283"/>
      <c r="AA13" s="293"/>
      <c r="AB13" s="293"/>
    </row>
    <row r="14" spans="1:28" ht="51">
      <c r="A14" s="6"/>
      <c r="B14" s="6" t="s">
        <v>174</v>
      </c>
      <c r="C14" s="294">
        <v>1583650</v>
      </c>
      <c r="D14" s="294">
        <v>1583650</v>
      </c>
      <c r="E14" s="277">
        <v>172</v>
      </c>
      <c r="F14" s="277">
        <v>660</v>
      </c>
      <c r="G14" s="277">
        <v>3265097.889</v>
      </c>
      <c r="H14" s="277">
        <v>3265097.889</v>
      </c>
      <c r="I14" s="277">
        <v>1560</v>
      </c>
      <c r="J14" s="277">
        <v>5750</v>
      </c>
      <c r="K14" s="277">
        <v>3764586.1</v>
      </c>
      <c r="L14" s="277">
        <v>3764586.1</v>
      </c>
      <c r="M14" s="277">
        <v>1625</v>
      </c>
      <c r="N14" s="277">
        <v>6500</v>
      </c>
      <c r="O14" s="277">
        <v>4347802.72</v>
      </c>
      <c r="P14" s="277">
        <v>4347802.72</v>
      </c>
      <c r="Q14" s="277">
        <v>1700</v>
      </c>
      <c r="R14" s="277">
        <v>6800</v>
      </c>
      <c r="S14" s="277">
        <v>5181702.8</v>
      </c>
      <c r="T14" s="277">
        <v>5181702.8</v>
      </c>
      <c r="U14" s="277">
        <v>1750</v>
      </c>
      <c r="V14" s="277">
        <v>7000</v>
      </c>
      <c r="W14" s="277">
        <v>5682202.8799999999</v>
      </c>
      <c r="X14" s="277">
        <v>5682202.8799999999</v>
      </c>
      <c r="Y14" s="277">
        <v>1800</v>
      </c>
      <c r="Z14" s="277">
        <v>7200</v>
      </c>
      <c r="AA14" s="354">
        <f>C14/W14</f>
        <v>0.27870352985354863</v>
      </c>
      <c r="AB14" s="354">
        <f>W14/X14</f>
        <v>1</v>
      </c>
    </row>
    <row r="15" spans="1:28" ht="26.25">
      <c r="A15" s="291"/>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12" t="s">
        <v>123</v>
      </c>
      <c r="AA15" s="354">
        <f>AVERAGE(AA14)</f>
        <v>0.27870352985354863</v>
      </c>
      <c r="AB15" s="354">
        <f>AVERAGE(AB14)</f>
        <v>1</v>
      </c>
    </row>
    <row r="16" spans="1:28">
      <c r="A16" s="9"/>
      <c r="B16" s="9" t="s">
        <v>40</v>
      </c>
    </row>
    <row r="18" spans="1:18" ht="31.5" customHeight="1">
      <c r="A18" s="10" t="s">
        <v>41</v>
      </c>
      <c r="B18" s="509" t="s">
        <v>42</v>
      </c>
      <c r="C18" s="509"/>
      <c r="D18" s="509"/>
      <c r="E18" s="509"/>
      <c r="F18" s="509"/>
      <c r="G18" s="509"/>
      <c r="H18" s="509"/>
      <c r="I18" s="509"/>
      <c r="J18" s="509"/>
      <c r="K18" s="509"/>
      <c r="L18" s="509"/>
      <c r="M18" s="509"/>
      <c r="N18" s="509"/>
      <c r="O18" s="509"/>
      <c r="P18" s="509"/>
      <c r="Q18" s="509"/>
      <c r="R18" s="509"/>
    </row>
    <row r="19" spans="1:18" ht="31.5" customHeight="1">
      <c r="A19" s="10" t="s">
        <v>43</v>
      </c>
      <c r="B19" s="509" t="s">
        <v>44</v>
      </c>
      <c r="C19" s="509"/>
      <c r="D19" s="509"/>
      <c r="E19" s="509"/>
      <c r="F19" s="509"/>
      <c r="G19" s="509"/>
      <c r="H19" s="509"/>
      <c r="I19" s="509"/>
      <c r="J19" s="509"/>
      <c r="K19" s="509"/>
      <c r="L19" s="509"/>
      <c r="M19" s="509"/>
      <c r="N19" s="509"/>
      <c r="O19" s="509"/>
      <c r="P19" s="509"/>
      <c r="Q19" s="509"/>
      <c r="R19" s="509"/>
    </row>
    <row r="20" spans="1:18" ht="31.5" customHeight="1">
      <c r="B20" s="509" t="s">
        <v>45</v>
      </c>
      <c r="C20" s="509"/>
      <c r="D20" s="509"/>
      <c r="E20" s="509"/>
      <c r="F20" s="509"/>
      <c r="G20" s="509"/>
      <c r="H20" s="509"/>
      <c r="I20" s="509"/>
      <c r="J20" s="509"/>
      <c r="K20" s="509"/>
      <c r="L20" s="509"/>
      <c r="M20" s="509"/>
      <c r="N20" s="509"/>
      <c r="O20" s="509"/>
      <c r="P20" s="509"/>
      <c r="Q20" s="509"/>
      <c r="R20" s="509"/>
    </row>
    <row r="21" spans="1:18" ht="31.5" customHeight="1">
      <c r="B21" s="509" t="s">
        <v>46</v>
      </c>
      <c r="C21" s="509"/>
      <c r="D21" s="509"/>
      <c r="E21" s="509"/>
      <c r="F21" s="509"/>
      <c r="G21" s="509"/>
      <c r="H21" s="509"/>
      <c r="I21" s="509"/>
      <c r="J21" s="509"/>
      <c r="K21" s="509"/>
      <c r="L21" s="509"/>
      <c r="M21" s="509"/>
      <c r="N21" s="509"/>
      <c r="O21" s="509"/>
      <c r="P21" s="509"/>
      <c r="Q21" s="509"/>
      <c r="R21" s="509"/>
    </row>
    <row r="22" spans="1:18" ht="31.5" customHeight="1">
      <c r="B22" s="509" t="s">
        <v>47</v>
      </c>
      <c r="C22" s="509"/>
      <c r="D22" s="509"/>
      <c r="E22" s="509"/>
      <c r="F22" s="509"/>
      <c r="G22" s="509"/>
      <c r="H22" s="509"/>
      <c r="I22" s="509"/>
      <c r="J22" s="509"/>
      <c r="K22" s="509"/>
      <c r="L22" s="509"/>
      <c r="M22" s="509"/>
      <c r="N22" s="509"/>
      <c r="O22" s="509"/>
      <c r="P22" s="509"/>
      <c r="Q22" s="509"/>
      <c r="R22" s="509"/>
    </row>
    <row r="23" spans="1:18" ht="31.5" customHeight="1">
      <c r="B23" s="509" t="s">
        <v>48</v>
      </c>
      <c r="C23" s="509"/>
      <c r="D23" s="509"/>
      <c r="E23" s="509"/>
      <c r="F23" s="509"/>
      <c r="G23" s="509"/>
      <c r="H23" s="509"/>
      <c r="I23" s="509"/>
      <c r="J23" s="509"/>
      <c r="K23" s="509"/>
      <c r="L23" s="509"/>
      <c r="M23" s="509"/>
      <c r="N23" s="509"/>
      <c r="O23" s="509"/>
      <c r="P23" s="509"/>
      <c r="Q23" s="509"/>
      <c r="R23" s="509"/>
    </row>
    <row r="24" spans="1:18" ht="73.5" customHeight="1">
      <c r="B24" s="509" t="s">
        <v>49</v>
      </c>
      <c r="C24" s="509"/>
      <c r="D24" s="509"/>
      <c r="E24" s="509"/>
      <c r="F24" s="509"/>
      <c r="G24" s="509"/>
      <c r="H24" s="509"/>
      <c r="I24" s="509"/>
      <c r="J24" s="509"/>
      <c r="K24" s="509"/>
      <c r="L24" s="509"/>
      <c r="M24" s="509"/>
      <c r="N24" s="509"/>
      <c r="O24" s="509"/>
      <c r="P24" s="509"/>
      <c r="Q24" s="509"/>
      <c r="R24" s="509"/>
    </row>
    <row r="25" spans="1:18" ht="39" customHeight="1">
      <c r="B25" s="509" t="s">
        <v>50</v>
      </c>
      <c r="C25" s="509"/>
      <c r="D25" s="509"/>
      <c r="E25" s="509"/>
      <c r="F25" s="509"/>
      <c r="G25" s="509"/>
      <c r="H25" s="509"/>
      <c r="I25" s="509"/>
      <c r="J25" s="509"/>
      <c r="K25" s="509"/>
      <c r="L25" s="509"/>
      <c r="M25" s="509"/>
      <c r="N25" s="509"/>
      <c r="O25" s="509"/>
      <c r="P25" s="509"/>
      <c r="Q25" s="509"/>
      <c r="R25" s="509"/>
    </row>
    <row r="26" spans="1:18">
      <c r="B26" s="11"/>
    </row>
    <row r="27" spans="1:18">
      <c r="B27" s="11"/>
    </row>
    <row r="29" spans="1:18">
      <c r="B29" s="11"/>
    </row>
  </sheetData>
  <mergeCells count="34">
    <mergeCell ref="B24:R24"/>
    <mergeCell ref="B25:R25"/>
    <mergeCell ref="B18:R18"/>
    <mergeCell ref="B19:R19"/>
    <mergeCell ref="B20:R20"/>
    <mergeCell ref="B21:R21"/>
    <mergeCell ref="B22:R22"/>
    <mergeCell ref="B23:R23"/>
    <mergeCell ref="AB10:AB12"/>
    <mergeCell ref="G11:J11"/>
    <mergeCell ref="K11:N11"/>
    <mergeCell ref="O11:R11"/>
    <mergeCell ref="S11:V11"/>
    <mergeCell ref="W11:Z11"/>
    <mergeCell ref="AA10:AA12"/>
    <mergeCell ref="A9:Z9"/>
    <mergeCell ref="A10:A12"/>
    <mergeCell ref="B10:B12"/>
    <mergeCell ref="C10:F11"/>
    <mergeCell ref="G10:Z10"/>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AC34"/>
  <sheetViews>
    <sheetView topLeftCell="G16" workbookViewId="0">
      <selection activeCell="B25" sqref="B24:R25"/>
    </sheetView>
  </sheetViews>
  <sheetFormatPr defaultRowHeight="15"/>
  <cols>
    <col min="1" max="1" width="5" customWidth="1"/>
    <col min="2" max="2" width="15.85546875" customWidth="1"/>
    <col min="3" max="6" width="7.7109375" customWidth="1"/>
    <col min="7" max="7" width="7" customWidth="1"/>
    <col min="8" max="8" width="7.85546875" customWidth="1"/>
    <col min="9" max="11" width="7" customWidth="1"/>
    <col min="12" max="12" width="8.5703125" customWidth="1"/>
    <col min="13" max="25" width="7" customWidth="1"/>
    <col min="26" max="26" width="7.85546875" customWidth="1"/>
  </cols>
  <sheetData>
    <row r="1" spans="1:29" s="1" customFormat="1" ht="52.5" customHeight="1">
      <c r="A1" s="529" t="s">
        <v>0</v>
      </c>
      <c r="B1" s="529"/>
      <c r="C1" s="529"/>
      <c r="D1" s="529"/>
      <c r="E1" s="529"/>
      <c r="F1" s="530" t="s">
        <v>175</v>
      </c>
      <c r="G1" s="530"/>
      <c r="H1" s="530"/>
      <c r="I1" s="530"/>
      <c r="J1" s="530"/>
      <c r="K1" s="530"/>
      <c r="L1" s="530"/>
      <c r="M1" s="530"/>
      <c r="N1" s="530"/>
      <c r="O1" s="530"/>
      <c r="P1" s="530"/>
      <c r="Q1" s="530"/>
      <c r="R1" s="530"/>
    </row>
    <row r="2" spans="1:29"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9"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81" t="s">
        <v>119</v>
      </c>
      <c r="AB3" s="584" t="s">
        <v>120</v>
      </c>
    </row>
    <row r="4" spans="1:29"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82"/>
      <c r="AB4" s="584"/>
    </row>
    <row r="5" spans="1:29"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83"/>
      <c r="AB5" s="584"/>
    </row>
    <row r="6" spans="1:29" ht="85.5" customHeight="1">
      <c r="A6" s="6" t="s">
        <v>20</v>
      </c>
      <c r="B6" s="6" t="s">
        <v>176</v>
      </c>
      <c r="C6" s="6">
        <v>0</v>
      </c>
      <c r="D6" s="6">
        <v>53000</v>
      </c>
      <c r="E6" s="6">
        <v>0</v>
      </c>
      <c r="F6" s="49">
        <v>53000</v>
      </c>
      <c r="G6" s="6">
        <v>150</v>
      </c>
      <c r="H6" s="6">
        <v>54000</v>
      </c>
      <c r="I6" s="6">
        <v>150</v>
      </c>
      <c r="J6" s="49">
        <v>54000</v>
      </c>
      <c r="K6" s="6">
        <v>200</v>
      </c>
      <c r="L6" s="6">
        <v>55000</v>
      </c>
      <c r="M6" s="6">
        <v>200</v>
      </c>
      <c r="N6" s="6">
        <v>55000</v>
      </c>
      <c r="O6" s="6">
        <v>400</v>
      </c>
      <c r="P6" s="6">
        <v>55000</v>
      </c>
      <c r="Q6" s="6">
        <v>400</v>
      </c>
      <c r="R6" s="6">
        <v>55000</v>
      </c>
      <c r="S6" s="6">
        <v>1000</v>
      </c>
      <c r="T6" s="6">
        <v>55000</v>
      </c>
      <c r="U6" s="6">
        <v>1000</v>
      </c>
      <c r="V6" s="6">
        <v>55000</v>
      </c>
      <c r="W6" s="6">
        <v>5000</v>
      </c>
      <c r="X6" s="6">
        <v>55000</v>
      </c>
      <c r="Y6" s="6">
        <v>5000</v>
      </c>
      <c r="Z6" s="6">
        <v>55000</v>
      </c>
      <c r="AA6" s="362">
        <f>C6/W6</f>
        <v>0</v>
      </c>
      <c r="AB6" s="454">
        <f>W6/X6</f>
        <v>9.0909090909090912E-2</v>
      </c>
      <c r="AC6" s="51"/>
    </row>
    <row r="7" spans="1:29" ht="63.75">
      <c r="A7" s="6" t="s">
        <v>22</v>
      </c>
      <c r="B7" s="6" t="s">
        <v>177</v>
      </c>
      <c r="C7" s="6">
        <v>0</v>
      </c>
      <c r="D7" s="6">
        <v>650</v>
      </c>
      <c r="E7" s="6">
        <v>0</v>
      </c>
      <c r="F7" s="6">
        <v>650</v>
      </c>
      <c r="G7" s="6">
        <v>100</v>
      </c>
      <c r="H7" s="6">
        <v>650</v>
      </c>
      <c r="I7" s="6">
        <v>100</v>
      </c>
      <c r="J7" s="6">
        <v>650</v>
      </c>
      <c r="K7" s="6">
        <v>150</v>
      </c>
      <c r="L7" s="6">
        <v>600</v>
      </c>
      <c r="M7" s="6">
        <v>150</v>
      </c>
      <c r="N7" s="6">
        <v>600</v>
      </c>
      <c r="O7" s="6">
        <v>200</v>
      </c>
      <c r="P7" s="6">
        <v>600</v>
      </c>
      <c r="Q7" s="6">
        <v>200</v>
      </c>
      <c r="R7" s="6">
        <v>600</v>
      </c>
      <c r="S7" s="6">
        <v>300</v>
      </c>
      <c r="T7" s="6">
        <v>600</v>
      </c>
      <c r="U7" s="6">
        <v>300</v>
      </c>
      <c r="V7" s="6">
        <v>600</v>
      </c>
      <c r="W7" s="6">
        <v>400</v>
      </c>
      <c r="X7" s="6">
        <v>600</v>
      </c>
      <c r="Y7" s="6">
        <v>400</v>
      </c>
      <c r="Z7" s="6">
        <v>600</v>
      </c>
      <c r="AA7" s="362">
        <f>C7/W7</f>
        <v>0</v>
      </c>
      <c r="AB7" s="362">
        <f>W7/X7</f>
        <v>0.66666666666666663</v>
      </c>
      <c r="AC7" s="51"/>
    </row>
    <row r="8" spans="1:29" ht="72">
      <c r="A8" s="6" t="s">
        <v>61</v>
      </c>
      <c r="B8" s="52" t="s">
        <v>178</v>
      </c>
      <c r="C8" s="6">
        <v>0</v>
      </c>
      <c r="D8" s="6">
        <v>1200</v>
      </c>
      <c r="E8" s="6">
        <v>0</v>
      </c>
      <c r="F8" s="49">
        <v>10</v>
      </c>
      <c r="G8" s="6">
        <v>1200</v>
      </c>
      <c r="H8" s="6">
        <v>1300</v>
      </c>
      <c r="I8" s="49">
        <v>5</v>
      </c>
      <c r="J8" s="49">
        <v>10</v>
      </c>
      <c r="K8" s="6">
        <v>4000</v>
      </c>
      <c r="L8" s="6">
        <v>40100</v>
      </c>
      <c r="M8" s="6">
        <v>10</v>
      </c>
      <c r="N8" s="6">
        <v>15</v>
      </c>
      <c r="O8" s="6">
        <v>10000</v>
      </c>
      <c r="P8" s="6">
        <v>10100</v>
      </c>
      <c r="Q8" s="6">
        <v>10</v>
      </c>
      <c r="R8" s="6">
        <v>15</v>
      </c>
      <c r="S8" s="6">
        <v>10000</v>
      </c>
      <c r="T8" s="6">
        <v>10100</v>
      </c>
      <c r="U8" s="6">
        <v>20</v>
      </c>
      <c r="V8" s="6">
        <v>20</v>
      </c>
      <c r="W8" s="6">
        <v>11000</v>
      </c>
      <c r="X8" s="6">
        <v>11000</v>
      </c>
      <c r="Y8" s="6">
        <v>20</v>
      </c>
      <c r="Z8" s="6">
        <v>20</v>
      </c>
      <c r="AA8" s="362">
        <f t="shared" ref="AA8:AA11" si="0">C8/W8</f>
        <v>0</v>
      </c>
      <c r="AB8" s="362">
        <f t="shared" ref="AB8:AB11" si="1">W8/X8</f>
        <v>1</v>
      </c>
      <c r="AC8" s="51"/>
    </row>
    <row r="9" spans="1:29" ht="60">
      <c r="A9" s="6" t="s">
        <v>63</v>
      </c>
      <c r="B9" s="53" t="s">
        <v>179</v>
      </c>
      <c r="C9" s="6">
        <v>0</v>
      </c>
      <c r="D9" s="6">
        <v>53000</v>
      </c>
      <c r="E9" s="6">
        <v>0</v>
      </c>
      <c r="F9" s="6">
        <v>1500</v>
      </c>
      <c r="G9" s="49">
        <v>100</v>
      </c>
      <c r="H9" s="6">
        <v>54000</v>
      </c>
      <c r="I9" s="49">
        <v>300</v>
      </c>
      <c r="J9" s="6">
        <v>1500</v>
      </c>
      <c r="K9" s="6">
        <v>400</v>
      </c>
      <c r="L9" s="6">
        <v>55000</v>
      </c>
      <c r="M9" s="6">
        <v>300</v>
      </c>
      <c r="N9" s="6">
        <v>1500</v>
      </c>
      <c r="O9" s="6">
        <v>1000</v>
      </c>
      <c r="P9" s="6">
        <v>55000</v>
      </c>
      <c r="Q9" s="6">
        <v>1000</v>
      </c>
      <c r="R9" s="6">
        <v>1500</v>
      </c>
      <c r="S9" s="6">
        <v>10000</v>
      </c>
      <c r="T9" s="6">
        <v>55000</v>
      </c>
      <c r="U9" s="6">
        <v>10000</v>
      </c>
      <c r="V9" s="6">
        <v>15000</v>
      </c>
      <c r="W9" s="6">
        <v>50000</v>
      </c>
      <c r="X9" s="6">
        <v>55000</v>
      </c>
      <c r="Y9" s="6">
        <v>50000</v>
      </c>
      <c r="Z9" s="6">
        <v>1500</v>
      </c>
      <c r="AA9" s="362">
        <f t="shared" si="0"/>
        <v>0</v>
      </c>
      <c r="AB9" s="362">
        <f t="shared" si="1"/>
        <v>0.90909090909090906</v>
      </c>
      <c r="AC9" s="51"/>
    </row>
    <row r="10" spans="1:29" ht="25.5">
      <c r="A10" s="6" t="s">
        <v>136</v>
      </c>
      <c r="B10" s="6" t="s">
        <v>180</v>
      </c>
      <c r="C10" s="6">
        <v>0</v>
      </c>
      <c r="D10" s="6">
        <v>363</v>
      </c>
      <c r="E10" s="6">
        <v>0</v>
      </c>
      <c r="F10" s="49">
        <v>146000</v>
      </c>
      <c r="G10" s="6">
        <v>100</v>
      </c>
      <c r="H10" s="6">
        <v>350</v>
      </c>
      <c r="I10" s="6">
        <v>100</v>
      </c>
      <c r="J10" s="49">
        <v>146000</v>
      </c>
      <c r="K10" s="6">
        <v>300</v>
      </c>
      <c r="L10" s="6">
        <v>600</v>
      </c>
      <c r="M10" s="6">
        <v>300</v>
      </c>
      <c r="N10" s="6">
        <v>146000</v>
      </c>
      <c r="O10" s="6">
        <v>1000</v>
      </c>
      <c r="P10" s="6">
        <v>1200</v>
      </c>
      <c r="Q10" s="6">
        <v>1000</v>
      </c>
      <c r="R10" s="6">
        <v>146000</v>
      </c>
      <c r="S10" s="6">
        <v>1200</v>
      </c>
      <c r="T10" s="6">
        <v>1400</v>
      </c>
      <c r="U10" s="6">
        <v>1200</v>
      </c>
      <c r="V10" s="6">
        <v>146000</v>
      </c>
      <c r="W10" s="6">
        <v>1500</v>
      </c>
      <c r="X10" s="6">
        <v>1500</v>
      </c>
      <c r="Y10" s="6">
        <v>1500</v>
      </c>
      <c r="Z10" s="6">
        <v>146000</v>
      </c>
      <c r="AA10" s="362">
        <f t="shared" si="0"/>
        <v>0</v>
      </c>
      <c r="AB10" s="362">
        <f t="shared" si="1"/>
        <v>1</v>
      </c>
      <c r="AC10" s="51"/>
    </row>
    <row r="11" spans="1:29" ht="43.5">
      <c r="A11" s="6" t="s">
        <v>155</v>
      </c>
      <c r="B11" s="52" t="s">
        <v>181</v>
      </c>
      <c r="C11" s="54">
        <v>0</v>
      </c>
      <c r="D11" s="54">
        <v>0</v>
      </c>
      <c r="E11" s="54">
        <v>0</v>
      </c>
      <c r="F11" s="55">
        <v>1500</v>
      </c>
      <c r="G11" s="54">
        <v>200</v>
      </c>
      <c r="H11" s="56">
        <v>200</v>
      </c>
      <c r="I11" s="54">
        <v>200</v>
      </c>
      <c r="J11" s="54">
        <v>1500</v>
      </c>
      <c r="K11" s="54">
        <v>300</v>
      </c>
      <c r="L11" s="57">
        <v>300</v>
      </c>
      <c r="M11" s="54">
        <v>300</v>
      </c>
      <c r="N11" s="54">
        <v>1500</v>
      </c>
      <c r="O11" s="54">
        <v>400</v>
      </c>
      <c r="P11" s="54">
        <v>400</v>
      </c>
      <c r="Q11" s="54">
        <v>400</v>
      </c>
      <c r="R11" s="54">
        <v>1500</v>
      </c>
      <c r="S11" s="54">
        <v>500</v>
      </c>
      <c r="T11" s="54">
        <v>500</v>
      </c>
      <c r="U11" s="54">
        <v>500</v>
      </c>
      <c r="V11" s="54">
        <v>1500</v>
      </c>
      <c r="W11" s="54">
        <v>600</v>
      </c>
      <c r="X11" s="54">
        <v>600</v>
      </c>
      <c r="Y11" s="54">
        <v>600</v>
      </c>
      <c r="Z11" s="54">
        <v>1500</v>
      </c>
      <c r="AA11" s="362">
        <f t="shared" si="0"/>
        <v>0</v>
      </c>
      <c r="AB11" s="362">
        <f t="shared" si="1"/>
        <v>1</v>
      </c>
      <c r="AC11" s="51"/>
    </row>
    <row r="12" spans="1:29" ht="44.25" customHeight="1">
      <c r="A12" s="7"/>
      <c r="B12" s="58"/>
      <c r="C12" s="59"/>
      <c r="D12" s="59"/>
      <c r="E12" s="59"/>
      <c r="F12" s="60"/>
      <c r="G12" s="59"/>
      <c r="H12" s="61"/>
      <c r="I12" s="59"/>
      <c r="J12" s="59"/>
      <c r="K12" s="59"/>
      <c r="L12" s="62"/>
      <c r="M12" s="59"/>
      <c r="N12" s="59"/>
      <c r="O12" s="59"/>
      <c r="P12" s="59"/>
      <c r="Q12" s="59"/>
      <c r="R12" s="59"/>
      <c r="S12" s="59"/>
      <c r="T12" s="59"/>
      <c r="U12" s="59"/>
      <c r="V12" s="59"/>
      <c r="W12" s="59"/>
      <c r="X12" s="59"/>
      <c r="Y12" s="59"/>
      <c r="Z12" s="63" t="s">
        <v>123</v>
      </c>
      <c r="AA12" s="362">
        <f>AVERAGE(AA6:AA11)</f>
        <v>0</v>
      </c>
      <c r="AB12" s="362">
        <f>AVERAGE(AB6:AB11)</f>
        <v>0.77777777777777768</v>
      </c>
      <c r="AC12" s="51"/>
    </row>
    <row r="13" spans="1:29">
      <c r="A13" s="7"/>
      <c r="B13" s="58"/>
      <c r="C13" s="59"/>
      <c r="D13" s="59"/>
      <c r="E13" s="59"/>
      <c r="F13" s="60"/>
      <c r="G13" s="59"/>
      <c r="H13" s="61"/>
      <c r="I13" s="59"/>
      <c r="J13" s="59"/>
      <c r="K13" s="59"/>
      <c r="L13" s="62"/>
      <c r="M13" s="59"/>
      <c r="N13" s="59"/>
      <c r="O13" s="59"/>
      <c r="P13" s="59"/>
      <c r="Q13" s="59"/>
      <c r="R13" s="59"/>
      <c r="S13" s="59"/>
      <c r="T13" s="59"/>
      <c r="U13" s="59"/>
      <c r="V13" s="59"/>
      <c r="W13" s="59"/>
      <c r="X13" s="59"/>
      <c r="Y13" s="59"/>
      <c r="Z13" s="59"/>
      <c r="AA13" s="64"/>
      <c r="AB13" s="64"/>
      <c r="AC13" s="51"/>
    </row>
    <row r="14" spans="1:29" ht="23.25">
      <c r="A14" s="514" t="s">
        <v>25</v>
      </c>
      <c r="B14" s="514"/>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row>
    <row r="15" spans="1:29" ht="45.75" customHeight="1">
      <c r="A15" s="515" t="s">
        <v>3</v>
      </c>
      <c r="B15" s="518" t="s">
        <v>26</v>
      </c>
      <c r="C15" s="521" t="s">
        <v>139</v>
      </c>
      <c r="D15" s="522"/>
      <c r="E15" s="522"/>
      <c r="F15" s="523"/>
      <c r="G15" s="513" t="s">
        <v>28</v>
      </c>
      <c r="H15" s="513"/>
      <c r="I15" s="513"/>
      <c r="J15" s="513"/>
      <c r="K15" s="513"/>
      <c r="L15" s="513"/>
      <c r="M15" s="513"/>
      <c r="N15" s="513"/>
      <c r="O15" s="513"/>
      <c r="P15" s="513"/>
      <c r="Q15" s="513"/>
      <c r="R15" s="513"/>
      <c r="S15" s="513"/>
      <c r="T15" s="513"/>
      <c r="U15" s="513"/>
      <c r="V15" s="513"/>
      <c r="W15" s="513"/>
      <c r="X15" s="513"/>
      <c r="Y15" s="513"/>
      <c r="Z15" s="513"/>
      <c r="AA15" s="557" t="s">
        <v>124</v>
      </c>
      <c r="AB15" s="557" t="s">
        <v>125</v>
      </c>
    </row>
    <row r="16" spans="1:29" ht="45" customHeight="1">
      <c r="A16" s="516"/>
      <c r="B16" s="519"/>
      <c r="C16" s="524"/>
      <c r="D16" s="525"/>
      <c r="E16" s="525"/>
      <c r="F16" s="526"/>
      <c r="G16" s="513" t="s">
        <v>9</v>
      </c>
      <c r="H16" s="513"/>
      <c r="I16" s="513"/>
      <c r="J16" s="513"/>
      <c r="K16" s="513" t="s">
        <v>10</v>
      </c>
      <c r="L16" s="513"/>
      <c r="M16" s="513"/>
      <c r="N16" s="513"/>
      <c r="O16" s="513" t="s">
        <v>11</v>
      </c>
      <c r="P16" s="513"/>
      <c r="Q16" s="513"/>
      <c r="R16" s="513"/>
      <c r="S16" s="513" t="s">
        <v>12</v>
      </c>
      <c r="T16" s="513"/>
      <c r="U16" s="513"/>
      <c r="V16" s="513"/>
      <c r="W16" s="513" t="s">
        <v>13</v>
      </c>
      <c r="X16" s="513"/>
      <c r="Y16" s="513"/>
      <c r="Z16" s="513"/>
      <c r="AA16" s="558"/>
      <c r="AB16" s="558"/>
    </row>
    <row r="17" spans="1:28" ht="78.75" customHeight="1">
      <c r="A17" s="517"/>
      <c r="B17" s="520"/>
      <c r="C17" s="5" t="s">
        <v>140</v>
      </c>
      <c r="D17" s="5" t="s">
        <v>32</v>
      </c>
      <c r="E17" s="5" t="s">
        <v>33</v>
      </c>
      <c r="F17" s="5" t="s">
        <v>131</v>
      </c>
      <c r="G17" s="5" t="s">
        <v>34</v>
      </c>
      <c r="H17" s="5" t="s">
        <v>32</v>
      </c>
      <c r="I17" s="5" t="s">
        <v>33</v>
      </c>
      <c r="J17" s="5" t="s">
        <v>19</v>
      </c>
      <c r="K17" s="5" t="s">
        <v>34</v>
      </c>
      <c r="L17" s="5" t="s">
        <v>32</v>
      </c>
      <c r="M17" s="5" t="s">
        <v>33</v>
      </c>
      <c r="N17" s="5" t="s">
        <v>19</v>
      </c>
      <c r="O17" s="5" t="s">
        <v>34</v>
      </c>
      <c r="P17" s="5" t="s">
        <v>32</v>
      </c>
      <c r="Q17" s="5" t="s">
        <v>33</v>
      </c>
      <c r="R17" s="5" t="s">
        <v>19</v>
      </c>
      <c r="S17" s="5" t="s">
        <v>34</v>
      </c>
      <c r="T17" s="5" t="s">
        <v>32</v>
      </c>
      <c r="U17" s="5" t="s">
        <v>33</v>
      </c>
      <c r="V17" s="5" t="s">
        <v>19</v>
      </c>
      <c r="W17" s="5" t="s">
        <v>34</v>
      </c>
      <c r="X17" s="5" t="s">
        <v>32</v>
      </c>
      <c r="Y17" s="5" t="s">
        <v>33</v>
      </c>
      <c r="Z17" s="5" t="s">
        <v>19</v>
      </c>
      <c r="AA17" s="559"/>
      <c r="AB17" s="559"/>
    </row>
    <row r="18" spans="1:28" ht="38.25">
      <c r="A18" s="6" t="s">
        <v>20</v>
      </c>
      <c r="B18" s="6" t="s">
        <v>182</v>
      </c>
      <c r="C18" s="6"/>
      <c r="D18" s="6"/>
      <c r="E18" s="6"/>
      <c r="F18" s="6"/>
      <c r="G18" s="6"/>
      <c r="H18" s="6"/>
      <c r="I18" s="6"/>
      <c r="J18" s="6"/>
      <c r="K18" s="6"/>
      <c r="L18" s="6"/>
      <c r="M18" s="6"/>
      <c r="N18" s="6"/>
      <c r="O18" s="6"/>
      <c r="P18" s="6"/>
      <c r="Q18" s="6"/>
      <c r="R18" s="6"/>
      <c r="S18" s="6"/>
      <c r="T18" s="6"/>
      <c r="U18" s="6"/>
      <c r="V18" s="6"/>
      <c r="W18" s="6"/>
      <c r="X18" s="6"/>
      <c r="Y18" s="6"/>
      <c r="Z18" s="6"/>
      <c r="AA18" s="65"/>
      <c r="AB18" s="50"/>
    </row>
    <row r="19" spans="1:28" ht="78" customHeight="1">
      <c r="A19" s="6" t="s">
        <v>36</v>
      </c>
      <c r="B19" s="6" t="s">
        <v>183</v>
      </c>
      <c r="C19" s="6">
        <v>72000</v>
      </c>
      <c r="D19" s="6">
        <v>72000</v>
      </c>
      <c r="E19" s="6">
        <v>53000</v>
      </c>
      <c r="F19" s="6">
        <v>53000</v>
      </c>
      <c r="G19" s="6">
        <v>75000</v>
      </c>
      <c r="H19" s="6">
        <v>75000</v>
      </c>
      <c r="I19" s="6">
        <v>54000</v>
      </c>
      <c r="J19" s="6">
        <v>54000</v>
      </c>
      <c r="K19" s="6">
        <v>75000</v>
      </c>
      <c r="L19" s="6">
        <v>75000</v>
      </c>
      <c r="M19" s="6">
        <v>55000</v>
      </c>
      <c r="N19" s="6">
        <v>55000</v>
      </c>
      <c r="O19" s="6">
        <v>75000</v>
      </c>
      <c r="P19" s="6">
        <v>75000</v>
      </c>
      <c r="Q19" s="6">
        <v>55000</v>
      </c>
      <c r="R19" s="6">
        <v>55000</v>
      </c>
      <c r="S19" s="6">
        <v>75000</v>
      </c>
      <c r="T19" s="6">
        <v>75000</v>
      </c>
      <c r="U19" s="6">
        <v>55000</v>
      </c>
      <c r="V19" s="6">
        <v>55000</v>
      </c>
      <c r="W19" s="6">
        <v>75000</v>
      </c>
      <c r="X19" s="6">
        <v>75000</v>
      </c>
      <c r="Y19" s="6">
        <v>55000</v>
      </c>
      <c r="Z19" s="6">
        <v>55000</v>
      </c>
      <c r="AA19" s="454">
        <f>C19/W19</f>
        <v>0.96</v>
      </c>
      <c r="AB19" s="362">
        <f>W19/X19</f>
        <v>1</v>
      </c>
    </row>
    <row r="20" spans="1:28" ht="29.25" customHeight="1">
      <c r="Z20" s="63" t="s">
        <v>123</v>
      </c>
      <c r="AA20" s="362">
        <f>AVERAGE(AA18:AA19)</f>
        <v>0.96</v>
      </c>
      <c r="AB20" s="362">
        <f>AVERAGE(AB18:AB19)</f>
        <v>1</v>
      </c>
    </row>
    <row r="21" spans="1:28">
      <c r="A21" s="9"/>
      <c r="B21" s="9" t="s">
        <v>40</v>
      </c>
    </row>
    <row r="23" spans="1:28" ht="31.5" customHeight="1">
      <c r="A23" s="10" t="s">
        <v>41</v>
      </c>
      <c r="B23" s="509" t="s">
        <v>42</v>
      </c>
      <c r="C23" s="509"/>
      <c r="D23" s="509"/>
      <c r="E23" s="509"/>
      <c r="F23" s="509"/>
      <c r="G23" s="509"/>
      <c r="H23" s="509"/>
      <c r="I23" s="509"/>
      <c r="J23" s="509"/>
      <c r="K23" s="509"/>
      <c r="L23" s="509"/>
      <c r="M23" s="509"/>
      <c r="N23" s="509"/>
      <c r="O23" s="509"/>
      <c r="P23" s="509"/>
      <c r="Q23" s="509"/>
      <c r="R23" s="509"/>
    </row>
    <row r="24" spans="1:28" ht="31.5" customHeight="1">
      <c r="A24" s="10" t="s">
        <v>43</v>
      </c>
      <c r="B24" s="509" t="s">
        <v>44</v>
      </c>
      <c r="C24" s="509"/>
      <c r="D24" s="509"/>
      <c r="E24" s="509"/>
      <c r="F24" s="509"/>
      <c r="G24" s="509"/>
      <c r="H24" s="509"/>
      <c r="I24" s="509"/>
      <c r="J24" s="509"/>
      <c r="K24" s="509"/>
      <c r="L24" s="509"/>
      <c r="M24" s="509"/>
      <c r="N24" s="509"/>
      <c r="O24" s="509"/>
      <c r="P24" s="509"/>
      <c r="Q24" s="509"/>
      <c r="R24" s="509"/>
    </row>
    <row r="25" spans="1:28" ht="31.5" customHeight="1">
      <c r="B25" s="509" t="s">
        <v>164</v>
      </c>
      <c r="C25" s="509"/>
      <c r="D25" s="509"/>
      <c r="E25" s="509"/>
      <c r="F25" s="509"/>
      <c r="G25" s="509"/>
      <c r="H25" s="509"/>
      <c r="I25" s="509"/>
      <c r="J25" s="509"/>
      <c r="K25" s="509"/>
      <c r="L25" s="509"/>
      <c r="M25" s="509"/>
      <c r="N25" s="509"/>
      <c r="O25" s="509"/>
      <c r="P25" s="509"/>
      <c r="Q25" s="509"/>
      <c r="R25" s="509"/>
    </row>
    <row r="26" spans="1:28" ht="31.5" customHeight="1">
      <c r="B26" s="509" t="s">
        <v>165</v>
      </c>
      <c r="C26" s="509"/>
      <c r="D26" s="509"/>
      <c r="E26" s="509"/>
      <c r="F26" s="509"/>
      <c r="G26" s="509"/>
      <c r="H26" s="509"/>
      <c r="I26" s="509"/>
      <c r="J26" s="509"/>
      <c r="K26" s="509"/>
      <c r="L26" s="509"/>
      <c r="M26" s="509"/>
      <c r="N26" s="509"/>
      <c r="O26" s="509"/>
      <c r="P26" s="509"/>
      <c r="Q26" s="509"/>
      <c r="R26" s="509"/>
    </row>
    <row r="27" spans="1:28" ht="31.5" customHeight="1">
      <c r="B27" s="509" t="s">
        <v>166</v>
      </c>
      <c r="C27" s="509"/>
      <c r="D27" s="509"/>
      <c r="E27" s="509"/>
      <c r="F27" s="509"/>
      <c r="G27" s="509"/>
      <c r="H27" s="509"/>
      <c r="I27" s="509"/>
      <c r="J27" s="509"/>
      <c r="K27" s="509"/>
      <c r="L27" s="509"/>
      <c r="M27" s="509"/>
      <c r="N27" s="509"/>
      <c r="O27" s="509"/>
      <c r="P27" s="509"/>
      <c r="Q27" s="509"/>
      <c r="R27" s="509"/>
    </row>
    <row r="28" spans="1:28" ht="31.5" customHeight="1">
      <c r="B28" s="509" t="s">
        <v>167</v>
      </c>
      <c r="C28" s="509"/>
      <c r="D28" s="509"/>
      <c r="E28" s="509"/>
      <c r="F28" s="509"/>
      <c r="G28" s="509"/>
      <c r="H28" s="509"/>
      <c r="I28" s="509"/>
      <c r="J28" s="509"/>
      <c r="K28" s="509"/>
      <c r="L28" s="509"/>
      <c r="M28" s="509"/>
      <c r="N28" s="509"/>
      <c r="O28" s="509"/>
      <c r="P28" s="509"/>
      <c r="Q28" s="509"/>
      <c r="R28" s="509"/>
    </row>
    <row r="29" spans="1:28" ht="73.5" customHeight="1">
      <c r="B29" s="509" t="s">
        <v>168</v>
      </c>
      <c r="C29" s="509"/>
      <c r="D29" s="509"/>
      <c r="E29" s="509"/>
      <c r="F29" s="509"/>
      <c r="G29" s="509"/>
      <c r="H29" s="509"/>
      <c r="I29" s="509"/>
      <c r="J29" s="509"/>
      <c r="K29" s="509"/>
      <c r="L29" s="509"/>
      <c r="M29" s="509"/>
      <c r="N29" s="509"/>
      <c r="O29" s="509"/>
      <c r="P29" s="509"/>
      <c r="Q29" s="509"/>
      <c r="R29" s="509"/>
    </row>
    <row r="30" spans="1:28" ht="39" customHeight="1">
      <c r="B30" s="509" t="s">
        <v>169</v>
      </c>
      <c r="C30" s="509"/>
      <c r="D30" s="509"/>
      <c r="E30" s="509"/>
      <c r="F30" s="509"/>
      <c r="G30" s="509"/>
      <c r="H30" s="509"/>
      <c r="I30" s="509"/>
      <c r="J30" s="509"/>
      <c r="K30" s="509"/>
      <c r="L30" s="509"/>
      <c r="M30" s="509"/>
      <c r="N30" s="509"/>
      <c r="O30" s="509"/>
      <c r="P30" s="509"/>
      <c r="Q30" s="509"/>
      <c r="R30" s="509"/>
    </row>
    <row r="31" spans="1:28">
      <c r="B31" s="11"/>
    </row>
    <row r="32" spans="1:28">
      <c r="B32" s="11"/>
    </row>
    <row r="34" spans="2:2">
      <c r="B34" s="11"/>
    </row>
  </sheetData>
  <mergeCells count="34">
    <mergeCell ref="B29:R29"/>
    <mergeCell ref="B30:R30"/>
    <mergeCell ref="B23:R23"/>
    <mergeCell ref="B24:R24"/>
    <mergeCell ref="B25:R25"/>
    <mergeCell ref="B26:R26"/>
    <mergeCell ref="B27:R27"/>
    <mergeCell ref="B28:R28"/>
    <mergeCell ref="AB15:AB17"/>
    <mergeCell ref="G16:J16"/>
    <mergeCell ref="K16:N16"/>
    <mergeCell ref="O16:R16"/>
    <mergeCell ref="S16:V16"/>
    <mergeCell ref="W16:Z16"/>
    <mergeCell ref="AA15:AA17"/>
    <mergeCell ref="A14:Z14"/>
    <mergeCell ref="A15:A17"/>
    <mergeCell ref="B15:B17"/>
    <mergeCell ref="C15:F16"/>
    <mergeCell ref="G15:Z15"/>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AB26"/>
  <sheetViews>
    <sheetView workbookViewId="0">
      <selection activeCell="B25" sqref="B24:R25"/>
    </sheetView>
  </sheetViews>
  <sheetFormatPr defaultRowHeight="15"/>
  <cols>
    <col min="1" max="1" width="5" customWidth="1"/>
    <col min="2" max="2" width="15.85546875" customWidth="1"/>
    <col min="3" max="6" width="7.7109375" customWidth="1"/>
    <col min="7" max="7" width="7.28515625" customWidth="1"/>
    <col min="8" max="8" width="7.85546875" customWidth="1"/>
    <col min="9" max="9" width="8" customWidth="1"/>
    <col min="10" max="10" width="8.140625" customWidth="1"/>
    <col min="11" max="13" width="7" customWidth="1"/>
    <col min="14" max="14" width="7.5703125" customWidth="1"/>
    <col min="15" max="15" width="7" customWidth="1"/>
    <col min="16" max="16" width="7.7109375" customWidth="1"/>
    <col min="17" max="17" width="7" customWidth="1"/>
    <col min="18" max="18" width="7.5703125" customWidth="1"/>
    <col min="19" max="19" width="7" customWidth="1"/>
    <col min="20" max="20" width="7.5703125" customWidth="1"/>
    <col min="21" max="21" width="7" customWidth="1"/>
    <col min="22" max="22" width="7.85546875" customWidth="1"/>
    <col min="23" max="23" width="7" customWidth="1"/>
    <col min="24" max="24" width="7.5703125" customWidth="1"/>
    <col min="25" max="26" width="7" customWidth="1"/>
  </cols>
  <sheetData>
    <row r="1" spans="1:28" s="66" customFormat="1" ht="30" customHeight="1">
      <c r="A1" s="585" t="s">
        <v>0</v>
      </c>
      <c r="B1" s="585"/>
      <c r="C1" s="585"/>
      <c r="D1" s="585"/>
      <c r="E1" s="585"/>
      <c r="F1" s="586" t="s">
        <v>184</v>
      </c>
      <c r="G1" s="586"/>
      <c r="H1" s="586"/>
      <c r="I1" s="586"/>
      <c r="J1" s="586"/>
      <c r="K1" s="586"/>
      <c r="L1" s="586"/>
      <c r="M1" s="586"/>
      <c r="N1" s="586"/>
      <c r="O1" s="586"/>
      <c r="P1" s="586"/>
      <c r="Q1" s="586"/>
      <c r="R1" s="586"/>
      <c r="S1" s="295"/>
      <c r="T1" s="295"/>
      <c r="U1" s="295"/>
      <c r="V1" s="295"/>
      <c r="W1" s="295"/>
      <c r="X1" s="295"/>
      <c r="Y1" s="295"/>
      <c r="Z1" s="295"/>
      <c r="AA1" s="295"/>
      <c r="AB1" s="295"/>
    </row>
    <row r="2" spans="1:28" s="66" customFormat="1" ht="30" customHeight="1">
      <c r="A2" s="296"/>
      <c r="B2" s="296"/>
      <c r="C2" s="296"/>
      <c r="D2" s="296"/>
      <c r="E2" s="296"/>
      <c r="F2" s="587" t="s">
        <v>185</v>
      </c>
      <c r="G2" s="587"/>
      <c r="H2" s="587"/>
      <c r="I2" s="587"/>
      <c r="J2" s="587"/>
      <c r="K2" s="587"/>
      <c r="L2" s="587"/>
      <c r="M2" s="587"/>
      <c r="N2" s="587"/>
      <c r="O2" s="587"/>
      <c r="P2" s="587"/>
      <c r="Q2" s="587"/>
      <c r="R2" s="587"/>
      <c r="S2" s="295"/>
      <c r="T2" s="295"/>
      <c r="U2" s="295"/>
      <c r="V2" s="295"/>
      <c r="W2" s="295"/>
      <c r="X2" s="295"/>
      <c r="Y2" s="295"/>
      <c r="Z2" s="295"/>
      <c r="AA2" s="295"/>
      <c r="AB2" s="295"/>
    </row>
    <row r="3" spans="1:28" ht="31.5" customHeight="1">
      <c r="A3" s="588" t="s">
        <v>2</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157"/>
      <c r="AB3" s="157"/>
    </row>
    <row r="4" spans="1:28" ht="44.25" customHeight="1">
      <c r="A4" s="589" t="s">
        <v>3</v>
      </c>
      <c r="B4" s="592" t="s">
        <v>52</v>
      </c>
      <c r="C4" s="595" t="s">
        <v>5</v>
      </c>
      <c r="D4" s="596"/>
      <c r="E4" s="596"/>
      <c r="F4" s="597"/>
      <c r="G4" s="601" t="s">
        <v>6</v>
      </c>
      <c r="H4" s="601"/>
      <c r="I4" s="601"/>
      <c r="J4" s="601"/>
      <c r="K4" s="601"/>
      <c r="L4" s="601"/>
      <c r="M4" s="601"/>
      <c r="N4" s="601"/>
      <c r="O4" s="601"/>
      <c r="P4" s="601"/>
      <c r="Q4" s="601"/>
      <c r="R4" s="601"/>
      <c r="S4" s="601"/>
      <c r="T4" s="601"/>
      <c r="U4" s="601"/>
      <c r="V4" s="601"/>
      <c r="W4" s="601"/>
      <c r="X4" s="601"/>
      <c r="Y4" s="601"/>
      <c r="Z4" s="601"/>
      <c r="AA4" s="513" t="s">
        <v>119</v>
      </c>
      <c r="AB4" s="513" t="s">
        <v>120</v>
      </c>
    </row>
    <row r="5" spans="1:28" ht="44.25" customHeight="1">
      <c r="A5" s="590"/>
      <c r="B5" s="593"/>
      <c r="C5" s="598"/>
      <c r="D5" s="599"/>
      <c r="E5" s="599"/>
      <c r="F5" s="600"/>
      <c r="G5" s="601" t="s">
        <v>9</v>
      </c>
      <c r="H5" s="601"/>
      <c r="I5" s="601"/>
      <c r="J5" s="601"/>
      <c r="K5" s="601" t="s">
        <v>10</v>
      </c>
      <c r="L5" s="601"/>
      <c r="M5" s="601"/>
      <c r="N5" s="601"/>
      <c r="O5" s="601" t="s">
        <v>11</v>
      </c>
      <c r="P5" s="601"/>
      <c r="Q5" s="601"/>
      <c r="R5" s="601"/>
      <c r="S5" s="601" t="s">
        <v>12</v>
      </c>
      <c r="T5" s="601"/>
      <c r="U5" s="601"/>
      <c r="V5" s="601"/>
      <c r="W5" s="601" t="s">
        <v>13</v>
      </c>
      <c r="X5" s="601"/>
      <c r="Y5" s="601"/>
      <c r="Z5" s="601"/>
      <c r="AA5" s="513"/>
      <c r="AB5" s="513"/>
    </row>
    <row r="6" spans="1:28" ht="75.75" customHeight="1">
      <c r="A6" s="591"/>
      <c r="B6" s="594"/>
      <c r="C6" s="68" t="s">
        <v>14</v>
      </c>
      <c r="D6" s="68" t="s">
        <v>15</v>
      </c>
      <c r="E6" s="68" t="s">
        <v>16</v>
      </c>
      <c r="F6" s="68" t="s">
        <v>17</v>
      </c>
      <c r="G6" s="68" t="s">
        <v>14</v>
      </c>
      <c r="H6" s="68" t="s">
        <v>15</v>
      </c>
      <c r="I6" s="68" t="s">
        <v>18</v>
      </c>
      <c r="J6" s="68" t="s">
        <v>19</v>
      </c>
      <c r="K6" s="68" t="s">
        <v>14</v>
      </c>
      <c r="L6" s="68" t="s">
        <v>15</v>
      </c>
      <c r="M6" s="68" t="s">
        <v>18</v>
      </c>
      <c r="N6" s="68" t="s">
        <v>19</v>
      </c>
      <c r="O6" s="68" t="s">
        <v>14</v>
      </c>
      <c r="P6" s="68" t="s">
        <v>15</v>
      </c>
      <c r="Q6" s="68" t="s">
        <v>18</v>
      </c>
      <c r="R6" s="68" t="s">
        <v>19</v>
      </c>
      <c r="S6" s="68" t="s">
        <v>14</v>
      </c>
      <c r="T6" s="68" t="s">
        <v>15</v>
      </c>
      <c r="U6" s="68" t="s">
        <v>18</v>
      </c>
      <c r="V6" s="68" t="s">
        <v>19</v>
      </c>
      <c r="W6" s="68" t="s">
        <v>14</v>
      </c>
      <c r="X6" s="68" t="s">
        <v>15</v>
      </c>
      <c r="Y6" s="68" t="s">
        <v>18</v>
      </c>
      <c r="Z6" s="68" t="s">
        <v>19</v>
      </c>
      <c r="AA6" s="513"/>
      <c r="AB6" s="513"/>
    </row>
    <row r="7" spans="1:28" ht="145.5" customHeight="1">
      <c r="A7" s="69" t="s">
        <v>20</v>
      </c>
      <c r="B7" s="69" t="s">
        <v>186</v>
      </c>
      <c r="C7" s="70">
        <v>0</v>
      </c>
      <c r="D7" s="70">
        <v>0</v>
      </c>
      <c r="E7" s="70">
        <v>0</v>
      </c>
      <c r="F7" s="70">
        <v>0</v>
      </c>
      <c r="G7" s="70">
        <v>250</v>
      </c>
      <c r="H7" s="70">
        <v>1400</v>
      </c>
      <c r="I7" s="70">
        <v>500</v>
      </c>
      <c r="J7" s="70">
        <v>1400</v>
      </c>
      <c r="K7" s="70">
        <v>700</v>
      </c>
      <c r="L7" s="70">
        <v>1400</v>
      </c>
      <c r="M7" s="70">
        <v>700</v>
      </c>
      <c r="N7" s="70">
        <v>1400</v>
      </c>
      <c r="O7" s="70">
        <v>1000</v>
      </c>
      <c r="P7" s="70">
        <v>1400</v>
      </c>
      <c r="Q7" s="70">
        <v>1000</v>
      </c>
      <c r="R7" s="70">
        <v>1400</v>
      </c>
      <c r="S7" s="70">
        <v>1200</v>
      </c>
      <c r="T7" s="70">
        <v>1400</v>
      </c>
      <c r="U7" s="70">
        <v>1200</v>
      </c>
      <c r="V7" s="70">
        <v>1400</v>
      </c>
      <c r="W7" s="70">
        <v>1300</v>
      </c>
      <c r="X7" s="70">
        <v>1400</v>
      </c>
      <c r="Y7" s="70">
        <v>1300</v>
      </c>
      <c r="Z7" s="70">
        <v>1400</v>
      </c>
      <c r="AA7" s="305">
        <f>C7/W7</f>
        <v>0</v>
      </c>
      <c r="AB7" s="305">
        <f>W7/X7</f>
        <v>0.9285714285714286</v>
      </c>
    </row>
    <row r="8" spans="1:28" ht="89.25">
      <c r="A8" s="69" t="s">
        <v>22</v>
      </c>
      <c r="B8" s="69" t="s">
        <v>187</v>
      </c>
      <c r="C8" s="70">
        <v>0</v>
      </c>
      <c r="D8" s="70">
        <v>0</v>
      </c>
      <c r="E8" s="70">
        <v>0</v>
      </c>
      <c r="F8" s="70">
        <v>0</v>
      </c>
      <c r="G8" s="70">
        <v>5</v>
      </c>
      <c r="H8" s="70">
        <v>20</v>
      </c>
      <c r="I8" s="70">
        <v>10</v>
      </c>
      <c r="J8" s="70">
        <v>20</v>
      </c>
      <c r="K8" s="70">
        <v>10</v>
      </c>
      <c r="L8" s="70">
        <v>20</v>
      </c>
      <c r="M8" s="70">
        <v>10</v>
      </c>
      <c r="N8" s="70">
        <v>20</v>
      </c>
      <c r="O8" s="70">
        <v>15</v>
      </c>
      <c r="P8" s="70">
        <v>20</v>
      </c>
      <c r="Q8" s="70">
        <v>15</v>
      </c>
      <c r="R8" s="70">
        <v>20</v>
      </c>
      <c r="S8" s="70">
        <v>18</v>
      </c>
      <c r="T8" s="70">
        <v>20</v>
      </c>
      <c r="U8" s="70">
        <v>18</v>
      </c>
      <c r="V8" s="70">
        <v>20</v>
      </c>
      <c r="W8" s="70">
        <v>19</v>
      </c>
      <c r="X8" s="70">
        <v>20</v>
      </c>
      <c r="Y8" s="70">
        <v>19</v>
      </c>
      <c r="Z8" s="70">
        <v>20</v>
      </c>
      <c r="AA8" s="305">
        <f t="shared" ref="AA8:AA10" si="0">C8/W8</f>
        <v>0</v>
      </c>
      <c r="AB8" s="305">
        <f t="shared" ref="AB8:AB10" si="1">W8/X8</f>
        <v>0.95</v>
      </c>
    </row>
    <row r="9" spans="1:28" ht="76.5">
      <c r="A9" s="69" t="s">
        <v>61</v>
      </c>
      <c r="B9" s="69" t="s">
        <v>188</v>
      </c>
      <c r="C9" s="70">
        <v>0</v>
      </c>
      <c r="D9" s="70">
        <v>0</v>
      </c>
      <c r="E9" s="70">
        <v>0</v>
      </c>
      <c r="F9" s="70">
        <v>0</v>
      </c>
      <c r="G9" s="70">
        <v>500</v>
      </c>
      <c r="H9" s="70">
        <v>2500</v>
      </c>
      <c r="I9" s="70">
        <v>5000</v>
      </c>
      <c r="J9" s="70">
        <v>2500</v>
      </c>
      <c r="K9" s="70">
        <v>1000</v>
      </c>
      <c r="L9" s="70">
        <v>2500</v>
      </c>
      <c r="M9" s="70">
        <v>1000</v>
      </c>
      <c r="N9" s="70">
        <v>2500</v>
      </c>
      <c r="O9" s="70">
        <v>1300</v>
      </c>
      <c r="P9" s="70">
        <v>2500</v>
      </c>
      <c r="Q9" s="70">
        <v>1300</v>
      </c>
      <c r="R9" s="70">
        <v>2500</v>
      </c>
      <c r="S9" s="70">
        <v>2000</v>
      </c>
      <c r="T9" s="70">
        <v>2500</v>
      </c>
      <c r="U9" s="70">
        <v>2000</v>
      </c>
      <c r="V9" s="70">
        <v>2500</v>
      </c>
      <c r="W9" s="70">
        <v>2400</v>
      </c>
      <c r="X9" s="70">
        <v>2500</v>
      </c>
      <c r="Y9" s="70">
        <v>2400</v>
      </c>
      <c r="Z9" s="70">
        <v>2500</v>
      </c>
      <c r="AA9" s="305">
        <f t="shared" si="0"/>
        <v>0</v>
      </c>
      <c r="AB9" s="305">
        <f t="shared" si="1"/>
        <v>0.96</v>
      </c>
    </row>
    <row r="10" spans="1:28" ht="89.25">
      <c r="A10" s="69" t="s">
        <v>63</v>
      </c>
      <c r="B10" s="72" t="s">
        <v>189</v>
      </c>
      <c r="C10" s="70">
        <v>0</v>
      </c>
      <c r="D10" s="70">
        <v>0</v>
      </c>
      <c r="E10" s="70">
        <v>0</v>
      </c>
      <c r="F10" s="70">
        <v>0</v>
      </c>
      <c r="G10" s="70">
        <v>10</v>
      </c>
      <c r="H10" s="70">
        <v>40</v>
      </c>
      <c r="I10" s="70">
        <v>20</v>
      </c>
      <c r="J10" s="70">
        <v>40</v>
      </c>
      <c r="K10" s="70">
        <v>15</v>
      </c>
      <c r="L10" s="70">
        <v>40</v>
      </c>
      <c r="M10" s="70">
        <v>15</v>
      </c>
      <c r="N10" s="70">
        <v>40</v>
      </c>
      <c r="O10" s="70">
        <v>18</v>
      </c>
      <c r="P10" s="70">
        <v>40</v>
      </c>
      <c r="Q10" s="70">
        <v>18</v>
      </c>
      <c r="R10" s="70">
        <v>40</v>
      </c>
      <c r="S10" s="70">
        <v>19</v>
      </c>
      <c r="T10" s="70">
        <v>40</v>
      </c>
      <c r="U10" s="70">
        <v>19</v>
      </c>
      <c r="V10" s="70">
        <v>40</v>
      </c>
      <c r="W10" s="70">
        <v>19</v>
      </c>
      <c r="X10" s="70">
        <v>40</v>
      </c>
      <c r="Y10" s="70">
        <v>19</v>
      </c>
      <c r="Z10" s="70">
        <v>40</v>
      </c>
      <c r="AA10" s="305">
        <f t="shared" si="0"/>
        <v>0</v>
      </c>
      <c r="AB10" s="306">
        <f t="shared" si="1"/>
        <v>0.47499999999999998</v>
      </c>
    </row>
    <row r="11" spans="1:28" ht="51.75">
      <c r="A11" s="74"/>
      <c r="B11" s="75"/>
      <c r="C11" s="76"/>
      <c r="D11" s="76"/>
      <c r="E11" s="76"/>
      <c r="F11" s="76"/>
      <c r="G11" s="76"/>
      <c r="H11" s="76"/>
      <c r="I11" s="76"/>
      <c r="J11" s="76"/>
      <c r="K11" s="76"/>
      <c r="L11" s="76"/>
      <c r="M11" s="76"/>
      <c r="N11" s="76"/>
      <c r="O11" s="76"/>
      <c r="P11" s="76"/>
      <c r="Q11" s="76"/>
      <c r="R11" s="76"/>
      <c r="S11" s="76"/>
      <c r="T11" s="76"/>
      <c r="U11" s="76"/>
      <c r="V11" s="76"/>
      <c r="W11" s="76"/>
      <c r="X11" s="76"/>
      <c r="Y11" s="76"/>
      <c r="Z11" s="212" t="s">
        <v>123</v>
      </c>
      <c r="AA11" s="413">
        <f>AVERAGE(AA9:AA10)</f>
        <v>0</v>
      </c>
      <c r="AB11" s="413">
        <f>AVERAGE(AB9:AB10)</f>
        <v>0.71750000000000003</v>
      </c>
    </row>
    <row r="13" spans="1:28">
      <c r="A13" s="77"/>
      <c r="B13" s="77" t="s">
        <v>40</v>
      </c>
    </row>
    <row r="15" spans="1:28" ht="31.5" customHeight="1">
      <c r="A15" s="10" t="s">
        <v>41</v>
      </c>
      <c r="B15" s="602" t="s">
        <v>42</v>
      </c>
      <c r="C15" s="602"/>
      <c r="D15" s="602"/>
      <c r="E15" s="602"/>
      <c r="F15" s="602"/>
      <c r="G15" s="602"/>
      <c r="H15" s="602"/>
      <c r="I15" s="602"/>
      <c r="J15" s="602"/>
      <c r="K15" s="602"/>
      <c r="L15" s="602"/>
      <c r="M15" s="602"/>
      <c r="N15" s="602"/>
      <c r="O15" s="602"/>
      <c r="P15" s="602"/>
      <c r="Q15" s="602"/>
      <c r="R15" s="602"/>
    </row>
    <row r="16" spans="1:28" ht="31.5" customHeight="1">
      <c r="A16" s="10" t="s">
        <v>43</v>
      </c>
      <c r="B16" s="602" t="s">
        <v>44</v>
      </c>
      <c r="C16" s="602"/>
      <c r="D16" s="602"/>
      <c r="E16" s="602"/>
      <c r="F16" s="602"/>
      <c r="G16" s="602"/>
      <c r="H16" s="602"/>
      <c r="I16" s="602"/>
      <c r="J16" s="602"/>
      <c r="K16" s="602"/>
      <c r="L16" s="602"/>
      <c r="M16" s="602"/>
      <c r="N16" s="602"/>
      <c r="O16" s="602"/>
      <c r="P16" s="602"/>
      <c r="Q16" s="602"/>
      <c r="R16" s="602"/>
    </row>
    <row r="17" spans="2:18" ht="31.5" customHeight="1">
      <c r="B17" s="602" t="s">
        <v>45</v>
      </c>
      <c r="C17" s="602"/>
      <c r="D17" s="602"/>
      <c r="E17" s="602"/>
      <c r="F17" s="602"/>
      <c r="G17" s="602"/>
      <c r="H17" s="602"/>
      <c r="I17" s="602"/>
      <c r="J17" s="602"/>
      <c r="K17" s="602"/>
      <c r="L17" s="602"/>
      <c r="M17" s="602"/>
      <c r="N17" s="602"/>
      <c r="O17" s="602"/>
      <c r="P17" s="602"/>
      <c r="Q17" s="602"/>
      <c r="R17" s="602"/>
    </row>
    <row r="18" spans="2:18" ht="31.5" customHeight="1">
      <c r="B18" s="602" t="s">
        <v>46</v>
      </c>
      <c r="C18" s="602"/>
      <c r="D18" s="602"/>
      <c r="E18" s="602"/>
      <c r="F18" s="602"/>
      <c r="G18" s="602"/>
      <c r="H18" s="602"/>
      <c r="I18" s="602"/>
      <c r="J18" s="602"/>
      <c r="K18" s="602"/>
      <c r="L18" s="602"/>
      <c r="M18" s="602"/>
      <c r="N18" s="602"/>
      <c r="O18" s="602"/>
      <c r="P18" s="602"/>
      <c r="Q18" s="602"/>
      <c r="R18" s="602"/>
    </row>
    <row r="19" spans="2:18" ht="31.5" customHeight="1">
      <c r="B19" s="602" t="s">
        <v>47</v>
      </c>
      <c r="C19" s="602"/>
      <c r="D19" s="602"/>
      <c r="E19" s="602"/>
      <c r="F19" s="602"/>
      <c r="G19" s="602"/>
      <c r="H19" s="602"/>
      <c r="I19" s="602"/>
      <c r="J19" s="602"/>
      <c r="K19" s="602"/>
      <c r="L19" s="602"/>
      <c r="M19" s="602"/>
      <c r="N19" s="602"/>
      <c r="O19" s="602"/>
      <c r="P19" s="602"/>
      <c r="Q19" s="602"/>
      <c r="R19" s="602"/>
    </row>
    <row r="20" spans="2:18" ht="31.5" customHeight="1">
      <c r="B20" s="602" t="s">
        <v>48</v>
      </c>
      <c r="C20" s="602"/>
      <c r="D20" s="602"/>
      <c r="E20" s="602"/>
      <c r="F20" s="602"/>
      <c r="G20" s="602"/>
      <c r="H20" s="602"/>
      <c r="I20" s="602"/>
      <c r="J20" s="602"/>
      <c r="K20" s="602"/>
      <c r="L20" s="602"/>
      <c r="M20" s="602"/>
      <c r="N20" s="602"/>
      <c r="O20" s="602"/>
      <c r="P20" s="602"/>
      <c r="Q20" s="602"/>
      <c r="R20" s="602"/>
    </row>
    <row r="21" spans="2:18" ht="73.5" customHeight="1">
      <c r="B21" s="602" t="s">
        <v>49</v>
      </c>
      <c r="C21" s="602"/>
      <c r="D21" s="602"/>
      <c r="E21" s="602"/>
      <c r="F21" s="602"/>
      <c r="G21" s="602"/>
      <c r="H21" s="602"/>
      <c r="I21" s="602"/>
      <c r="J21" s="602"/>
      <c r="K21" s="602"/>
      <c r="L21" s="602"/>
      <c r="M21" s="602"/>
      <c r="N21" s="602"/>
      <c r="O21" s="602"/>
      <c r="P21" s="602"/>
      <c r="Q21" s="602"/>
      <c r="R21" s="602"/>
    </row>
    <row r="22" spans="2:18" ht="39" customHeight="1">
      <c r="B22" s="602" t="s">
        <v>50</v>
      </c>
      <c r="C22" s="602"/>
      <c r="D22" s="602"/>
      <c r="E22" s="602"/>
      <c r="F22" s="602"/>
      <c r="G22" s="602"/>
      <c r="H22" s="602"/>
      <c r="I22" s="602"/>
      <c r="J22" s="602"/>
      <c r="K22" s="602"/>
      <c r="L22" s="602"/>
      <c r="M22" s="602"/>
      <c r="N22" s="602"/>
      <c r="O22" s="602"/>
      <c r="P22" s="602"/>
      <c r="Q22" s="602"/>
      <c r="R22" s="602"/>
    </row>
    <row r="23" spans="2:18">
      <c r="B23" s="78" t="s">
        <v>190</v>
      </c>
    </row>
    <row r="24" spans="2:18" ht="27" customHeight="1">
      <c r="B24" s="603" t="s">
        <v>191</v>
      </c>
      <c r="C24" s="603"/>
      <c r="D24" s="603"/>
      <c r="E24" s="603"/>
      <c r="F24" s="603"/>
      <c r="G24" s="603"/>
      <c r="H24" s="603"/>
      <c r="I24" s="603"/>
      <c r="J24" s="603"/>
      <c r="K24" s="603"/>
      <c r="L24" s="603"/>
      <c r="M24" s="603"/>
      <c r="N24" s="603"/>
      <c r="O24" s="603"/>
      <c r="P24" s="603"/>
      <c r="Q24" s="603"/>
      <c r="R24" s="603"/>
    </row>
    <row r="26" spans="2:18">
      <c r="B26" s="78"/>
    </row>
  </sheetData>
  <mergeCells count="24">
    <mergeCell ref="B21:R21"/>
    <mergeCell ref="B22:R22"/>
    <mergeCell ref="B24:R24"/>
    <mergeCell ref="B15:R15"/>
    <mergeCell ref="B16:R16"/>
    <mergeCell ref="B17:R17"/>
    <mergeCell ref="B18:R18"/>
    <mergeCell ref="B19:R19"/>
    <mergeCell ref="B20:R20"/>
    <mergeCell ref="AA4:AA6"/>
    <mergeCell ref="AB4:AB6"/>
    <mergeCell ref="G5:J5"/>
    <mergeCell ref="K5:N5"/>
    <mergeCell ref="O5:R5"/>
    <mergeCell ref="S5:V5"/>
    <mergeCell ref="W5:Z5"/>
    <mergeCell ref="A1:E1"/>
    <mergeCell ref="F1:R1"/>
    <mergeCell ref="F2:R2"/>
    <mergeCell ref="A3:Z3"/>
    <mergeCell ref="A4:A6"/>
    <mergeCell ref="B4:B6"/>
    <mergeCell ref="C4:F5"/>
    <mergeCell ref="G4:Z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AB41"/>
  <sheetViews>
    <sheetView topLeftCell="E12" workbookViewId="0">
      <selection activeCell="B25" sqref="B24:R25"/>
    </sheetView>
  </sheetViews>
  <sheetFormatPr defaultRowHeight="15"/>
  <cols>
    <col min="1" max="1" width="5" customWidth="1"/>
    <col min="2" max="2" width="15.85546875" customWidth="1"/>
    <col min="3" max="6" width="7.7109375" customWidth="1"/>
    <col min="7" max="25" width="7" customWidth="1"/>
    <col min="26" max="26" width="8.140625" customWidth="1"/>
  </cols>
  <sheetData>
    <row r="1" spans="1:28" s="1" customFormat="1" ht="30" customHeight="1">
      <c r="A1" s="529" t="s">
        <v>0</v>
      </c>
      <c r="B1" s="529"/>
      <c r="C1" s="529"/>
      <c r="D1" s="529"/>
      <c r="E1" s="529"/>
      <c r="F1" s="579" t="s">
        <v>192</v>
      </c>
      <c r="G1" s="579"/>
      <c r="H1" s="579"/>
      <c r="I1" s="579"/>
      <c r="J1" s="579"/>
      <c r="K1" s="579"/>
      <c r="L1" s="579"/>
      <c r="M1" s="579"/>
      <c r="N1" s="579"/>
      <c r="O1" s="579"/>
      <c r="P1" s="579"/>
      <c r="Q1" s="579"/>
      <c r="R1" s="579"/>
    </row>
    <row r="2" spans="1:28" ht="31.5" customHeight="1">
      <c r="A2" s="514" t="s">
        <v>2</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28" ht="44.25" customHeight="1">
      <c r="A3" s="515" t="s">
        <v>3</v>
      </c>
      <c r="B3" s="518" t="s">
        <v>4</v>
      </c>
      <c r="C3" s="521" t="s">
        <v>129</v>
      </c>
      <c r="D3" s="522"/>
      <c r="E3" s="522"/>
      <c r="F3" s="523"/>
      <c r="G3" s="513" t="s">
        <v>6</v>
      </c>
      <c r="H3" s="513"/>
      <c r="I3" s="513"/>
      <c r="J3" s="513"/>
      <c r="K3" s="513"/>
      <c r="L3" s="513"/>
      <c r="M3" s="513"/>
      <c r="N3" s="513"/>
      <c r="O3" s="513"/>
      <c r="P3" s="513"/>
      <c r="Q3" s="513"/>
      <c r="R3" s="513"/>
      <c r="S3" s="513"/>
      <c r="T3" s="513"/>
      <c r="U3" s="513"/>
      <c r="V3" s="513"/>
      <c r="W3" s="513"/>
      <c r="X3" s="513"/>
      <c r="Y3" s="513"/>
      <c r="Z3" s="513"/>
      <c r="AA3" s="513" t="s">
        <v>119</v>
      </c>
      <c r="AB3" s="513" t="s">
        <v>120</v>
      </c>
    </row>
    <row r="4" spans="1:28" ht="44.25" customHeight="1">
      <c r="A4" s="516"/>
      <c r="B4" s="519"/>
      <c r="C4" s="524"/>
      <c r="D4" s="525"/>
      <c r="E4" s="525"/>
      <c r="F4" s="526"/>
      <c r="G4" s="513" t="s">
        <v>9</v>
      </c>
      <c r="H4" s="513"/>
      <c r="I4" s="513"/>
      <c r="J4" s="513"/>
      <c r="K4" s="513" t="s">
        <v>10</v>
      </c>
      <c r="L4" s="513"/>
      <c r="M4" s="513"/>
      <c r="N4" s="513"/>
      <c r="O4" s="513" t="s">
        <v>11</v>
      </c>
      <c r="P4" s="513"/>
      <c r="Q4" s="513"/>
      <c r="R4" s="513"/>
      <c r="S4" s="513" t="s">
        <v>12</v>
      </c>
      <c r="T4" s="513"/>
      <c r="U4" s="513"/>
      <c r="V4" s="513"/>
      <c r="W4" s="513" t="s">
        <v>13</v>
      </c>
      <c r="X4" s="513"/>
      <c r="Y4" s="513"/>
      <c r="Z4" s="513"/>
      <c r="AA4" s="513"/>
      <c r="AB4" s="513"/>
    </row>
    <row r="5" spans="1:28" ht="75.75" customHeight="1">
      <c r="A5" s="517"/>
      <c r="B5" s="520"/>
      <c r="C5" s="5" t="s">
        <v>14</v>
      </c>
      <c r="D5" s="5" t="s">
        <v>15</v>
      </c>
      <c r="E5" s="5" t="s">
        <v>130</v>
      </c>
      <c r="F5" s="5" t="s">
        <v>131</v>
      </c>
      <c r="G5" s="5" t="s">
        <v>14</v>
      </c>
      <c r="H5" s="5" t="s">
        <v>15</v>
      </c>
      <c r="I5" s="5" t="s">
        <v>18</v>
      </c>
      <c r="J5" s="5" t="s">
        <v>19</v>
      </c>
      <c r="K5" s="5" t="s">
        <v>14</v>
      </c>
      <c r="L5" s="5" t="s">
        <v>15</v>
      </c>
      <c r="M5" s="5" t="s">
        <v>18</v>
      </c>
      <c r="N5" s="5" t="s">
        <v>19</v>
      </c>
      <c r="O5" s="5" t="s">
        <v>14</v>
      </c>
      <c r="P5" s="5" t="s">
        <v>15</v>
      </c>
      <c r="Q5" s="5" t="s">
        <v>18</v>
      </c>
      <c r="R5" s="5" t="s">
        <v>19</v>
      </c>
      <c r="S5" s="5" t="s">
        <v>14</v>
      </c>
      <c r="T5" s="5" t="s">
        <v>15</v>
      </c>
      <c r="U5" s="5" t="s">
        <v>18</v>
      </c>
      <c r="V5" s="5" t="s">
        <v>19</v>
      </c>
      <c r="W5" s="5" t="s">
        <v>14</v>
      </c>
      <c r="X5" s="5" t="s">
        <v>15</v>
      </c>
      <c r="Y5" s="5" t="s">
        <v>18</v>
      </c>
      <c r="Z5" s="5" t="s">
        <v>19</v>
      </c>
      <c r="AA5" s="513"/>
      <c r="AB5" s="513"/>
    </row>
    <row r="6" spans="1:28" ht="63.75">
      <c r="A6" s="6" t="s">
        <v>20</v>
      </c>
      <c r="B6" s="6" t="s">
        <v>193</v>
      </c>
      <c r="C6" s="6">
        <v>0</v>
      </c>
      <c r="D6" s="6">
        <v>0</v>
      </c>
      <c r="E6" s="6">
        <v>0</v>
      </c>
      <c r="F6" s="6">
        <v>0</v>
      </c>
      <c r="G6" s="6">
        <v>11856</v>
      </c>
      <c r="H6" s="6">
        <v>11856</v>
      </c>
      <c r="I6" s="80">
        <v>7020</v>
      </c>
      <c r="J6" s="80">
        <v>7020</v>
      </c>
      <c r="K6" s="6">
        <v>12000</v>
      </c>
      <c r="L6" s="6">
        <v>12000</v>
      </c>
      <c r="M6" s="6">
        <v>7200</v>
      </c>
      <c r="N6" s="6">
        <v>7200</v>
      </c>
      <c r="O6" s="6">
        <v>13000</v>
      </c>
      <c r="P6" s="6">
        <v>13000</v>
      </c>
      <c r="Q6" s="6">
        <v>7300</v>
      </c>
      <c r="R6" s="6">
        <v>7300</v>
      </c>
      <c r="S6" s="6">
        <v>14000</v>
      </c>
      <c r="T6" s="6">
        <v>14000</v>
      </c>
      <c r="U6" s="6">
        <v>7400</v>
      </c>
      <c r="V6" s="6">
        <v>7400</v>
      </c>
      <c r="W6" s="6">
        <v>15000</v>
      </c>
      <c r="X6" s="6">
        <v>15000</v>
      </c>
      <c r="Y6" s="6">
        <v>7500</v>
      </c>
      <c r="Z6" s="40">
        <v>7500</v>
      </c>
      <c r="AA6" s="297">
        <f>C6/W6</f>
        <v>0</v>
      </c>
      <c r="AB6" s="297">
        <f>W6/X6</f>
        <v>1</v>
      </c>
    </row>
    <row r="7" spans="1:28" ht="38.25">
      <c r="A7" s="6" t="s">
        <v>22</v>
      </c>
      <c r="B7" s="6" t="s">
        <v>194</v>
      </c>
      <c r="C7" s="6">
        <v>41059</v>
      </c>
      <c r="D7" s="6">
        <v>41059</v>
      </c>
      <c r="E7" s="6">
        <v>6457</v>
      </c>
      <c r="F7" s="6">
        <v>6457</v>
      </c>
      <c r="G7" s="6">
        <v>42000</v>
      </c>
      <c r="H7" s="6">
        <v>42000</v>
      </c>
      <c r="I7" s="6">
        <v>6500</v>
      </c>
      <c r="J7" s="6">
        <v>6500</v>
      </c>
      <c r="K7" s="6">
        <v>43000</v>
      </c>
      <c r="L7" s="6">
        <v>43000</v>
      </c>
      <c r="M7" s="6">
        <v>6550</v>
      </c>
      <c r="N7" s="6">
        <v>6550</v>
      </c>
      <c r="O7" s="6">
        <v>44000</v>
      </c>
      <c r="P7" s="6">
        <v>44000</v>
      </c>
      <c r="Q7" s="6">
        <v>6600</v>
      </c>
      <c r="R7" s="6">
        <v>6600</v>
      </c>
      <c r="S7" s="6">
        <v>45000</v>
      </c>
      <c r="T7" s="6">
        <v>45000</v>
      </c>
      <c r="U7" s="6">
        <v>6650</v>
      </c>
      <c r="V7" s="6">
        <v>6650</v>
      </c>
      <c r="W7" s="6">
        <v>46000</v>
      </c>
      <c r="X7" s="6">
        <v>46000</v>
      </c>
      <c r="Y7" s="6">
        <v>6700</v>
      </c>
      <c r="Z7" s="40">
        <v>6700</v>
      </c>
      <c r="AA7" s="297">
        <f t="shared" ref="AA7:AA8" si="0">C7/W7</f>
        <v>0.89258695652173914</v>
      </c>
      <c r="AB7" s="297">
        <f t="shared" ref="AB7:AB8" si="1">W7/X7</f>
        <v>1</v>
      </c>
    </row>
    <row r="8" spans="1:28" ht="63.75">
      <c r="A8" s="6" t="s">
        <v>61</v>
      </c>
      <c r="B8" s="6" t="s">
        <v>195</v>
      </c>
      <c r="C8" s="6">
        <v>52062</v>
      </c>
      <c r="D8" s="6">
        <v>52062</v>
      </c>
      <c r="E8" s="6">
        <v>22037</v>
      </c>
      <c r="F8" s="6">
        <v>22037</v>
      </c>
      <c r="G8" s="6">
        <v>97800</v>
      </c>
      <c r="H8" s="6">
        <v>97800</v>
      </c>
      <c r="I8" s="6">
        <v>37812</v>
      </c>
      <c r="J8" s="6">
        <v>37812</v>
      </c>
      <c r="K8" s="6">
        <v>100000</v>
      </c>
      <c r="L8" s="6">
        <v>100000</v>
      </c>
      <c r="M8" s="6">
        <v>38100</v>
      </c>
      <c r="N8" s="6">
        <v>38100</v>
      </c>
      <c r="O8" s="6">
        <v>110000</v>
      </c>
      <c r="P8" s="6">
        <v>110000</v>
      </c>
      <c r="Q8" s="6">
        <v>38700</v>
      </c>
      <c r="R8" s="6">
        <v>38700</v>
      </c>
      <c r="S8" s="6">
        <v>120000</v>
      </c>
      <c r="T8" s="6">
        <v>120000</v>
      </c>
      <c r="U8" s="6">
        <v>39400</v>
      </c>
      <c r="V8" s="6">
        <v>39400</v>
      </c>
      <c r="W8" s="6">
        <v>130000</v>
      </c>
      <c r="X8" s="6">
        <v>130000</v>
      </c>
      <c r="Y8" s="6">
        <v>40200</v>
      </c>
      <c r="Z8" s="40">
        <v>40200</v>
      </c>
      <c r="AA8" s="297">
        <f t="shared" si="0"/>
        <v>0.40047692307692306</v>
      </c>
      <c r="AB8" s="297">
        <f t="shared" si="1"/>
        <v>1</v>
      </c>
    </row>
    <row r="9" spans="1:28" ht="25.5">
      <c r="Z9" s="6" t="s">
        <v>24</v>
      </c>
      <c r="AA9" s="297">
        <f>AVERAGE(AA6:AA8)</f>
        <v>0.43102129319955407</v>
      </c>
      <c r="AB9" s="297">
        <f>AVERAGE(AB6:AB8)</f>
        <v>1</v>
      </c>
    </row>
    <row r="10" spans="1:28" ht="23.25">
      <c r="A10" s="514" t="s">
        <v>25</v>
      </c>
      <c r="B10" s="514"/>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455"/>
      <c r="AB10" s="455"/>
    </row>
    <row r="11" spans="1:28" ht="45.75" customHeight="1">
      <c r="A11" s="515" t="s">
        <v>3</v>
      </c>
      <c r="B11" s="518" t="s">
        <v>26</v>
      </c>
      <c r="C11" s="521" t="s">
        <v>139</v>
      </c>
      <c r="D11" s="522"/>
      <c r="E11" s="522"/>
      <c r="F11" s="523"/>
      <c r="G11" s="513" t="s">
        <v>28</v>
      </c>
      <c r="H11" s="513"/>
      <c r="I11" s="513"/>
      <c r="J11" s="513"/>
      <c r="K11" s="513"/>
      <c r="L11" s="513"/>
      <c r="M11" s="513"/>
      <c r="N11" s="513"/>
      <c r="O11" s="513"/>
      <c r="P11" s="513"/>
      <c r="Q11" s="513"/>
      <c r="R11" s="513"/>
      <c r="S11" s="513"/>
      <c r="T11" s="513"/>
      <c r="U11" s="513"/>
      <c r="V11" s="513"/>
      <c r="W11" s="513"/>
      <c r="X11" s="513"/>
      <c r="Y11" s="513"/>
      <c r="Z11" s="513"/>
      <c r="AA11" s="513" t="s">
        <v>124</v>
      </c>
      <c r="AB11" s="513" t="s">
        <v>125</v>
      </c>
    </row>
    <row r="12" spans="1:28" ht="45" customHeight="1">
      <c r="A12" s="516"/>
      <c r="B12" s="519"/>
      <c r="C12" s="524"/>
      <c r="D12" s="525"/>
      <c r="E12" s="525"/>
      <c r="F12" s="526"/>
      <c r="G12" s="513" t="s">
        <v>9</v>
      </c>
      <c r="H12" s="513"/>
      <c r="I12" s="513"/>
      <c r="J12" s="513"/>
      <c r="K12" s="513" t="s">
        <v>10</v>
      </c>
      <c r="L12" s="513"/>
      <c r="M12" s="513"/>
      <c r="N12" s="513"/>
      <c r="O12" s="513" t="s">
        <v>11</v>
      </c>
      <c r="P12" s="513"/>
      <c r="Q12" s="513"/>
      <c r="R12" s="513"/>
      <c r="S12" s="513" t="s">
        <v>12</v>
      </c>
      <c r="T12" s="513"/>
      <c r="U12" s="513"/>
      <c r="V12" s="513"/>
      <c r="W12" s="513" t="s">
        <v>13</v>
      </c>
      <c r="X12" s="513"/>
      <c r="Y12" s="513"/>
      <c r="Z12" s="513"/>
      <c r="AA12" s="513" t="s">
        <v>124</v>
      </c>
      <c r="AB12" s="513" t="s">
        <v>125</v>
      </c>
    </row>
    <row r="13" spans="1:28" ht="78.75" customHeight="1">
      <c r="A13" s="517"/>
      <c r="B13" s="520"/>
      <c r="C13" s="5" t="s">
        <v>140</v>
      </c>
      <c r="D13" s="5" t="s">
        <v>32</v>
      </c>
      <c r="E13" s="5" t="s">
        <v>33</v>
      </c>
      <c r="F13" s="5" t="s">
        <v>131</v>
      </c>
      <c r="G13" s="5" t="s">
        <v>34</v>
      </c>
      <c r="H13" s="5" t="s">
        <v>32</v>
      </c>
      <c r="I13" s="5" t="s">
        <v>33</v>
      </c>
      <c r="J13" s="5" t="s">
        <v>19</v>
      </c>
      <c r="K13" s="5" t="s">
        <v>34</v>
      </c>
      <c r="L13" s="5" t="s">
        <v>32</v>
      </c>
      <c r="M13" s="5" t="s">
        <v>33</v>
      </c>
      <c r="N13" s="5" t="s">
        <v>19</v>
      </c>
      <c r="O13" s="5" t="s">
        <v>34</v>
      </c>
      <c r="P13" s="5" t="s">
        <v>32</v>
      </c>
      <c r="Q13" s="5" t="s">
        <v>33</v>
      </c>
      <c r="R13" s="5" t="s">
        <v>19</v>
      </c>
      <c r="S13" s="5" t="s">
        <v>34</v>
      </c>
      <c r="T13" s="5" t="s">
        <v>32</v>
      </c>
      <c r="U13" s="5" t="s">
        <v>33</v>
      </c>
      <c r="V13" s="5" t="s">
        <v>19</v>
      </c>
      <c r="W13" s="5" t="s">
        <v>34</v>
      </c>
      <c r="X13" s="5" t="s">
        <v>32</v>
      </c>
      <c r="Y13" s="5" t="s">
        <v>33</v>
      </c>
      <c r="Z13" s="5" t="s">
        <v>19</v>
      </c>
      <c r="AA13" s="513" t="s">
        <v>124</v>
      </c>
      <c r="AB13" s="513" t="s">
        <v>125</v>
      </c>
    </row>
    <row r="14" spans="1:28" ht="76.5">
      <c r="A14" s="6" t="s">
        <v>20</v>
      </c>
      <c r="B14" s="6" t="s">
        <v>196</v>
      </c>
      <c r="C14" s="6"/>
      <c r="D14" s="6"/>
      <c r="E14" s="6"/>
      <c r="F14" s="6"/>
      <c r="G14" s="6"/>
      <c r="H14" s="6"/>
      <c r="I14" s="6"/>
      <c r="J14" s="6"/>
      <c r="K14" s="6"/>
      <c r="L14" s="6"/>
      <c r="M14" s="6"/>
      <c r="N14" s="6"/>
      <c r="O14" s="6"/>
      <c r="P14" s="6"/>
      <c r="Q14" s="6"/>
      <c r="R14" s="6"/>
      <c r="S14" s="6"/>
      <c r="T14" s="6"/>
      <c r="U14" s="6"/>
      <c r="V14" s="6"/>
      <c r="W14" s="6"/>
      <c r="X14" s="6"/>
      <c r="Y14" s="6"/>
      <c r="Z14" s="6"/>
      <c r="AA14" s="456"/>
      <c r="AB14" s="456"/>
    </row>
    <row r="15" spans="1:28" ht="25.5">
      <c r="A15" s="6" t="s">
        <v>36</v>
      </c>
      <c r="B15" s="6" t="s">
        <v>197</v>
      </c>
      <c r="C15" s="6">
        <v>0</v>
      </c>
      <c r="D15" s="6">
        <v>0</v>
      </c>
      <c r="E15" s="6">
        <v>0</v>
      </c>
      <c r="F15" s="6">
        <v>0</v>
      </c>
      <c r="G15" s="6">
        <v>25</v>
      </c>
      <c r="H15" s="6">
        <v>25</v>
      </c>
      <c r="I15" s="6">
        <v>2</v>
      </c>
      <c r="J15" s="6">
        <v>2</v>
      </c>
      <c r="K15" s="6">
        <v>25</v>
      </c>
      <c r="L15" s="6">
        <v>25</v>
      </c>
      <c r="M15" s="6">
        <v>2</v>
      </c>
      <c r="N15" s="6">
        <v>2</v>
      </c>
      <c r="O15" s="6">
        <v>25</v>
      </c>
      <c r="P15" s="6">
        <v>25</v>
      </c>
      <c r="Q15" s="6">
        <v>2</v>
      </c>
      <c r="R15" s="6">
        <v>2</v>
      </c>
      <c r="S15" s="6">
        <v>25</v>
      </c>
      <c r="T15" s="6">
        <v>25</v>
      </c>
      <c r="U15" s="6">
        <v>2</v>
      </c>
      <c r="V15" s="6">
        <v>2</v>
      </c>
      <c r="W15" s="6">
        <v>25</v>
      </c>
      <c r="X15" s="6">
        <v>25</v>
      </c>
      <c r="Y15" s="6">
        <v>2</v>
      </c>
      <c r="Z15" s="6">
        <v>2</v>
      </c>
      <c r="AA15" s="456">
        <f t="shared" ref="AA15:AA25" si="2">C15/W15</f>
        <v>0</v>
      </c>
      <c r="AB15" s="456">
        <f t="shared" ref="AB15:AB25" si="3">W15/X15</f>
        <v>1</v>
      </c>
    </row>
    <row r="16" spans="1:28" ht="25.5">
      <c r="A16" s="6" t="s">
        <v>22</v>
      </c>
      <c r="B16" s="6" t="s">
        <v>198</v>
      </c>
      <c r="C16" s="6"/>
      <c r="D16" s="6"/>
      <c r="E16" s="6"/>
      <c r="F16" s="6"/>
      <c r="G16" s="6"/>
      <c r="H16" s="6"/>
      <c r="I16" s="6"/>
      <c r="J16" s="6"/>
      <c r="K16" s="6"/>
      <c r="L16" s="6"/>
      <c r="M16" s="6"/>
      <c r="N16" s="6"/>
      <c r="O16" s="6"/>
      <c r="P16" s="6"/>
      <c r="Q16" s="6"/>
      <c r="R16" s="6"/>
      <c r="S16" s="6"/>
      <c r="T16" s="6"/>
      <c r="U16" s="6"/>
      <c r="V16" s="6"/>
      <c r="W16" s="6"/>
      <c r="X16" s="6"/>
      <c r="Y16" s="6"/>
      <c r="Z16" s="6"/>
      <c r="AA16" s="456"/>
      <c r="AB16" s="456"/>
    </row>
    <row r="17" spans="1:28" ht="25.5">
      <c r="A17" s="6" t="s">
        <v>144</v>
      </c>
      <c r="B17" s="6" t="s">
        <v>199</v>
      </c>
      <c r="C17" s="6">
        <v>0</v>
      </c>
      <c r="D17" s="6">
        <v>0</v>
      </c>
      <c r="E17" s="6">
        <v>0</v>
      </c>
      <c r="F17" s="6">
        <v>0</v>
      </c>
      <c r="G17" s="6">
        <v>2</v>
      </c>
      <c r="H17" s="6">
        <v>2</v>
      </c>
      <c r="I17" s="6">
        <v>10</v>
      </c>
      <c r="J17" s="6">
        <v>10</v>
      </c>
      <c r="K17" s="6">
        <v>3</v>
      </c>
      <c r="L17" s="6">
        <v>3</v>
      </c>
      <c r="M17" s="6">
        <v>15</v>
      </c>
      <c r="N17" s="6">
        <v>15</v>
      </c>
      <c r="O17" s="6">
        <v>4</v>
      </c>
      <c r="P17" s="6">
        <v>4</v>
      </c>
      <c r="Q17" s="6">
        <v>20</v>
      </c>
      <c r="R17" s="6">
        <v>20</v>
      </c>
      <c r="S17" s="6">
        <v>5</v>
      </c>
      <c r="T17" s="6">
        <v>5</v>
      </c>
      <c r="U17" s="6">
        <v>25</v>
      </c>
      <c r="V17" s="6">
        <v>25</v>
      </c>
      <c r="W17" s="6">
        <v>6</v>
      </c>
      <c r="X17" s="6">
        <v>6</v>
      </c>
      <c r="Y17" s="6">
        <v>30</v>
      </c>
      <c r="Z17" s="6">
        <v>30</v>
      </c>
      <c r="AA17" s="456">
        <f t="shared" si="2"/>
        <v>0</v>
      </c>
      <c r="AB17" s="456">
        <f t="shared" si="3"/>
        <v>1</v>
      </c>
    </row>
    <row r="18" spans="1:28" ht="89.25">
      <c r="A18" s="6" t="s">
        <v>61</v>
      </c>
      <c r="B18" s="6" t="s">
        <v>200</v>
      </c>
      <c r="C18" s="6"/>
      <c r="D18" s="6"/>
      <c r="E18" s="6"/>
      <c r="F18" s="6"/>
      <c r="G18" s="6"/>
      <c r="H18" s="6"/>
      <c r="I18" s="6"/>
      <c r="J18" s="6"/>
      <c r="K18" s="6"/>
      <c r="L18" s="6"/>
      <c r="M18" s="6"/>
      <c r="N18" s="6"/>
      <c r="O18" s="6"/>
      <c r="P18" s="6"/>
      <c r="Q18" s="6"/>
      <c r="R18" s="6"/>
      <c r="S18" s="6"/>
      <c r="T18" s="6"/>
      <c r="U18" s="6"/>
      <c r="V18" s="6"/>
      <c r="W18" s="6"/>
      <c r="X18" s="6"/>
      <c r="Y18" s="6"/>
      <c r="Z18" s="6"/>
      <c r="AA18" s="298"/>
      <c r="AB18" s="298"/>
    </row>
    <row r="19" spans="1:28" ht="38.25">
      <c r="A19" s="6" t="s">
        <v>147</v>
      </c>
      <c r="B19" s="6" t="s">
        <v>201</v>
      </c>
      <c r="C19" s="6">
        <v>0</v>
      </c>
      <c r="D19" s="6">
        <v>0</v>
      </c>
      <c r="E19" s="6">
        <v>0</v>
      </c>
      <c r="F19" s="6">
        <v>0</v>
      </c>
      <c r="G19" s="6">
        <v>20000</v>
      </c>
      <c r="H19" s="6">
        <v>20000</v>
      </c>
      <c r="I19" s="80">
        <v>7020</v>
      </c>
      <c r="J19" s="80">
        <v>7020</v>
      </c>
      <c r="K19" s="6">
        <v>21000</v>
      </c>
      <c r="L19" s="6">
        <v>21000</v>
      </c>
      <c r="M19" s="6">
        <v>7200</v>
      </c>
      <c r="N19" s="6">
        <v>7200</v>
      </c>
      <c r="O19" s="6">
        <v>22000</v>
      </c>
      <c r="P19" s="6">
        <v>22000</v>
      </c>
      <c r="Q19" s="6">
        <v>7300</v>
      </c>
      <c r="R19" s="6">
        <v>7300</v>
      </c>
      <c r="S19" s="6">
        <v>23000</v>
      </c>
      <c r="T19" s="6">
        <v>23000</v>
      </c>
      <c r="U19" s="6">
        <v>7400</v>
      </c>
      <c r="V19" s="6">
        <v>7400</v>
      </c>
      <c r="W19" s="6">
        <v>23000</v>
      </c>
      <c r="X19" s="6">
        <v>23000</v>
      </c>
      <c r="Y19" s="6">
        <v>7500</v>
      </c>
      <c r="Z19" s="6">
        <v>7500</v>
      </c>
      <c r="AA19" s="298">
        <f t="shared" si="2"/>
        <v>0</v>
      </c>
      <c r="AB19" s="298">
        <f t="shared" si="3"/>
        <v>1</v>
      </c>
    </row>
    <row r="20" spans="1:28" ht="89.25">
      <c r="A20" s="6" t="s">
        <v>63</v>
      </c>
      <c r="B20" s="6" t="s">
        <v>202</v>
      </c>
      <c r="C20" s="6"/>
      <c r="D20" s="6"/>
      <c r="E20" s="6"/>
      <c r="F20" s="6"/>
      <c r="G20" s="6"/>
      <c r="H20" s="6"/>
      <c r="I20" s="6"/>
      <c r="J20" s="6"/>
      <c r="K20" s="6"/>
      <c r="L20" s="6"/>
      <c r="M20" s="6"/>
      <c r="N20" s="6"/>
      <c r="O20" s="6"/>
      <c r="P20" s="6"/>
      <c r="Q20" s="6"/>
      <c r="R20" s="6"/>
      <c r="S20" s="6"/>
      <c r="T20" s="6"/>
      <c r="U20" s="6"/>
      <c r="V20" s="6"/>
      <c r="W20" s="6"/>
      <c r="X20" s="6"/>
      <c r="Y20" s="6"/>
      <c r="Z20" s="6"/>
      <c r="AA20" s="298"/>
      <c r="AB20" s="298"/>
    </row>
    <row r="21" spans="1:28" ht="38.25">
      <c r="A21" s="6" t="s">
        <v>150</v>
      </c>
      <c r="B21" s="6" t="s">
        <v>203</v>
      </c>
      <c r="C21" s="8">
        <v>200000</v>
      </c>
      <c r="D21" s="8">
        <v>200000</v>
      </c>
      <c r="E21" s="6">
        <v>22037</v>
      </c>
      <c r="F21" s="6">
        <v>22037</v>
      </c>
      <c r="G21" s="6">
        <v>240000</v>
      </c>
      <c r="H21" s="6">
        <v>240000</v>
      </c>
      <c r="I21" s="6">
        <v>37812</v>
      </c>
      <c r="J21" s="6">
        <v>37812</v>
      </c>
      <c r="K21" s="6">
        <v>250000</v>
      </c>
      <c r="L21" s="6">
        <v>250000</v>
      </c>
      <c r="M21" s="6">
        <v>38100</v>
      </c>
      <c r="N21" s="6">
        <v>38100</v>
      </c>
      <c r="O21" s="6">
        <v>260000</v>
      </c>
      <c r="P21" s="6">
        <v>260000</v>
      </c>
      <c r="Q21" s="6">
        <v>38700</v>
      </c>
      <c r="R21" s="6">
        <v>38700</v>
      </c>
      <c r="S21" s="6">
        <v>270000</v>
      </c>
      <c r="T21" s="6">
        <v>270000</v>
      </c>
      <c r="U21" s="6">
        <v>39400</v>
      </c>
      <c r="V21" s="6">
        <v>39400</v>
      </c>
      <c r="W21" s="6">
        <v>280000</v>
      </c>
      <c r="X21" s="6">
        <v>280000</v>
      </c>
      <c r="Y21" s="6">
        <v>40200</v>
      </c>
      <c r="Z21" s="6">
        <v>40200</v>
      </c>
      <c r="AA21" s="298">
        <f t="shared" si="2"/>
        <v>0.7142857142857143</v>
      </c>
      <c r="AB21" s="298">
        <f t="shared" si="3"/>
        <v>1</v>
      </c>
    </row>
    <row r="22" spans="1:28" ht="51">
      <c r="A22" s="6" t="s">
        <v>136</v>
      </c>
      <c r="B22" s="6" t="s">
        <v>204</v>
      </c>
      <c r="C22" s="6"/>
      <c r="D22" s="6"/>
      <c r="E22" s="6"/>
      <c r="F22" s="6"/>
      <c r="G22" s="6"/>
      <c r="H22" s="6"/>
      <c r="I22" s="6"/>
      <c r="J22" s="6"/>
      <c r="K22" s="6"/>
      <c r="L22" s="6"/>
      <c r="M22" s="6"/>
      <c r="N22" s="6"/>
      <c r="O22" s="6"/>
      <c r="P22" s="6"/>
      <c r="Q22" s="6"/>
      <c r="R22" s="6"/>
      <c r="S22" s="6"/>
      <c r="T22" s="6"/>
      <c r="U22" s="6"/>
      <c r="V22" s="6"/>
      <c r="W22" s="6"/>
      <c r="X22" s="6"/>
      <c r="Y22" s="6"/>
      <c r="Z22" s="6"/>
      <c r="AA22" s="298"/>
      <c r="AB22" s="298"/>
    </row>
    <row r="23" spans="1:28" ht="25.5">
      <c r="A23" s="6" t="s">
        <v>153</v>
      </c>
      <c r="B23" s="6" t="s">
        <v>205</v>
      </c>
      <c r="C23" s="6">
        <v>0</v>
      </c>
      <c r="D23" s="6">
        <v>0</v>
      </c>
      <c r="E23" s="6">
        <v>0</v>
      </c>
      <c r="F23" s="6">
        <v>0</v>
      </c>
      <c r="G23" s="6">
        <v>3000</v>
      </c>
      <c r="H23" s="6">
        <v>3000</v>
      </c>
      <c r="I23" s="6">
        <v>3</v>
      </c>
      <c r="J23" s="6">
        <v>3</v>
      </c>
      <c r="K23" s="6">
        <v>3100</v>
      </c>
      <c r="L23" s="6">
        <v>3100</v>
      </c>
      <c r="M23" s="6">
        <v>3</v>
      </c>
      <c r="N23" s="6">
        <v>3</v>
      </c>
      <c r="O23" s="6">
        <v>3200</v>
      </c>
      <c r="P23" s="6">
        <v>3200</v>
      </c>
      <c r="Q23" s="6">
        <v>3</v>
      </c>
      <c r="R23" s="6">
        <v>3</v>
      </c>
      <c r="S23" s="6">
        <v>3300</v>
      </c>
      <c r="T23" s="6">
        <v>3300</v>
      </c>
      <c r="U23" s="6">
        <v>3</v>
      </c>
      <c r="V23" s="6">
        <v>3</v>
      </c>
      <c r="W23" s="6">
        <v>3400</v>
      </c>
      <c r="X23" s="6">
        <v>3400</v>
      </c>
      <c r="Y23" s="6">
        <v>3</v>
      </c>
      <c r="Z23" s="6">
        <v>3</v>
      </c>
      <c r="AA23" s="298">
        <f t="shared" si="2"/>
        <v>0</v>
      </c>
      <c r="AB23" s="298">
        <f t="shared" si="3"/>
        <v>1</v>
      </c>
    </row>
    <row r="24" spans="1:28" ht="63.75">
      <c r="A24" s="6" t="s">
        <v>155</v>
      </c>
      <c r="B24" s="6" t="s">
        <v>206</v>
      </c>
      <c r="C24" s="6"/>
      <c r="D24" s="6"/>
      <c r="E24" s="6"/>
      <c r="F24" s="6"/>
      <c r="G24" s="6"/>
      <c r="H24" s="6"/>
      <c r="I24" s="6"/>
      <c r="J24" s="6"/>
      <c r="K24" s="6"/>
      <c r="L24" s="6"/>
      <c r="M24" s="6"/>
      <c r="N24" s="6"/>
      <c r="O24" s="6"/>
      <c r="P24" s="6"/>
      <c r="Q24" s="6"/>
      <c r="R24" s="6"/>
      <c r="S24" s="6"/>
      <c r="T24" s="6"/>
      <c r="U24" s="6"/>
      <c r="V24" s="6"/>
      <c r="W24" s="6"/>
      <c r="X24" s="6"/>
      <c r="Y24" s="6"/>
      <c r="Z24" s="6"/>
      <c r="AA24" s="298"/>
      <c r="AB24" s="298"/>
    </row>
    <row r="25" spans="1:28" ht="25.5">
      <c r="A25" s="6" t="s">
        <v>157</v>
      </c>
      <c r="B25" s="6" t="s">
        <v>207</v>
      </c>
      <c r="C25" s="6">
        <v>0</v>
      </c>
      <c r="D25" s="6">
        <v>0</v>
      </c>
      <c r="E25" s="6">
        <v>0</v>
      </c>
      <c r="F25" s="6">
        <v>0</v>
      </c>
      <c r="G25" s="6">
        <v>3000</v>
      </c>
      <c r="H25" s="6">
        <v>3000</v>
      </c>
      <c r="I25" s="6">
        <v>1000</v>
      </c>
      <c r="J25" s="6">
        <v>1000</v>
      </c>
      <c r="K25" s="6">
        <v>3100</v>
      </c>
      <c r="L25" s="6">
        <v>3100</v>
      </c>
      <c r="M25" s="6">
        <v>1100</v>
      </c>
      <c r="N25" s="6">
        <v>1100</v>
      </c>
      <c r="O25" s="6">
        <v>3200</v>
      </c>
      <c r="P25" s="6">
        <v>3200</v>
      </c>
      <c r="Q25" s="6">
        <v>1200</v>
      </c>
      <c r="R25" s="6">
        <v>1200</v>
      </c>
      <c r="S25" s="6">
        <v>3300</v>
      </c>
      <c r="T25" s="6">
        <v>3300</v>
      </c>
      <c r="U25" s="6">
        <v>1300</v>
      </c>
      <c r="V25" s="6">
        <v>1300</v>
      </c>
      <c r="W25" s="6">
        <v>3400</v>
      </c>
      <c r="X25" s="6">
        <v>3400</v>
      </c>
      <c r="Y25" s="6">
        <v>1400</v>
      </c>
      <c r="Z25" s="6">
        <v>1400</v>
      </c>
      <c r="AA25" s="298">
        <f t="shared" si="2"/>
        <v>0</v>
      </c>
      <c r="AB25" s="298">
        <f t="shared" si="3"/>
        <v>1</v>
      </c>
    </row>
    <row r="26" spans="1:28" ht="25.5">
      <c r="A26" s="7"/>
      <c r="B26" s="7"/>
      <c r="C26" s="7"/>
      <c r="D26" s="7"/>
      <c r="E26" s="7"/>
      <c r="F26" s="7"/>
      <c r="G26" s="7"/>
      <c r="H26" s="7"/>
      <c r="I26" s="7"/>
      <c r="J26" s="7"/>
      <c r="K26" s="7"/>
      <c r="L26" s="7"/>
      <c r="M26" s="7"/>
      <c r="N26" s="7"/>
      <c r="O26" s="7"/>
      <c r="P26" s="7"/>
      <c r="Q26" s="7"/>
      <c r="R26" s="7"/>
      <c r="S26" s="7"/>
      <c r="T26" s="7"/>
      <c r="U26" s="7"/>
      <c r="V26" s="7"/>
      <c r="W26" s="7"/>
      <c r="X26" s="7"/>
      <c r="Y26" s="7"/>
      <c r="Z26" s="6" t="s">
        <v>24</v>
      </c>
      <c r="AA26" s="298">
        <f>AVERAGE(AA14:AA25)</f>
        <v>0.11904761904761905</v>
      </c>
      <c r="AB26" s="298">
        <f>AVERAGE(AB14:AB25)</f>
        <v>1</v>
      </c>
    </row>
    <row r="28" spans="1:28">
      <c r="A28" s="9"/>
      <c r="B28" s="9" t="s">
        <v>40</v>
      </c>
    </row>
    <row r="30" spans="1:28" ht="31.5" customHeight="1">
      <c r="A30" s="10" t="s">
        <v>41</v>
      </c>
      <c r="B30" s="509" t="s">
        <v>42</v>
      </c>
      <c r="C30" s="509"/>
      <c r="D30" s="509"/>
      <c r="E30" s="509"/>
      <c r="F30" s="509"/>
      <c r="G30" s="509"/>
      <c r="H30" s="509"/>
      <c r="I30" s="509"/>
      <c r="J30" s="509"/>
      <c r="K30" s="509"/>
      <c r="L30" s="509"/>
      <c r="M30" s="509"/>
      <c r="N30" s="509"/>
      <c r="O30" s="509"/>
      <c r="P30" s="509"/>
      <c r="Q30" s="509"/>
      <c r="R30" s="509"/>
    </row>
    <row r="31" spans="1:28" ht="31.5" customHeight="1">
      <c r="A31" s="10" t="s">
        <v>43</v>
      </c>
      <c r="B31" s="509" t="s">
        <v>44</v>
      </c>
      <c r="C31" s="509"/>
      <c r="D31" s="509"/>
      <c r="E31" s="509"/>
      <c r="F31" s="509"/>
      <c r="G31" s="509"/>
      <c r="H31" s="509"/>
      <c r="I31" s="509"/>
      <c r="J31" s="509"/>
      <c r="K31" s="509"/>
      <c r="L31" s="509"/>
      <c r="M31" s="509"/>
      <c r="N31" s="509"/>
      <c r="O31" s="509"/>
      <c r="P31" s="509"/>
      <c r="Q31" s="509"/>
      <c r="R31" s="509"/>
    </row>
    <row r="32" spans="1:28" ht="31.5" customHeight="1">
      <c r="B32" s="509" t="s">
        <v>164</v>
      </c>
      <c r="C32" s="509"/>
      <c r="D32" s="509"/>
      <c r="E32" s="509"/>
      <c r="F32" s="509"/>
      <c r="G32" s="509"/>
      <c r="H32" s="509"/>
      <c r="I32" s="509"/>
      <c r="J32" s="509"/>
      <c r="K32" s="509"/>
      <c r="L32" s="509"/>
      <c r="M32" s="509"/>
      <c r="N32" s="509"/>
      <c r="O32" s="509"/>
      <c r="P32" s="509"/>
      <c r="Q32" s="509"/>
      <c r="R32" s="509"/>
    </row>
    <row r="33" spans="2:18">
      <c r="B33" s="509" t="s">
        <v>165</v>
      </c>
      <c r="C33" s="509"/>
      <c r="D33" s="509"/>
      <c r="E33" s="509"/>
      <c r="F33" s="509"/>
      <c r="G33" s="509"/>
      <c r="H33" s="509"/>
      <c r="I33" s="509"/>
      <c r="J33" s="509"/>
      <c r="K33" s="509"/>
      <c r="L33" s="509"/>
      <c r="M33" s="509"/>
      <c r="N33" s="509"/>
      <c r="O33" s="509"/>
      <c r="P33" s="509"/>
      <c r="Q33" s="509"/>
      <c r="R33" s="509"/>
    </row>
    <row r="34" spans="2:18">
      <c r="B34" s="509" t="s">
        <v>166</v>
      </c>
      <c r="C34" s="509"/>
      <c r="D34" s="509"/>
      <c r="E34" s="509"/>
      <c r="F34" s="509"/>
      <c r="G34" s="509"/>
      <c r="H34" s="509"/>
      <c r="I34" s="509"/>
      <c r="J34" s="509"/>
      <c r="K34" s="509"/>
      <c r="L34" s="509"/>
      <c r="M34" s="509"/>
      <c r="N34" s="509"/>
      <c r="O34" s="509"/>
      <c r="P34" s="509"/>
      <c r="Q34" s="509"/>
      <c r="R34" s="509"/>
    </row>
    <row r="35" spans="2:18">
      <c r="B35" s="509" t="s">
        <v>167</v>
      </c>
      <c r="C35" s="509"/>
      <c r="D35" s="509"/>
      <c r="E35" s="509"/>
      <c r="F35" s="509"/>
      <c r="G35" s="509"/>
      <c r="H35" s="509"/>
      <c r="I35" s="509"/>
      <c r="J35" s="509"/>
      <c r="K35" s="509"/>
      <c r="L35" s="509"/>
      <c r="M35" s="509"/>
      <c r="N35" s="509"/>
      <c r="O35" s="509"/>
      <c r="P35" s="509"/>
      <c r="Q35" s="509"/>
      <c r="R35" s="509"/>
    </row>
    <row r="36" spans="2:18">
      <c r="B36" s="509" t="s">
        <v>168</v>
      </c>
      <c r="C36" s="509"/>
      <c r="D36" s="509"/>
      <c r="E36" s="509"/>
      <c r="F36" s="509"/>
      <c r="G36" s="509"/>
      <c r="H36" s="509"/>
      <c r="I36" s="509"/>
      <c r="J36" s="509"/>
      <c r="K36" s="509"/>
      <c r="L36" s="509"/>
      <c r="M36" s="509"/>
      <c r="N36" s="509"/>
      <c r="O36" s="509"/>
      <c r="P36" s="509"/>
      <c r="Q36" s="509"/>
      <c r="R36" s="509"/>
    </row>
    <row r="37" spans="2:18">
      <c r="B37" s="509" t="s">
        <v>169</v>
      </c>
      <c r="C37" s="509"/>
      <c r="D37" s="509"/>
      <c r="E37" s="509"/>
      <c r="F37" s="509"/>
      <c r="G37" s="509"/>
      <c r="H37" s="509"/>
      <c r="I37" s="509"/>
      <c r="J37" s="509"/>
      <c r="K37" s="509"/>
      <c r="L37" s="509"/>
      <c r="M37" s="509"/>
      <c r="N37" s="509"/>
      <c r="O37" s="509"/>
      <c r="P37" s="509"/>
      <c r="Q37" s="509"/>
      <c r="R37" s="509"/>
    </row>
    <row r="38" spans="2:18">
      <c r="B38" s="11"/>
    </row>
    <row r="39" spans="2:18">
      <c r="B39" s="11"/>
    </row>
    <row r="41" spans="2:18">
      <c r="B41" s="11"/>
    </row>
  </sheetData>
  <mergeCells count="34">
    <mergeCell ref="B36:R36"/>
    <mergeCell ref="B37:R37"/>
    <mergeCell ref="B30:R30"/>
    <mergeCell ref="B31:R31"/>
    <mergeCell ref="B32:R32"/>
    <mergeCell ref="B33:R33"/>
    <mergeCell ref="B34:R34"/>
    <mergeCell ref="B35:R35"/>
    <mergeCell ref="AB11:AB13"/>
    <mergeCell ref="G12:J12"/>
    <mergeCell ref="K12:N12"/>
    <mergeCell ref="O12:R12"/>
    <mergeCell ref="S12:V12"/>
    <mergeCell ref="W12:Z12"/>
    <mergeCell ref="AA11:AA13"/>
    <mergeCell ref="A10:Z10"/>
    <mergeCell ref="A11:A13"/>
    <mergeCell ref="B11:B13"/>
    <mergeCell ref="C11:F12"/>
    <mergeCell ref="G11:Z11"/>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Plāni</vt:lpstr>
      <vt:lpstr>08_001_IeMIC</vt:lpstr>
      <vt:lpstr>08_004_EM</vt:lpstr>
      <vt:lpstr>08_005_VRAA</vt:lpstr>
      <vt:lpstr>08_006_VZD</vt:lpstr>
      <vt:lpstr>08_007_VRAA</vt:lpstr>
      <vt:lpstr>08_008_VDEAVK</vt:lpstr>
      <vt:lpstr>08_009_VVD</vt:lpstr>
      <vt:lpstr>08_010_LNB</vt:lpstr>
      <vt:lpstr>08_011_CAA</vt:lpstr>
      <vt:lpstr>08_013_VP</vt:lpstr>
      <vt:lpstr>08_014_ZM</vt:lpstr>
      <vt:lpstr>08_015_KIS</vt:lpstr>
      <vt:lpstr>08_016_KIS</vt:lpstr>
      <vt:lpstr>08_017_VRAA</vt:lpstr>
      <vt:lpstr>09_001_UGFA</vt:lpstr>
      <vt:lpstr>09_002_VRAA</vt:lpstr>
      <vt:lpstr>09_003_NVD</vt:lpstr>
      <vt:lpstr>09_004_AM</vt:lpstr>
      <vt:lpstr>09_005_VRAA</vt:lpstr>
      <vt:lpstr>09_006_VI</vt:lpstr>
      <vt:lpstr>09_007_VRAA</vt:lpstr>
      <vt:lpstr>09_008_LGIA</vt:lpstr>
      <vt:lpstr>09_009_VRAA</vt:lpstr>
      <vt:lpstr>09_010_TM</vt:lpstr>
      <vt:lpstr>09_011_VDI</vt:lpstr>
      <vt:lpstr>09_012_VUGD</vt:lpstr>
      <vt:lpstr>09_013_DAP</vt:lpstr>
      <vt:lpstr>09_014_ZM</vt:lpstr>
      <vt:lpstr>09_015_NVD</vt:lpstr>
      <vt:lpstr>09_016_LNB</vt:lpstr>
      <vt:lpstr>09_018_VRAA</vt:lpstr>
      <vt:lpstr>09_019_NVD</vt:lpstr>
      <vt:lpstr>09_021_KIS</vt:lpstr>
      <vt:lpstr>09_022_TA</vt:lpstr>
      <vt:lpstr>09_023_LM</vt:lpstr>
      <vt:lpstr>09_024_VRS</vt:lpstr>
      <vt:lpstr>09_025_LVGMA</vt:lpstr>
      <vt:lpstr>09_026_VSAA</vt:lpstr>
      <vt:lpstr>10_001_VID</vt:lpstr>
      <vt:lpstr>10_001_VK</vt:lpstr>
      <vt:lpstr>10_002_UR</vt:lpstr>
      <vt:lpstr>11_001_VID</vt:lpstr>
      <vt:lpstr>11_002_PMLP</vt:lpstr>
      <vt:lpstr>11_003_SM</vt:lpstr>
      <vt:lpstr>12_001_LM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IevaBrinke</cp:lastModifiedBy>
  <cp:lastPrinted>2012-10-26T12:58:22Z</cp:lastPrinted>
  <dcterms:created xsi:type="dcterms:W3CDTF">2012-09-11T12:15:27Z</dcterms:created>
  <dcterms:modified xsi:type="dcterms:W3CDTF">2012-10-30T15:25:13Z</dcterms:modified>
</cp:coreProperties>
</file>