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<sst xmlns="http://schemas.openxmlformats.org/spreadsheetml/2006/main" count="195" uniqueCount="154">
  <si>
    <t>Grozījumi Krimināllikumā</t>
  </si>
  <si>
    <t>2016.gads</t>
  </si>
  <si>
    <t>2017.gads</t>
  </si>
  <si>
    <t>EKK</t>
  </si>
  <si>
    <t>Gada summa</t>
  </si>
  <si>
    <t>KOPĀ</t>
  </si>
  <si>
    <t xml:space="preserve">Atlīdzība kopā </t>
  </si>
  <si>
    <t>EKK 1000</t>
  </si>
  <si>
    <t xml:space="preserve">Atalgojums </t>
  </si>
  <si>
    <t>EKK 1100</t>
  </si>
  <si>
    <t xml:space="preserve">Mēneša amatalga </t>
  </si>
  <si>
    <t>EKK 1110</t>
  </si>
  <si>
    <t>Elektroniskās uzraudzības sistēmas darbība:</t>
  </si>
  <si>
    <t>994 EUR x 8 a.v. x 12 mēneši</t>
  </si>
  <si>
    <t>994 EUR x 5 a.v. x 12 mēneši</t>
  </si>
  <si>
    <t>Piemaksas</t>
  </si>
  <si>
    <t>EKK 1140</t>
  </si>
  <si>
    <t xml:space="preserve">994 EUR/165.58 st. x 8 st. x 365 dienas x 50% x 2 a.v.                                                        </t>
  </si>
  <si>
    <t>EKK 1141</t>
  </si>
  <si>
    <t xml:space="preserve">994 EUR/165.58 st. x 24 st. x 15 dienas x 100% x 2 a.v.                                                        </t>
  </si>
  <si>
    <t>EKK 1142</t>
  </si>
  <si>
    <r>
      <t>Piemaksa 20% apmērā no noteiktās mēnešalgas par prombūtnē esoša nodarbinātā amata pienākumu pildīšanu papildus tiešajiem amata pienākumiem (1 mēnesis gadā -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pienākumu </t>
    </r>
    <r>
      <rPr>
        <sz val="10"/>
        <color indexed="8"/>
        <rFont val="Times New Roman"/>
        <family val="1"/>
      </rPr>
      <t>veikšana darbinieka atvaļinājuma laikā)</t>
    </r>
  </si>
  <si>
    <t>EKK 1147</t>
  </si>
  <si>
    <t>Piemaksa par īpašu risku 25% apmēā no noteiktās mēnešalgas</t>
  </si>
  <si>
    <t>EKK 1145</t>
  </si>
  <si>
    <t xml:space="preserve">Darba devēja  valsts sociālās apdrošināšanas obligātās iemaksas, sociāla rakstura pabalsti un kompensācijas      </t>
  </si>
  <si>
    <t>EKK 1200</t>
  </si>
  <si>
    <t xml:space="preserve">apliekamie ienākumi × 23,59% </t>
  </si>
  <si>
    <t>EKK 1210</t>
  </si>
  <si>
    <t>EKK 1227</t>
  </si>
  <si>
    <t>EKK 2000</t>
  </si>
  <si>
    <t>Iekšzemes komandējumi un dienesta braucieni</t>
  </si>
  <si>
    <t>EKK 2100</t>
  </si>
  <si>
    <t>ceļa izdevumi 10 darbiniekiem</t>
  </si>
  <si>
    <t>Kolēģu konsultācijas un profesionālas supervīzijas probācijas darbiniekiem:</t>
  </si>
  <si>
    <t>16 probācijas darbinieku apmācības, ko veiks apmācītie treneri  (4 x 5 dienu semināri):</t>
  </si>
  <si>
    <t>cela izdevumi 16 darbiniekiem</t>
  </si>
  <si>
    <t xml:space="preserve">9 EUR x 16 darbinieki x 4 semināri </t>
  </si>
  <si>
    <t>viesnīcas pakalpojumi 16 darbiniekiem x 4 naktis</t>
  </si>
  <si>
    <t>57 EUR x 16 darbinieki x 4 naktis x 4 semināri</t>
  </si>
  <si>
    <t>dienas nauda 16 darbiniekiem 100% apmērā</t>
  </si>
  <si>
    <t>6 EUR x 16 darbinieki x 4 semināri x 5 dienas</t>
  </si>
  <si>
    <t xml:space="preserve">16 probācijas darbinieku  apmācības par motivējošo intervēšanu (4 semināri x 2 dienu semināri): </t>
  </si>
  <si>
    <t>ceļa izdevumi 16 darbiniekiem</t>
  </si>
  <si>
    <t>viesnīcas pakalpojumi 16 darbiniekiem x 1 nakts</t>
  </si>
  <si>
    <t>57 EUR x 16 darbinieki x 1 naktis x 4 semināri</t>
  </si>
  <si>
    <t>6 EUR x 16 darbinieki x 4 semināri x 2 dienas</t>
  </si>
  <si>
    <t>EKK 2200</t>
  </si>
  <si>
    <t>60 m2 x 12 EUR mēnesī x 12 mēn.</t>
  </si>
  <si>
    <t>EKK 2260</t>
  </si>
  <si>
    <t>200 EUR x 12 mēneši</t>
  </si>
  <si>
    <t>EKK 2240</t>
  </si>
  <si>
    <t xml:space="preserve">180 EUR x 7 mēneši </t>
  </si>
  <si>
    <t>EKK 2250</t>
  </si>
  <si>
    <t>15 EUR x 2 a.v. x 12 mēn.</t>
  </si>
  <si>
    <t>EKK 2210</t>
  </si>
  <si>
    <t>Mobilo sakaru pakalpojumi (2 elektroniskās uzraudzības centra darbinieki (dežuranti), 30 uzraugošie darbinieki teritoriālajās struktūrvienībās)</t>
  </si>
  <si>
    <t>10 EUR x 32 a.v. x 12 mēn.</t>
  </si>
  <si>
    <t>Telekomunikāciju pakalpojumi elektroniskās uzraudzības iekārtām (200 vienības x 12 mēneši)</t>
  </si>
  <si>
    <t>0,50 EUR x 200 vienības x 12 mēneši</t>
  </si>
  <si>
    <t>Pārbaužu vizītes pie klientiem (degviela) a/m degvielas patēriņs 8.3 L uz 100 km, 1 degvielas litra cena 1.33 EUR mēnesī plānoti 3000 km (40 braucieni vienu reizi mēnesī vidēji 75 km vienam braucienam)</t>
  </si>
  <si>
    <t>1.33 EUR x 249 L x 12 mēneši</t>
  </si>
  <si>
    <t>EKK 2320</t>
  </si>
  <si>
    <t>Elektroniskās uzraudzības sistēmas uzturēšana 200 klientiem vienlaicīgi:</t>
  </si>
  <si>
    <t>Centrālās uzraudzības sistēmas noma</t>
  </si>
  <si>
    <t>19000 EUR x 12 mēneši</t>
  </si>
  <si>
    <t>Elektroniskās uzraudzības vienību noma</t>
  </si>
  <si>
    <t>210 EUR x 200 vienības x 12 mēneši</t>
  </si>
  <si>
    <t>Aproču sikšņu mazgāšanas iekārtas noma</t>
  </si>
  <si>
    <t>100 EUR x 2 vienības x 12 mēneši</t>
  </si>
  <si>
    <t xml:space="preserve">             Krājumi, materiāli, biroja preces</t>
  </si>
  <si>
    <t>EKK 2300</t>
  </si>
  <si>
    <t xml:space="preserve">Biroja preces (papīrs, toneri, mapes, pārējās kancelejas preces) </t>
  </si>
  <si>
    <t>EKK 2310</t>
  </si>
  <si>
    <t>Saimniecības preces</t>
  </si>
  <si>
    <t>EKK 2350</t>
  </si>
  <si>
    <t>Papildu elektroniskās uzraudzības aproču siksnu iegāde - 80 aproču siksnas mēnesī</t>
  </si>
  <si>
    <t>20 EUR x 80 vienības x 12 mēneši</t>
  </si>
  <si>
    <t>Aproču siksnu mazgāšanas līdzekļi</t>
  </si>
  <si>
    <t>15 EUR x 2 vienības x 12 mēneši</t>
  </si>
  <si>
    <t>Vienreizējie izdevumi</t>
  </si>
  <si>
    <t xml:space="preserve">Izdevumi pamatkapitāla veidošanai </t>
  </si>
  <si>
    <t>EKK 5000</t>
  </si>
  <si>
    <t>Jaunas āmata vietas (jauni darbinieki)</t>
  </si>
  <si>
    <t xml:space="preserve">Kārtējie izdevumi </t>
  </si>
  <si>
    <t>KOPĀ IZDEVUMI</t>
  </si>
  <si>
    <t xml:space="preserve">Atlīdzība </t>
  </si>
  <si>
    <t xml:space="preserve">Kārtējie izdevumi precēm un pakalpojumiem </t>
  </si>
  <si>
    <t>Pakalpojumi</t>
  </si>
  <si>
    <t>Elektronisko datu sistēmas PLUS pilnveide: sistēmas papildinājumu izstrāde un ieviešana saistībā ar elektroniskās uzraudzības ieviešanu</t>
  </si>
  <si>
    <t>(ar 2016.gada 1.maiju)</t>
  </si>
  <si>
    <t>Aprēķins</t>
  </si>
  <si>
    <t>Apraksts</t>
  </si>
  <si>
    <t>994 EUR x 8 a.v. x 8 mēneši</t>
  </si>
  <si>
    <t>994 EUR x 5 a.v. x 8 mēneši</t>
  </si>
  <si>
    <t xml:space="preserve">994 EUR/165.58 st. x 8 st. x 245 dienas x 50% x 2 a.v.                                                        </t>
  </si>
  <si>
    <t xml:space="preserve">994 EUR/165.58 st. x 24 st. x 9 dienas x 100% x 2 a.v.                                                        </t>
  </si>
  <si>
    <t xml:space="preserve">9 EUR x 10 darbinieki x 14 konsultācijas </t>
  </si>
  <si>
    <t>200 EUR x 8 mēneši</t>
  </si>
  <si>
    <t xml:space="preserve">180 EUR x 4 mēneši </t>
  </si>
  <si>
    <t>0,50 EUR x 200 vienības x 8 mēneši</t>
  </si>
  <si>
    <t>1.33 EUR x 249 L x 8 mēneši</t>
  </si>
  <si>
    <t>19000 EUR x 8 mēneši</t>
  </si>
  <si>
    <t>210 EUR x 200 vienības x 8 mēneši</t>
  </si>
  <si>
    <t>100 EUR x 2 vienības x 8 mēneši</t>
  </si>
  <si>
    <t>20 EUR x 80 vienības x 8 mēneši</t>
  </si>
  <si>
    <t>15 EUR x 2 vienības x 8 mēneši</t>
  </si>
  <si>
    <t xml:space="preserve">9 EUR x 10 darbinieki x 16 konsultācijas </t>
  </si>
  <si>
    <t>15 EUR x 2 a.v. x 8 mēneši</t>
  </si>
  <si>
    <t>10 EUR x 32 a.v. x 8 mēneši</t>
  </si>
  <si>
    <t>60 m2 x 12 EUR mēnesī x 8 mēneši</t>
  </si>
  <si>
    <t xml:space="preserve">994 EUR × 20% × 13 a. v. </t>
  </si>
  <si>
    <t xml:space="preserve">255 EUR × 13 a. v. </t>
  </si>
  <si>
    <t>Elektroniskās uzraudzības centra telpu noma</t>
  </si>
  <si>
    <t xml:space="preserve">Elektroniskās uzraudzības centra izdevumi par elektroenerģiju, ūdeni un kanalizāciju </t>
  </si>
  <si>
    <t>Elektroniskās uzraudzības centra izdevumi par apkuri (7 mēneši gadā) 3 EUR/kv.m. mēnesī</t>
  </si>
  <si>
    <t>Telpu noma jaunajām amatu vietām (5 vecākie referenti). 7.50 kv.m. uz vienu darbinieku = 38 kv.m.</t>
  </si>
  <si>
    <t>7.50 m2 x 12 EUR mēnesī x 12 mēn. x 5 a.v.</t>
  </si>
  <si>
    <t>7.50 m2 x 12 EUR mēnesī x 8 mēn. x 5 a.v.</t>
  </si>
  <si>
    <t>Izdevumi par elektroenerģiju, ūdeni un kanalizāciju jaunajām amatu vietām (5 vecākie referenti).</t>
  </si>
  <si>
    <t xml:space="preserve">125 EUR x 8 mēneši </t>
  </si>
  <si>
    <t xml:space="preserve">125 EUR x 12 mēneši </t>
  </si>
  <si>
    <t>Izdevumi par apkuri jaunajām amatu vietām   (5 vecākie referenti) 3 EUR/kv.m. mēnesī</t>
  </si>
  <si>
    <t>115 EUR x 4 mēneši</t>
  </si>
  <si>
    <t>115 EUR x 7 mēneši</t>
  </si>
  <si>
    <t>15 EUR x 7 a.v. x 8 meneši</t>
  </si>
  <si>
    <t>15 EUR x 7 a.v. x 12 meneši</t>
  </si>
  <si>
    <t>15 EUR x 7 a.v. x 8 mēneši</t>
  </si>
  <si>
    <t>15 EUR x 7 a. v. x 8 mēneši</t>
  </si>
  <si>
    <t>15 EUR x 7 a.v. x 12 mēneši</t>
  </si>
  <si>
    <t xml:space="preserve">15 EUR x 7 a. v. x 12 mēn. </t>
  </si>
  <si>
    <t>Elektroniskās uzraudzības centra fiksēto sakaru pakalpojumi</t>
  </si>
  <si>
    <t>Pasta, telekomunikāciju  un citi sakaru pakalpojumi jaunajām amatu vietām  (5 vecākie referenti)</t>
  </si>
  <si>
    <t>115 EUR x 5 a.v. x 8 mēneši</t>
  </si>
  <si>
    <t>115 EUR x 5 a.v. x 12 mēn.</t>
  </si>
  <si>
    <t>10 EUR x 13 a. v. x 8 mēneši</t>
  </si>
  <si>
    <t xml:space="preserve">10 EUR x 13 a. v. x 12 mēn. </t>
  </si>
  <si>
    <t>10 EUR × 13 a. v. × 8 mēneši</t>
  </si>
  <si>
    <t xml:space="preserve">10 EUR × 13 a. v. × 12 mēn. </t>
  </si>
  <si>
    <t xml:space="preserve">994 EUR × 25% × 8 mēneši x 13 a. v. </t>
  </si>
  <si>
    <t xml:space="preserve">994 EUR × 25% × 12 mēneši x 13 a. v. </t>
  </si>
  <si>
    <t>EKK 1220</t>
  </si>
  <si>
    <t>Sociālās garantijas 5 % apmērā no plānoto amata vietu (slodžu) skaitam plānotās mēnešalgu kopsummas attiecīgajā kalendāra gadā</t>
  </si>
  <si>
    <t>mēnešalgu kopsummas attiecīgajā kalendāra gadā x 5%</t>
  </si>
  <si>
    <t>Darba devēja izdevumi veselības apdrošināšanai  (242 EUR -   veselības apdrošināšanas polises vidējā tirgus vērtība vienam darbiniekam un 13 EUR - dzīvības un nelaimes gadījuma apdrošināšanai). Nodarbinātie veiks darbu kas pakļauts īpašam riskam.</t>
  </si>
  <si>
    <t>Piemaksa EUC vecākajiem referentiem par nakts darbu 50% apmērā no noteiktās stundas likmes (amata alga EUR/vid. stundas gadā x 8 nakts st.(22.00-6.00) x 365 dienas x 50% x 2 a.v.  )</t>
  </si>
  <si>
    <t>Piemaksa EUC vecākajiem referentiem par darbu svētku dienās 100% apmērā no noteiktās stundas likmes (amata alga EUR/vid. stundas gadā x 24 st. x 15 svētku dienas x 100% x 2 a.v.  )</t>
  </si>
  <si>
    <t xml:space="preserve">Aparatūras remonts, tehniskā apkalpošana (5 vecākie referenti un 2 EUC vecākie referenti) </t>
  </si>
  <si>
    <t>Telpu uzturēšanas izdevumi  (5 vecākie referenti un 2 EUC vecākie referenti)</t>
  </si>
  <si>
    <t>Datortehnikas un serveru apkalpošana  (5 vecākie referenti un 2 EUC vecākie referenti)</t>
  </si>
  <si>
    <t>Darba devēja Valsts sociālās apdrošināšanas obligātās iemaksas 23,59% apmērā</t>
  </si>
  <si>
    <t>Elektroniskās uzraudzības centra (EUC) vecākais referents (8 amata vietas, 35 saime, II līmenis, 9.mēnešalgu grupa) - lai nodrošinātu nepārtrauktu uzraudzības īstenošanu ir plānots veikt darbu 4 maiņās 24 stundu darbā, nosakot trīs diennakšu atpūtu pēc nostrādātas pilnas diennakts, pastāvīgi uz vietas jāatrodas diviem darbiniekiem.</t>
  </si>
  <si>
    <t xml:space="preserve">Vecākie referenti (5 amata vietas, 35 saime, II līmenis, 9.mēnešalgu grupa) </t>
  </si>
  <si>
    <t>Pielikums likumprojekta „Grozījumi Krimināllikumā” sākotnējas ietekmes novērtējuma ziņojumam (anotācijai)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</si>
</sst>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48"/>
      <name val="Arial"/>
      <family val="2"/>
    </font>
    <font>
      <b/>
      <i/>
      <sz val="9"/>
      <color indexed="8"/>
      <name val="Times New Roman"/>
      <family val="1"/>
    </font>
    <font>
      <sz val="11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" fontId="16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" fontId="1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 vertical="top"/>
    </xf>
    <xf numFmtId="1" fontId="7" fillId="0" borderId="13" xfId="0" applyNumberFormat="1" applyFont="1" applyFill="1" applyBorder="1" applyAlignment="1">
      <alignment vertical="top"/>
    </xf>
    <xf numFmtId="0" fontId="1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wrapText="1"/>
    </xf>
    <xf numFmtId="1" fontId="13" fillId="0" borderId="10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 vertical="top"/>
    </xf>
    <xf numFmtId="0" fontId="15" fillId="0" borderId="13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wrapText="1"/>
    </xf>
    <xf numFmtId="1" fontId="9" fillId="0" borderId="13" xfId="0" applyNumberFormat="1" applyFont="1" applyFill="1" applyBorder="1" applyAlignment="1">
      <alignment/>
    </xf>
    <xf numFmtId="0" fontId="15" fillId="0" borderId="1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/>
    </xf>
    <xf numFmtId="1" fontId="9" fillId="0" borderId="14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right"/>
    </xf>
    <xf numFmtId="1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/>
    </xf>
    <xf numFmtId="0" fontId="14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right" wrapText="1"/>
    </xf>
    <xf numFmtId="0" fontId="15" fillId="0" borderId="1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/>
    </xf>
    <xf numFmtId="0" fontId="11" fillId="0" borderId="16" xfId="0" applyFont="1" applyFill="1" applyBorder="1" applyAlignment="1">
      <alignment horizontal="left" vertical="top" wrapText="1"/>
    </xf>
    <xf numFmtId="1" fontId="1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 quotePrefix="1">
      <alignment/>
    </xf>
    <xf numFmtId="1" fontId="53" fillId="0" borderId="0" xfId="0" applyNumberFormat="1" applyFont="1" applyAlignment="1">
      <alignment/>
    </xf>
    <xf numFmtId="0" fontId="16" fillId="0" borderId="10" xfId="0" applyFont="1" applyFill="1" applyBorder="1" applyAlignment="1">
      <alignment horizontal="justify" vertical="top" wrapText="1"/>
    </xf>
    <xf numFmtId="9" fontId="16" fillId="0" borderId="10" xfId="0" applyNumberFormat="1" applyFont="1" applyFill="1" applyBorder="1" applyAlignment="1">
      <alignment horizontal="left" vertical="top" wrapText="1"/>
    </xf>
    <xf numFmtId="1" fontId="7" fillId="0" borderId="11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right" wrapText="1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PageLayoutView="0" workbookViewId="0" topLeftCell="A1">
      <selection activeCell="F13" sqref="F13"/>
    </sheetView>
  </sheetViews>
  <sheetFormatPr defaultColWidth="21.7109375" defaultRowHeight="15"/>
  <cols>
    <col min="1" max="1" width="11.8515625" style="0" customWidth="1"/>
    <col min="2" max="2" width="46.140625" style="0" bestFit="1" customWidth="1"/>
    <col min="3" max="3" width="36.00390625" style="0" bestFit="1" customWidth="1"/>
    <col min="4" max="4" width="16.140625" style="1" bestFit="1" customWidth="1"/>
    <col min="5" max="5" width="36.00390625" style="0" bestFit="1" customWidth="1"/>
    <col min="6" max="6" width="14.8515625" style="1" customWidth="1"/>
    <col min="7" max="246" width="9.140625" style="0" customWidth="1"/>
    <col min="247" max="247" width="43.8515625" style="0" bestFit="1" customWidth="1"/>
    <col min="248" max="248" width="36.00390625" style="0" bestFit="1" customWidth="1"/>
  </cols>
  <sheetData>
    <row r="1" spans="5:6" ht="48.75" customHeight="1">
      <c r="E1" s="84" t="s">
        <v>153</v>
      </c>
      <c r="F1" s="84"/>
    </row>
    <row r="2" spans="1:6" s="7" customFormat="1" ht="15.75">
      <c r="A2" s="73" t="s">
        <v>0</v>
      </c>
      <c r="B2" s="74"/>
      <c r="C2" s="75"/>
      <c r="D2" s="75"/>
      <c r="E2" s="75"/>
      <c r="F2" s="76"/>
    </row>
    <row r="3" spans="1:6" s="7" customFormat="1" ht="15.75">
      <c r="A3" s="77" t="s">
        <v>90</v>
      </c>
      <c r="B3" s="77"/>
      <c r="C3" s="77"/>
      <c r="D3" s="77"/>
      <c r="E3" s="77"/>
      <c r="F3" s="76"/>
    </row>
    <row r="4" spans="1:6" ht="18.75">
      <c r="A4" s="2"/>
      <c r="C4" s="83" t="s">
        <v>1</v>
      </c>
      <c r="D4" s="83"/>
      <c r="E4" s="83" t="s">
        <v>2</v>
      </c>
      <c r="F4" s="83"/>
    </row>
    <row r="5" spans="1:6" ht="15">
      <c r="A5" s="3" t="s">
        <v>3</v>
      </c>
      <c r="B5" s="3" t="s">
        <v>92</v>
      </c>
      <c r="C5" s="3" t="s">
        <v>91</v>
      </c>
      <c r="D5" s="3" t="s">
        <v>4</v>
      </c>
      <c r="E5" s="3" t="s">
        <v>91</v>
      </c>
      <c r="F5" s="3" t="s">
        <v>4</v>
      </c>
    </row>
    <row r="6" spans="1:6" ht="15.75">
      <c r="A6" s="39"/>
      <c r="B6" s="37" t="s">
        <v>85</v>
      </c>
      <c r="C6" s="38"/>
      <c r="D6" s="40">
        <f>D7+D60</f>
        <v>722835</v>
      </c>
      <c r="E6" s="38"/>
      <c r="F6" s="40">
        <f>F7+F60</f>
        <v>1148310</v>
      </c>
    </row>
    <row r="7" spans="1:6" ht="15.75">
      <c r="A7" s="43"/>
      <c r="B7" s="41" t="s">
        <v>84</v>
      </c>
      <c r="C7" s="42"/>
      <c r="D7" s="44">
        <f>D8+D23</f>
        <v>722835</v>
      </c>
      <c r="E7" s="42"/>
      <c r="F7" s="44">
        <f>F8+F23</f>
        <v>1103310</v>
      </c>
    </row>
    <row r="8" spans="1:6" ht="15.75">
      <c r="A8" s="46" t="s">
        <v>7</v>
      </c>
      <c r="B8" s="45" t="s">
        <v>86</v>
      </c>
      <c r="C8" s="45"/>
      <c r="D8" s="47">
        <f>D9+D19</f>
        <v>190346</v>
      </c>
      <c r="E8" s="45"/>
      <c r="F8" s="47">
        <f>F9+F19</f>
        <v>282651</v>
      </c>
    </row>
    <row r="9" spans="1:6" ht="15.75">
      <c r="A9" s="50" t="s">
        <v>9</v>
      </c>
      <c r="B9" s="48" t="s">
        <v>8</v>
      </c>
      <c r="C9" s="49"/>
      <c r="D9" s="51">
        <f>D10+D14</f>
        <v>146163</v>
      </c>
      <c r="E9" s="49"/>
      <c r="F9" s="51">
        <f>F10+F14</f>
        <v>218265</v>
      </c>
    </row>
    <row r="10" spans="1:6" ht="15">
      <c r="A10" s="52" t="s">
        <v>11</v>
      </c>
      <c r="B10" s="9" t="s">
        <v>10</v>
      </c>
      <c r="C10" s="9"/>
      <c r="D10" s="51">
        <f>SUM(D11:D13)</f>
        <v>103376</v>
      </c>
      <c r="E10" s="9"/>
      <c r="F10" s="51">
        <f>SUM(F11:F13)</f>
        <v>155064</v>
      </c>
    </row>
    <row r="11" spans="1:6" ht="15">
      <c r="A11" s="6"/>
      <c r="B11" s="9" t="s">
        <v>12</v>
      </c>
      <c r="C11" s="4"/>
      <c r="D11" s="8"/>
      <c r="E11" s="4"/>
      <c r="F11" s="8"/>
    </row>
    <row r="12" spans="1:6" ht="76.5">
      <c r="A12" s="6" t="s">
        <v>11</v>
      </c>
      <c r="B12" s="4" t="s">
        <v>151</v>
      </c>
      <c r="C12" s="4" t="s">
        <v>93</v>
      </c>
      <c r="D12" s="8">
        <f>994*8*8</f>
        <v>63616</v>
      </c>
      <c r="E12" s="4" t="s">
        <v>13</v>
      </c>
      <c r="F12" s="8">
        <f>994*8*12</f>
        <v>95424</v>
      </c>
    </row>
    <row r="13" spans="1:6" ht="25.5">
      <c r="A13" s="6" t="s">
        <v>11</v>
      </c>
      <c r="B13" s="4" t="s">
        <v>152</v>
      </c>
      <c r="C13" s="4" t="s">
        <v>94</v>
      </c>
      <c r="D13" s="8">
        <f>994*5*8</f>
        <v>39760</v>
      </c>
      <c r="E13" s="4" t="s">
        <v>14</v>
      </c>
      <c r="F13" s="8">
        <f>994*5*12</f>
        <v>59640</v>
      </c>
    </row>
    <row r="14" spans="1:7" ht="15">
      <c r="A14" s="52" t="s">
        <v>16</v>
      </c>
      <c r="B14" s="53" t="s">
        <v>15</v>
      </c>
      <c r="C14" s="9"/>
      <c r="D14" s="51">
        <f>SUM(D15:D18)</f>
        <v>42787</v>
      </c>
      <c r="E14" s="9"/>
      <c r="F14" s="51">
        <f>SUM(F15:F18)</f>
        <v>63201</v>
      </c>
      <c r="G14" s="7"/>
    </row>
    <row r="15" spans="1:6" ht="51">
      <c r="A15" s="4" t="s">
        <v>18</v>
      </c>
      <c r="B15" s="80" t="s">
        <v>145</v>
      </c>
      <c r="C15" s="4" t="s">
        <v>95</v>
      </c>
      <c r="D15" s="10">
        <f>ROUND((994/165.58*8*245*50%*2),0)</f>
        <v>11766</v>
      </c>
      <c r="E15" s="4" t="s">
        <v>17</v>
      </c>
      <c r="F15" s="10">
        <f>ROUND((994/165.58*8*365*50%*2),0)</f>
        <v>17529</v>
      </c>
    </row>
    <row r="16" spans="1:6" ht="51">
      <c r="A16" s="4" t="s">
        <v>20</v>
      </c>
      <c r="B16" s="80" t="s">
        <v>146</v>
      </c>
      <c r="C16" s="4" t="s">
        <v>96</v>
      </c>
      <c r="D16" s="10">
        <f>ROUND((994/165.58*24*9*100%*2),0)</f>
        <v>2593</v>
      </c>
      <c r="E16" s="4" t="s">
        <v>19</v>
      </c>
      <c r="F16" s="10">
        <f>ROUND((994/165.58*24*15*2*100%),0)</f>
        <v>4322</v>
      </c>
    </row>
    <row r="17" spans="1:6" ht="51">
      <c r="A17" s="5" t="s">
        <v>22</v>
      </c>
      <c r="B17" s="11" t="s">
        <v>21</v>
      </c>
      <c r="C17" s="4" t="s">
        <v>111</v>
      </c>
      <c r="D17" s="10">
        <f>ROUND((994*20%*13),0)</f>
        <v>2584</v>
      </c>
      <c r="E17" s="4" t="s">
        <v>111</v>
      </c>
      <c r="F17" s="10">
        <f>ROUND((994*20%*13),0)</f>
        <v>2584</v>
      </c>
    </row>
    <row r="18" spans="1:7" ht="25.5">
      <c r="A18" s="5" t="s">
        <v>24</v>
      </c>
      <c r="B18" s="11" t="s">
        <v>23</v>
      </c>
      <c r="C18" s="4" t="s">
        <v>139</v>
      </c>
      <c r="D18" s="10">
        <f>ROUND((994*25%*8*13),0)</f>
        <v>25844</v>
      </c>
      <c r="E18" s="4" t="s">
        <v>140</v>
      </c>
      <c r="F18" s="10">
        <f>ROUND((994*25%*12*13),0)</f>
        <v>38766</v>
      </c>
      <c r="G18" s="7"/>
    </row>
    <row r="19" spans="1:6" ht="25.5">
      <c r="A19" s="55" t="s">
        <v>26</v>
      </c>
      <c r="B19" s="9" t="s">
        <v>25</v>
      </c>
      <c r="C19" s="54"/>
      <c r="D19" s="53">
        <f>SUM(D20:D22)</f>
        <v>44183</v>
      </c>
      <c r="E19" s="54"/>
      <c r="F19" s="53">
        <f>SUM(F20:F22)</f>
        <v>64386</v>
      </c>
    </row>
    <row r="20" spans="1:6" ht="25.5">
      <c r="A20" s="5" t="s">
        <v>28</v>
      </c>
      <c r="B20" s="12" t="s">
        <v>150</v>
      </c>
      <c r="C20" s="13" t="s">
        <v>27</v>
      </c>
      <c r="D20" s="14">
        <f>ROUND(((D9+D21)*0.2359),0)</f>
        <v>35699</v>
      </c>
      <c r="E20" s="13" t="s">
        <v>27</v>
      </c>
      <c r="F20" s="14">
        <f>ROUND(((F9+F21)*0.2359),0)</f>
        <v>53318</v>
      </c>
    </row>
    <row r="21" spans="1:6" ht="38.25">
      <c r="A21" s="5" t="s">
        <v>141</v>
      </c>
      <c r="B21" s="12" t="s">
        <v>142</v>
      </c>
      <c r="C21" s="81" t="s">
        <v>143</v>
      </c>
      <c r="D21" s="82">
        <f>ROUND((D10*0.05),0)</f>
        <v>5169</v>
      </c>
      <c r="E21" s="81" t="s">
        <v>143</v>
      </c>
      <c r="F21" s="82">
        <f>ROUND((F10*0.05),0)</f>
        <v>7753</v>
      </c>
    </row>
    <row r="22" spans="1:6" ht="63.75">
      <c r="A22" s="5" t="s">
        <v>29</v>
      </c>
      <c r="B22" s="12" t="s">
        <v>144</v>
      </c>
      <c r="C22" s="15" t="s">
        <v>112</v>
      </c>
      <c r="D22" s="16">
        <f>255*13</f>
        <v>3315</v>
      </c>
      <c r="E22" s="15" t="s">
        <v>112</v>
      </c>
      <c r="F22" s="16">
        <f>255*13</f>
        <v>3315</v>
      </c>
    </row>
    <row r="23" spans="1:6" ht="15.75">
      <c r="A23" s="50" t="s">
        <v>30</v>
      </c>
      <c r="B23" s="48" t="s">
        <v>87</v>
      </c>
      <c r="C23" s="56"/>
      <c r="D23" s="57">
        <f>D24+D35+D54</f>
        <v>532489</v>
      </c>
      <c r="E23" s="56"/>
      <c r="F23" s="57">
        <f>F24+F35+F54</f>
        <v>820659</v>
      </c>
    </row>
    <row r="24" spans="1:6" ht="15.75">
      <c r="A24" s="59" t="s">
        <v>32</v>
      </c>
      <c r="B24" s="52" t="s">
        <v>31</v>
      </c>
      <c r="C24" s="58"/>
      <c r="D24" s="57">
        <f>SUM(D25:D34)</f>
        <v>1260</v>
      </c>
      <c r="E24" s="58"/>
      <c r="F24" s="57">
        <f>SUM(F25:F34)</f>
        <v>23520</v>
      </c>
    </row>
    <row r="25" spans="1:6" ht="25.5">
      <c r="A25" s="18"/>
      <c r="B25" s="17" t="s">
        <v>34</v>
      </c>
      <c r="C25" s="18"/>
      <c r="D25" s="19"/>
      <c r="E25" s="18"/>
      <c r="F25" s="19"/>
    </row>
    <row r="26" spans="1:6" ht="15">
      <c r="A26" s="21" t="s">
        <v>32</v>
      </c>
      <c r="B26" s="20" t="s">
        <v>33</v>
      </c>
      <c r="C26" s="21" t="s">
        <v>97</v>
      </c>
      <c r="D26" s="22">
        <f>9*10*14</f>
        <v>1260</v>
      </c>
      <c r="E26" s="21" t="s">
        <v>107</v>
      </c>
      <c r="F26" s="22">
        <f>9*10*16</f>
        <v>1440</v>
      </c>
    </row>
    <row r="27" spans="1:6" ht="25.5">
      <c r="A27" s="18"/>
      <c r="B27" s="17" t="s">
        <v>35</v>
      </c>
      <c r="C27" s="18"/>
      <c r="D27" s="19"/>
      <c r="E27" s="18"/>
      <c r="F27" s="19"/>
    </row>
    <row r="28" spans="1:6" ht="15">
      <c r="A28" s="21" t="s">
        <v>32</v>
      </c>
      <c r="B28" s="20" t="s">
        <v>36</v>
      </c>
      <c r="C28" s="21"/>
      <c r="D28" s="22"/>
      <c r="E28" s="21" t="s">
        <v>37</v>
      </c>
      <c r="F28" s="22">
        <f>9*16*4</f>
        <v>576</v>
      </c>
    </row>
    <row r="29" spans="1:6" ht="15">
      <c r="A29" s="5" t="s">
        <v>32</v>
      </c>
      <c r="B29" s="20" t="s">
        <v>38</v>
      </c>
      <c r="C29" s="21"/>
      <c r="D29" s="22"/>
      <c r="E29" s="21" t="s">
        <v>39</v>
      </c>
      <c r="F29" s="22">
        <f>57*16*4*4</f>
        <v>14592</v>
      </c>
    </row>
    <row r="30" spans="1:6" ht="15">
      <c r="A30" s="5" t="s">
        <v>32</v>
      </c>
      <c r="B30" s="20" t="s">
        <v>40</v>
      </c>
      <c r="C30" s="21"/>
      <c r="D30" s="22"/>
      <c r="E30" s="21" t="s">
        <v>41</v>
      </c>
      <c r="F30" s="22">
        <f>6*16*4*5</f>
        <v>1920</v>
      </c>
    </row>
    <row r="31" spans="1:6" ht="25.5">
      <c r="A31" s="18"/>
      <c r="B31" s="17" t="s">
        <v>42</v>
      </c>
      <c r="C31" s="18"/>
      <c r="D31" s="19"/>
      <c r="E31" s="18"/>
      <c r="F31" s="19"/>
    </row>
    <row r="32" spans="1:6" ht="15">
      <c r="A32" s="21" t="s">
        <v>32</v>
      </c>
      <c r="B32" s="20" t="s">
        <v>43</v>
      </c>
      <c r="C32" s="21"/>
      <c r="D32" s="22"/>
      <c r="E32" s="21" t="s">
        <v>37</v>
      </c>
      <c r="F32" s="22">
        <f>9*16*4</f>
        <v>576</v>
      </c>
    </row>
    <row r="33" spans="1:6" ht="15">
      <c r="A33" s="5" t="s">
        <v>32</v>
      </c>
      <c r="B33" s="20" t="s">
        <v>44</v>
      </c>
      <c r="C33" s="21"/>
      <c r="D33" s="22"/>
      <c r="E33" s="21" t="s">
        <v>45</v>
      </c>
      <c r="F33" s="22">
        <f>57*16*1*4</f>
        <v>3648</v>
      </c>
    </row>
    <row r="34" spans="1:6" ht="15">
      <c r="A34" s="5" t="s">
        <v>32</v>
      </c>
      <c r="B34" s="20" t="s">
        <v>40</v>
      </c>
      <c r="C34" s="21"/>
      <c r="D34" s="22"/>
      <c r="E34" s="21" t="s">
        <v>46</v>
      </c>
      <c r="F34" s="22">
        <f>6*16*4*2</f>
        <v>768</v>
      </c>
    </row>
    <row r="35" spans="1:6" s="1" customFormat="1" ht="15">
      <c r="A35" s="61" t="s">
        <v>47</v>
      </c>
      <c r="B35" s="52" t="s">
        <v>88</v>
      </c>
      <c r="C35" s="60"/>
      <c r="D35" s="57">
        <f>SUM(D36:D53)</f>
        <v>516109</v>
      </c>
      <c r="E35" s="60"/>
      <c r="F35" s="57">
        <f>SUM(F36:F53)</f>
        <v>774459</v>
      </c>
    </row>
    <row r="36" spans="1:6" s="7" customFormat="1" ht="15">
      <c r="A36" s="25" t="s">
        <v>49</v>
      </c>
      <c r="B36" s="20" t="s">
        <v>113</v>
      </c>
      <c r="C36" s="24" t="s">
        <v>110</v>
      </c>
      <c r="D36" s="22">
        <f>60*12*8</f>
        <v>5760</v>
      </c>
      <c r="E36" s="24" t="s">
        <v>48</v>
      </c>
      <c r="F36" s="22">
        <f>60*12*12</f>
        <v>8640</v>
      </c>
    </row>
    <row r="37" spans="1:6" s="7" customFormat="1" ht="25.5">
      <c r="A37" s="25" t="s">
        <v>51</v>
      </c>
      <c r="B37" s="4" t="s">
        <v>114</v>
      </c>
      <c r="C37" s="26" t="s">
        <v>98</v>
      </c>
      <c r="D37" s="22">
        <f>200*8</f>
        <v>1600</v>
      </c>
      <c r="E37" s="26" t="s">
        <v>50</v>
      </c>
      <c r="F37" s="22">
        <f>200*12</f>
        <v>2400</v>
      </c>
    </row>
    <row r="38" spans="1:6" s="7" customFormat="1" ht="25.5">
      <c r="A38" s="25" t="s">
        <v>51</v>
      </c>
      <c r="B38" s="4" t="s">
        <v>115</v>
      </c>
      <c r="C38" s="26" t="s">
        <v>99</v>
      </c>
      <c r="D38" s="22">
        <f>180*4</f>
        <v>720</v>
      </c>
      <c r="E38" s="26" t="s">
        <v>52</v>
      </c>
      <c r="F38" s="22">
        <f>180*7</f>
        <v>1260</v>
      </c>
    </row>
    <row r="39" spans="1:6" s="7" customFormat="1" ht="25.5">
      <c r="A39" s="25" t="s">
        <v>49</v>
      </c>
      <c r="B39" s="20" t="s">
        <v>116</v>
      </c>
      <c r="C39" s="26" t="s">
        <v>118</v>
      </c>
      <c r="D39" s="22">
        <f>7.5*12*8*5</f>
        <v>3600</v>
      </c>
      <c r="E39" s="26" t="s">
        <v>117</v>
      </c>
      <c r="F39" s="22">
        <f>7.5*12*12*5</f>
        <v>5400</v>
      </c>
    </row>
    <row r="40" spans="1:6" s="7" customFormat="1" ht="25.5">
      <c r="A40" s="25" t="s">
        <v>51</v>
      </c>
      <c r="B40" s="4" t="s">
        <v>119</v>
      </c>
      <c r="C40" s="26" t="s">
        <v>120</v>
      </c>
      <c r="D40" s="22">
        <f>125*8</f>
        <v>1000</v>
      </c>
      <c r="E40" s="26" t="s">
        <v>121</v>
      </c>
      <c r="F40" s="22">
        <f>125*12</f>
        <v>1500</v>
      </c>
    </row>
    <row r="41" spans="1:6" s="7" customFormat="1" ht="25.5">
      <c r="A41" s="25" t="s">
        <v>51</v>
      </c>
      <c r="B41" s="4" t="s">
        <v>122</v>
      </c>
      <c r="C41" s="26" t="s">
        <v>123</v>
      </c>
      <c r="D41" s="22">
        <f>115*4</f>
        <v>460</v>
      </c>
      <c r="E41" s="26" t="s">
        <v>124</v>
      </c>
      <c r="F41" s="22">
        <f>115*7</f>
        <v>805</v>
      </c>
    </row>
    <row r="42" spans="1:6" s="7" customFormat="1" ht="25.5">
      <c r="A42" s="25" t="s">
        <v>53</v>
      </c>
      <c r="B42" s="4" t="s">
        <v>147</v>
      </c>
      <c r="C42" s="26" t="s">
        <v>125</v>
      </c>
      <c r="D42" s="22">
        <f>15*7*8</f>
        <v>840</v>
      </c>
      <c r="E42" s="26" t="s">
        <v>126</v>
      </c>
      <c r="F42" s="22">
        <f>15*7*12</f>
        <v>1260</v>
      </c>
    </row>
    <row r="43" spans="1:6" s="7" customFormat="1" ht="25.5">
      <c r="A43" s="25" t="s">
        <v>51</v>
      </c>
      <c r="B43" s="4" t="s">
        <v>148</v>
      </c>
      <c r="C43" s="26" t="s">
        <v>127</v>
      </c>
      <c r="D43" s="22">
        <f>15*7*8</f>
        <v>840</v>
      </c>
      <c r="E43" s="26" t="s">
        <v>129</v>
      </c>
      <c r="F43" s="22">
        <f>15*7*12</f>
        <v>1260</v>
      </c>
    </row>
    <row r="44" spans="1:6" s="7" customFormat="1" ht="25.5">
      <c r="A44" s="25" t="s">
        <v>53</v>
      </c>
      <c r="B44" s="4" t="s">
        <v>149</v>
      </c>
      <c r="C44" s="32" t="s">
        <v>128</v>
      </c>
      <c r="D44" s="22">
        <f>15*7*8</f>
        <v>840</v>
      </c>
      <c r="E44" s="32" t="s">
        <v>130</v>
      </c>
      <c r="F44" s="22">
        <f>15*7*12</f>
        <v>1260</v>
      </c>
    </row>
    <row r="45" spans="1:6" s="7" customFormat="1" ht="25.5">
      <c r="A45" s="5" t="s">
        <v>55</v>
      </c>
      <c r="B45" s="5" t="s">
        <v>131</v>
      </c>
      <c r="C45" s="20" t="s">
        <v>108</v>
      </c>
      <c r="D45" s="27">
        <f>15*2*8</f>
        <v>240</v>
      </c>
      <c r="E45" s="20" t="s">
        <v>54</v>
      </c>
      <c r="F45" s="27">
        <f>15*2*12</f>
        <v>360</v>
      </c>
    </row>
    <row r="46" spans="1:6" s="7" customFormat="1" ht="25.5">
      <c r="A46" s="5" t="s">
        <v>55</v>
      </c>
      <c r="B46" s="4" t="s">
        <v>132</v>
      </c>
      <c r="C46" s="23" t="s">
        <v>133</v>
      </c>
      <c r="D46" s="22">
        <f>115*5*8</f>
        <v>4600</v>
      </c>
      <c r="E46" s="23" t="s">
        <v>134</v>
      </c>
      <c r="F46" s="22">
        <f>115*5*12</f>
        <v>6900</v>
      </c>
    </row>
    <row r="47" spans="1:6" s="7" customFormat="1" ht="38.25">
      <c r="A47" s="5" t="s">
        <v>55</v>
      </c>
      <c r="B47" s="5" t="s">
        <v>56</v>
      </c>
      <c r="C47" s="24" t="s">
        <v>109</v>
      </c>
      <c r="D47" s="28">
        <f>10*32*8</f>
        <v>2560</v>
      </c>
      <c r="E47" s="24" t="s">
        <v>57</v>
      </c>
      <c r="F47" s="28">
        <f>10*32*12</f>
        <v>3840</v>
      </c>
    </row>
    <row r="48" spans="1:6" s="7" customFormat="1" ht="25.5">
      <c r="A48" s="5" t="s">
        <v>55</v>
      </c>
      <c r="B48" s="5" t="s">
        <v>58</v>
      </c>
      <c r="C48" s="24" t="s">
        <v>100</v>
      </c>
      <c r="D48" s="28">
        <f>0.5*200*8</f>
        <v>800</v>
      </c>
      <c r="E48" s="24" t="s">
        <v>59</v>
      </c>
      <c r="F48" s="28">
        <f>0.5*200*12</f>
        <v>1200</v>
      </c>
    </row>
    <row r="49" spans="1:6" s="7" customFormat="1" ht="51">
      <c r="A49" s="5" t="s">
        <v>62</v>
      </c>
      <c r="B49" s="4" t="s">
        <v>60</v>
      </c>
      <c r="C49" s="26" t="s">
        <v>101</v>
      </c>
      <c r="D49" s="29">
        <f>ROUND((1.33*249*8),0)</f>
        <v>2649</v>
      </c>
      <c r="E49" s="26" t="s">
        <v>61</v>
      </c>
      <c r="F49" s="29">
        <f>ROUND((1.33*249*12),0)</f>
        <v>3974</v>
      </c>
    </row>
    <row r="50" spans="1:6" s="7" customFormat="1" ht="25.5">
      <c r="A50" s="25"/>
      <c r="B50" s="17" t="s">
        <v>63</v>
      </c>
      <c r="C50" s="24"/>
      <c r="D50" s="22"/>
      <c r="E50" s="24"/>
      <c r="F50" s="22"/>
    </row>
    <row r="51" spans="1:6" s="7" customFormat="1" ht="15">
      <c r="A51" s="25" t="s">
        <v>49</v>
      </c>
      <c r="B51" s="20" t="s">
        <v>64</v>
      </c>
      <c r="C51" s="24" t="s">
        <v>102</v>
      </c>
      <c r="D51" s="22">
        <f>19000*8</f>
        <v>152000</v>
      </c>
      <c r="E51" s="24" t="s">
        <v>65</v>
      </c>
      <c r="F51" s="22">
        <f>19000*12</f>
        <v>228000</v>
      </c>
    </row>
    <row r="52" spans="1:6" s="7" customFormat="1" ht="15">
      <c r="A52" s="25" t="s">
        <v>49</v>
      </c>
      <c r="B52" s="20" t="s">
        <v>66</v>
      </c>
      <c r="C52" s="24" t="s">
        <v>103</v>
      </c>
      <c r="D52" s="22">
        <f>210*200*8</f>
        <v>336000</v>
      </c>
      <c r="E52" s="24" t="s">
        <v>67</v>
      </c>
      <c r="F52" s="22">
        <f>210*200*12</f>
        <v>504000</v>
      </c>
    </row>
    <row r="53" spans="1:6" s="7" customFormat="1" ht="15">
      <c r="A53" s="25" t="s">
        <v>49</v>
      </c>
      <c r="B53" s="27" t="s">
        <v>68</v>
      </c>
      <c r="C53" s="30" t="s">
        <v>104</v>
      </c>
      <c r="D53" s="16">
        <f>100*2*8</f>
        <v>1600</v>
      </c>
      <c r="E53" s="30" t="s">
        <v>69</v>
      </c>
      <c r="F53" s="16">
        <f>100*2*12</f>
        <v>2400</v>
      </c>
    </row>
    <row r="54" spans="1:6" ht="15">
      <c r="A54" s="62" t="s">
        <v>71</v>
      </c>
      <c r="B54" s="17" t="s">
        <v>70</v>
      </c>
      <c r="C54" s="9"/>
      <c r="D54" s="53">
        <f>SUM(D55:D59)</f>
        <v>15120</v>
      </c>
      <c r="E54" s="9"/>
      <c r="F54" s="53">
        <f>SUM(F55:F59)</f>
        <v>22680</v>
      </c>
    </row>
    <row r="55" spans="1:6" ht="25.5">
      <c r="A55" s="5" t="s">
        <v>73</v>
      </c>
      <c r="B55" s="5" t="s">
        <v>72</v>
      </c>
      <c r="C55" s="31" t="s">
        <v>135</v>
      </c>
      <c r="D55" s="27">
        <f>10*13*8</f>
        <v>1040</v>
      </c>
      <c r="E55" s="31" t="s">
        <v>136</v>
      </c>
      <c r="F55" s="27">
        <f>10*13*12</f>
        <v>1560</v>
      </c>
    </row>
    <row r="56" spans="1:6" ht="15">
      <c r="A56" s="5"/>
      <c r="B56" s="5"/>
      <c r="C56" s="31"/>
      <c r="D56" s="27"/>
      <c r="E56" s="31"/>
      <c r="F56" s="27"/>
    </row>
    <row r="57" spans="1:6" ht="15">
      <c r="A57" s="5" t="s">
        <v>75</v>
      </c>
      <c r="B57" s="5" t="s">
        <v>74</v>
      </c>
      <c r="C57" s="31" t="s">
        <v>137</v>
      </c>
      <c r="D57" s="27">
        <f>10*13*8</f>
        <v>1040</v>
      </c>
      <c r="E57" s="31" t="s">
        <v>138</v>
      </c>
      <c r="F57" s="27">
        <f>10*13*12</f>
        <v>1560</v>
      </c>
    </row>
    <row r="58" spans="1:6" ht="25.5">
      <c r="A58" s="25" t="s">
        <v>75</v>
      </c>
      <c r="B58" s="20" t="s">
        <v>76</v>
      </c>
      <c r="C58" s="24" t="s">
        <v>105</v>
      </c>
      <c r="D58" s="22">
        <f>20*80*8</f>
        <v>12800</v>
      </c>
      <c r="E58" s="24" t="s">
        <v>77</v>
      </c>
      <c r="F58" s="22">
        <f>20*80*12</f>
        <v>19200</v>
      </c>
    </row>
    <row r="59" spans="1:6" ht="15">
      <c r="A59" s="5" t="s">
        <v>75</v>
      </c>
      <c r="B59" s="5" t="s">
        <v>78</v>
      </c>
      <c r="C59" s="32" t="s">
        <v>106</v>
      </c>
      <c r="D59" s="27">
        <f>15*2*8</f>
        <v>240</v>
      </c>
      <c r="E59" s="32" t="s">
        <v>79</v>
      </c>
      <c r="F59" s="27">
        <f>15*2*12</f>
        <v>360</v>
      </c>
    </row>
    <row r="60" spans="1:6" ht="15.75">
      <c r="A60" s="64"/>
      <c r="B60" s="63" t="s">
        <v>80</v>
      </c>
      <c r="C60" s="5"/>
      <c r="D60" s="53">
        <f>D61</f>
        <v>0</v>
      </c>
      <c r="E60" s="5"/>
      <c r="F60" s="53">
        <f>F61</f>
        <v>45000</v>
      </c>
    </row>
    <row r="61" spans="1:7" ht="15.75">
      <c r="A61" s="62" t="s">
        <v>82</v>
      </c>
      <c r="B61" s="65" t="s">
        <v>81</v>
      </c>
      <c r="C61" s="5"/>
      <c r="D61" s="53">
        <f>SUM(D62:D63)</f>
        <v>0</v>
      </c>
      <c r="E61" s="5"/>
      <c r="F61" s="53">
        <f>SUM(F62:F63)</f>
        <v>45000</v>
      </c>
      <c r="G61" s="78"/>
    </row>
    <row r="62" spans="1:6" ht="15">
      <c r="A62" s="20"/>
      <c r="B62" s="20"/>
      <c r="C62" s="26"/>
      <c r="D62" s="28"/>
      <c r="E62" s="26"/>
      <c r="F62" s="28"/>
    </row>
    <row r="63" spans="1:6" ht="38.25">
      <c r="A63" s="25" t="s">
        <v>82</v>
      </c>
      <c r="B63" s="20" t="s">
        <v>89</v>
      </c>
      <c r="C63" s="24"/>
      <c r="D63" s="22"/>
      <c r="E63" s="24"/>
      <c r="F63" s="22">
        <v>45000</v>
      </c>
    </row>
    <row r="64" spans="1:6" ht="15">
      <c r="A64" s="25"/>
      <c r="B64" s="20"/>
      <c r="C64" s="24"/>
      <c r="D64" s="22"/>
      <c r="E64" s="24"/>
      <c r="F64" s="22"/>
    </row>
    <row r="65" spans="1:6" ht="15.75">
      <c r="A65" s="67"/>
      <c r="B65" s="66" t="s">
        <v>83</v>
      </c>
      <c r="C65" s="67"/>
      <c r="D65" s="68">
        <v>13</v>
      </c>
      <c r="E65" s="67"/>
      <c r="F65" s="68"/>
    </row>
    <row r="66" spans="1:6" ht="15.75">
      <c r="A66" s="69" t="s">
        <v>7</v>
      </c>
      <c r="B66" s="66" t="s">
        <v>6</v>
      </c>
      <c r="C66" s="38"/>
      <c r="D66" s="69">
        <f>D67+D68</f>
        <v>190346</v>
      </c>
      <c r="E66" s="38"/>
      <c r="F66" s="69">
        <f>F67+F68</f>
        <v>282651</v>
      </c>
    </row>
    <row r="67" spans="1:6" ht="15.75">
      <c r="A67" s="69" t="s">
        <v>9</v>
      </c>
      <c r="B67" s="66" t="s">
        <v>8</v>
      </c>
      <c r="C67" s="70"/>
      <c r="D67" s="71">
        <f>D9</f>
        <v>146163</v>
      </c>
      <c r="E67" s="70"/>
      <c r="F67" s="71">
        <f>F9</f>
        <v>218265</v>
      </c>
    </row>
    <row r="68" spans="1:6" ht="29.25" customHeight="1">
      <c r="A68" s="35" t="s">
        <v>26</v>
      </c>
      <c r="B68" s="33" t="s">
        <v>25</v>
      </c>
      <c r="C68" s="34"/>
      <c r="D68" s="36">
        <f>D19</f>
        <v>44183</v>
      </c>
      <c r="E68" s="34"/>
      <c r="F68" s="36">
        <f>F19</f>
        <v>64386</v>
      </c>
    </row>
    <row r="69" spans="1:6" ht="15.75">
      <c r="A69" s="69" t="s">
        <v>30</v>
      </c>
      <c r="B69" s="66" t="s">
        <v>84</v>
      </c>
      <c r="C69" s="38"/>
      <c r="D69" s="69">
        <f>D23</f>
        <v>532489</v>
      </c>
      <c r="E69" s="38"/>
      <c r="F69" s="69">
        <f>F23</f>
        <v>820659</v>
      </c>
    </row>
    <row r="70" spans="1:6" ht="15.75">
      <c r="A70" s="69" t="s">
        <v>82</v>
      </c>
      <c r="B70" s="72" t="s">
        <v>81</v>
      </c>
      <c r="C70" s="38"/>
      <c r="D70" s="69">
        <f>D61</f>
        <v>0</v>
      </c>
      <c r="E70" s="38"/>
      <c r="F70" s="69">
        <f>F61</f>
        <v>45000</v>
      </c>
    </row>
    <row r="71" spans="1:6" ht="15.75">
      <c r="A71" s="39"/>
      <c r="B71" s="37" t="s">
        <v>5</v>
      </c>
      <c r="C71" s="38"/>
      <c r="D71" s="40">
        <f>D66+D69+D70</f>
        <v>722835</v>
      </c>
      <c r="E71" s="38"/>
      <c r="F71" s="40">
        <f>F66+F69+F70</f>
        <v>1148310</v>
      </c>
    </row>
    <row r="72" spans="4:6" ht="15">
      <c r="D72" s="79">
        <f>D71-D6</f>
        <v>0</v>
      </c>
      <c r="F72" s="79">
        <f>F71-F6</f>
        <v>0</v>
      </c>
    </row>
  </sheetData>
  <sheetProtection/>
  <mergeCells count="3">
    <mergeCell ref="C4:D4"/>
    <mergeCell ref="E4:F4"/>
    <mergeCell ref="E1:F1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Cera</dc:creator>
  <cp:keywords/>
  <dc:description/>
  <cp:lastModifiedBy>Laura Sileikiste</cp:lastModifiedBy>
  <cp:lastPrinted>2014-06-19T23:28:56Z</cp:lastPrinted>
  <dcterms:created xsi:type="dcterms:W3CDTF">2014-05-22T12:34:15Z</dcterms:created>
  <dcterms:modified xsi:type="dcterms:W3CDTF">2014-06-20T05:30:06Z</dcterms:modified>
  <cp:category/>
  <cp:version/>
  <cp:contentType/>
  <cp:contentStatus/>
</cp:coreProperties>
</file>