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1" activeTab="1"/>
  </bookViews>
  <sheets>
    <sheet name="no_ projektiem" sheetId="1" r:id="rId1"/>
    <sheet name="4.tabulas pielikums nosūtīts Z " sheetId="2" r:id="rId2"/>
  </sheets>
  <definedNames/>
  <calcPr fullCalcOnLoad="1"/>
</workbook>
</file>

<file path=xl/comments1.xml><?xml version="1.0" encoding="utf-8"?>
<comments xmlns="http://schemas.openxmlformats.org/spreadsheetml/2006/main">
  <authors>
    <author>Autors</author>
  </authors>
  <commentList>
    <comment ref="G6" authorId="0">
      <text>
        <r>
          <rPr>
            <b/>
            <sz val="8"/>
            <rFont val="Tahoma"/>
            <family val="2"/>
          </rPr>
          <t>Autors:</t>
        </r>
        <r>
          <rPr>
            <sz val="8"/>
            <rFont val="Tahoma"/>
            <family val="2"/>
          </rPr>
          <t xml:space="preserve">
ar sociālo nodokli un veselības apdrošināšanu un piemaksām t.sk. Štatam. Katru gadu rezervējam papildus finansējumu no iekšējām rezervēm ārštatam, ja iestājas ārkārtas situācija</t>
        </r>
      </text>
    </comment>
    <comment ref="F7" authorId="0">
      <text>
        <r>
          <rPr>
            <b/>
            <sz val="8"/>
            <rFont val="Tahoma"/>
            <family val="2"/>
          </rPr>
          <t>Autors:</t>
        </r>
        <r>
          <rPr>
            <sz val="8"/>
            <rFont val="Tahoma"/>
            <family val="2"/>
          </rPr>
          <t xml:space="preserve">
plusētas piemaksas no ugunsapsardzības naudas</t>
        </r>
      </text>
    </comment>
    <comment ref="H7" authorId="0">
      <text>
        <r>
          <rPr>
            <b/>
            <sz val="8"/>
            <rFont val="Tahoma"/>
            <family val="2"/>
          </rPr>
          <t>Autors:</t>
        </r>
        <r>
          <rPr>
            <sz val="8"/>
            <rFont val="Tahoma"/>
            <family val="2"/>
          </rPr>
          <t xml:space="preserve">
plusētas piemaksas no ugunsapsardzības naudas</t>
        </r>
      </text>
    </comment>
    <comment ref="L21" authorId="0">
      <text>
        <r>
          <rPr>
            <b/>
            <sz val="8"/>
            <rFont val="Tahoma"/>
            <family val="2"/>
          </rPr>
          <t>Autors:</t>
        </r>
        <r>
          <rPr>
            <sz val="8"/>
            <rFont val="Tahoma"/>
            <family val="2"/>
          </rPr>
          <t xml:space="preserve">
cipars bez formulas, jo nevar to uzlikt, lai der visiem gadiem</t>
        </r>
      </text>
    </comment>
    <comment ref="N21" authorId="0">
      <text>
        <r>
          <rPr>
            <b/>
            <sz val="8"/>
            <rFont val="Tahoma"/>
            <family val="2"/>
          </rPr>
          <t>Autors:</t>
        </r>
        <r>
          <rPr>
            <sz val="8"/>
            <rFont val="Tahoma"/>
            <family val="2"/>
          </rPr>
          <t xml:space="preserve">
bez formulas</t>
        </r>
      </text>
    </comment>
    <comment ref="O21" authorId="0">
      <text>
        <r>
          <rPr>
            <b/>
            <sz val="8"/>
            <rFont val="Tahoma"/>
            <family val="2"/>
          </rPr>
          <t>Autors:</t>
        </r>
        <r>
          <rPr>
            <sz val="8"/>
            <rFont val="Tahoma"/>
            <family val="2"/>
          </rPr>
          <t xml:space="preserve">
bez formulas</t>
        </r>
      </text>
    </comment>
    <comment ref="L26" authorId="0">
      <text>
        <r>
          <rPr>
            <b/>
            <sz val="8"/>
            <rFont val="Tahoma"/>
            <family val="2"/>
          </rPr>
          <t>Autors:</t>
        </r>
        <r>
          <rPr>
            <sz val="8"/>
            <rFont val="Tahoma"/>
            <family val="2"/>
          </rPr>
          <t xml:space="preserve">
cipars bez foemulas</t>
        </r>
      </text>
    </comment>
    <comment ref="F30" authorId="0">
      <text>
        <r>
          <rPr>
            <b/>
            <sz val="8"/>
            <rFont val="Tahoma"/>
            <family val="2"/>
          </rPr>
          <t>Autors:</t>
        </r>
        <r>
          <rPr>
            <sz val="8"/>
            <rFont val="Tahoma"/>
            <family val="2"/>
          </rPr>
          <t xml:space="preserve">
atlīdzība</t>
        </r>
      </text>
    </comment>
    <comment ref="G30" authorId="0">
      <text>
        <r>
          <rPr>
            <b/>
            <sz val="8"/>
            <rFont val="Tahoma"/>
            <family val="2"/>
          </rPr>
          <t>Autors:</t>
        </r>
        <r>
          <rPr>
            <sz val="8"/>
            <rFont val="Tahoma"/>
            <family val="2"/>
          </rPr>
          <t xml:space="preserve">
atlīdzība</t>
        </r>
      </text>
    </comment>
  </commentList>
</comments>
</file>

<file path=xl/comments2.xml><?xml version="1.0" encoding="utf-8"?>
<comments xmlns="http://schemas.openxmlformats.org/spreadsheetml/2006/main">
  <authors>
    <author>Autors</author>
  </authors>
  <commentList>
    <comment ref="H6" authorId="0">
      <text>
        <r>
          <rPr>
            <b/>
            <sz val="8"/>
            <rFont val="Tahoma"/>
            <family val="2"/>
          </rPr>
          <t>Autors:</t>
        </r>
        <r>
          <rPr>
            <sz val="8"/>
            <rFont val="Tahoma"/>
            <family val="2"/>
          </rPr>
          <t xml:space="preserve">
ar sociālo nodokli un veselības apdrošināšanu un piemaksām t.sk. Štatam. Katru gadu rezervējam papildus finansējumu no iekšējām rezervēm ārštatam, ja iestājas ārkārtas situācija</t>
        </r>
      </text>
    </comment>
    <comment ref="I6" authorId="0">
      <text>
        <r>
          <rPr>
            <b/>
            <sz val="8"/>
            <rFont val="Tahoma"/>
            <family val="2"/>
          </rPr>
          <t>Autors:</t>
        </r>
        <r>
          <rPr>
            <sz val="8"/>
            <rFont val="Tahoma"/>
            <family val="2"/>
          </rPr>
          <t xml:space="preserve">
ar sociālo nodokli un veselības apdrošināšanu un piemaksām t.sk. Štatam. Katru gadu rezervējam papildus finansējumu no iekšējām rezervēm ārštatam, ja iestājas ārkārtas situācija</t>
        </r>
      </text>
    </comment>
    <comment ref="J6" authorId="0">
      <text>
        <r>
          <rPr>
            <b/>
            <sz val="8"/>
            <rFont val="Tahoma"/>
            <family val="2"/>
          </rPr>
          <t>Autors:</t>
        </r>
        <r>
          <rPr>
            <sz val="8"/>
            <rFont val="Tahoma"/>
            <family val="2"/>
          </rPr>
          <t xml:space="preserve">
ar sociālo nodokli un veselības apdrošināšanu un piemaksām t.sk. Štatam. Katru gadu rezervējam papildus finansējumu no iekšējām rezervēm ārštatam, ja iestājas ārkārtas situācija</t>
        </r>
      </text>
    </comment>
    <comment ref="L6" authorId="0">
      <text>
        <r>
          <rPr>
            <b/>
            <sz val="8"/>
            <rFont val="Tahoma"/>
            <family val="2"/>
          </rPr>
          <t>Autors:</t>
        </r>
        <r>
          <rPr>
            <sz val="8"/>
            <rFont val="Tahoma"/>
            <family val="2"/>
          </rPr>
          <t xml:space="preserve">
ar sociālo nodokli un veselības apdrošināšanu un piemaksām t.sk. Štatam. Katru gadu rezervējam papildus finansējumu no iekšējām rezervēm ārštatam, ja iestājas ārkārtas situācija</t>
        </r>
      </text>
    </comment>
    <comment ref="N6" authorId="0">
      <text>
        <r>
          <rPr>
            <b/>
            <sz val="8"/>
            <rFont val="Tahoma"/>
            <family val="2"/>
          </rPr>
          <t>Autors:</t>
        </r>
        <r>
          <rPr>
            <sz val="8"/>
            <rFont val="Tahoma"/>
            <family val="2"/>
          </rPr>
          <t xml:space="preserve">
ar sociālo nodokli un veselības apdrošināšanu un piemaksām t.sk. Štatam. Katru gadu rezervējam papildus finansējumu no iekšējām rezervēm ārštatam, ja iestājas ārkārtas situācija</t>
        </r>
      </text>
    </comment>
    <comment ref="G7" authorId="0">
      <text>
        <r>
          <rPr>
            <b/>
            <sz val="8"/>
            <rFont val="Tahoma"/>
            <family val="2"/>
          </rPr>
          <t>Autors:</t>
        </r>
        <r>
          <rPr>
            <sz val="8"/>
            <rFont val="Tahoma"/>
            <family val="2"/>
          </rPr>
          <t xml:space="preserve">
plusētas piemaksas no ugunsapsardzības naudas</t>
        </r>
      </text>
    </comment>
    <comment ref="B18" authorId="0">
      <text>
        <r>
          <rPr>
            <b/>
            <sz val="8"/>
            <rFont val="Tahoma"/>
            <family val="2"/>
          </rPr>
          <t>Autors:</t>
        </r>
        <r>
          <rPr>
            <sz val="8"/>
            <rFont val="Tahoma"/>
            <family val="2"/>
          </rPr>
          <t xml:space="preserve">
1130 uz 2016.gadu+300 mežziņi uz 2017.gadu </t>
        </r>
      </text>
    </comment>
    <comment ref="D18" authorId="0">
      <text>
        <r>
          <rPr>
            <b/>
            <sz val="8"/>
            <rFont val="Tahoma"/>
            <family val="2"/>
          </rPr>
          <t>Autors:</t>
        </r>
        <r>
          <rPr>
            <sz val="8"/>
            <rFont val="Tahoma"/>
            <family val="2"/>
          </rPr>
          <t xml:space="preserve">
230 uz 01.2013+300 2013.gadā</t>
        </r>
      </text>
    </comment>
    <comment ref="B19" authorId="0">
      <text>
        <r>
          <rPr>
            <b/>
            <sz val="8"/>
            <rFont val="Tahoma"/>
            <family val="2"/>
          </rPr>
          <t>Autors:</t>
        </r>
        <r>
          <rPr>
            <sz val="8"/>
            <rFont val="Tahoma"/>
            <family val="2"/>
          </rPr>
          <t xml:space="preserve">
Skaits:176 specializētie+140 vieglie apvidus.
Katru gadu 20 operatīvo tr.l.remonts </t>
        </r>
      </text>
    </comment>
    <comment ref="B20" authorId="0">
      <text>
        <r>
          <rPr>
            <b/>
            <sz val="8"/>
            <rFont val="Tahoma"/>
            <family val="2"/>
          </rPr>
          <t>Autors:</t>
        </r>
        <r>
          <rPr>
            <sz val="8"/>
            <rFont val="Tahoma"/>
            <family val="2"/>
          </rPr>
          <t xml:space="preserve">
382 uz 2016.gadu + 37 2017.  </t>
        </r>
      </text>
    </comment>
    <comment ref="D20" authorId="0">
      <text>
        <r>
          <rPr>
            <b/>
            <sz val="8"/>
            <rFont val="Tahoma"/>
            <family val="2"/>
          </rPr>
          <t>Autors:</t>
        </r>
        <r>
          <rPr>
            <sz val="8"/>
            <rFont val="Tahoma"/>
            <family val="2"/>
          </rPr>
          <t xml:space="preserve">
15 uz 01.13+ 51 Rengers un 23 Hilux 2013.gadā</t>
        </r>
      </text>
    </comment>
    <comment ref="B22" authorId="0">
      <text>
        <r>
          <rPr>
            <b/>
            <sz val="8"/>
            <rFont val="Tahoma"/>
            <family val="2"/>
          </rPr>
          <t>Autors:</t>
        </r>
        <r>
          <rPr>
            <sz val="8"/>
            <rFont val="Tahoma"/>
            <family val="2"/>
          </rPr>
          <t xml:space="preserve">
Saskaņā Meža un saistīto nozaru attīstības pamatnostādnēm</t>
        </r>
      </text>
    </comment>
    <comment ref="B27" authorId="0">
      <text>
        <r>
          <rPr>
            <b/>
            <sz val="8"/>
            <rFont val="Tahoma"/>
            <family val="2"/>
          </rPr>
          <t>Autors:</t>
        </r>
        <r>
          <rPr>
            <sz val="8"/>
            <rFont val="Tahoma"/>
            <family val="2"/>
          </rPr>
          <t xml:space="preserve">
Nopirktas 313 ; 2013. -  27; 2016. -plānotas 29, 2017 .-plānotas 29(tās būs 58 Ford Ranger vietā) no  2006.gada=398 </t>
        </r>
      </text>
    </comment>
    <comment ref="B29" authorId="0">
      <text>
        <r>
          <rPr>
            <b/>
            <sz val="8"/>
            <rFont val="Tahoma"/>
            <family val="2"/>
          </rPr>
          <t>Autors:</t>
        </r>
        <r>
          <rPr>
            <sz val="8"/>
            <rFont val="Tahoma"/>
            <family val="2"/>
          </rPr>
          <t xml:space="preserve">
300 motorzāģi, krūmgrieži, ūdenssūkņi, ugunsdzēsīsbas iekārtas u.c.+114 GPS iekārtas</t>
        </r>
      </text>
    </comment>
    <comment ref="H29" authorId="0">
      <text>
        <r>
          <rPr>
            <b/>
            <sz val="8"/>
            <rFont val="Tahoma"/>
            <family val="2"/>
          </rPr>
          <t>Autors:
apakšprogrammas 31.02.00 „Valsts parāda vadība” 2013.gadā .FM Rīkojums Nr.450 no 21.10.13</t>
        </r>
      </text>
    </comment>
    <comment ref="O17" authorId="0">
      <text>
        <r>
          <rPr>
            <b/>
            <sz val="8"/>
            <rFont val="Tahoma"/>
            <family val="2"/>
          </rPr>
          <t>Autors:</t>
        </r>
        <r>
          <rPr>
            <sz val="8"/>
            <rFont val="Tahoma"/>
            <family val="2"/>
          </rPr>
          <t xml:space="preserve">
2017.gadā nepieciešams ugunsdzēsības inventārs (pārnēsājamie smidzinātāji 103 vienības* 146.5 EUR plānotā vienas vienības cena = 15 090 EUR; ugunsdzēsības šļūtenes, stobri, šļūteņu savienojumi, pārejas utml. 300 vienības*41.26 EUR plānotā vienības cena = 12 378 EUR; sūcvadi - 3 vienības*331.53 EUR = 994.59 EUR) kopsummā  gadā 28463 EUR;</t>
        </r>
      </text>
    </comment>
    <comment ref="O20" authorId="0">
      <text>
        <r>
          <rPr>
            <b/>
            <sz val="8"/>
            <rFont val="Tahoma"/>
            <family val="2"/>
          </rPr>
          <t>Autors:</t>
        </r>
        <r>
          <rPr>
            <sz val="8"/>
            <rFont val="Tahoma"/>
            <family val="2"/>
          </rPr>
          <t xml:space="preserve">
Riepu nomaiņa: 2017.gadā –  37 riepu komplekti. - 37867 EUR</t>
        </r>
      </text>
    </comment>
    <comment ref="I25" authorId="0">
      <text>
        <r>
          <rPr>
            <b/>
            <sz val="8"/>
            <rFont val="Tahoma"/>
            <family val="2"/>
          </rPr>
          <t>Autors:</t>
        </r>
        <r>
          <rPr>
            <sz val="8"/>
            <rFont val="Tahoma"/>
            <family val="2"/>
          </rPr>
          <t xml:space="preserve">
2 Autocisternas</t>
        </r>
      </text>
    </comment>
    <comment ref="K25" authorId="0">
      <text>
        <r>
          <rPr>
            <b/>
            <sz val="8"/>
            <rFont val="Tahoma"/>
            <family val="2"/>
          </rPr>
          <t>Autors:</t>
        </r>
        <r>
          <rPr>
            <sz val="8"/>
            <rFont val="Tahoma"/>
            <family val="2"/>
          </rPr>
          <t xml:space="preserve">
5 autocisternas</t>
        </r>
      </text>
    </comment>
    <comment ref="M25" authorId="0">
      <text>
        <r>
          <rPr>
            <b/>
            <sz val="8"/>
            <rFont val="Tahoma"/>
            <family val="2"/>
          </rPr>
          <t>Autors:</t>
        </r>
        <r>
          <rPr>
            <sz val="8"/>
            <rFont val="Tahoma"/>
            <family val="2"/>
          </rPr>
          <t xml:space="preserve">
5 Autocisternas</t>
        </r>
      </text>
    </comment>
    <comment ref="O25" authorId="0">
      <text>
        <r>
          <rPr>
            <b/>
            <sz val="8"/>
            <rFont val="Tahoma"/>
            <family val="2"/>
          </rPr>
          <t>Autors:</t>
        </r>
        <r>
          <rPr>
            <sz val="8"/>
            <rFont val="Tahoma"/>
            <family val="2"/>
          </rPr>
          <t xml:space="preserve">
6 autocisternas</t>
        </r>
      </text>
    </comment>
    <comment ref="O27" authorId="0">
      <text>
        <r>
          <rPr>
            <b/>
            <sz val="8"/>
            <rFont val="Tahoma"/>
            <family val="2"/>
          </rPr>
          <t>Autors:</t>
        </r>
        <r>
          <rPr>
            <sz val="8"/>
            <rFont val="Tahoma"/>
            <family val="2"/>
          </rPr>
          <t xml:space="preserve">
29 vieglās specializētās</t>
        </r>
      </text>
    </comment>
  </commentList>
</comments>
</file>

<file path=xl/sharedStrings.xml><?xml version="1.0" encoding="utf-8"?>
<sst xmlns="http://schemas.openxmlformats.org/spreadsheetml/2006/main" count="95" uniqueCount="72">
  <si>
    <t> Norādīt ailē informāciju līdzīgi esošajai IZ .3 tabulai detalizētāki izvēršot pozīciju par atlīdzību atbilstoši norādot sezonas darbinieki, VMD patstāvīgos darbiniekus</t>
  </si>
  <si>
    <t xml:space="preserve">2013.g. plāns (aktuālais kopā paredzētais finansējums) </t>
  </si>
  <si>
    <t>Turpmākiem gadiem (norāda ~ uzturēšanas izdevumiem un regulārajām iegādēm)</t>
  </si>
  <si>
    <t>vienību skaits</t>
  </si>
  <si>
    <t>Bāzē paredzētais</t>
  </si>
  <si>
    <t>papildus nepieciešamais</t>
  </si>
  <si>
    <t> papildus nepieciešamais</t>
  </si>
  <si>
    <t>1.1. sezonas darbinieki</t>
  </si>
  <si>
    <t>1.2. mežziņi</t>
  </si>
  <si>
    <t>2. Preces un pakalpojumi</t>
  </si>
  <si>
    <t>3. Pamatkapitāla veidošana</t>
  </si>
  <si>
    <t>Autocisternas</t>
  </si>
  <si>
    <r>
      <t xml:space="preserve">Faktiskais finansējums/izdevumi (norāda faktiskos izdevumus, atlīdzība, veiktās iegādes, uzturēšans, preces un pakalp.) vēlams ar vienību atspoguļojumu, </t>
    </r>
    <r>
      <rPr>
        <u val="single"/>
        <sz val="8"/>
        <color indexed="10"/>
        <rFont val="Times New Roman"/>
        <family val="1"/>
      </rPr>
      <t>nenorādot finansējuma avotu</t>
    </r>
  </si>
  <si>
    <t>1.4. virsmežniecības inženieri</t>
  </si>
  <si>
    <t>1.3. vecākie mežziņi</t>
  </si>
  <si>
    <t>1.6. vecākie inspektori</t>
  </si>
  <si>
    <t>1.7. virsmežziņu vietnieki</t>
  </si>
  <si>
    <t>1.8. virsmežziņi</t>
  </si>
  <si>
    <t>torņu un MUS uzturēšana</t>
  </si>
  <si>
    <t xml:space="preserve">Optimāli nepieciešamais funkcijas nodrošināšanai </t>
  </si>
  <si>
    <t>1.9. Meža un vides aizsardzības daļa (centrālā administrācija)</t>
  </si>
  <si>
    <t>Valsts meža dienesta operatīvie dati par finansējumu ugunsapsadzībai</t>
  </si>
  <si>
    <t xml:space="preserve">Faktiskais plānotais izlietojums </t>
  </si>
  <si>
    <t>1. Atlīdzība t.sk. Sociālās iemaksas un veselības apdrošināšana:</t>
  </si>
  <si>
    <t xml:space="preserve">finansējums (aptuvenais) </t>
  </si>
  <si>
    <t>degviela (l)</t>
  </si>
  <si>
    <t>operatīvo transportlīdzekļu uzturēšana</t>
  </si>
  <si>
    <t>GPS iekārtas</t>
  </si>
  <si>
    <t xml:space="preserve">spectērpi </t>
  </si>
  <si>
    <t>Pamatlīdzekļi (motorzāģi, krūmgrieži, ūdenssūkņi, ugunsdzēšibas iekārtas u.c.)</t>
  </si>
  <si>
    <t>Kapitālai remonts un rekonstrukcija</t>
  </si>
  <si>
    <t>Specializētais vieglais</t>
  </si>
  <si>
    <t>Darba aizsardzības pasākumi un apmācības</t>
  </si>
  <si>
    <t>riepas (komplekti)</t>
  </si>
  <si>
    <t>2010*</t>
  </si>
  <si>
    <t>2011*</t>
  </si>
  <si>
    <t>1.5. MUS** vadītāji</t>
  </si>
  <si>
    <t>**MUS - meža ugunsdzēsības stacijas</t>
  </si>
  <si>
    <t>*Atlīdzības 2010. un 2011. gads nav salīdzināms ar 2012. gadu, jo ir cits cilvēku skaits, cita noslodze un cita darba organizācija. Aprēķinu veikšanai ir nepieciešams ilgāks laika resurss.</t>
  </si>
  <si>
    <t xml:space="preserve">inventārs </t>
  </si>
  <si>
    <t>Kontrole</t>
  </si>
  <si>
    <t xml:space="preserve">2014.g. plāns (aktuālais kopā paredzētais finansējums) </t>
  </si>
  <si>
    <t xml:space="preserve">Optimāli nepieciešamais apjoms funkcijas nodrošināšanai </t>
  </si>
  <si>
    <t>Faktiskais finansējums/izdevumi</t>
  </si>
  <si>
    <t>darbinieki/vienību skaits</t>
  </si>
  <si>
    <t>Vienību skaits</t>
  </si>
  <si>
    <t>1. Atlīdzība t.sk. sociālās iemaksas un veselības apdrošināšana gadam:</t>
  </si>
  <si>
    <t>2. Preces un pakalpojumi kopā (bez  degvielas l) periodam</t>
  </si>
  <si>
    <t>spectērpi (atjaunojami ik gadu)</t>
  </si>
  <si>
    <t>degviela (l) gadā ugunsapsardzībai</t>
  </si>
  <si>
    <t>specializēto transportlīdzekļu uzturēšana (ik gadu)</t>
  </si>
  <si>
    <t>torņu un MUS uzturēšana (ik gadu)</t>
  </si>
  <si>
    <t>3. Pamatkapitāla veidošana kopā periodam</t>
  </si>
  <si>
    <t>Specializētie vieglie transportlīdzekļi</t>
  </si>
  <si>
    <t>Pamatlīdzekļi (motorzāģi, krūmgrieži, ūdenssūkņi, ugunsdzēsīsbas iekārtas u.c.)</t>
  </si>
  <si>
    <t>Ēku ugunsapsardzības nodrošināšanai kapitālais remonts un rekonstrukcija (t.sk. MUS - 24, garāžas 51)</t>
  </si>
  <si>
    <t>Ugunsnovērošanas torņu kapitālais remonts un rekonstrukcija***</t>
  </si>
  <si>
    <t>EUR</t>
  </si>
  <si>
    <t>*Atlīdzības 2010. un 2011. gads nav salīdzināms ar 2012. gadu, jo ir cits cilvēku skaits, cita noslodze un cita darba organizācija. ilgāks laika resurss.</t>
  </si>
  <si>
    <t xml:space="preserve">*** Finansējums par torņu rekonstrukciju I un II kārtā. 2013. gadā III projekta kārta apturēta nepietiekama finansējuma dēļ, ko radījis straujšs būvniecības cenu kāpums </t>
  </si>
  <si>
    <t>Globālās navigācijas satelītu uztvērēji (GNS)</t>
  </si>
  <si>
    <t>Globālās navigācijas satelītu uztvērēji (GNS)****</t>
  </si>
  <si>
    <t>****Finansējums no ELFLA līdzekļiem</t>
  </si>
  <si>
    <t>Darba aizsardzības pasākumi un apmācības(reizi 2 gados)</t>
  </si>
  <si>
    <t>Autocisternas, skaiti</t>
  </si>
  <si>
    <t>Specializētie vieglie transportlīdzekļi, skaiti</t>
  </si>
  <si>
    <t>inventārs (atjaunojams ik gadu)*****</t>
  </si>
  <si>
    <t>riepas (komplekti)******</t>
  </si>
  <si>
    <t xml:space="preserve"> ***** Sakarā ar to, ka iepriekšējos gados pieejamā finansējuma apjoms ugunsdzēsības inventāra atjaunošanai/iegādei ir bijis ļoti atšķirīgs pa gadiem, minētās iegādes iepriekš tikušas veiktas dažādā apjomā. Tā rezultātā 2015.un 2016. gadā nepieciešams atjaunot/iegādāties tikai pārnēsājamos smidzinātājus, jo lietošanai derīgā pārējā inventāra apjoms ir  pietiekams,  savukārt  2017.gadā plānots turpināt iegādāties pārnēsājamos smidzinātājus un uzsākt šļūteņu, storbru, savienojumu, pāreju un sūcvadu nomaiņu. Patlaban izdevumi pa gadiem tiek plānoti vadoties no reālās nepieciešamības, taču nākotnē tos plānots izlīdzināt pa gadiem. 2017. gadā plānoto iegāžu atšifrējums: Ugunsdzēsības inventārs (pārnēsājamie smidzinātāji 103 vienības* 146.5 EUR plānotā vienas vienības cena = 15 090 EUR; šļūtenes, stobri, šļūteņu savienojumi, pārejas utml. 300 vienības*41.26 EUR plānotā vienības cena = 12 378 EUR; sūcvadi - 3 vienības*331.53 EUR = 994.59 EUR) kopsummā  gadā 28463 EUR;</t>
  </si>
  <si>
    <t>Sakarā ar to, ka iepriekšējos gados pieejamā finansējuma apjoms riepu iegādei ir bijis ļoti atšķirīgs pa gadiem, turklāt jaunu automobiļu piegādē tikuši piegādāti gan automobiļi ar vienu riepu komplektu, gan automobiļi ar diviem riepu komplektiem, minētās iegādes iepriekš tikušas veiktas dažādā apjomā. Tā rezultātā 2015.un 2016. gadā riepu iegādes nav nepieciešamas, savukārt  2017.gadā plānots iegādāties nepieciešamo riepu komplektu skaitu, lai nomainītu tobrīd nolietotās riepas. Patlaban izdevumi pa gadiem tiek plānoti vadoties no reālās nepieciešamības, taču nākotnē tos plānots izlīdzināt pa gadiem.</t>
  </si>
  <si>
    <t>4.tabula</t>
  </si>
  <si>
    <t>Valsts meža dienesta operatīvie dati par finansējumu ugunsapsardzībai</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</si>
</sst>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0.0"/>
  </numFmts>
  <fonts count="64">
    <font>
      <sz val="11"/>
      <color theme="1"/>
      <name val="Calibri"/>
      <family val="2"/>
    </font>
    <font>
      <sz val="11"/>
      <color indexed="8"/>
      <name val="Calibri"/>
      <family val="2"/>
    </font>
    <font>
      <u val="single"/>
      <sz val="8"/>
      <color indexed="10"/>
      <name val="Times New Roman"/>
      <family val="1"/>
    </font>
    <font>
      <sz val="8"/>
      <name val="Times New Roman"/>
      <family val="1"/>
    </font>
    <font>
      <sz val="8"/>
      <name val="Tahoma"/>
      <family val="2"/>
    </font>
    <font>
      <b/>
      <sz val="8"/>
      <name val="Tahoma"/>
      <family val="2"/>
    </font>
    <font>
      <sz val="11"/>
      <name val="Times New Roman"/>
      <family val="1"/>
    </font>
    <font>
      <b/>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8"/>
      <color indexed="8"/>
      <name val="Times New Roman"/>
      <family val="1"/>
    </font>
    <font>
      <sz val="8"/>
      <color indexed="10"/>
      <name val="Times New Roman"/>
      <family val="1"/>
    </font>
    <font>
      <b/>
      <sz val="11"/>
      <color indexed="10"/>
      <name val="Times New Roman"/>
      <family val="1"/>
    </font>
    <font>
      <b/>
      <sz val="8"/>
      <color indexed="10"/>
      <name val="Times New Roman"/>
      <family val="1"/>
    </font>
    <font>
      <sz val="10"/>
      <color indexed="8"/>
      <name val="Times New Roman"/>
      <family val="1"/>
    </font>
    <font>
      <b/>
      <sz val="10"/>
      <color indexed="10"/>
      <name val="Times New Roman"/>
      <family val="1"/>
    </font>
    <font>
      <sz val="11"/>
      <color indexed="9"/>
      <name val="Times New Roman"/>
      <family val="1"/>
    </font>
    <font>
      <b/>
      <sz val="8"/>
      <color indexed="8"/>
      <name val="Times New Roman"/>
      <family val="1"/>
    </font>
    <font>
      <sz val="10"/>
      <color indexed="9"/>
      <name val="Times New Roman"/>
      <family val="1"/>
    </font>
    <font>
      <b/>
      <sz val="10"/>
      <color indexed="9"/>
      <name val="Times New Roman"/>
      <family val="1"/>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b/>
      <sz val="11"/>
      <color theme="0"/>
      <name val="Calibri"/>
      <family val="2"/>
    </font>
    <font>
      <i/>
      <sz val="11"/>
      <color rgb="FF7F7F7F"/>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theme="1"/>
      <name val="Times New Roman"/>
      <family val="1"/>
    </font>
    <font>
      <sz val="8"/>
      <color rgb="FF000000"/>
      <name val="Times New Roman"/>
      <family val="1"/>
    </font>
    <font>
      <sz val="8"/>
      <color rgb="FFFF0000"/>
      <name val="Times New Roman"/>
      <family val="1"/>
    </font>
    <font>
      <b/>
      <sz val="11"/>
      <color rgb="FFFF0000"/>
      <name val="Times New Roman"/>
      <family val="1"/>
    </font>
    <font>
      <b/>
      <sz val="8"/>
      <color rgb="FFFF0000"/>
      <name val="Times New Roman"/>
      <family val="1"/>
    </font>
    <font>
      <sz val="10"/>
      <color theme="1"/>
      <name val="Times New Roman"/>
      <family val="1"/>
    </font>
    <font>
      <b/>
      <sz val="10"/>
      <color rgb="FFFF0000"/>
      <name val="Times New Roman"/>
      <family val="1"/>
    </font>
    <font>
      <sz val="11"/>
      <color theme="0"/>
      <name val="Times New Roman"/>
      <family val="1"/>
    </font>
    <font>
      <sz val="8"/>
      <color theme="1"/>
      <name val="Times New Roman"/>
      <family val="1"/>
    </font>
    <font>
      <b/>
      <sz val="8"/>
      <color rgb="FF000000"/>
      <name val="Times New Roman"/>
      <family val="1"/>
    </font>
    <font>
      <sz val="10"/>
      <color theme="0"/>
      <name val="Times New Roman"/>
      <family val="1"/>
    </font>
    <font>
      <b/>
      <sz val="10"/>
      <color theme="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hair"/>
      <bottom style="hair"/>
    </border>
    <border>
      <left style="thin"/>
      <right style="thin"/>
      <top style="hair"/>
      <bottom style="thin"/>
    </border>
    <border>
      <left style="thin"/>
      <right style="thin"/>
      <top/>
      <bottom style="hair"/>
    </border>
    <border>
      <left style="thin"/>
      <right style="thin"/>
      <top style="thin"/>
      <bottom style="thin"/>
    </border>
    <border>
      <left style="thin"/>
      <right style="thin"/>
      <top/>
      <bottom/>
    </border>
    <border>
      <left/>
      <right/>
      <top/>
      <bottom style="thin"/>
    </border>
    <border>
      <left/>
      <right style="thin"/>
      <top style="thin"/>
      <bottom style="thin"/>
    </border>
    <border>
      <left style="thin"/>
      <right/>
      <top style="thin"/>
      <bottom style="thin"/>
    </border>
    <border>
      <left/>
      <right/>
      <top style="thin"/>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top style="medium"/>
      <bottom style="thin"/>
    </border>
    <border>
      <left style="thin"/>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0" applyNumberFormat="0" applyFill="0" applyBorder="0" applyAlignment="0" applyProtection="0"/>
    <xf numFmtId="0" fontId="38" fillId="21" borderId="1"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0" borderId="4" applyNumberFormat="0" applyAlignment="0" applyProtection="0"/>
    <xf numFmtId="0" fontId="45"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0" fontId="46" fillId="0" borderId="6" applyNumberFormat="0" applyFill="0" applyAlignment="0" applyProtection="0"/>
    <xf numFmtId="0" fontId="4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cellStyleXfs>
  <cellXfs count="119">
    <xf numFmtId="0" fontId="0" fillId="0" borderId="0" xfId="0" applyFont="1" applyAlignment="1">
      <alignment/>
    </xf>
    <xf numFmtId="0" fontId="51" fillId="0" borderId="0" xfId="0" applyFont="1" applyAlignment="1">
      <alignment/>
    </xf>
    <xf numFmtId="0" fontId="52" fillId="0" borderId="10" xfId="0" applyFont="1" applyBorder="1" applyAlignment="1">
      <alignment/>
    </xf>
    <xf numFmtId="0" fontId="52" fillId="0" borderId="10" xfId="0" applyFont="1" applyBorder="1" applyAlignment="1">
      <alignment wrapText="1"/>
    </xf>
    <xf numFmtId="0" fontId="52" fillId="0" borderId="11" xfId="0" applyFont="1" applyBorder="1" applyAlignment="1">
      <alignment wrapText="1"/>
    </xf>
    <xf numFmtId="3" fontId="52" fillId="0" borderId="10" xfId="0" applyNumberFormat="1" applyFont="1" applyBorder="1" applyAlignment="1">
      <alignment wrapText="1"/>
    </xf>
    <xf numFmtId="3" fontId="52" fillId="0" borderId="11" xfId="0" applyNumberFormat="1" applyFont="1" applyBorder="1" applyAlignment="1">
      <alignment wrapText="1"/>
    </xf>
    <xf numFmtId="0" fontId="52" fillId="0" borderId="12" xfId="0" applyFont="1" applyBorder="1" applyAlignment="1">
      <alignment/>
    </xf>
    <xf numFmtId="0" fontId="52" fillId="0" borderId="12" xfId="0" applyFont="1" applyBorder="1" applyAlignment="1">
      <alignment wrapText="1"/>
    </xf>
    <xf numFmtId="3" fontId="52" fillId="0" borderId="12" xfId="0" applyNumberFormat="1" applyFont="1" applyBorder="1" applyAlignment="1">
      <alignment wrapText="1"/>
    </xf>
    <xf numFmtId="0" fontId="53" fillId="0" borderId="13" xfId="0" applyFont="1" applyBorder="1" applyAlignment="1">
      <alignment wrapText="1"/>
    </xf>
    <xf numFmtId="0" fontId="52" fillId="0" borderId="13" xfId="0" applyFont="1" applyBorder="1" applyAlignment="1">
      <alignment/>
    </xf>
    <xf numFmtId="0" fontId="54" fillId="0" borderId="0" xfId="0" applyFont="1" applyAlignment="1">
      <alignment/>
    </xf>
    <xf numFmtId="3" fontId="51" fillId="0" borderId="0" xfId="0" applyNumberFormat="1" applyFont="1" applyAlignment="1">
      <alignment/>
    </xf>
    <xf numFmtId="3" fontId="3" fillId="0" borderId="11" xfId="0" applyNumberFormat="1" applyFont="1" applyBorder="1" applyAlignment="1">
      <alignment wrapText="1"/>
    </xf>
    <xf numFmtId="1" fontId="51" fillId="0" borderId="0" xfId="0" applyNumberFormat="1" applyFont="1" applyAlignment="1">
      <alignment/>
    </xf>
    <xf numFmtId="0" fontId="51" fillId="0" borderId="10" xfId="0" applyFont="1" applyBorder="1" applyAlignment="1">
      <alignment/>
    </xf>
    <xf numFmtId="3" fontId="52" fillId="4" borderId="12" xfId="0" applyNumberFormat="1" applyFont="1" applyFill="1" applyBorder="1" applyAlignment="1">
      <alignment/>
    </xf>
    <xf numFmtId="3" fontId="52" fillId="4" borderId="11" xfId="0" applyNumberFormat="1" applyFont="1" applyFill="1" applyBorder="1" applyAlignment="1">
      <alignment/>
    </xf>
    <xf numFmtId="3" fontId="52" fillId="4" borderId="12" xfId="0" applyNumberFormat="1" applyFont="1" applyFill="1" applyBorder="1" applyAlignment="1">
      <alignment wrapText="1"/>
    </xf>
    <xf numFmtId="3" fontId="52" fillId="4" borderId="11" xfId="0" applyNumberFormat="1" applyFont="1" applyFill="1" applyBorder="1" applyAlignment="1">
      <alignment wrapText="1"/>
    </xf>
    <xf numFmtId="3" fontId="55" fillId="4" borderId="12" xfId="0" applyNumberFormat="1" applyFont="1" applyFill="1" applyBorder="1" applyAlignment="1">
      <alignment wrapText="1"/>
    </xf>
    <xf numFmtId="0" fontId="52" fillId="0" borderId="13" xfId="0" applyFont="1" applyBorder="1" applyAlignment="1">
      <alignment horizontal="center" wrapText="1"/>
    </xf>
    <xf numFmtId="0" fontId="52" fillId="0" borderId="13" xfId="0" applyFont="1" applyBorder="1" applyAlignment="1">
      <alignment wrapText="1"/>
    </xf>
    <xf numFmtId="3" fontId="55" fillId="0" borderId="13" xfId="0" applyNumberFormat="1" applyFont="1" applyBorder="1" applyAlignment="1">
      <alignment wrapText="1"/>
    </xf>
    <xf numFmtId="3" fontId="52" fillId="0" borderId="13" xfId="0" applyNumberFormat="1" applyFont="1" applyBorder="1" applyAlignment="1">
      <alignment wrapText="1"/>
    </xf>
    <xf numFmtId="3" fontId="55" fillId="4" borderId="13" xfId="0" applyNumberFormat="1" applyFont="1" applyFill="1" applyBorder="1" applyAlignment="1">
      <alignment wrapText="1"/>
    </xf>
    <xf numFmtId="3" fontId="55" fillId="4" borderId="13" xfId="0" applyNumberFormat="1" applyFont="1" applyFill="1" applyBorder="1" applyAlignment="1">
      <alignment/>
    </xf>
    <xf numFmtId="3" fontId="52" fillId="0" borderId="14" xfId="0" applyNumberFormat="1" applyFont="1" applyBorder="1" applyAlignment="1">
      <alignment wrapText="1"/>
    </xf>
    <xf numFmtId="3" fontId="3" fillId="0" borderId="13" xfId="0" applyNumberFormat="1" applyFont="1" applyBorder="1" applyAlignment="1">
      <alignment wrapText="1"/>
    </xf>
    <xf numFmtId="3" fontId="52" fillId="4" borderId="14" xfId="0" applyNumberFormat="1" applyFont="1" applyFill="1" applyBorder="1" applyAlignment="1">
      <alignment wrapText="1"/>
    </xf>
    <xf numFmtId="3" fontId="52" fillId="4" borderId="10" xfId="0" applyNumberFormat="1" applyFont="1" applyFill="1" applyBorder="1" applyAlignment="1">
      <alignment wrapText="1"/>
    </xf>
    <xf numFmtId="3" fontId="53" fillId="4" borderId="10" xfId="0" applyNumberFormat="1" applyFont="1" applyFill="1" applyBorder="1" applyAlignment="1">
      <alignment wrapText="1"/>
    </xf>
    <xf numFmtId="3" fontId="53" fillId="4" borderId="11" xfId="0" applyNumberFormat="1" applyFont="1" applyFill="1" applyBorder="1" applyAlignment="1">
      <alignment wrapText="1"/>
    </xf>
    <xf numFmtId="3" fontId="55" fillId="4" borderId="10" xfId="0" applyNumberFormat="1" applyFont="1" applyFill="1" applyBorder="1" applyAlignment="1">
      <alignment wrapText="1"/>
    </xf>
    <xf numFmtId="3" fontId="56" fillId="0" borderId="0" xfId="0" applyNumberFormat="1" applyFont="1" applyAlignment="1">
      <alignment/>
    </xf>
    <xf numFmtId="3" fontId="3" fillId="0" borderId="12" xfId="0" applyNumberFormat="1" applyFont="1" applyBorder="1" applyAlignment="1">
      <alignment wrapText="1"/>
    </xf>
    <xf numFmtId="3" fontId="3" fillId="0" borderId="10" xfId="0" applyNumberFormat="1" applyFont="1" applyBorder="1" applyAlignment="1">
      <alignment wrapText="1"/>
    </xf>
    <xf numFmtId="3" fontId="57" fillId="0" borderId="0" xfId="0" applyNumberFormat="1" applyFont="1" applyAlignment="1">
      <alignment/>
    </xf>
    <xf numFmtId="3" fontId="52" fillId="33" borderId="10" xfId="0" applyNumberFormat="1" applyFont="1" applyFill="1" applyBorder="1" applyAlignment="1">
      <alignment wrapText="1"/>
    </xf>
    <xf numFmtId="3" fontId="3" fillId="33" borderId="11" xfId="0" applyNumberFormat="1" applyFont="1" applyFill="1" applyBorder="1" applyAlignment="1">
      <alignment wrapText="1"/>
    </xf>
    <xf numFmtId="0" fontId="51" fillId="0" borderId="0" xfId="48" applyFont="1">
      <alignment/>
      <protection/>
    </xf>
    <xf numFmtId="3" fontId="58" fillId="33" borderId="0" xfId="48" applyNumberFormat="1" applyFont="1" applyFill="1">
      <alignment/>
      <protection/>
    </xf>
    <xf numFmtId="0" fontId="51" fillId="0" borderId="0" xfId="48" applyFont="1" applyAlignment="1">
      <alignment horizontal="right"/>
      <protection/>
    </xf>
    <xf numFmtId="3" fontId="51" fillId="0" borderId="0" xfId="48" applyNumberFormat="1" applyFont="1">
      <alignment/>
      <protection/>
    </xf>
    <xf numFmtId="0" fontId="53" fillId="0" borderId="13" xfId="48" applyFont="1" applyBorder="1" applyAlignment="1">
      <alignment wrapText="1"/>
      <protection/>
    </xf>
    <xf numFmtId="0" fontId="52" fillId="0" borderId="13" xfId="48" applyFont="1" applyBorder="1">
      <alignment/>
      <protection/>
    </xf>
    <xf numFmtId="3" fontId="52" fillId="0" borderId="13" xfId="48" applyNumberFormat="1" applyFont="1" applyBorder="1" applyAlignment="1">
      <alignment wrapText="1"/>
      <protection/>
    </xf>
    <xf numFmtId="0" fontId="3" fillId="0" borderId="13" xfId="48" applyFont="1" applyBorder="1" applyAlignment="1">
      <alignment wrapText="1"/>
      <protection/>
    </xf>
    <xf numFmtId="3" fontId="3" fillId="0" borderId="13" xfId="48" applyNumberFormat="1" applyFont="1" applyBorder="1" applyAlignment="1">
      <alignment wrapText="1"/>
      <protection/>
    </xf>
    <xf numFmtId="0" fontId="6" fillId="0" borderId="13" xfId="48" applyFont="1" applyBorder="1">
      <alignment/>
      <protection/>
    </xf>
    <xf numFmtId="3" fontId="7" fillId="0" borderId="13" xfId="48" applyNumberFormat="1" applyFont="1" applyBorder="1" applyAlignment="1">
      <alignment wrapText="1"/>
      <protection/>
    </xf>
    <xf numFmtId="1" fontId="7" fillId="0" borderId="13" xfId="48" applyNumberFormat="1" applyFont="1" applyBorder="1" applyAlignment="1">
      <alignment wrapText="1"/>
      <protection/>
    </xf>
    <xf numFmtId="3" fontId="7" fillId="4" borderId="13" xfId="48" applyNumberFormat="1" applyFont="1" applyFill="1" applyBorder="1" applyAlignment="1">
      <alignment wrapText="1"/>
      <protection/>
    </xf>
    <xf numFmtId="3" fontId="3" fillId="33" borderId="13" xfId="48" applyNumberFormat="1" applyFont="1" applyFill="1" applyBorder="1" applyAlignment="1">
      <alignment wrapText="1"/>
      <protection/>
    </xf>
    <xf numFmtId="3" fontId="51" fillId="0" borderId="15" xfId="48" applyNumberFormat="1" applyFont="1" applyBorder="1">
      <alignment/>
      <protection/>
    </xf>
    <xf numFmtId="3" fontId="51" fillId="0" borderId="0" xfId="48" applyNumberFormat="1" applyFont="1" applyBorder="1">
      <alignment/>
      <protection/>
    </xf>
    <xf numFmtId="3" fontId="7" fillId="0" borderId="13" xfId="0" applyNumberFormat="1" applyFont="1" applyBorder="1" applyAlignment="1">
      <alignment wrapText="1"/>
    </xf>
    <xf numFmtId="3" fontId="7" fillId="4" borderId="13" xfId="0" applyNumberFormat="1" applyFont="1" applyFill="1" applyBorder="1" applyAlignment="1">
      <alignment/>
    </xf>
    <xf numFmtId="0" fontId="59" fillId="0" borderId="0" xfId="48" applyFont="1">
      <alignment/>
      <protection/>
    </xf>
    <xf numFmtId="0" fontId="54" fillId="0" borderId="0" xfId="48" applyFont="1">
      <alignment/>
      <protection/>
    </xf>
    <xf numFmtId="1" fontId="51" fillId="0" borderId="0" xfId="48" applyNumberFormat="1" applyFont="1">
      <alignment/>
      <protection/>
    </xf>
    <xf numFmtId="1" fontId="3" fillId="33" borderId="13" xfId="48" applyNumberFormat="1" applyFont="1" applyFill="1" applyBorder="1" applyAlignment="1">
      <alignment wrapText="1"/>
      <protection/>
    </xf>
    <xf numFmtId="3" fontId="3" fillId="4" borderId="13" xfId="48" applyNumberFormat="1" applyFont="1" applyFill="1" applyBorder="1" applyAlignment="1">
      <alignment wrapText="1"/>
      <protection/>
    </xf>
    <xf numFmtId="0" fontId="59" fillId="0" borderId="0" xfId="48" applyFont="1" applyFill="1" applyBorder="1">
      <alignment/>
      <protection/>
    </xf>
    <xf numFmtId="3" fontId="60" fillId="0" borderId="13" xfId="0" applyNumberFormat="1" applyFont="1" applyBorder="1" applyAlignment="1">
      <alignment wrapText="1"/>
    </xf>
    <xf numFmtId="0" fontId="3" fillId="0" borderId="13" xfId="48" applyFont="1" applyBorder="1">
      <alignment/>
      <protection/>
    </xf>
    <xf numFmtId="3" fontId="52" fillId="4" borderId="13" xfId="0" applyNumberFormat="1" applyFont="1" applyFill="1" applyBorder="1" applyAlignment="1">
      <alignment/>
    </xf>
    <xf numFmtId="0" fontId="51" fillId="0" borderId="13" xfId="0" applyFont="1" applyBorder="1" applyAlignment="1">
      <alignment/>
    </xf>
    <xf numFmtId="3" fontId="52" fillId="33" borderId="13" xfId="0" applyNumberFormat="1" applyFont="1" applyFill="1" applyBorder="1" applyAlignment="1">
      <alignment wrapText="1"/>
    </xf>
    <xf numFmtId="172" fontId="52" fillId="4" borderId="13" xfId="0" applyNumberFormat="1" applyFont="1" applyFill="1" applyBorder="1" applyAlignment="1">
      <alignment/>
    </xf>
    <xf numFmtId="3" fontId="52" fillId="34" borderId="13" xfId="0" applyNumberFormat="1" applyFont="1" applyFill="1" applyBorder="1" applyAlignment="1">
      <alignment/>
    </xf>
    <xf numFmtId="3" fontId="3" fillId="33" borderId="13" xfId="0" applyNumberFormat="1" applyFont="1" applyFill="1" applyBorder="1" applyAlignment="1">
      <alignment wrapText="1"/>
    </xf>
    <xf numFmtId="0" fontId="3" fillId="33" borderId="13" xfId="48" applyFont="1" applyFill="1" applyBorder="1" applyAlignment="1">
      <alignment wrapText="1"/>
      <protection/>
    </xf>
    <xf numFmtId="0" fontId="7" fillId="33" borderId="13" xfId="48" applyFont="1" applyFill="1" applyBorder="1" applyAlignment="1">
      <alignment wrapText="1"/>
      <protection/>
    </xf>
    <xf numFmtId="0" fontId="6" fillId="33" borderId="13" xfId="48" applyFont="1" applyFill="1" applyBorder="1">
      <alignment/>
      <protection/>
    </xf>
    <xf numFmtId="3" fontId="61" fillId="33" borderId="13" xfId="48" applyNumberFormat="1" applyFont="1" applyFill="1" applyBorder="1">
      <alignment/>
      <protection/>
    </xf>
    <xf numFmtId="3" fontId="62" fillId="33" borderId="13" xfId="48" applyNumberFormat="1" applyFont="1" applyFill="1" applyBorder="1">
      <alignment/>
      <protection/>
    </xf>
    <xf numFmtId="0" fontId="52" fillId="0" borderId="13" xfId="48" applyFont="1" applyBorder="1" applyAlignment="1">
      <alignment horizontal="center" wrapText="1"/>
      <protection/>
    </xf>
    <xf numFmtId="0" fontId="52" fillId="0" borderId="16" xfId="48" applyFont="1" applyBorder="1" applyAlignment="1">
      <alignment horizontal="center" wrapText="1"/>
      <protection/>
    </xf>
    <xf numFmtId="3" fontId="7" fillId="4" borderId="13" xfId="48" applyNumberFormat="1" applyFont="1" applyFill="1" applyBorder="1" applyAlignment="1">
      <alignment horizontal="center" wrapText="1"/>
      <protection/>
    </xf>
    <xf numFmtId="0" fontId="52" fillId="0" borderId="13" xfId="48" applyFont="1" applyBorder="1" applyAlignment="1">
      <alignment horizontal="center" wrapText="1"/>
      <protection/>
    </xf>
    <xf numFmtId="0" fontId="52" fillId="0" borderId="17" xfId="48" applyFont="1" applyBorder="1" applyAlignment="1">
      <alignment horizontal="center" wrapText="1"/>
      <protection/>
    </xf>
    <xf numFmtId="0" fontId="52" fillId="0" borderId="18" xfId="48" applyFont="1" applyBorder="1" applyAlignment="1">
      <alignment horizontal="center" wrapText="1"/>
      <protection/>
    </xf>
    <xf numFmtId="3" fontId="60" fillId="0" borderId="17" xfId="0" applyNumberFormat="1" applyFont="1" applyBorder="1" applyAlignment="1">
      <alignment wrapText="1"/>
    </xf>
    <xf numFmtId="3" fontId="52" fillId="0" borderId="17" xfId="0" applyNumberFormat="1" applyFont="1" applyBorder="1" applyAlignment="1">
      <alignment wrapText="1"/>
    </xf>
    <xf numFmtId="3" fontId="3" fillId="0" borderId="17" xfId="0" applyNumberFormat="1" applyFont="1" applyBorder="1" applyAlignment="1">
      <alignment wrapText="1"/>
    </xf>
    <xf numFmtId="3" fontId="7" fillId="0" borderId="17" xfId="48" applyNumberFormat="1" applyFont="1" applyBorder="1" applyAlignment="1">
      <alignment wrapText="1"/>
      <protection/>
    </xf>
    <xf numFmtId="3" fontId="3" fillId="33" borderId="17" xfId="48" applyNumberFormat="1" applyFont="1" applyFill="1" applyBorder="1" applyAlignment="1">
      <alignment wrapText="1"/>
      <protection/>
    </xf>
    <xf numFmtId="3" fontId="61" fillId="33" borderId="19" xfId="48" applyNumberFormat="1" applyFont="1" applyFill="1" applyBorder="1">
      <alignment/>
      <protection/>
    </xf>
    <xf numFmtId="0" fontId="52" fillId="0" borderId="20" xfId="48" applyFont="1" applyBorder="1" applyAlignment="1">
      <alignment horizontal="center" wrapText="1"/>
      <protection/>
    </xf>
    <xf numFmtId="0" fontId="52" fillId="0" borderId="21" xfId="48" applyFont="1" applyBorder="1" applyAlignment="1">
      <alignment horizontal="center" wrapText="1"/>
      <protection/>
    </xf>
    <xf numFmtId="3" fontId="52" fillId="0" borderId="20" xfId="0" applyNumberFormat="1" applyFont="1" applyBorder="1" applyAlignment="1">
      <alignment wrapText="1"/>
    </xf>
    <xf numFmtId="3" fontId="3" fillId="0" borderId="20" xfId="0" applyNumberFormat="1" applyFont="1" applyBorder="1" applyAlignment="1">
      <alignment wrapText="1"/>
    </xf>
    <xf numFmtId="3" fontId="3" fillId="0" borderId="20" xfId="48" applyNumberFormat="1" applyFont="1" applyBorder="1" applyAlignment="1">
      <alignment wrapText="1"/>
      <protection/>
    </xf>
    <xf numFmtId="3" fontId="3" fillId="33" borderId="20" xfId="48" applyNumberFormat="1" applyFont="1" applyFill="1" applyBorder="1" applyAlignment="1">
      <alignment wrapText="1"/>
      <protection/>
    </xf>
    <xf numFmtId="3" fontId="7" fillId="0" borderId="20" xfId="48" applyNumberFormat="1" applyFont="1" applyBorder="1" applyAlignment="1">
      <alignment wrapText="1"/>
      <protection/>
    </xf>
    <xf numFmtId="3" fontId="3" fillId="33" borderId="22" xfId="48" applyNumberFormat="1" applyFont="1" applyFill="1" applyBorder="1" applyAlignment="1">
      <alignment wrapText="1"/>
      <protection/>
    </xf>
    <xf numFmtId="3" fontId="3" fillId="4" borderId="23" xfId="48" applyNumberFormat="1" applyFont="1" applyFill="1" applyBorder="1" applyAlignment="1">
      <alignment wrapText="1"/>
      <protection/>
    </xf>
    <xf numFmtId="3" fontId="3" fillId="0" borderId="22" xfId="48" applyNumberFormat="1" applyFont="1" applyBorder="1" applyAlignment="1">
      <alignment wrapText="1"/>
      <protection/>
    </xf>
    <xf numFmtId="3" fontId="7" fillId="4" borderId="21" xfId="0" applyNumberFormat="1" applyFont="1" applyFill="1" applyBorder="1" applyAlignment="1">
      <alignment/>
    </xf>
    <xf numFmtId="3" fontId="52" fillId="4" borderId="21" xfId="0" applyNumberFormat="1" applyFont="1" applyFill="1" applyBorder="1" applyAlignment="1">
      <alignment/>
    </xf>
    <xf numFmtId="3" fontId="7" fillId="4" borderId="21" xfId="48" applyNumberFormat="1" applyFont="1" applyFill="1" applyBorder="1" applyAlignment="1">
      <alignment horizontal="center" wrapText="1"/>
      <protection/>
    </xf>
    <xf numFmtId="3" fontId="3" fillId="4" borderId="21" xfId="48" applyNumberFormat="1" applyFont="1" applyFill="1" applyBorder="1" applyAlignment="1">
      <alignment wrapText="1"/>
      <protection/>
    </xf>
    <xf numFmtId="3" fontId="7" fillId="4" borderId="21" xfId="48" applyNumberFormat="1" applyFont="1" applyFill="1" applyBorder="1" applyAlignment="1">
      <alignment wrapText="1"/>
      <protection/>
    </xf>
    <xf numFmtId="3" fontId="3" fillId="4" borderId="24" xfId="48" applyNumberFormat="1" applyFont="1" applyFill="1" applyBorder="1" applyAlignment="1">
      <alignment wrapText="1"/>
      <protection/>
    </xf>
    <xf numFmtId="0" fontId="3" fillId="0" borderId="13" xfId="48" applyFont="1" applyFill="1" applyBorder="1">
      <alignment/>
      <protection/>
    </xf>
    <xf numFmtId="3" fontId="3" fillId="0" borderId="13" xfId="48" applyNumberFormat="1" applyFont="1" applyFill="1" applyBorder="1" applyAlignment="1">
      <alignment wrapText="1"/>
      <protection/>
    </xf>
    <xf numFmtId="0" fontId="0" fillId="0" borderId="0" xfId="0" applyFont="1" applyAlignment="1">
      <alignment/>
    </xf>
    <xf numFmtId="0" fontId="3" fillId="0" borderId="13" xfId="48" applyFont="1" applyFill="1" applyBorder="1" applyAlignment="1">
      <alignment wrapText="1"/>
      <protection/>
    </xf>
    <xf numFmtId="0" fontId="52" fillId="0" borderId="13" xfId="0" applyFont="1" applyBorder="1" applyAlignment="1">
      <alignment horizontal="center" wrapText="1"/>
    </xf>
    <xf numFmtId="0" fontId="59" fillId="0" borderId="0" xfId="48" applyNumberFormat="1" applyFont="1" applyFill="1" applyBorder="1" applyAlignment="1">
      <alignment horizontal="left" wrapText="1"/>
      <protection/>
    </xf>
    <xf numFmtId="0" fontId="59" fillId="0" borderId="0" xfId="0" applyFont="1" applyAlignment="1">
      <alignment horizontal="left" vertical="top" wrapText="1"/>
    </xf>
    <xf numFmtId="0" fontId="52" fillId="0" borderId="13" xfId="48" applyFont="1" applyBorder="1" applyAlignment="1">
      <alignment horizontal="center" wrapText="1"/>
      <protection/>
    </xf>
    <xf numFmtId="0" fontId="52" fillId="0" borderId="17" xfId="48" applyFont="1" applyBorder="1" applyAlignment="1">
      <alignment horizontal="center" wrapText="1"/>
      <protection/>
    </xf>
    <xf numFmtId="0" fontId="52" fillId="0" borderId="18" xfId="48" applyFont="1" applyBorder="1" applyAlignment="1">
      <alignment horizontal="center" wrapText="1"/>
      <protection/>
    </xf>
    <xf numFmtId="0" fontId="52" fillId="0" borderId="25" xfId="48" applyFont="1" applyBorder="1" applyAlignment="1">
      <alignment horizontal="center" wrapText="1"/>
      <protection/>
    </xf>
    <xf numFmtId="0" fontId="52" fillId="0" borderId="26" xfId="48" applyFont="1" applyBorder="1" applyAlignment="1">
      <alignment horizontal="center" wrapText="1"/>
      <protection/>
    </xf>
    <xf numFmtId="0" fontId="52" fillId="0" borderId="27" xfId="48" applyFont="1" applyBorder="1" applyAlignment="1">
      <alignment horizontal="center" wrapText="1"/>
      <protection/>
    </xf>
  </cellXfs>
  <cellStyles count="48">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rmal 2" xfId="48"/>
    <cellStyle name="Nosaukums" xfId="49"/>
    <cellStyle name="Pārbaudes šūna" xfId="50"/>
    <cellStyle name="Paskaidrojošs teksts" xfId="51"/>
    <cellStyle name="Piezīme" xfId="52"/>
    <cellStyle name="Percent" xfId="53"/>
    <cellStyle name="Saistīta šūna" xfId="54"/>
    <cellStyle name="Slikts" xfId="55"/>
    <cellStyle name="Currency" xfId="56"/>
    <cellStyle name="Currency [0]" xfId="57"/>
    <cellStyle name="Virsraksts 1" xfId="58"/>
    <cellStyle name="Virsraksts 2" xfId="59"/>
    <cellStyle name="Virsraksts 3" xfId="60"/>
    <cellStyle name="Virsraksts 4"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3"/>
  <sheetViews>
    <sheetView zoomScalePageLayoutView="0" workbookViewId="0" topLeftCell="A10">
      <selection activeCell="D29" sqref="D29"/>
    </sheetView>
  </sheetViews>
  <sheetFormatPr defaultColWidth="9.140625" defaultRowHeight="15"/>
  <cols>
    <col min="1" max="1" width="21.00390625" style="1" customWidth="1"/>
    <col min="2" max="2" width="9.140625" style="1" customWidth="1"/>
    <col min="3" max="3" width="10.140625" style="1" customWidth="1"/>
    <col min="4" max="5" width="9.421875" style="1" bestFit="1" customWidth="1"/>
    <col min="6" max="6" width="10.28125" style="1" bestFit="1" customWidth="1"/>
    <col min="7" max="7" width="10.421875" style="1" customWidth="1"/>
    <col min="8" max="8" width="9.421875" style="1" customWidth="1"/>
    <col min="9" max="14" width="9.140625" style="1" customWidth="1"/>
    <col min="15" max="15" width="12.140625" style="1" customWidth="1"/>
    <col min="16" max="16384" width="9.140625" style="1" customWidth="1"/>
  </cols>
  <sheetData>
    <row r="1" ht="15">
      <c r="A1" s="1" t="s">
        <v>21</v>
      </c>
    </row>
    <row r="2" ht="15"/>
    <row r="3" spans="1:15" ht="78.75">
      <c r="A3" s="10" t="s">
        <v>0</v>
      </c>
      <c r="B3" s="110" t="s">
        <v>19</v>
      </c>
      <c r="C3" s="110"/>
      <c r="D3" s="110" t="s">
        <v>12</v>
      </c>
      <c r="E3" s="110"/>
      <c r="F3" s="110"/>
      <c r="G3" s="22" t="s">
        <v>1</v>
      </c>
      <c r="H3" s="22" t="s">
        <v>22</v>
      </c>
      <c r="I3" s="110">
        <v>2014</v>
      </c>
      <c r="J3" s="110"/>
      <c r="K3" s="110">
        <v>2015</v>
      </c>
      <c r="L3" s="110"/>
      <c r="M3" s="110">
        <v>2016</v>
      </c>
      <c r="N3" s="110"/>
      <c r="O3" s="22" t="s">
        <v>2</v>
      </c>
    </row>
    <row r="4" spans="1:15" ht="33.75">
      <c r="A4" s="11"/>
      <c r="B4" s="22" t="s">
        <v>3</v>
      </c>
      <c r="C4" s="22" t="s">
        <v>24</v>
      </c>
      <c r="D4" s="22" t="s">
        <v>34</v>
      </c>
      <c r="E4" s="22" t="s">
        <v>35</v>
      </c>
      <c r="F4" s="22">
        <v>2012</v>
      </c>
      <c r="G4" s="110">
        <v>2013</v>
      </c>
      <c r="H4" s="110"/>
      <c r="I4" s="22" t="s">
        <v>4</v>
      </c>
      <c r="J4" s="22" t="s">
        <v>5</v>
      </c>
      <c r="K4" s="22" t="s">
        <v>4</v>
      </c>
      <c r="L4" s="22" t="s">
        <v>5</v>
      </c>
      <c r="M4" s="22" t="s">
        <v>4</v>
      </c>
      <c r="N4" s="22" t="s">
        <v>5</v>
      </c>
      <c r="O4" s="22" t="s">
        <v>6</v>
      </c>
    </row>
    <row r="5" spans="1:15" ht="33.75">
      <c r="A5" s="23" t="s">
        <v>23</v>
      </c>
      <c r="B5" s="23">
        <f>B6+B7+B8+B9+B10+B11+B12+B13+B14</f>
        <v>1099</v>
      </c>
      <c r="C5" s="29">
        <f>C6+C7+C8+C9+C10+C11+C12+C13+C14</f>
        <v>3381717.3354799994</v>
      </c>
      <c r="D5" s="23"/>
      <c r="E5" s="23"/>
      <c r="F5" s="24">
        <f>F6+F7+F8+F9+F10+F11+F12+F13+F14</f>
        <v>1325560.82808</v>
      </c>
      <c r="G5" s="25">
        <f>G6+G7+G8+G9+G10+G11+G12+G13+G14</f>
        <v>1448972.15398</v>
      </c>
      <c r="H5" s="25">
        <f>H6+H7+H8+H9+H10+H11+H12+H13+H14</f>
        <v>1325560.82808</v>
      </c>
      <c r="I5" s="25">
        <f>I6+I7+I8+I9+I10+I11+I12+I13+I14</f>
        <v>1448972.15398</v>
      </c>
      <c r="J5" s="26">
        <f>C5-I5</f>
        <v>1932745.1814999995</v>
      </c>
      <c r="K5" s="25">
        <f>K6+K7+K8+K9+K10+K11+K12+K13+K14</f>
        <v>1448972.15398</v>
      </c>
      <c r="L5" s="27">
        <f>C5-K5</f>
        <v>1932745.1814999995</v>
      </c>
      <c r="M5" s="25">
        <f>M6+M7+M8+M9+M10+M11+M12+M13+M14</f>
        <v>1448972.15398</v>
      </c>
      <c r="N5" s="27">
        <f>C5-M5</f>
        <v>1932745.1814999995</v>
      </c>
      <c r="O5" s="27">
        <v>1932745.1814999995</v>
      </c>
    </row>
    <row r="6" spans="1:15" ht="15">
      <c r="A6" s="7" t="s">
        <v>7</v>
      </c>
      <c r="B6" s="8">
        <v>648</v>
      </c>
      <c r="C6" s="36">
        <f>1716358*1.2409+320*10.7*6</f>
        <v>2150372.6421999997</v>
      </c>
      <c r="D6" s="9">
        <f>383488*1.2409+20544</f>
        <v>496414.2592</v>
      </c>
      <c r="E6" s="9">
        <f>387947*1.2409+20544</f>
        <v>501947.4323</v>
      </c>
      <c r="F6" s="9">
        <f>347402*1.2409+320*10.7*6</f>
        <v>451635.1418</v>
      </c>
      <c r="G6" s="9">
        <f>(210*320*6+32256+57597)*1.2409+320*10.7*6</f>
        <v>632373.4676999999</v>
      </c>
      <c r="H6" s="9">
        <f>347402*1.2409+320*10.7*6</f>
        <v>451635.1418</v>
      </c>
      <c r="I6" s="9">
        <f>(210*320*6+32256+57597)*1.2409+320*10.7*6</f>
        <v>632373.4676999999</v>
      </c>
      <c r="J6" s="19">
        <f aca="true" t="shared" si="0" ref="J6:J14">C6-I6</f>
        <v>1517999.1744999997</v>
      </c>
      <c r="K6" s="9">
        <f>(210*320*6+32256+57597)*1.2409+320*10.7*6</f>
        <v>632373.4676999999</v>
      </c>
      <c r="L6" s="17">
        <f aca="true" t="shared" si="1" ref="L6:L14">C6-K6</f>
        <v>1517999.1744999997</v>
      </c>
      <c r="M6" s="9">
        <f>(210*320*6+32256+57597)*1.2409+320*10.7*6</f>
        <v>632373.4676999999</v>
      </c>
      <c r="N6" s="17">
        <f aca="true" t="shared" si="2" ref="N6:N14">C6-M6</f>
        <v>1517999.1744999997</v>
      </c>
      <c r="O6" s="17">
        <v>1517999.1744999997</v>
      </c>
    </row>
    <row r="7" spans="1:15" ht="15">
      <c r="A7" s="2" t="s">
        <v>8</v>
      </c>
      <c r="B7" s="3">
        <v>300</v>
      </c>
      <c r="C7" s="37">
        <f>(300*460*6*0.4+207000)*1.2409+300*10.7*6</f>
        <v>687112.3799999999</v>
      </c>
      <c r="D7" s="16"/>
      <c r="F7" s="39">
        <f>300*460*6*0.4*1.2409+300*10.7*6+30117</f>
        <v>460363.07999999996</v>
      </c>
      <c r="G7" s="5">
        <f>300*460*6*0.4*1.2409+300*10.7*6</f>
        <v>430246.07999999996</v>
      </c>
      <c r="H7" s="5">
        <f>300*460*6*0.4*1.2409+300*10.7*6+30117</f>
        <v>460363.07999999996</v>
      </c>
      <c r="I7" s="5">
        <f>300*460*6*0.4*1.2409+300*10.7*6</f>
        <v>430246.07999999996</v>
      </c>
      <c r="J7" s="19">
        <f t="shared" si="0"/>
        <v>256866.29999999993</v>
      </c>
      <c r="K7" s="5">
        <f>300*460*6*0.4*1.2409+300*10.7*6</f>
        <v>430246.07999999996</v>
      </c>
      <c r="L7" s="17">
        <f t="shared" si="1"/>
        <v>256866.29999999993</v>
      </c>
      <c r="M7" s="5">
        <f>300*460*6*0.4*1.2409+300*10.7*6</f>
        <v>430246.07999999996</v>
      </c>
      <c r="N7" s="17">
        <f t="shared" si="2"/>
        <v>256866.29999999993</v>
      </c>
      <c r="O7" s="17">
        <v>256866.29999999993</v>
      </c>
    </row>
    <row r="8" spans="1:15" ht="15">
      <c r="A8" s="2" t="s">
        <v>14</v>
      </c>
      <c r="B8" s="3">
        <v>60</v>
      </c>
      <c r="C8" s="37">
        <f>(60*520*6*0.4+46800)*1.2409+60*10.7*6</f>
        <v>154844.712</v>
      </c>
      <c r="D8" s="3"/>
      <c r="E8" s="3"/>
      <c r="F8" s="39">
        <f>60*520*6*0.4*1.2409+60*10.7*6+6774</f>
        <v>103544.59199999999</v>
      </c>
      <c r="G8" s="5">
        <f>60*520*6*0.4*1.2409+60*10.7*6</f>
        <v>96770.59199999999</v>
      </c>
      <c r="H8" s="5">
        <f>60*520*6*0.4*1.2409+60*10.7*6+6774</f>
        <v>103544.59199999999</v>
      </c>
      <c r="I8" s="5">
        <f>60*520*6*0.4*1.2409+60*10.7*6</f>
        <v>96770.59199999999</v>
      </c>
      <c r="J8" s="19">
        <f t="shared" si="0"/>
        <v>58074.12000000001</v>
      </c>
      <c r="K8" s="5">
        <f>60*520*6*0.4*1.2409+60*10.7*6</f>
        <v>96770.59199999999</v>
      </c>
      <c r="L8" s="17">
        <f t="shared" si="1"/>
        <v>58074.12000000001</v>
      </c>
      <c r="M8" s="5">
        <f>60*520*6*0.4*1.2409+60*10.7*6</f>
        <v>96770.59199999999</v>
      </c>
      <c r="N8" s="17">
        <f t="shared" si="2"/>
        <v>58074.12000000001</v>
      </c>
      <c r="O8" s="17">
        <v>58074.12000000001</v>
      </c>
    </row>
    <row r="9" spans="1:15" ht="15">
      <c r="A9" s="2" t="s">
        <v>13</v>
      </c>
      <c r="B9" s="3">
        <v>44</v>
      </c>
      <c r="C9" s="37">
        <f>(44*530*6*0.4+34980)*1.2409+44*10.7*6</f>
        <v>115682.17319999999</v>
      </c>
      <c r="D9" s="3"/>
      <c r="E9" s="3"/>
      <c r="F9" s="39">
        <f>44*530*6*0.4*1.2409+44*10.7*6+5059</f>
        <v>77334.4912</v>
      </c>
      <c r="G9" s="5">
        <f>44*530*6*0.4*1.2409+44*10.7*6</f>
        <v>72275.4912</v>
      </c>
      <c r="H9" s="5">
        <f>44*530*6*0.4*1.2409+44*10.7*6+5059</f>
        <v>77334.4912</v>
      </c>
      <c r="I9" s="5">
        <f>44*530*6*0.4*1.2409+44*10.7*6</f>
        <v>72275.4912</v>
      </c>
      <c r="J9" s="19">
        <f t="shared" si="0"/>
        <v>43406.681999999986</v>
      </c>
      <c r="K9" s="5">
        <f>44*530*6*0.4*1.2409+44*10.7*6</f>
        <v>72275.4912</v>
      </c>
      <c r="L9" s="17">
        <f t="shared" si="1"/>
        <v>43406.681999999986</v>
      </c>
      <c r="M9" s="5">
        <f>44*530*6*0.4*1.2409+44*10.7*6</f>
        <v>72275.4912</v>
      </c>
      <c r="N9" s="17">
        <f t="shared" si="2"/>
        <v>43406.681999999986</v>
      </c>
      <c r="O9" s="17">
        <v>43406.681999999986</v>
      </c>
    </row>
    <row r="10" spans="1:15" ht="15">
      <c r="A10" s="2" t="s">
        <v>36</v>
      </c>
      <c r="B10" s="3">
        <v>15</v>
      </c>
      <c r="C10" s="37">
        <f>(15*400*12*1+9000)*1.2409+15*10.7*12</f>
        <v>102438.9</v>
      </c>
      <c r="D10" s="3"/>
      <c r="E10" s="3"/>
      <c r="F10" s="39">
        <f>15*400*12*1*1.2409+15*10.7*12+6389</f>
        <v>97659.79999999999</v>
      </c>
      <c r="G10" s="5">
        <f>15*400*12*1*1.2409+15*10.7*12</f>
        <v>91270.79999999999</v>
      </c>
      <c r="H10" s="5">
        <f>15*400*12*1*1.2409+15*10.7*12+6389</f>
        <v>97659.79999999999</v>
      </c>
      <c r="I10" s="5">
        <f>15*400*12*1*1.2409+15*10.7*12</f>
        <v>91270.79999999999</v>
      </c>
      <c r="J10" s="19">
        <f t="shared" si="0"/>
        <v>11168.100000000006</v>
      </c>
      <c r="K10" s="5">
        <f>15*400*12*1*1.2409+15*10.7*12</f>
        <v>91270.79999999999</v>
      </c>
      <c r="L10" s="17">
        <f t="shared" si="1"/>
        <v>11168.100000000006</v>
      </c>
      <c r="M10" s="5">
        <f>15*400*12*1*1.2409+15*10.7*12</f>
        <v>91270.79999999999</v>
      </c>
      <c r="N10" s="17">
        <f t="shared" si="2"/>
        <v>11168.100000000006</v>
      </c>
      <c r="O10" s="17">
        <v>11168.100000000006</v>
      </c>
    </row>
    <row r="11" spans="1:15" ht="15">
      <c r="A11" s="2" t="s">
        <v>15</v>
      </c>
      <c r="B11" s="3">
        <v>10</v>
      </c>
      <c r="C11" s="37">
        <f>(10*530*6*0.4+7950)*1.2409+10*10.7*6</f>
        <v>26291.403</v>
      </c>
      <c r="D11" s="3"/>
      <c r="E11" s="3"/>
      <c r="F11" s="39">
        <f>10*530*0.4*6*1.2409+10*10.7*6+1150</f>
        <v>17576.248</v>
      </c>
      <c r="G11" s="5">
        <f>10*530*0.4*6*1.2409+10*10.7*6</f>
        <v>16426.248</v>
      </c>
      <c r="H11" s="5">
        <f>10*530*0.4*6*1.2409+10*10.7*6+1150</f>
        <v>17576.248</v>
      </c>
      <c r="I11" s="5">
        <f>10*530*0.4*6*1.2409+10*10.7*6</f>
        <v>16426.248</v>
      </c>
      <c r="J11" s="19">
        <f t="shared" si="0"/>
        <v>9865.154999999999</v>
      </c>
      <c r="K11" s="5">
        <f>10*530*0.4*6*1.2409+10*10.7*6</f>
        <v>16426.248</v>
      </c>
      <c r="L11" s="17">
        <f t="shared" si="1"/>
        <v>9865.154999999999</v>
      </c>
      <c r="M11" s="5">
        <f>10*530*0.4*6*1.2409+10*10.7*6</f>
        <v>16426.248</v>
      </c>
      <c r="N11" s="17">
        <f t="shared" si="2"/>
        <v>9865.154999999999</v>
      </c>
      <c r="O11" s="17">
        <v>9865.154999999999</v>
      </c>
    </row>
    <row r="12" spans="1:15" ht="15">
      <c r="A12" s="2" t="s">
        <v>16</v>
      </c>
      <c r="B12" s="3">
        <v>10</v>
      </c>
      <c r="C12" s="37">
        <f>(10*800*6*0.5+12000)*1.2409+10*10.7*6</f>
        <v>45314.399999999994</v>
      </c>
      <c r="D12" s="3"/>
      <c r="E12" s="3"/>
      <c r="F12" s="39">
        <f>10*800*6*0.5*1.2409+10*10.7*6+2130</f>
        <v>32553.6</v>
      </c>
      <c r="G12" s="5">
        <f>10*800*6*0.5*1.2409+10*10.7*6</f>
        <v>30423.6</v>
      </c>
      <c r="H12" s="5">
        <f>10*800*6*0.5*1.2409+10*10.7*6+2130</f>
        <v>32553.6</v>
      </c>
      <c r="I12" s="5">
        <f>10*800*6*0.5*1.2409+10*10.7*6</f>
        <v>30423.6</v>
      </c>
      <c r="J12" s="19">
        <f t="shared" si="0"/>
        <v>14890.799999999996</v>
      </c>
      <c r="K12" s="5">
        <f>10*800*6*0.5*1.2409+10*10.7*6</f>
        <v>30423.6</v>
      </c>
      <c r="L12" s="17">
        <f t="shared" si="1"/>
        <v>14890.799999999996</v>
      </c>
      <c r="M12" s="5">
        <f>10*800*6*0.5*1.2409+10*10.7*6</f>
        <v>30423.6</v>
      </c>
      <c r="N12" s="17">
        <f t="shared" si="2"/>
        <v>14890.799999999996</v>
      </c>
      <c r="O12" s="17">
        <v>14890.799999999996</v>
      </c>
    </row>
    <row r="13" spans="1:15" ht="15">
      <c r="A13" s="2" t="s">
        <v>17</v>
      </c>
      <c r="B13" s="3">
        <v>10</v>
      </c>
      <c r="C13" s="37">
        <f>(10*1100*6*0.8+16500)*1.2409+10*10.7*6</f>
        <v>86636.37</v>
      </c>
      <c r="D13" s="3"/>
      <c r="E13" s="3"/>
      <c r="F13" s="39">
        <f>10*1100*0.8*6*1.2409+10*10.7*6+5708</f>
        <v>71869.51999999999</v>
      </c>
      <c r="G13" s="5">
        <f>10*1100*0.8*6*1.2409+10*10.7*6</f>
        <v>66161.51999999999</v>
      </c>
      <c r="H13" s="5">
        <f>10*1100*0.8*6*1.2409+10*10.7*6+5708</f>
        <v>71869.51999999999</v>
      </c>
      <c r="I13" s="5">
        <f>10*1100*0.8*6*1.2409+10*10.7*6</f>
        <v>66161.51999999999</v>
      </c>
      <c r="J13" s="19">
        <f t="shared" si="0"/>
        <v>20474.850000000006</v>
      </c>
      <c r="K13" s="5">
        <f>10*1100*0.8*6*1.2409+10*10.7*6</f>
        <v>66161.51999999999</v>
      </c>
      <c r="L13" s="17">
        <f t="shared" si="1"/>
        <v>20474.850000000006</v>
      </c>
      <c r="M13" s="5">
        <f>10*1100*0.8*6*1.2409+10*10.7*6</f>
        <v>66161.51999999999</v>
      </c>
      <c r="N13" s="17">
        <f t="shared" si="2"/>
        <v>20474.850000000006</v>
      </c>
      <c r="O13" s="17">
        <v>20474.850000000006</v>
      </c>
    </row>
    <row r="14" spans="1:15" ht="26.25" customHeight="1">
      <c r="A14" s="4" t="s">
        <v>20</v>
      </c>
      <c r="B14" s="4">
        <v>2</v>
      </c>
      <c r="C14" s="14">
        <f>((1*874*6*0.3)+(1*764*12))*1.2409-497+(10.7*18)</f>
        <v>13024.35508</v>
      </c>
      <c r="D14" s="4"/>
      <c r="E14" s="4"/>
      <c r="F14" s="40">
        <f>((1*874*6*0.3)+(1*764*12))*1.2409-497+(10.7*18)</f>
        <v>13024.35508</v>
      </c>
      <c r="G14" s="14">
        <f>((1*874*6*0.3)+(1*764*12))*1.2409-497+(10.7*18)</f>
        <v>13024.35508</v>
      </c>
      <c r="H14" s="14">
        <f>((1*874*6*0.3)+(1*764*12))*1.2409-497+(10.7*18)</f>
        <v>13024.35508</v>
      </c>
      <c r="I14" s="14">
        <f>((1*874*6*0.3)+(1*764*12))*1.2409-497+(10.7*18)</f>
        <v>13024.35508</v>
      </c>
      <c r="J14" s="20">
        <f t="shared" si="0"/>
        <v>0</v>
      </c>
      <c r="K14" s="14">
        <f>((1*874*6*0.3)+(1*764*12))*1.2409-497+(10.7*18)</f>
        <v>13024.35508</v>
      </c>
      <c r="L14" s="18">
        <f t="shared" si="1"/>
        <v>0</v>
      </c>
      <c r="M14" s="14">
        <f>((1*874*6*0.3)+(1*764*12))*1.2409-497+(10.7*18)</f>
        <v>13024.35508</v>
      </c>
      <c r="N14" s="18">
        <f t="shared" si="2"/>
        <v>0</v>
      </c>
      <c r="O14" s="18">
        <v>0</v>
      </c>
    </row>
    <row r="15" spans="1:15" ht="21" customHeight="1">
      <c r="A15" s="11" t="s">
        <v>9</v>
      </c>
      <c r="B15" s="25"/>
      <c r="C15" s="25">
        <f aca="true" t="shared" si="3" ref="C15:O15">C16+C17+C18+C19+C20+C21+C22+C23</f>
        <v>1031526</v>
      </c>
      <c r="D15" s="24">
        <f t="shared" si="3"/>
        <v>269000</v>
      </c>
      <c r="E15" s="25">
        <f t="shared" si="3"/>
        <v>0</v>
      </c>
      <c r="F15" s="24">
        <f t="shared" si="3"/>
        <v>70000</v>
      </c>
      <c r="G15" s="24">
        <f t="shared" si="3"/>
        <v>590000</v>
      </c>
      <c r="H15" s="24">
        <f t="shared" si="3"/>
        <v>590000</v>
      </c>
      <c r="I15" s="25">
        <f t="shared" si="3"/>
        <v>441526</v>
      </c>
      <c r="J15" s="26">
        <f t="shared" si="3"/>
        <v>590000</v>
      </c>
      <c r="K15" s="25">
        <f t="shared" si="3"/>
        <v>460526</v>
      </c>
      <c r="L15" s="26">
        <f t="shared" si="3"/>
        <v>590000</v>
      </c>
      <c r="M15" s="25">
        <f t="shared" si="3"/>
        <v>468526</v>
      </c>
      <c r="N15" s="26">
        <f t="shared" si="3"/>
        <v>590000</v>
      </c>
      <c r="O15" s="26">
        <f t="shared" si="3"/>
        <v>543000</v>
      </c>
    </row>
    <row r="16" spans="1:15" ht="26.25" customHeight="1">
      <c r="A16" s="28" t="s">
        <v>32</v>
      </c>
      <c r="B16" s="28">
        <v>10000</v>
      </c>
      <c r="C16" s="28">
        <v>10000</v>
      </c>
      <c r="D16" s="28">
        <v>0</v>
      </c>
      <c r="E16" s="28">
        <v>0</v>
      </c>
      <c r="F16" s="28">
        <v>10000</v>
      </c>
      <c r="G16" s="28">
        <v>0</v>
      </c>
      <c r="H16" s="28">
        <v>0</v>
      </c>
      <c r="I16" s="28">
        <v>10000</v>
      </c>
      <c r="J16" s="19">
        <v>0</v>
      </c>
      <c r="K16" s="28">
        <v>0</v>
      </c>
      <c r="L16" s="30">
        <v>0</v>
      </c>
      <c r="M16" s="28">
        <v>10000</v>
      </c>
      <c r="N16" s="31">
        <f>C16-M16</f>
        <v>0</v>
      </c>
      <c r="O16" s="30">
        <v>0</v>
      </c>
    </row>
    <row r="17" spans="1:15" ht="15">
      <c r="A17" s="2" t="s">
        <v>39</v>
      </c>
      <c r="B17" s="5"/>
      <c r="C17" s="5">
        <v>50000</v>
      </c>
      <c r="D17" s="37">
        <v>101196</v>
      </c>
      <c r="E17" s="5">
        <v>0</v>
      </c>
      <c r="F17" s="5">
        <v>24000</v>
      </c>
      <c r="G17" s="5">
        <v>80000</v>
      </c>
      <c r="H17" s="5">
        <v>30000</v>
      </c>
      <c r="I17" s="5">
        <v>20000</v>
      </c>
      <c r="J17" s="19">
        <f aca="true" t="shared" si="4" ref="J17:J23">C17-I17</f>
        <v>30000</v>
      </c>
      <c r="K17" s="5">
        <v>20000</v>
      </c>
      <c r="L17" s="31">
        <f aca="true" t="shared" si="5" ref="L17:L23">C17-K17</f>
        <v>30000</v>
      </c>
      <c r="M17" s="5">
        <v>20000</v>
      </c>
      <c r="N17" s="31">
        <f aca="true" t="shared" si="6" ref="N17:N23">C17-M17</f>
        <v>30000</v>
      </c>
      <c r="O17" s="31">
        <v>30000</v>
      </c>
    </row>
    <row r="18" spans="1:15" ht="15">
      <c r="A18" s="2" t="s">
        <v>28</v>
      </c>
      <c r="B18" s="5">
        <v>300</v>
      </c>
      <c r="C18" s="5">
        <v>60000</v>
      </c>
      <c r="D18" s="37">
        <f>19882+3496+132907</f>
        <v>156285</v>
      </c>
      <c r="E18" s="5">
        <v>0</v>
      </c>
      <c r="F18" s="5">
        <v>36000</v>
      </c>
      <c r="G18" s="5">
        <v>0</v>
      </c>
      <c r="H18" s="5">
        <v>200000</v>
      </c>
      <c r="I18" s="5">
        <v>0</v>
      </c>
      <c r="J18" s="19">
        <f t="shared" si="4"/>
        <v>60000</v>
      </c>
      <c r="K18" s="5">
        <v>15000</v>
      </c>
      <c r="L18" s="31">
        <f t="shared" si="5"/>
        <v>45000</v>
      </c>
      <c r="M18" s="5">
        <v>13000</v>
      </c>
      <c r="N18" s="31">
        <f t="shared" si="6"/>
        <v>47000</v>
      </c>
      <c r="O18" s="31">
        <v>0</v>
      </c>
    </row>
    <row r="19" spans="1:15" ht="15">
      <c r="A19" s="7" t="s">
        <v>25</v>
      </c>
      <c r="B19" s="9">
        <v>783320</v>
      </c>
      <c r="C19" s="9">
        <v>783320</v>
      </c>
      <c r="D19" s="36">
        <v>0</v>
      </c>
      <c r="E19" s="9">
        <v>0</v>
      </c>
      <c r="F19" s="9">
        <v>0</v>
      </c>
      <c r="G19" s="9">
        <v>450000</v>
      </c>
      <c r="H19" s="9">
        <v>250000</v>
      </c>
      <c r="I19" s="9">
        <v>333320</v>
      </c>
      <c r="J19" s="19">
        <f t="shared" si="4"/>
        <v>450000</v>
      </c>
      <c r="K19" s="9">
        <v>333320</v>
      </c>
      <c r="L19" s="19">
        <f t="shared" si="5"/>
        <v>450000</v>
      </c>
      <c r="M19" s="9">
        <v>333320</v>
      </c>
      <c r="N19" s="19">
        <f t="shared" si="6"/>
        <v>450000</v>
      </c>
      <c r="O19" s="19">
        <v>450000</v>
      </c>
    </row>
    <row r="20" spans="1:15" ht="22.5">
      <c r="A20" s="5" t="s">
        <v>26</v>
      </c>
      <c r="B20" s="5">
        <v>183</v>
      </c>
      <c r="C20" s="5">
        <v>74337</v>
      </c>
      <c r="D20" s="37">
        <v>0</v>
      </c>
      <c r="E20" s="5">
        <v>0</v>
      </c>
      <c r="F20" s="5">
        <v>0</v>
      </c>
      <c r="G20" s="5">
        <v>60000</v>
      </c>
      <c r="H20" s="5">
        <v>60000</v>
      </c>
      <c r="I20" s="5">
        <v>64337</v>
      </c>
      <c r="J20" s="19">
        <f t="shared" si="4"/>
        <v>10000</v>
      </c>
      <c r="K20" s="5">
        <v>64337</v>
      </c>
      <c r="L20" s="31">
        <f t="shared" si="5"/>
        <v>10000</v>
      </c>
      <c r="M20" s="5">
        <v>64337</v>
      </c>
      <c r="N20" s="31">
        <f t="shared" si="6"/>
        <v>10000</v>
      </c>
      <c r="O20" s="31">
        <v>10000</v>
      </c>
    </row>
    <row r="21" spans="1:15" ht="15">
      <c r="A21" s="2" t="s">
        <v>33</v>
      </c>
      <c r="B21" s="5">
        <v>75</v>
      </c>
      <c r="C21" s="5">
        <v>26000</v>
      </c>
      <c r="D21" s="37">
        <v>11519</v>
      </c>
      <c r="E21" s="5">
        <v>0</v>
      </c>
      <c r="F21" s="5">
        <v>0</v>
      </c>
      <c r="G21" s="5">
        <v>0</v>
      </c>
      <c r="H21" s="5">
        <v>50000</v>
      </c>
      <c r="I21" s="5">
        <v>0</v>
      </c>
      <c r="J21" s="19">
        <f t="shared" si="4"/>
        <v>26000</v>
      </c>
      <c r="K21" s="5">
        <v>0</v>
      </c>
      <c r="L21" s="31">
        <v>55000</v>
      </c>
      <c r="M21" s="5">
        <v>0</v>
      </c>
      <c r="N21" s="31">
        <v>53000</v>
      </c>
      <c r="O21" s="31">
        <v>53000</v>
      </c>
    </row>
    <row r="22" spans="1:15" ht="15">
      <c r="A22" s="2" t="s">
        <v>27</v>
      </c>
      <c r="B22" s="5">
        <v>94</v>
      </c>
      <c r="C22" s="5">
        <v>14000</v>
      </c>
      <c r="D22" s="37">
        <v>0</v>
      </c>
      <c r="E22" s="5">
        <v>0</v>
      </c>
      <c r="F22" s="5">
        <v>0</v>
      </c>
      <c r="G22" s="5">
        <v>0</v>
      </c>
      <c r="H22" s="5">
        <v>0</v>
      </c>
      <c r="I22" s="5">
        <v>0</v>
      </c>
      <c r="J22" s="19">
        <f t="shared" si="4"/>
        <v>14000</v>
      </c>
      <c r="K22" s="5">
        <v>14000</v>
      </c>
      <c r="L22" s="31">
        <f t="shared" si="5"/>
        <v>0</v>
      </c>
      <c r="M22" s="5">
        <v>14000</v>
      </c>
      <c r="N22" s="31">
        <f t="shared" si="6"/>
        <v>0</v>
      </c>
      <c r="O22" s="31">
        <v>0</v>
      </c>
    </row>
    <row r="23" spans="1:15" ht="15">
      <c r="A23" s="2" t="s">
        <v>18</v>
      </c>
      <c r="B23" s="5">
        <v>184</v>
      </c>
      <c r="C23" s="5">
        <v>13869</v>
      </c>
      <c r="D23" s="37">
        <v>0</v>
      </c>
      <c r="E23" s="5">
        <v>0</v>
      </c>
      <c r="F23" s="5">
        <v>0</v>
      </c>
      <c r="G23" s="5">
        <v>0</v>
      </c>
      <c r="H23" s="5">
        <v>0</v>
      </c>
      <c r="I23" s="5">
        <v>13869</v>
      </c>
      <c r="J23" s="19">
        <f t="shared" si="4"/>
        <v>0</v>
      </c>
      <c r="K23" s="5">
        <v>13869</v>
      </c>
      <c r="L23" s="31">
        <f t="shared" si="5"/>
        <v>0</v>
      </c>
      <c r="M23" s="5">
        <v>13869</v>
      </c>
      <c r="N23" s="31">
        <f t="shared" si="6"/>
        <v>0</v>
      </c>
      <c r="O23" s="31">
        <v>0</v>
      </c>
    </row>
    <row r="24" spans="1:15" ht="15">
      <c r="A24" s="11" t="s">
        <v>10</v>
      </c>
      <c r="B24" s="29"/>
      <c r="C24" s="29">
        <f aca="true" t="shared" si="7" ref="C24:O24">C25+C26+C27+C28</f>
        <v>1649000</v>
      </c>
      <c r="D24" s="24">
        <f t="shared" si="7"/>
        <v>88000</v>
      </c>
      <c r="E24" s="29">
        <f t="shared" si="7"/>
        <v>4156000</v>
      </c>
      <c r="F24" s="24">
        <f t="shared" si="7"/>
        <v>1930000</v>
      </c>
      <c r="G24" s="24">
        <f t="shared" si="7"/>
        <v>410000</v>
      </c>
      <c r="H24" s="24">
        <f t="shared" si="7"/>
        <v>410000</v>
      </c>
      <c r="I24" s="29">
        <f t="shared" si="7"/>
        <v>0</v>
      </c>
      <c r="J24" s="26">
        <f t="shared" si="7"/>
        <v>1649000</v>
      </c>
      <c r="K24" s="29">
        <f t="shared" si="7"/>
        <v>0</v>
      </c>
      <c r="L24" s="26">
        <f t="shared" si="7"/>
        <v>1634000</v>
      </c>
      <c r="M24" s="29">
        <f t="shared" si="7"/>
        <v>0</v>
      </c>
      <c r="N24" s="26">
        <f t="shared" si="7"/>
        <v>1559000</v>
      </c>
      <c r="O24" s="26">
        <f t="shared" si="7"/>
        <v>107000</v>
      </c>
    </row>
    <row r="25" spans="1:15" ht="15">
      <c r="A25" s="7" t="s">
        <v>11</v>
      </c>
      <c r="B25" s="9">
        <v>8</v>
      </c>
      <c r="C25" s="9">
        <v>1064000</v>
      </c>
      <c r="D25" s="9">
        <v>0</v>
      </c>
      <c r="E25" s="9">
        <v>1470000</v>
      </c>
      <c r="F25" s="9">
        <v>54000</v>
      </c>
      <c r="G25" s="9">
        <v>79228</v>
      </c>
      <c r="H25" s="9">
        <v>79228</v>
      </c>
      <c r="I25" s="9">
        <v>0</v>
      </c>
      <c r="J25" s="19">
        <f>C25-I25</f>
        <v>1064000</v>
      </c>
      <c r="K25" s="9">
        <v>0</v>
      </c>
      <c r="L25" s="19">
        <f>C25-K25</f>
        <v>1064000</v>
      </c>
      <c r="M25" s="9">
        <v>0</v>
      </c>
      <c r="N25" s="19">
        <f>C25-M25</f>
        <v>1064000</v>
      </c>
      <c r="O25" s="21">
        <v>0</v>
      </c>
    </row>
    <row r="26" spans="1:15" ht="15">
      <c r="A26" s="2" t="s">
        <v>31</v>
      </c>
      <c r="B26" s="5">
        <v>35</v>
      </c>
      <c r="C26" s="5">
        <v>525000</v>
      </c>
      <c r="D26" s="5">
        <v>0</v>
      </c>
      <c r="E26" s="5">
        <f>409000+2156000</f>
        <v>2565000</v>
      </c>
      <c r="F26" s="5">
        <v>1462000</v>
      </c>
      <c r="G26" s="5">
        <v>310365</v>
      </c>
      <c r="H26" s="5">
        <v>310365</v>
      </c>
      <c r="I26" s="5">
        <v>0</v>
      </c>
      <c r="J26" s="19">
        <v>525000</v>
      </c>
      <c r="K26" s="5">
        <v>0</v>
      </c>
      <c r="L26" s="19">
        <v>510000</v>
      </c>
      <c r="M26" s="5">
        <v>0</v>
      </c>
      <c r="N26" s="19">
        <v>435000</v>
      </c>
      <c r="O26" s="34">
        <v>0</v>
      </c>
    </row>
    <row r="27" spans="1:15" ht="45">
      <c r="A27" s="5" t="s">
        <v>29</v>
      </c>
      <c r="B27" s="5">
        <v>140</v>
      </c>
      <c r="C27" s="5">
        <v>0</v>
      </c>
      <c r="D27" s="5">
        <v>88000</v>
      </c>
      <c r="E27" s="5">
        <v>34000</v>
      </c>
      <c r="F27" s="5">
        <v>0</v>
      </c>
      <c r="G27" s="5">
        <v>0</v>
      </c>
      <c r="H27" s="5">
        <v>0</v>
      </c>
      <c r="I27" s="5">
        <v>0</v>
      </c>
      <c r="J27" s="19">
        <f>C27-I27</f>
        <v>0</v>
      </c>
      <c r="K27" s="5">
        <v>0</v>
      </c>
      <c r="L27" s="19">
        <f>C27-K27</f>
        <v>0</v>
      </c>
      <c r="M27" s="5">
        <v>0</v>
      </c>
      <c r="N27" s="19">
        <f>C27-M27</f>
        <v>0</v>
      </c>
      <c r="O27" s="32">
        <v>47000</v>
      </c>
    </row>
    <row r="28" spans="1:15" ht="22.5">
      <c r="A28" s="4" t="s">
        <v>30</v>
      </c>
      <c r="B28" s="6">
        <v>1</v>
      </c>
      <c r="C28" s="6">
        <v>60000</v>
      </c>
      <c r="D28" s="6">
        <v>0</v>
      </c>
      <c r="E28" s="6">
        <v>87000</v>
      </c>
      <c r="F28" s="6">
        <v>414000</v>
      </c>
      <c r="G28" s="6">
        <v>20407</v>
      </c>
      <c r="H28" s="6">
        <v>20407</v>
      </c>
      <c r="I28" s="6">
        <v>0</v>
      </c>
      <c r="J28" s="20">
        <v>60000</v>
      </c>
      <c r="K28" s="6">
        <v>0</v>
      </c>
      <c r="L28" s="20">
        <f>C28-K28</f>
        <v>60000</v>
      </c>
      <c r="M28" s="6">
        <v>0</v>
      </c>
      <c r="N28" s="20">
        <f>C28-M28</f>
        <v>60000</v>
      </c>
      <c r="O28" s="33">
        <v>60000</v>
      </c>
    </row>
    <row r="29" spans="1:15" ht="15">
      <c r="A29" s="1" t="s">
        <v>40</v>
      </c>
      <c r="C29" s="35">
        <v>6062243</v>
      </c>
      <c r="D29" s="38">
        <v>357000</v>
      </c>
      <c r="E29" s="38">
        <v>4156000</v>
      </c>
      <c r="F29" s="38">
        <v>2000000</v>
      </c>
      <c r="G29" s="38">
        <v>1000000</v>
      </c>
      <c r="H29" s="38">
        <v>1000000</v>
      </c>
      <c r="I29" s="35">
        <v>1890498</v>
      </c>
      <c r="J29" s="35">
        <v>4171745</v>
      </c>
      <c r="K29" s="35">
        <v>1909498</v>
      </c>
      <c r="L29" s="35">
        <v>4156745</v>
      </c>
      <c r="M29" s="35">
        <v>1917498</v>
      </c>
      <c r="N29" s="35">
        <v>4081745</v>
      </c>
      <c r="O29" s="35">
        <v>2582745</v>
      </c>
    </row>
    <row r="30" spans="3:16" ht="15">
      <c r="C30" s="35">
        <f>C5+C15+C24-C29</f>
        <v>0.33547999896109104</v>
      </c>
      <c r="D30" s="35">
        <f aca="true" t="shared" si="8" ref="D30:O30">D5+D15+D24-D29</f>
        <v>0</v>
      </c>
      <c r="E30" s="35">
        <f t="shared" si="8"/>
        <v>0</v>
      </c>
      <c r="F30" s="35">
        <f t="shared" si="8"/>
        <v>1325560.82808</v>
      </c>
      <c r="G30" s="35">
        <f t="shared" si="8"/>
        <v>1448972.15398</v>
      </c>
      <c r="H30" s="35">
        <f t="shared" si="8"/>
        <v>1325560.82808</v>
      </c>
      <c r="I30" s="35">
        <f t="shared" si="8"/>
        <v>0.15397999994456768</v>
      </c>
      <c r="J30" s="35">
        <f t="shared" si="8"/>
        <v>0.18149999948218465</v>
      </c>
      <c r="K30" s="35">
        <f t="shared" si="8"/>
        <v>0.15397999994456768</v>
      </c>
      <c r="L30" s="35">
        <f t="shared" si="8"/>
        <v>0.18149999948218465</v>
      </c>
      <c r="M30" s="35">
        <f t="shared" si="8"/>
        <v>0.15397999994456768</v>
      </c>
      <c r="N30" s="35">
        <f t="shared" si="8"/>
        <v>0.18149999948218465</v>
      </c>
      <c r="O30" s="35">
        <f t="shared" si="8"/>
        <v>0.18149999948218465</v>
      </c>
      <c r="P30" s="13"/>
    </row>
    <row r="31" spans="1:3" ht="15">
      <c r="A31" s="1" t="s">
        <v>38</v>
      </c>
      <c r="B31" s="12"/>
      <c r="C31" s="12"/>
    </row>
    <row r="32" ht="15">
      <c r="A32" s="1" t="s">
        <v>37</v>
      </c>
    </row>
    <row r="33" spans="4:6" ht="15">
      <c r="D33" s="15"/>
      <c r="E33" s="15"/>
      <c r="F33" s="15"/>
    </row>
  </sheetData>
  <sheetProtection/>
  <mergeCells count="6">
    <mergeCell ref="M3:N3"/>
    <mergeCell ref="G4:H4"/>
    <mergeCell ref="B3:C3"/>
    <mergeCell ref="D3:F3"/>
    <mergeCell ref="I3:J3"/>
    <mergeCell ref="K3:L3"/>
  </mergeCells>
  <printOptions horizontalCentered="1"/>
  <pageMargins left="0.31496062992125984" right="0.5118110236220472" top="0.35433070866141736" bottom="0.35433070866141736" header="0.11811023622047245" footer="0.11811023622047245"/>
  <pageSetup horizontalDpi="600" verticalDpi="600" orientation="landscape" paperSize="9" scale="85" r:id="rId3"/>
  <headerFooter>
    <oddFooter>&amp;L&amp;8&amp;Z&amp;F&amp;A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39"/>
  <sheetViews>
    <sheetView tabSelected="1" zoomScalePageLayoutView="0" workbookViewId="0" topLeftCell="A1">
      <selection activeCell="D13" sqref="D13"/>
    </sheetView>
  </sheetViews>
  <sheetFormatPr defaultColWidth="9.140625" defaultRowHeight="15"/>
  <cols>
    <col min="1" max="1" width="21.00390625" style="0" customWidth="1"/>
    <col min="7" max="7" width="9.140625" style="0" customWidth="1"/>
  </cols>
  <sheetData>
    <row r="1" spans="1:15" ht="15">
      <c r="A1" s="41" t="s">
        <v>71</v>
      </c>
      <c r="B1" s="41"/>
      <c r="C1" s="41"/>
      <c r="D1" s="59"/>
      <c r="E1" s="41"/>
      <c r="F1" s="41"/>
      <c r="G1" s="41"/>
      <c r="H1" s="41"/>
      <c r="I1" s="41"/>
      <c r="J1" s="41"/>
      <c r="K1" s="42"/>
      <c r="L1" s="42"/>
      <c r="M1" s="42"/>
      <c r="N1" s="43" t="s">
        <v>70</v>
      </c>
      <c r="O1" s="41"/>
    </row>
    <row r="2" spans="1:15" ht="15.75" thickBot="1">
      <c r="A2" s="41"/>
      <c r="B2" s="41"/>
      <c r="C2" s="41"/>
      <c r="D2" s="41"/>
      <c r="E2" s="41"/>
      <c r="F2" s="41"/>
      <c r="G2" s="41"/>
      <c r="H2" s="55"/>
      <c r="I2" s="56"/>
      <c r="J2" s="44"/>
      <c r="K2" s="41"/>
      <c r="L2" s="41"/>
      <c r="M2" s="41"/>
      <c r="N2" s="41"/>
      <c r="O2" s="41"/>
    </row>
    <row r="3" spans="1:15" ht="67.5">
      <c r="A3" s="45"/>
      <c r="B3" s="113" t="s">
        <v>42</v>
      </c>
      <c r="C3" s="113"/>
      <c r="D3" s="114" t="s">
        <v>43</v>
      </c>
      <c r="E3" s="115"/>
      <c r="F3" s="115"/>
      <c r="G3" s="115"/>
      <c r="H3" s="79"/>
      <c r="I3" s="83" t="s">
        <v>41</v>
      </c>
      <c r="J3" s="116">
        <v>2015</v>
      </c>
      <c r="K3" s="117"/>
      <c r="L3" s="116">
        <v>2016</v>
      </c>
      <c r="M3" s="117"/>
      <c r="N3" s="116">
        <v>2017</v>
      </c>
      <c r="O3" s="118"/>
    </row>
    <row r="4" spans="1:15" ht="33.75">
      <c r="A4" s="46"/>
      <c r="B4" s="78" t="s">
        <v>44</v>
      </c>
      <c r="C4" s="78" t="s">
        <v>57</v>
      </c>
      <c r="D4" s="47" t="s">
        <v>45</v>
      </c>
      <c r="E4" s="78" t="s">
        <v>34</v>
      </c>
      <c r="F4" s="78" t="s">
        <v>35</v>
      </c>
      <c r="G4" s="78">
        <v>2012</v>
      </c>
      <c r="H4" s="78">
        <v>2013</v>
      </c>
      <c r="I4" s="82">
        <v>2014</v>
      </c>
      <c r="J4" s="90" t="s">
        <v>4</v>
      </c>
      <c r="K4" s="81" t="s">
        <v>5</v>
      </c>
      <c r="L4" s="90" t="s">
        <v>4</v>
      </c>
      <c r="M4" s="81" t="s">
        <v>5</v>
      </c>
      <c r="N4" s="90" t="s">
        <v>4</v>
      </c>
      <c r="O4" s="91" t="s">
        <v>5</v>
      </c>
    </row>
    <row r="5" spans="1:15" ht="33.75">
      <c r="A5" s="48" t="s">
        <v>46</v>
      </c>
      <c r="B5" s="48">
        <f>B6+B7+B8+B9+B10+B11+B12+B13+B14</f>
        <v>1099</v>
      </c>
      <c r="C5" s="29">
        <f>C6+C7+C8+C9+C10+C11+C12+C13+C14</f>
        <v>5176074.8897400005</v>
      </c>
      <c r="D5" s="50"/>
      <c r="E5" s="48"/>
      <c r="F5" s="48"/>
      <c r="G5" s="57">
        <f>G6+G7+G8+G9+G10+G11+G12+G13+G14</f>
        <v>1886103.1355541516</v>
      </c>
      <c r="H5" s="65">
        <f>H6+H7+H8+H9+H10+H11+H12+H13+H14</f>
        <v>1819911.2513076195</v>
      </c>
      <c r="I5" s="84">
        <f>I6+I7+I8+I9+I10+I11+I12+I13+I14</f>
        <v>2057702.6816399998</v>
      </c>
      <c r="J5" s="92">
        <f>J6+J7+J8+J9+J10+J11+J12+J13+J14</f>
        <v>2057702.6816399998</v>
      </c>
      <c r="K5" s="58">
        <f aca="true" t="shared" si="0" ref="K5:K14">C5-J5</f>
        <v>3118372.2081000004</v>
      </c>
      <c r="L5" s="92">
        <f>L6+L7+L8+L9+L10+L11+L12+L13+L14</f>
        <v>2057702.6816399998</v>
      </c>
      <c r="M5" s="58">
        <f aca="true" t="shared" si="1" ref="M5:M14">C5-L5</f>
        <v>3118372.2081000004</v>
      </c>
      <c r="N5" s="92">
        <f>N6+N7+N8+N9+N10+N11+N12+N13+N14</f>
        <v>2057702.6816399998</v>
      </c>
      <c r="O5" s="100">
        <f aca="true" t="shared" si="2" ref="O5:O14">C5-N5</f>
        <v>3118372.2081000004</v>
      </c>
    </row>
    <row r="6" spans="1:15" ht="15">
      <c r="A6" s="66" t="s">
        <v>7</v>
      </c>
      <c r="B6" s="48">
        <v>648</v>
      </c>
      <c r="C6" s="29">
        <f>3128285*1.2359+320*15.22*6</f>
        <v>3895469.8315</v>
      </c>
      <c r="D6" s="49"/>
      <c r="E6" s="25">
        <v>706334</v>
      </c>
      <c r="F6" s="25">
        <v>714207</v>
      </c>
      <c r="G6" s="25">
        <f>(347402*1.2409+320*10.7*6)/0.702804</f>
        <v>642618.9119583839</v>
      </c>
      <c r="H6" s="25">
        <v>657996</v>
      </c>
      <c r="I6" s="85">
        <f>(349*320*5.5+49140+36930)*1.2359+320*15.22*6</f>
        <v>894735.529</v>
      </c>
      <c r="J6" s="92">
        <f>(349*320*5.5+49140+36930)*1.2359+320*15.22*6</f>
        <v>894735.529</v>
      </c>
      <c r="K6" s="67">
        <f t="shared" si="0"/>
        <v>3000734.3024999998</v>
      </c>
      <c r="L6" s="92">
        <f>(349*320*5.5+49140+36930)*1.2359+320*15.22*6</f>
        <v>894735.529</v>
      </c>
      <c r="M6" s="67">
        <f t="shared" si="1"/>
        <v>3000734.3024999998</v>
      </c>
      <c r="N6" s="92">
        <f>(349*320*5.5+49140+36930)*1.2359+320*15.22*6</f>
        <v>894735.529</v>
      </c>
      <c r="O6" s="101">
        <f t="shared" si="2"/>
        <v>3000734.3024999998</v>
      </c>
    </row>
    <row r="7" spans="1:15" ht="15">
      <c r="A7" s="66" t="s">
        <v>8</v>
      </c>
      <c r="B7" s="48">
        <v>300</v>
      </c>
      <c r="C7" s="29">
        <f>(300*655*6*0.4+58950)*1.2359+300*15.22*6</f>
        <v>683102.745</v>
      </c>
      <c r="D7" s="49"/>
      <c r="E7" s="68"/>
      <c r="F7" s="68"/>
      <c r="G7" s="69">
        <f>(300*460*6*0.4*1.2409+300*10.7*6+30117)/0.702804</f>
        <v>655037.6491881093</v>
      </c>
      <c r="H7" s="25">
        <f>(300*460*6*0.4*1.2409+300*10.7*6)/0.702804</f>
        <v>612185.0188672802</v>
      </c>
      <c r="I7" s="85">
        <f>(300*655*6*0.4*1.2359+300*15.22*6)</f>
        <v>610246.44</v>
      </c>
      <c r="J7" s="92">
        <f>(300*655*6*0.4*1.2359+300*15.22*6)</f>
        <v>610246.44</v>
      </c>
      <c r="K7" s="67">
        <f t="shared" si="0"/>
        <v>72856.30500000005</v>
      </c>
      <c r="L7" s="92">
        <f>(300*655*6*0.4*1.2359+300*15.22*6)</f>
        <v>610246.44</v>
      </c>
      <c r="M7" s="70">
        <f t="shared" si="1"/>
        <v>72856.30500000005</v>
      </c>
      <c r="N7" s="92">
        <f>(300*655*6*0.4*1.2359+300*15.22*6)</f>
        <v>610246.44</v>
      </c>
      <c r="O7" s="101">
        <f t="shared" si="2"/>
        <v>72856.30500000005</v>
      </c>
    </row>
    <row r="8" spans="1:15" ht="15">
      <c r="A8" s="66" t="s">
        <v>14</v>
      </c>
      <c r="B8" s="48">
        <v>60</v>
      </c>
      <c r="C8" s="29">
        <f>(60*740*6*0.4+13320)*1.2359+60*15.22*6</f>
        <v>153638.89200000002</v>
      </c>
      <c r="D8" s="49"/>
      <c r="E8" s="23"/>
      <c r="F8" s="23"/>
      <c r="G8" s="69">
        <f>(60*520*6*0.4*1.2409+60*10.7*6+6774)/0.702804</f>
        <v>147330.6811002783</v>
      </c>
      <c r="H8" s="25">
        <f>(60*520*6*0.4*1.2409+60*10.7*6)/0.702804</f>
        <v>137692.14745505145</v>
      </c>
      <c r="I8" s="85">
        <f>(60*740*6*0.4*1.2359+60*15.22*6)</f>
        <v>137176.704</v>
      </c>
      <c r="J8" s="92">
        <f>(60*740*6*0.4*1.2359+60*15.22*6)</f>
        <v>137176.704</v>
      </c>
      <c r="K8" s="67">
        <f t="shared" si="0"/>
        <v>16462.188000000024</v>
      </c>
      <c r="L8" s="92">
        <f>(60*740*6*0.4*1.2359+60*15.22*6)</f>
        <v>137176.704</v>
      </c>
      <c r="M8" s="67">
        <f t="shared" si="1"/>
        <v>16462.188000000024</v>
      </c>
      <c r="N8" s="92">
        <f>(60*740*6*0.4*1.2359+60*15.22*6)</f>
        <v>137176.704</v>
      </c>
      <c r="O8" s="101">
        <f t="shared" si="2"/>
        <v>16462.188000000024</v>
      </c>
    </row>
    <row r="9" spans="1:15" ht="15">
      <c r="A9" s="66" t="s">
        <v>13</v>
      </c>
      <c r="B9" s="48">
        <v>44</v>
      </c>
      <c r="C9" s="29">
        <f>(44*755*6*0.4+9966)*1.2359+44*15.22*8.2</f>
        <v>116344.1906</v>
      </c>
      <c r="D9" s="49"/>
      <c r="E9" s="23"/>
      <c r="F9" s="23"/>
      <c r="G9" s="69">
        <f>(44*530*6*0.4*1.2409+44*10.7*6+5059)/0.702804</f>
        <v>110037.06751811317</v>
      </c>
      <c r="H9" s="25">
        <f>(44*530*6*0.4*1.2409+44*10.7*6)/0.702804</f>
        <v>102838.75902812164</v>
      </c>
      <c r="I9" s="85">
        <f>(44*755*6*0.4*1.2359+44*15.22*8.2)</f>
        <v>104027.2112</v>
      </c>
      <c r="J9" s="92">
        <f>(44*755*6*0.4*1.2359+44*15.22*8.2)</f>
        <v>104027.2112</v>
      </c>
      <c r="K9" s="67">
        <f t="shared" si="0"/>
        <v>12316.979399999997</v>
      </c>
      <c r="L9" s="92">
        <f>(44*755*6*0.4*1.2359+44*15.22*8.2)</f>
        <v>104027.2112</v>
      </c>
      <c r="M9" s="67">
        <f t="shared" si="1"/>
        <v>12316.979399999997</v>
      </c>
      <c r="N9" s="92">
        <f>(44*755*6*0.4*1.2359+44*15.22*8.2)</f>
        <v>104027.2112</v>
      </c>
      <c r="O9" s="101">
        <f t="shared" si="2"/>
        <v>12316.979399999997</v>
      </c>
    </row>
    <row r="10" spans="1:15" ht="15">
      <c r="A10" s="66" t="s">
        <v>36</v>
      </c>
      <c r="B10" s="48">
        <v>15</v>
      </c>
      <c r="C10" s="29">
        <f>(15*570*12*1+2565)*1.2359+15*15.22*12</f>
        <v>132713.0235</v>
      </c>
      <c r="D10" s="49"/>
      <c r="E10" s="23"/>
      <c r="F10" s="23"/>
      <c r="G10" s="69">
        <f>(15*400*12*1*1.2409+15*10.7*12+6389)/0.702804</f>
        <v>138957.37645204065</v>
      </c>
      <c r="H10" s="25">
        <f>(15*400*12*1*1.2409+15*10.7*12)/0.702804</f>
        <v>129866.64845390747</v>
      </c>
      <c r="I10" s="85">
        <f>(15*570*12*1*1.2359+15*15.22*12)</f>
        <v>129542.94</v>
      </c>
      <c r="J10" s="92">
        <f>(15*570*12*1*1.2359+15*15.22*12)</f>
        <v>129542.94</v>
      </c>
      <c r="K10" s="67">
        <f t="shared" si="0"/>
        <v>3170.083500000008</v>
      </c>
      <c r="L10" s="92">
        <f>(15*570*12*1*1.2359+15*15.22*12)</f>
        <v>129542.94</v>
      </c>
      <c r="M10" s="67">
        <f t="shared" si="1"/>
        <v>3170.083500000008</v>
      </c>
      <c r="N10" s="92">
        <f>(15*570*12*1*1.2359+15*15.22*12)</f>
        <v>129542.94</v>
      </c>
      <c r="O10" s="101">
        <f t="shared" si="2"/>
        <v>3170.083500000008</v>
      </c>
    </row>
    <row r="11" spans="1:15" ht="15">
      <c r="A11" s="66" t="s">
        <v>15</v>
      </c>
      <c r="B11" s="48">
        <v>10</v>
      </c>
      <c r="C11" s="29">
        <f>(10*755*6*0.4+2265)*1.2359+10*15.22*6</f>
        <v>26107.0215</v>
      </c>
      <c r="D11" s="49"/>
      <c r="E11" s="23"/>
      <c r="F11" s="23"/>
      <c r="G11" s="69">
        <f>(10*530*0.4*6*1.2409+10*10.7*6+1150)/0.702804</f>
        <v>25008.74781589177</v>
      </c>
      <c r="H11" s="25">
        <f>(10*530*0.4*6*1.2409+10*10.7*6)/0.702804</f>
        <v>23372.44523366401</v>
      </c>
      <c r="I11" s="85">
        <f>(10*755*0.4*6*1.2359+10*15.22*6)</f>
        <v>23307.708000000002</v>
      </c>
      <c r="J11" s="92">
        <f>(10*755*0.4*6*1.2359+10*15.22*6)</f>
        <v>23307.708000000002</v>
      </c>
      <c r="K11" s="71">
        <f t="shared" si="0"/>
        <v>2799.3134999999966</v>
      </c>
      <c r="L11" s="92">
        <f>(10*755*0.4*6*1.2359+10*15.22*6)</f>
        <v>23307.708000000002</v>
      </c>
      <c r="M11" s="67">
        <f t="shared" si="1"/>
        <v>2799.3134999999966</v>
      </c>
      <c r="N11" s="92">
        <f>(10*755*0.4*6*1.2359+10*15.22*6)</f>
        <v>23307.708000000002</v>
      </c>
      <c r="O11" s="101">
        <f t="shared" si="2"/>
        <v>2799.3134999999966</v>
      </c>
    </row>
    <row r="12" spans="1:15" ht="15">
      <c r="A12" s="66" t="s">
        <v>16</v>
      </c>
      <c r="B12" s="48">
        <v>10</v>
      </c>
      <c r="C12" s="29">
        <f>(10*1140*6*0.5+3420)*1.2359+10*15.22*6</f>
        <v>47407.757999999994</v>
      </c>
      <c r="D12" s="49"/>
      <c r="E12" s="23"/>
      <c r="F12" s="23"/>
      <c r="G12" s="69">
        <f>(10*800*6*0.5*1.2409+10*10.7*6+2130)/0.702804</f>
        <v>46319.599774617105</v>
      </c>
      <c r="H12" s="25">
        <f>(10*800*6*0.5*1.2409+10*10.7*6)/0.702804</f>
        <v>43288.88281796916</v>
      </c>
      <c r="I12" s="85">
        <f>(10*1140*6*0.5*1.2359+15.22*10*6)</f>
        <v>43180.979999999996</v>
      </c>
      <c r="J12" s="92">
        <f>(10*1140*6*0.5*1.2359+15.22*10*6)</f>
        <v>43180.979999999996</v>
      </c>
      <c r="K12" s="67">
        <f t="shared" si="0"/>
        <v>4226.777999999998</v>
      </c>
      <c r="L12" s="92">
        <f>(10*1140*6*0.5*1.2359+15.22*10*6)</f>
        <v>43180.979999999996</v>
      </c>
      <c r="M12" s="67">
        <f t="shared" si="1"/>
        <v>4226.777999999998</v>
      </c>
      <c r="N12" s="92">
        <f>(10*1140*6*0.5*1.2359+15.22*10*6)</f>
        <v>43180.979999999996</v>
      </c>
      <c r="O12" s="101">
        <f t="shared" si="2"/>
        <v>4226.777999999998</v>
      </c>
    </row>
    <row r="13" spans="1:15" ht="15">
      <c r="A13" s="66" t="s">
        <v>17</v>
      </c>
      <c r="B13" s="48">
        <v>10</v>
      </c>
      <c r="C13" s="29">
        <f>(10*1566*6*0.8+4698)*1.2359+10*15.22*6</f>
        <v>99619.5894</v>
      </c>
      <c r="D13" s="49"/>
      <c r="E13" s="23"/>
      <c r="F13" s="23"/>
      <c r="G13" s="69">
        <f>(10*1100*0.8*6*1.2409+10*10.7*6+5708)/0.702804</f>
        <v>102261.11405171284</v>
      </c>
      <c r="H13" s="25">
        <f>(10*1100*0.8*6*1.2409+10*10.7*6)/0.702804</f>
        <v>94139.36175662061</v>
      </c>
      <c r="I13" s="85">
        <f>(10*1566*0.8*6*1.2359+10*15.22*6)</f>
        <v>93813.3312</v>
      </c>
      <c r="J13" s="92">
        <f>(10*1566*0.8*6*1.2359+10*15.22*6)</f>
        <v>93813.3312</v>
      </c>
      <c r="K13" s="67">
        <f t="shared" si="0"/>
        <v>5806.258199999997</v>
      </c>
      <c r="L13" s="92">
        <f>(10*1566*0.8*6*1.2359+10*15.22*6)</f>
        <v>93813.3312</v>
      </c>
      <c r="M13" s="67">
        <f t="shared" si="1"/>
        <v>5806.258199999997</v>
      </c>
      <c r="N13" s="92">
        <f>(10*1566*0.8*6*1.2359+10*15.22*6)</f>
        <v>93813.3312</v>
      </c>
      <c r="O13" s="101">
        <f t="shared" si="2"/>
        <v>5806.258199999997</v>
      </c>
    </row>
    <row r="14" spans="1:15" ht="26.25" customHeight="1">
      <c r="A14" s="48" t="s">
        <v>20</v>
      </c>
      <c r="B14" s="48">
        <v>2</v>
      </c>
      <c r="C14" s="29">
        <f>((1*1244*6*0.4)+(1*1194*12))*1.2359+(15.22*18)</f>
        <v>21671.838239999997</v>
      </c>
      <c r="D14" s="49"/>
      <c r="E14" s="23"/>
      <c r="F14" s="23"/>
      <c r="G14" s="72">
        <f>(((1*874*6*0.3)+(1*764*12))*1.2409-497+(10.7*18))/0.702804</f>
        <v>18531.98769500458</v>
      </c>
      <c r="H14" s="29">
        <f>(((1*874*6*0.3)+(1*764*12))*1.2409-497+(10.7*18))/0.702804</f>
        <v>18531.98769500458</v>
      </c>
      <c r="I14" s="86">
        <f>((1*1244*6*0.4)+(1*1194*12))*1.2359+(15.22*18)</f>
        <v>21671.838239999997</v>
      </c>
      <c r="J14" s="93">
        <f>((1*1244*6*0.4)+(1*1194*12))*1.2359+(15.22*18)</f>
        <v>21671.838239999997</v>
      </c>
      <c r="K14" s="67">
        <f t="shared" si="0"/>
        <v>0</v>
      </c>
      <c r="L14" s="93">
        <f>((1*1244*6*0.4)+(1*1194*12))*1.2359+(15.22*18)</f>
        <v>21671.838239999997</v>
      </c>
      <c r="M14" s="67">
        <f t="shared" si="1"/>
        <v>0</v>
      </c>
      <c r="N14" s="93">
        <f>((1*1244*6*0.4)+(1*1194*12))*1.2359+(15.22*18)</f>
        <v>21671.838239999997</v>
      </c>
      <c r="O14" s="101">
        <f t="shared" si="2"/>
        <v>0</v>
      </c>
    </row>
    <row r="15" spans="1:15" ht="39" customHeight="1">
      <c r="A15" s="48" t="s">
        <v>47</v>
      </c>
      <c r="B15" s="49">
        <f>B16+B17+B18+B19+B20+B21+B22</f>
        <v>4870</v>
      </c>
      <c r="C15" s="49">
        <f>(C16+C17+C18+C19+C20+C21+C22)</f>
        <v>1827663</v>
      </c>
      <c r="D15" s="52"/>
      <c r="E15" s="51">
        <f>(E16+E17+E18+E19+E20+E21+E22)</f>
        <v>382041</v>
      </c>
      <c r="F15" s="49">
        <f>(F16+F17+F18+F19+F20+F21+F22)</f>
        <v>0</v>
      </c>
      <c r="G15" s="51">
        <f>(G16+G17+G18+G19+G20+G21+G22)</f>
        <v>99601</v>
      </c>
      <c r="H15" s="51">
        <f>(H16+H17+H18+H19+H20+H21+H22)</f>
        <v>199202</v>
      </c>
      <c r="I15" s="87">
        <f>(I16+I17+I18+I19+I20+I21+I22)</f>
        <v>178482</v>
      </c>
      <c r="J15" s="94">
        <f aca="true" t="shared" si="3" ref="J15:O15">(J16+J17+J18+J19+J20+J21+J22+J23)</f>
        <v>1045548</v>
      </c>
      <c r="K15" s="80">
        <f t="shared" si="3"/>
        <v>348175</v>
      </c>
      <c r="L15" s="94">
        <f t="shared" si="3"/>
        <v>1031319</v>
      </c>
      <c r="M15" s="80">
        <f t="shared" si="3"/>
        <v>348175</v>
      </c>
      <c r="N15" s="94">
        <f t="shared" si="3"/>
        <v>1002862</v>
      </c>
      <c r="O15" s="102">
        <f t="shared" si="3"/>
        <v>539178</v>
      </c>
    </row>
    <row r="16" spans="1:15" ht="25.5" customHeight="1">
      <c r="A16" s="49" t="s">
        <v>63</v>
      </c>
      <c r="B16" s="54">
        <v>2</v>
      </c>
      <c r="C16" s="54">
        <v>42687</v>
      </c>
      <c r="D16" s="62">
        <v>1</v>
      </c>
      <c r="E16" s="25">
        <v>0</v>
      </c>
      <c r="F16" s="54">
        <v>0</v>
      </c>
      <c r="G16" s="29">
        <v>14229</v>
      </c>
      <c r="H16" s="25">
        <v>0</v>
      </c>
      <c r="I16" s="88"/>
      <c r="J16" s="94">
        <v>14229</v>
      </c>
      <c r="K16" s="63">
        <v>0</v>
      </c>
      <c r="L16" s="94">
        <v>0</v>
      </c>
      <c r="M16" s="63">
        <v>0</v>
      </c>
      <c r="N16" s="94">
        <v>14229</v>
      </c>
      <c r="O16" s="103">
        <v>0</v>
      </c>
    </row>
    <row r="17" spans="1:15" ht="22.5">
      <c r="A17" s="109" t="s">
        <v>66</v>
      </c>
      <c r="B17" s="54">
        <v>2000</v>
      </c>
      <c r="C17" s="54">
        <f aca="true" t="shared" si="4" ref="C17:C22">E17+F17+G17+H17+I17+J17+K17++L17+M17+N17+O17</f>
        <v>281749</v>
      </c>
      <c r="D17" s="62">
        <v>0</v>
      </c>
      <c r="E17" s="29">
        <v>143989</v>
      </c>
      <c r="F17" s="54">
        <v>0</v>
      </c>
      <c r="G17" s="29">
        <v>34149</v>
      </c>
      <c r="H17" s="29">
        <v>3587</v>
      </c>
      <c r="I17" s="88"/>
      <c r="J17" s="94">
        <v>14656</v>
      </c>
      <c r="K17" s="63">
        <v>13800</v>
      </c>
      <c r="L17" s="94">
        <v>14656</v>
      </c>
      <c r="M17" s="63">
        <v>13800</v>
      </c>
      <c r="N17" s="94">
        <v>14656</v>
      </c>
      <c r="O17" s="103">
        <v>28456</v>
      </c>
    </row>
    <row r="18" spans="1:15" ht="15">
      <c r="A18" s="66" t="s">
        <v>48</v>
      </c>
      <c r="B18" s="54">
        <v>1430</v>
      </c>
      <c r="C18" s="54">
        <f t="shared" si="4"/>
        <v>465189</v>
      </c>
      <c r="D18" s="62">
        <v>530</v>
      </c>
      <c r="E18" s="29">
        <v>222373</v>
      </c>
      <c r="F18" s="54">
        <v>0</v>
      </c>
      <c r="G18" s="25">
        <v>51223</v>
      </c>
      <c r="H18" s="25">
        <v>63531</v>
      </c>
      <c r="I18" s="88"/>
      <c r="J18" s="95">
        <v>42686</v>
      </c>
      <c r="K18" s="63"/>
      <c r="L18" s="95">
        <v>42686</v>
      </c>
      <c r="M18" s="63"/>
      <c r="N18" s="95"/>
      <c r="O18" s="103">
        <v>42690</v>
      </c>
    </row>
    <row r="19" spans="1:15" ht="31.5" customHeight="1">
      <c r="A19" s="49" t="s">
        <v>50</v>
      </c>
      <c r="B19" s="54">
        <v>316</v>
      </c>
      <c r="C19" s="54">
        <f t="shared" si="4"/>
        <v>767928</v>
      </c>
      <c r="D19" s="62">
        <v>323</v>
      </c>
      <c r="E19" s="29">
        <v>0</v>
      </c>
      <c r="F19" s="54">
        <v>0</v>
      </c>
      <c r="G19" s="25">
        <v>0</v>
      </c>
      <c r="H19" s="25">
        <v>90990</v>
      </c>
      <c r="I19" s="88">
        <v>158562</v>
      </c>
      <c r="J19" s="95">
        <v>158562</v>
      </c>
      <c r="K19" s="63">
        <v>14230</v>
      </c>
      <c r="L19" s="95">
        <v>158562</v>
      </c>
      <c r="M19" s="63">
        <v>14230</v>
      </c>
      <c r="N19" s="95">
        <v>158562</v>
      </c>
      <c r="O19" s="103">
        <v>14230</v>
      </c>
    </row>
    <row r="20" spans="1:15" ht="15">
      <c r="A20" s="106" t="s">
        <v>67</v>
      </c>
      <c r="B20" s="54">
        <v>419</v>
      </c>
      <c r="C20" s="54">
        <f t="shared" si="4"/>
        <v>94640</v>
      </c>
      <c r="D20" s="62">
        <v>88</v>
      </c>
      <c r="E20" s="29">
        <v>15679</v>
      </c>
      <c r="F20" s="54">
        <v>0</v>
      </c>
      <c r="G20" s="29">
        <v>0</v>
      </c>
      <c r="H20" s="29">
        <v>41094</v>
      </c>
      <c r="I20" s="88"/>
      <c r="J20" s="95">
        <v>0</v>
      </c>
      <c r="K20" s="63"/>
      <c r="L20" s="95">
        <v>0</v>
      </c>
      <c r="M20" s="63"/>
      <c r="N20" s="95">
        <v>0</v>
      </c>
      <c r="O20" s="103">
        <v>37867</v>
      </c>
    </row>
    <row r="21" spans="1:15" ht="15">
      <c r="A21" s="66" t="s">
        <v>51</v>
      </c>
      <c r="B21" s="54">
        <v>184</v>
      </c>
      <c r="C21" s="54">
        <f t="shared" si="4"/>
        <v>79680</v>
      </c>
      <c r="D21" s="62">
        <v>184</v>
      </c>
      <c r="E21" s="29">
        <v>0</v>
      </c>
      <c r="F21" s="54">
        <v>0</v>
      </c>
      <c r="G21" s="25">
        <v>0</v>
      </c>
      <c r="H21" s="25">
        <v>0</v>
      </c>
      <c r="I21" s="88">
        <v>19920</v>
      </c>
      <c r="J21" s="95">
        <v>19920</v>
      </c>
      <c r="K21" s="63">
        <v>0</v>
      </c>
      <c r="L21" s="95">
        <v>19920</v>
      </c>
      <c r="M21" s="63">
        <v>0</v>
      </c>
      <c r="N21" s="95">
        <v>19920</v>
      </c>
      <c r="O21" s="103">
        <v>0</v>
      </c>
    </row>
    <row r="22" spans="1:15" ht="33" customHeight="1">
      <c r="A22" s="48" t="s">
        <v>60</v>
      </c>
      <c r="B22" s="54">
        <v>519</v>
      </c>
      <c r="C22" s="54">
        <f t="shared" si="4"/>
        <v>95790</v>
      </c>
      <c r="D22" s="62"/>
      <c r="E22" s="29"/>
      <c r="F22" s="54"/>
      <c r="G22" s="25"/>
      <c r="H22" s="25"/>
      <c r="I22" s="88"/>
      <c r="J22" s="95"/>
      <c r="K22" s="63"/>
      <c r="L22" s="95"/>
      <c r="M22" s="63"/>
      <c r="N22" s="95"/>
      <c r="O22" s="103">
        <v>95790</v>
      </c>
    </row>
    <row r="23" spans="1:15" ht="15">
      <c r="A23" s="66" t="s">
        <v>49</v>
      </c>
      <c r="B23" s="54">
        <v>783320</v>
      </c>
      <c r="C23" s="54">
        <v>1115640</v>
      </c>
      <c r="D23" s="54">
        <v>783320</v>
      </c>
      <c r="E23" s="29">
        <v>0</v>
      </c>
      <c r="F23" s="54">
        <v>0</v>
      </c>
      <c r="G23" s="25">
        <v>0</v>
      </c>
      <c r="H23" s="29">
        <v>640292</v>
      </c>
      <c r="I23" s="88">
        <v>795495</v>
      </c>
      <c r="J23" s="95">
        <v>795495</v>
      </c>
      <c r="K23" s="63">
        <v>320145</v>
      </c>
      <c r="L23" s="95">
        <v>795495</v>
      </c>
      <c r="M23" s="63">
        <v>320145</v>
      </c>
      <c r="N23" s="95">
        <v>795495</v>
      </c>
      <c r="O23" s="103">
        <v>320145</v>
      </c>
    </row>
    <row r="24" spans="1:15" ht="24.75" customHeight="1">
      <c r="A24" s="48" t="s">
        <v>52</v>
      </c>
      <c r="B24" s="54">
        <f aca="true" t="shared" si="5" ref="B24:O24">B25+B27+B29+B30+B31</f>
        <v>1066</v>
      </c>
      <c r="C24" s="54">
        <f t="shared" si="5"/>
        <v>26364543</v>
      </c>
      <c r="D24" s="54">
        <f t="shared" si="5"/>
        <v>749</v>
      </c>
      <c r="E24" s="51">
        <f t="shared" si="5"/>
        <v>728435</v>
      </c>
      <c r="F24" s="51">
        <f>F25+F27+F29+F30+F31+F32</f>
        <v>6597350</v>
      </c>
      <c r="G24" s="51">
        <f t="shared" si="5"/>
        <v>2883456</v>
      </c>
      <c r="H24" s="51">
        <f t="shared" si="5"/>
        <v>1202353</v>
      </c>
      <c r="I24" s="87">
        <f t="shared" si="5"/>
        <v>2297311</v>
      </c>
      <c r="J24" s="96">
        <f t="shared" si="5"/>
        <v>386709</v>
      </c>
      <c r="K24" s="53">
        <f t="shared" si="5"/>
        <v>3811638</v>
      </c>
      <c r="L24" s="96">
        <f t="shared" si="5"/>
        <v>386709</v>
      </c>
      <c r="M24" s="53">
        <f t="shared" si="5"/>
        <v>3811638</v>
      </c>
      <c r="N24" s="96">
        <f t="shared" si="5"/>
        <v>0</v>
      </c>
      <c r="O24" s="104">
        <f t="shared" si="5"/>
        <v>4754638</v>
      </c>
    </row>
    <row r="25" spans="1:15" ht="15">
      <c r="A25" s="106" t="s">
        <v>11</v>
      </c>
      <c r="B25" s="54"/>
      <c r="C25" s="54">
        <f>E25+F25+G25+H25+I25+J25+K25++L25+M25+N25+O25</f>
        <v>6936640</v>
      </c>
      <c r="D25" s="62">
        <v>13</v>
      </c>
      <c r="E25" s="29"/>
      <c r="F25" s="29">
        <v>2091622</v>
      </c>
      <c r="G25" s="29">
        <v>76835</v>
      </c>
      <c r="H25" s="29">
        <v>112731</v>
      </c>
      <c r="I25" s="86">
        <v>378484</v>
      </c>
      <c r="J25" s="95">
        <v>378484</v>
      </c>
      <c r="K25" s="63">
        <v>1100000</v>
      </c>
      <c r="L25" s="94">
        <v>378484</v>
      </c>
      <c r="M25" s="63">
        <v>1100000</v>
      </c>
      <c r="N25" s="94">
        <v>0</v>
      </c>
      <c r="O25" s="103">
        <v>1320000</v>
      </c>
    </row>
    <row r="26" spans="1:15" ht="15">
      <c r="A26" s="106" t="s">
        <v>64</v>
      </c>
      <c r="B26" s="54">
        <v>35</v>
      </c>
      <c r="C26" s="54"/>
      <c r="D26" s="62"/>
      <c r="E26" s="29"/>
      <c r="F26" s="29">
        <v>10</v>
      </c>
      <c r="G26" s="29"/>
      <c r="H26" s="29">
        <v>1</v>
      </c>
      <c r="I26" s="86">
        <v>2</v>
      </c>
      <c r="J26" s="95">
        <v>2</v>
      </c>
      <c r="K26" s="63">
        <v>5</v>
      </c>
      <c r="L26" s="94">
        <v>2</v>
      </c>
      <c r="M26" s="63">
        <v>5</v>
      </c>
      <c r="N26" s="94"/>
      <c r="O26" s="103">
        <v>6</v>
      </c>
    </row>
    <row r="27" spans="1:15" ht="36" customHeight="1">
      <c r="A27" s="107" t="s">
        <v>53</v>
      </c>
      <c r="B27" s="54">
        <v>398</v>
      </c>
      <c r="C27" s="54">
        <f>E27+F27+G27+H27+I27+J27+K27++L27+M27+N27+O27</f>
        <v>6809515</v>
      </c>
      <c r="D27" s="62">
        <v>340</v>
      </c>
      <c r="E27" s="29"/>
      <c r="F27" s="29">
        <v>3649666</v>
      </c>
      <c r="G27" s="29">
        <v>2080239</v>
      </c>
      <c r="H27" s="29">
        <v>441610</v>
      </c>
      <c r="I27" s="86"/>
      <c r="J27" s="95">
        <v>0</v>
      </c>
      <c r="K27" s="63"/>
      <c r="L27" s="94">
        <v>0</v>
      </c>
      <c r="M27" s="63"/>
      <c r="N27" s="94">
        <v>0</v>
      </c>
      <c r="O27" s="103">
        <v>638000</v>
      </c>
    </row>
    <row r="28" spans="1:15" ht="24" customHeight="1">
      <c r="A28" s="107" t="s">
        <v>65</v>
      </c>
      <c r="B28" s="54"/>
      <c r="C28" s="54"/>
      <c r="D28" s="62"/>
      <c r="E28" s="29"/>
      <c r="F28" s="29">
        <v>173</v>
      </c>
      <c r="G28" s="29">
        <v>140</v>
      </c>
      <c r="H28" s="29">
        <v>27</v>
      </c>
      <c r="I28" s="86"/>
      <c r="J28" s="95"/>
      <c r="K28" s="63"/>
      <c r="L28" s="94"/>
      <c r="M28" s="63"/>
      <c r="N28" s="94"/>
      <c r="O28" s="103">
        <v>29</v>
      </c>
    </row>
    <row r="29" spans="1:15" ht="43.5" customHeight="1">
      <c r="A29" s="54" t="s">
        <v>54</v>
      </c>
      <c r="B29" s="54">
        <v>414</v>
      </c>
      <c r="C29" s="54">
        <f>E29+F29+G29+H29+I29+J29+K29++L29+M29+N29+O29</f>
        <v>218909</v>
      </c>
      <c r="D29" s="62">
        <v>274</v>
      </c>
      <c r="E29" s="25">
        <v>125924</v>
      </c>
      <c r="F29" s="25">
        <v>48378</v>
      </c>
      <c r="G29" s="25">
        <v>0</v>
      </c>
      <c r="H29" s="25">
        <v>44607</v>
      </c>
      <c r="I29" s="85"/>
      <c r="J29" s="95">
        <v>0</v>
      </c>
      <c r="K29" s="63">
        <v>0</v>
      </c>
      <c r="L29" s="95">
        <v>0</v>
      </c>
      <c r="M29" s="63">
        <v>0</v>
      </c>
      <c r="N29" s="95">
        <v>0</v>
      </c>
      <c r="O29" s="103"/>
    </row>
    <row r="30" spans="1:15" ht="51" customHeight="1">
      <c r="A30" s="73" t="s">
        <v>55</v>
      </c>
      <c r="B30" s="54">
        <v>75</v>
      </c>
      <c r="C30" s="54">
        <f>E30+F30+G30+H30+I30+J30+K30++L30+M30+N30+O30</f>
        <v>851571</v>
      </c>
      <c r="D30" s="62">
        <v>15</v>
      </c>
      <c r="E30" s="25"/>
      <c r="F30" s="25">
        <v>123790</v>
      </c>
      <c r="G30" s="25">
        <v>589069</v>
      </c>
      <c r="H30" s="25">
        <v>29037</v>
      </c>
      <c r="I30" s="85">
        <v>8225</v>
      </c>
      <c r="J30" s="95">
        <v>8225</v>
      </c>
      <c r="K30" s="63"/>
      <c r="L30" s="94">
        <v>8225</v>
      </c>
      <c r="M30" s="63"/>
      <c r="N30" s="94">
        <v>0</v>
      </c>
      <c r="O30" s="103">
        <v>85000</v>
      </c>
    </row>
    <row r="31" spans="1:15" ht="37.5" customHeight="1">
      <c r="A31" s="48" t="s">
        <v>56</v>
      </c>
      <c r="B31" s="54">
        <v>179</v>
      </c>
      <c r="C31" s="54">
        <f>E31+F31+G31+H31+I31+J31+K31++L31+M31+N31+O31</f>
        <v>11547908</v>
      </c>
      <c r="D31" s="62">
        <f>40+34+33</f>
        <v>107</v>
      </c>
      <c r="E31" s="54">
        <v>602511</v>
      </c>
      <c r="F31" s="54">
        <v>188200</v>
      </c>
      <c r="G31" s="54">
        <v>137313</v>
      </c>
      <c r="H31" s="54">
        <v>574368</v>
      </c>
      <c r="I31" s="88">
        <v>1910602</v>
      </c>
      <c r="J31" s="95"/>
      <c r="K31" s="63">
        <v>2711638</v>
      </c>
      <c r="L31" s="94"/>
      <c r="M31" s="63">
        <v>2711638</v>
      </c>
      <c r="N31" s="94"/>
      <c r="O31" s="103">
        <v>2711638</v>
      </c>
    </row>
    <row r="32" spans="1:15" ht="28.5" customHeight="1" thickBot="1">
      <c r="A32" s="48" t="s">
        <v>61</v>
      </c>
      <c r="B32" s="54"/>
      <c r="C32" s="54"/>
      <c r="D32" s="62"/>
      <c r="E32" s="54"/>
      <c r="F32" s="54">
        <v>495694</v>
      </c>
      <c r="G32" s="54"/>
      <c r="H32" s="54"/>
      <c r="I32" s="88"/>
      <c r="J32" s="97"/>
      <c r="K32" s="98"/>
      <c r="L32" s="99"/>
      <c r="M32" s="98"/>
      <c r="N32" s="99"/>
      <c r="O32" s="105"/>
    </row>
    <row r="33" spans="1:15" ht="0.75" customHeight="1">
      <c r="A33" s="74"/>
      <c r="B33" s="75"/>
      <c r="C33" s="76"/>
      <c r="D33" s="76"/>
      <c r="E33" s="77"/>
      <c r="F33" s="77"/>
      <c r="G33" s="77"/>
      <c r="H33" s="77"/>
      <c r="I33" s="77"/>
      <c r="J33" s="89"/>
      <c r="K33" s="89"/>
      <c r="L33" s="89"/>
      <c r="M33" s="89"/>
      <c r="N33" s="89"/>
      <c r="O33" s="89"/>
    </row>
    <row r="34" spans="1:10" ht="15">
      <c r="A34" s="59" t="s">
        <v>58</v>
      </c>
      <c r="B34" s="60"/>
      <c r="C34" s="60"/>
      <c r="D34" s="60"/>
      <c r="E34" s="41"/>
      <c r="F34" s="41"/>
      <c r="G34" s="41"/>
      <c r="H34" s="41"/>
      <c r="I34" s="41"/>
      <c r="J34" s="41"/>
    </row>
    <row r="35" spans="1:10" ht="15">
      <c r="A35" s="59" t="s">
        <v>37</v>
      </c>
      <c r="B35" s="41"/>
      <c r="C35" s="41"/>
      <c r="D35" s="41"/>
      <c r="E35" s="41"/>
      <c r="F35" s="41"/>
      <c r="G35" s="41"/>
      <c r="H35" s="41"/>
      <c r="I35" s="41"/>
      <c r="J35" s="44"/>
    </row>
    <row r="36" spans="1:10" ht="15">
      <c r="A36" s="59" t="s">
        <v>59</v>
      </c>
      <c r="B36" s="41"/>
      <c r="C36" s="41"/>
      <c r="D36" s="41"/>
      <c r="E36" s="61"/>
      <c r="F36" s="61"/>
      <c r="G36" s="61"/>
      <c r="H36" s="41"/>
      <c r="I36" s="41"/>
      <c r="J36" s="41"/>
    </row>
    <row r="37" ht="15">
      <c r="A37" s="64" t="s">
        <v>62</v>
      </c>
    </row>
    <row r="38" spans="1:15" ht="63.75" customHeight="1">
      <c r="A38" s="111" t="s">
        <v>68</v>
      </c>
      <c r="B38" s="111"/>
      <c r="C38" s="111"/>
      <c r="D38" s="111"/>
      <c r="E38" s="111"/>
      <c r="F38" s="111"/>
      <c r="G38" s="111"/>
      <c r="H38" s="111"/>
      <c r="I38" s="111"/>
      <c r="J38" s="111"/>
      <c r="K38" s="111"/>
      <c r="L38" s="111"/>
      <c r="M38" s="111"/>
      <c r="N38" s="111"/>
      <c r="O38" s="108"/>
    </row>
    <row r="39" spans="1:15" ht="61.5" customHeight="1">
      <c r="A39" s="112" t="s">
        <v>69</v>
      </c>
      <c r="B39" s="112"/>
      <c r="C39" s="112"/>
      <c r="D39" s="112"/>
      <c r="E39" s="112"/>
      <c r="F39" s="112"/>
      <c r="G39" s="112"/>
      <c r="H39" s="112"/>
      <c r="I39" s="112"/>
      <c r="J39" s="112"/>
      <c r="K39" s="112"/>
      <c r="L39" s="112"/>
      <c r="M39" s="112"/>
      <c r="N39" s="112"/>
      <c r="O39" s="112"/>
    </row>
    <row r="40" ht="187.5" customHeight="1"/>
    <row r="41" ht="48.75" customHeight="1"/>
  </sheetData>
  <sheetProtection/>
  <mergeCells count="7">
    <mergeCell ref="A38:N38"/>
    <mergeCell ref="A39:O39"/>
    <mergeCell ref="B3:C3"/>
    <mergeCell ref="D3:G3"/>
    <mergeCell ref="J3:K3"/>
    <mergeCell ref="L3:M3"/>
    <mergeCell ref="N3:O3"/>
  </mergeCells>
  <printOptions/>
  <pageMargins left="0.25" right="0.25" top="0.25" bottom="0.25" header="0.3" footer="0.3"/>
  <pageSetup fitToHeight="0" fitToWidth="1" horizontalDpi="600" verticalDpi="600" orientation="landscape" paperSize="9" scale="95" r:id="rId3"/>
  <headerFooter>
    <oddFooter>&amp;L&amp;"Times New Roman,Parasts"&amp;10ZMZino_pielik_020714_ugunsapsVMD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2014-07-03T08:32:44Z</dcterms:modified>
  <cp:category/>
  <cp:version/>
  <cp:contentType/>
  <cp:contentStatus/>
</cp:coreProperties>
</file>