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alasko\Desktop\ISF un PMIF LIKUMS\Precizētie pēc TAPVK!!!!!! aktualie docs\Sūtīt saskaņošanai\"/>
    </mc:Choice>
  </mc:AlternateContent>
  <bookViews>
    <workbookView xWindow="0" yWindow="0" windowWidth="23325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F26" i="1"/>
  <c r="E26" i="1"/>
  <c r="D26" i="1"/>
  <c r="C26" i="1"/>
  <c r="F14" i="1"/>
  <c r="E14" i="1"/>
  <c r="D14" i="1"/>
  <c r="C14" i="1"/>
  <c r="C47" i="1" l="1"/>
  <c r="H44" i="1"/>
  <c r="F44" i="1"/>
  <c r="F47" i="1" s="1"/>
  <c r="E44" i="1"/>
  <c r="E47" i="1" s="1"/>
  <c r="D44" i="1"/>
  <c r="D46" i="1" s="1"/>
  <c r="C44" i="1"/>
  <c r="C46" i="1" s="1"/>
  <c r="E45" i="1" l="1"/>
  <c r="F46" i="1"/>
  <c r="H47" i="1"/>
  <c r="H46" i="1"/>
  <c r="H45" i="1"/>
  <c r="D45" i="1"/>
  <c r="D47" i="1"/>
  <c r="E46" i="1"/>
  <c r="F45" i="1"/>
  <c r="C45" i="1"/>
  <c r="G30" i="1"/>
  <c r="H30" i="1" s="1"/>
  <c r="C33" i="1" s="1"/>
  <c r="H18" i="1"/>
  <c r="C21" i="1" s="1"/>
  <c r="H6" i="1"/>
  <c r="F9" i="1" s="1"/>
  <c r="H39" i="1"/>
  <c r="H36" i="1" s="1"/>
  <c r="C35" i="1"/>
  <c r="F23" i="1"/>
  <c r="E23" i="1"/>
  <c r="E24" i="1" s="1"/>
  <c r="D23" i="1"/>
  <c r="C11" i="1"/>
  <c r="F11" i="1"/>
  <c r="H27" i="1"/>
  <c r="H24" i="1" s="1"/>
  <c r="H15" i="1"/>
  <c r="H12" i="1" s="1"/>
  <c r="H23" i="1" l="1"/>
  <c r="H25" i="1"/>
  <c r="E27" i="1"/>
  <c r="E25" i="1"/>
  <c r="H35" i="1"/>
  <c r="D35" i="1" s="1"/>
  <c r="D36" i="1" s="1"/>
  <c r="H37" i="1"/>
  <c r="H11" i="1"/>
  <c r="H13" i="1"/>
  <c r="D21" i="1"/>
  <c r="E21" i="1"/>
  <c r="F21" i="1"/>
  <c r="C20" i="1"/>
  <c r="H20" i="1" s="1"/>
  <c r="G21" i="1"/>
  <c r="G9" i="1"/>
  <c r="C9" i="1"/>
  <c r="H9" i="1" s="1"/>
  <c r="C8" i="1"/>
  <c r="H8" i="1" s="1"/>
  <c r="E9" i="1"/>
  <c r="F7" i="1" s="1"/>
  <c r="D9" i="1"/>
  <c r="D33" i="1"/>
  <c r="E33" i="1"/>
  <c r="F33" i="1"/>
  <c r="C32" i="1"/>
  <c r="C31" i="1" s="1"/>
  <c r="G33" i="1"/>
  <c r="F19" i="1"/>
  <c r="F22" i="1" s="1"/>
  <c r="F35" i="1"/>
  <c r="F36" i="1" s="1"/>
  <c r="E11" i="1"/>
  <c r="F12" i="1"/>
  <c r="D11" i="1"/>
  <c r="G26" i="1"/>
  <c r="E35" i="1"/>
  <c r="E36" i="1" s="1"/>
  <c r="G38" i="1"/>
  <c r="C23" i="1"/>
  <c r="G23" i="1" s="1"/>
  <c r="C12" i="1"/>
  <c r="C36" i="1"/>
  <c r="F24" i="1"/>
  <c r="E28" i="1"/>
  <c r="D24" i="1"/>
  <c r="E19" i="1" l="1"/>
  <c r="E22" i="1" s="1"/>
  <c r="E7" i="1"/>
  <c r="E10" i="1" s="1"/>
  <c r="C42" i="1"/>
  <c r="D27" i="1"/>
  <c r="D25" i="1"/>
  <c r="F42" i="1"/>
  <c r="F40" i="1"/>
  <c r="F37" i="1"/>
  <c r="D39" i="1"/>
  <c r="D37" i="1"/>
  <c r="C7" i="1"/>
  <c r="D19" i="1"/>
  <c r="D22" i="1" s="1"/>
  <c r="E39" i="1"/>
  <c r="E37" i="1"/>
  <c r="F27" i="1"/>
  <c r="F25" i="1"/>
  <c r="C39" i="1"/>
  <c r="C37" i="1"/>
  <c r="H21" i="1"/>
  <c r="D7" i="1"/>
  <c r="D10" i="1" s="1"/>
  <c r="H42" i="1"/>
  <c r="C15" i="1"/>
  <c r="C13" i="1"/>
  <c r="C19" i="1"/>
  <c r="F15" i="1"/>
  <c r="F13" i="1"/>
  <c r="D42" i="1"/>
  <c r="E12" i="1"/>
  <c r="E13" i="1" s="1"/>
  <c r="E42" i="1"/>
  <c r="F10" i="1"/>
  <c r="E31" i="1"/>
  <c r="E34" i="1" s="1"/>
  <c r="H33" i="1"/>
  <c r="F31" i="1"/>
  <c r="F34" i="1" s="1"/>
  <c r="H32" i="1"/>
  <c r="D31" i="1"/>
  <c r="D34" i="1" s="1"/>
  <c r="G11" i="1"/>
  <c r="F16" i="1"/>
  <c r="D12" i="1"/>
  <c r="G35" i="1"/>
  <c r="G36" i="1" s="1"/>
  <c r="F39" i="1"/>
  <c r="D40" i="1"/>
  <c r="G24" i="1"/>
  <c r="C24" i="1"/>
  <c r="C16" i="1"/>
  <c r="E40" i="1"/>
  <c r="C40" i="1"/>
  <c r="F28" i="1"/>
  <c r="D28" i="1"/>
  <c r="G7" i="1" l="1"/>
  <c r="C27" i="1"/>
  <c r="C25" i="1"/>
  <c r="E15" i="1"/>
  <c r="C41" i="1"/>
  <c r="C43" i="1" s="1"/>
  <c r="G27" i="1"/>
  <c r="G25" i="1"/>
  <c r="G39" i="1"/>
  <c r="G37" i="1"/>
  <c r="F41" i="1"/>
  <c r="F43" i="1" s="1"/>
  <c r="D15" i="1"/>
  <c r="D13" i="1"/>
  <c r="G19" i="1"/>
  <c r="G22" i="1" s="1"/>
  <c r="H22" i="1" s="1"/>
  <c r="E16" i="1"/>
  <c r="D41" i="1"/>
  <c r="D43" i="1" s="1"/>
  <c r="E41" i="1"/>
  <c r="E43" i="1" s="1"/>
  <c r="G42" i="1"/>
  <c r="G10" i="1"/>
  <c r="H10" i="1" s="1"/>
  <c r="G31" i="1"/>
  <c r="G41" i="1" s="1"/>
  <c r="H7" i="1"/>
  <c r="D16" i="1"/>
  <c r="G40" i="1"/>
  <c r="G28" i="1"/>
  <c r="C28" i="1"/>
  <c r="H19" i="1" l="1"/>
  <c r="G43" i="1"/>
  <c r="G34" i="1"/>
  <c r="H34" i="1" s="1"/>
  <c r="H31" i="1"/>
  <c r="H41" i="1" l="1"/>
  <c r="H43" i="1" s="1"/>
  <c r="G14" i="1"/>
  <c r="G12" i="1" l="1"/>
  <c r="G44" i="1"/>
  <c r="G47" i="1" l="1"/>
  <c r="G46" i="1"/>
  <c r="G45" i="1"/>
  <c r="G15" i="1"/>
  <c r="G13" i="1"/>
  <c r="G16" i="1"/>
</calcChain>
</file>

<file path=xl/sharedStrings.xml><?xml version="1.0" encoding="utf-8"?>
<sst xmlns="http://schemas.openxmlformats.org/spreadsheetml/2006/main" count="72" uniqueCount="47">
  <si>
    <t>2015.gads</t>
  </si>
  <si>
    <t>2016.gads</t>
  </si>
  <si>
    <t>2017.gads</t>
  </si>
  <si>
    <t>2018.gads</t>
  </si>
  <si>
    <t>Tālākā laika posmā</t>
  </si>
  <si>
    <t>Pavisam kopā</t>
  </si>
  <si>
    <t>1.</t>
  </si>
  <si>
    <t>1.1.</t>
  </si>
  <si>
    <t>1.2.</t>
  </si>
  <si>
    <t>1.2.1.</t>
  </si>
  <si>
    <t>1.2.2.</t>
  </si>
  <si>
    <t>1.2.3.</t>
  </si>
  <si>
    <t>Izlīdzinošais maksājums</t>
  </si>
  <si>
    <t>Izdevumi</t>
  </si>
  <si>
    <t>Fonda finansējums (ieņēmumi )</t>
  </si>
  <si>
    <t>Fonda finansējums</t>
  </si>
  <si>
    <t>Tehniskā palīdzība</t>
  </si>
  <si>
    <t>I</t>
  </si>
  <si>
    <t>2.</t>
  </si>
  <si>
    <t>2.1.</t>
  </si>
  <si>
    <t>2.1.1.</t>
  </si>
  <si>
    <t>2.1.2.</t>
  </si>
  <si>
    <t>2.2.</t>
  </si>
  <si>
    <t xml:space="preserve">Patvēruma, migrācijas un integrācijas fonds </t>
  </si>
  <si>
    <t>II</t>
  </si>
  <si>
    <t>Iekšējās drošības fonds (robežas/vīza)</t>
  </si>
  <si>
    <t>Iekšējās drošības fonds (policijas sadarbība)</t>
  </si>
  <si>
    <t>III</t>
  </si>
  <si>
    <t>PAVISAM IZDEVUMI</t>
  </si>
  <si>
    <t>PAVISAM IEŅĒMUMI</t>
  </si>
  <si>
    <t>1.3.</t>
  </si>
  <si>
    <t>Detalizēts ieņēmumu un izdevumu aprēķins</t>
  </si>
  <si>
    <t>Pielikums sākotnējās ietekmes novērtējuma ziņojumam (anotācijai)</t>
  </si>
  <si>
    <t>Normatīvā akta nosaukums: Likumprojekts "Iekšējās drošības fonda un Patvēruma, migrācijas un integrācijas fonda 2014.-2020.gada finanšu perioda vadības likums"</t>
  </si>
  <si>
    <t>Sākotnējais avanss:
2015.gadam: 
 4% no 13 751 777</t>
  </si>
  <si>
    <t>Ikgadējais avanss:
2015.gadam: 
3% no 13 751 777
2016.gadam:
5% no 13 751 777
2017.gadam:
5% no 13 751 777
2018.gadam:                                                              5% no 13 751 777</t>
  </si>
  <si>
    <r>
      <t xml:space="preserve">Valsts budžeta finansējums (nacionālais līdzfinansējums)
</t>
    </r>
    <r>
      <rPr>
        <sz val="11"/>
        <color theme="1"/>
        <rFont val="Times New Roman"/>
        <family val="1"/>
        <charset val="186"/>
      </rPr>
      <t>2015.gadam: 
25% no 191 803
2016.gadam: 
25% no 1 802 806
2017.gadam: 
25% no 2 108 773
2018.gadam: 
25% no 1 503 389</t>
    </r>
  </si>
  <si>
    <t>Sākotnējais avanss:
2015.gadam: 
 4% no 15 521 704</t>
  </si>
  <si>
    <t>Ikgadējais avanss:
2015.gadam: 
3% no 15 521 704
2016.gadam:
5% no 15 521 704
2017.gadam:
5% no 15 521 704
2018.gadam:                                                              5% no 15 521 704</t>
  </si>
  <si>
    <r>
      <t xml:space="preserve">Valsts budžeta finansējums (nacionālais līdzfinansējums)
</t>
    </r>
    <r>
      <rPr>
        <sz val="11"/>
        <color theme="1"/>
        <rFont val="Times New Roman"/>
        <family val="1"/>
        <charset val="186"/>
      </rPr>
      <t>2015.gadam: 
25% no 450 552
2016.gadam: 
25% no 1 978 667
2017.gadam: 
25% no 2 949 378
2018.gadam:                                                           25% no 3 843 889</t>
    </r>
  </si>
  <si>
    <t>Sākotnējais avanss:
2015.gadam: 
 4% no 16 941 431</t>
  </si>
  <si>
    <t>Ikgadējais avanss:
2015.gadam: 
3% no 16 941 431
2016.gadam:
5% no 16 941 431
2017.gadam:
5% no 16 941 431
2018.gadam:                                                                5% no 16 941 431</t>
  </si>
  <si>
    <r>
      <t xml:space="preserve">Valsts budžeta finansējums (nacionālais līdzfinansējums)
</t>
    </r>
    <r>
      <rPr>
        <sz val="11"/>
        <color theme="1"/>
        <rFont val="Times New Roman"/>
        <family val="1"/>
        <charset val="186"/>
      </rPr>
      <t>2015.gadam: 
25% no 2 382 802
2016.gadam: 
25% no 2 382 809
2017.gadam: 
25% no 2 382 809
2018.gadam:                                                        25% no 2 382 809</t>
    </r>
  </si>
  <si>
    <t>Projekti 
2015.gadam: 
1, 60% no 11 995 429
2016.gadam: 
15, 03% no 11 995 429 
2017.gadam: 
17, 58% no 11 995 429 
2018.gadam:
12, 53% no 11 995 429</t>
  </si>
  <si>
    <t xml:space="preserve">Projekti 
2015.gadam: 
3, 16% no 14 245 619 
2016.gadam: 
13, 89% no 14 245 619 
2017.gadam: 
20, 70% no 14 245 619 
2018.gadam:                                                                  26, 98% no 14 245 619 </t>
  </si>
  <si>
    <t>Projekti 
2015.gadam: 
0% no 15 894 359 
2016.gadam: 
14, 99% no 15 894 359
2017.gadam: 
14, 99% no 15 894 359 
2018.gadam:                                                                14, 99% no 15 894 359</t>
  </si>
  <si>
    <t>IeMAnotp_08012014.xlsx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</si>
</sst>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pane xSplit="2" ySplit="4" topLeftCell="C38" activePane="bottomRight" state="frozen"/>
      <selection pane="topRight" activeCell="C1" sqref="C1"/>
      <selection pane="bottomLeft" activeCell="A3" sqref="A3"/>
      <selection pane="bottomRight" activeCell="D54" sqref="D54"/>
    </sheetView>
  </sheetViews>
  <sheetFormatPr defaultRowHeight="15" x14ac:dyDescent="0.25"/>
  <cols>
    <col min="1" max="1" width="9.140625" style="1"/>
    <col min="2" max="2" width="43.140625" style="1" customWidth="1"/>
    <col min="3" max="8" width="13.140625" style="1" customWidth="1"/>
    <col min="9" max="12" width="9.140625" style="1"/>
    <col min="13" max="13" width="11.42578125" style="1" bestFit="1" customWidth="1"/>
    <col min="14" max="16384" width="9.140625" style="1"/>
  </cols>
  <sheetData>
    <row r="1" spans="1:15" ht="16.5" customHeight="1" x14ac:dyDescent="0.25">
      <c r="E1" s="40" t="s">
        <v>32</v>
      </c>
      <c r="F1" s="40"/>
      <c r="G1" s="40"/>
      <c r="H1" s="40"/>
    </row>
    <row r="2" spans="1:15" ht="15.75" x14ac:dyDescent="0.25">
      <c r="B2" s="39" t="s">
        <v>31</v>
      </c>
      <c r="C2" s="39"/>
    </row>
    <row r="3" spans="1:15" ht="21" customHeight="1" x14ac:dyDescent="0.25">
      <c r="A3" s="41" t="s">
        <v>33</v>
      </c>
      <c r="B3" s="41"/>
      <c r="C3" s="41"/>
      <c r="D3" s="41"/>
      <c r="E3" s="41"/>
      <c r="F3" s="41"/>
      <c r="G3" s="41"/>
      <c r="H3" s="41"/>
    </row>
    <row r="4" spans="1:15" ht="30.75" thickBot="1" x14ac:dyDescent="0.3">
      <c r="A4" s="4"/>
      <c r="B4" s="4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</row>
    <row r="5" spans="1:15" x14ac:dyDescent="0.25">
      <c r="A5" s="14" t="s">
        <v>17</v>
      </c>
      <c r="B5" s="38" t="s">
        <v>23</v>
      </c>
      <c r="C5" s="15"/>
      <c r="D5" s="15"/>
      <c r="E5" s="15"/>
      <c r="F5" s="15"/>
      <c r="G5" s="15"/>
      <c r="H5" s="16"/>
    </row>
    <row r="6" spans="1:15" hidden="1" x14ac:dyDescent="0.25">
      <c r="A6" s="17"/>
      <c r="B6" s="6"/>
      <c r="C6" s="7">
        <v>3575466</v>
      </c>
      <c r="D6" s="7">
        <v>1925248</v>
      </c>
      <c r="E6" s="7">
        <v>1787730</v>
      </c>
      <c r="F6" s="7">
        <v>2200284</v>
      </c>
      <c r="G6" s="7">
        <v>4263049</v>
      </c>
      <c r="H6" s="18">
        <f>SUM(C6:G6)</f>
        <v>13751777</v>
      </c>
      <c r="M6" s="2"/>
      <c r="N6" s="2"/>
      <c r="O6" s="2"/>
    </row>
    <row r="7" spans="1:15" x14ac:dyDescent="0.25">
      <c r="A7" s="17" t="s">
        <v>6</v>
      </c>
      <c r="B7" s="35" t="s">
        <v>14</v>
      </c>
      <c r="C7" s="7">
        <f>SUM(C8:C10)</f>
        <v>962624.3899999999</v>
      </c>
      <c r="D7" s="7">
        <f>C6-SUM(C8:C9)+D9</f>
        <v>3300430.4600000004</v>
      </c>
      <c r="E7" s="7">
        <f t="shared" ref="E7" si="0">D6-SUM(D8:D9)+E9</f>
        <v>1925248</v>
      </c>
      <c r="F7" s="7">
        <f>E6-SUM(E8:E9)+F9</f>
        <v>1787730</v>
      </c>
      <c r="G7" s="7">
        <f>H6-SUM(C7:F7)</f>
        <v>5775744.1499999994</v>
      </c>
      <c r="H7" s="18">
        <f>SUM(C7:G7)</f>
        <v>13751777</v>
      </c>
      <c r="M7" s="2"/>
      <c r="N7" s="2"/>
      <c r="O7" s="2"/>
    </row>
    <row r="8" spans="1:15" ht="45" x14ac:dyDescent="0.25">
      <c r="A8" s="23" t="s">
        <v>7</v>
      </c>
      <c r="B8" s="13" t="s">
        <v>34</v>
      </c>
      <c r="C8" s="12">
        <f>H6*0.04</f>
        <v>550071.07999999996</v>
      </c>
      <c r="D8" s="12">
        <v>0</v>
      </c>
      <c r="E8" s="12">
        <v>0</v>
      </c>
      <c r="F8" s="12">
        <v>0</v>
      </c>
      <c r="G8" s="12">
        <v>0</v>
      </c>
      <c r="H8" s="24">
        <f>SUM(C8:G8)</f>
        <v>550071.07999999996</v>
      </c>
    </row>
    <row r="9" spans="1:15" ht="138" customHeight="1" x14ac:dyDescent="0.25">
      <c r="A9" s="23" t="s">
        <v>8</v>
      </c>
      <c r="B9" s="13" t="s">
        <v>35</v>
      </c>
      <c r="C9" s="12">
        <f>H6*0.03</f>
        <v>412553.31</v>
      </c>
      <c r="D9" s="12">
        <f>$H$6*0.05</f>
        <v>687588.85000000009</v>
      </c>
      <c r="E9" s="12">
        <f t="shared" ref="E9:F9" si="1">$H$6*0.05</f>
        <v>687588.85000000009</v>
      </c>
      <c r="F9" s="12">
        <f t="shared" si="1"/>
        <v>687588.85000000009</v>
      </c>
      <c r="G9" s="12">
        <f>2*$H$6*0.05</f>
        <v>1375177.7000000002</v>
      </c>
      <c r="H9" s="24">
        <f>SUM(C9:G9)</f>
        <v>3850497.5600000005</v>
      </c>
    </row>
    <row r="10" spans="1:15" x14ac:dyDescent="0.25">
      <c r="A10" s="23" t="s">
        <v>30</v>
      </c>
      <c r="B10" s="13" t="s">
        <v>12</v>
      </c>
      <c r="C10" s="12">
        <v>0</v>
      </c>
      <c r="D10" s="12">
        <f>D7-D9</f>
        <v>2612841.6100000003</v>
      </c>
      <c r="E10" s="12">
        <f t="shared" ref="E10:F10" si="2">E7-E9</f>
        <v>1237659.1499999999</v>
      </c>
      <c r="F10" s="12">
        <f t="shared" si="2"/>
        <v>1100141.1499999999</v>
      </c>
      <c r="G10" s="12">
        <f>G7-G9</f>
        <v>4400566.4499999993</v>
      </c>
      <c r="H10" s="24">
        <f>SUM(C10:G10)</f>
        <v>9351208.3599999994</v>
      </c>
    </row>
    <row r="11" spans="1:15" s="3" customFormat="1" ht="14.25" x14ac:dyDescent="0.25">
      <c r="A11" s="19" t="s">
        <v>18</v>
      </c>
      <c r="B11" s="34" t="s">
        <v>13</v>
      </c>
      <c r="C11" s="8">
        <f>255737+C14</f>
        <v>314281.93333333335</v>
      </c>
      <c r="D11" s="8">
        <f>2403741+D14</f>
        <v>2645995.8965517241</v>
      </c>
      <c r="E11" s="8">
        <f>2811697+E14</f>
        <v>3053951.8965517241</v>
      </c>
      <c r="F11" s="8">
        <f>2004518+F14</f>
        <v>2246772.8965517241</v>
      </c>
      <c r="G11" s="8">
        <f>H11-SUM(C11:F11)</f>
        <v>9489250.3770114947</v>
      </c>
      <c r="H11" s="20">
        <f>H12+H16</f>
        <v>17750253</v>
      </c>
    </row>
    <row r="12" spans="1:15" s="3" customFormat="1" ht="14.25" x14ac:dyDescent="0.25">
      <c r="A12" s="21" t="s">
        <v>19</v>
      </c>
      <c r="B12" s="9" t="s">
        <v>15</v>
      </c>
      <c r="C12" s="10">
        <f>(C11-C14)*0.75+C14</f>
        <v>250347.68333333335</v>
      </c>
      <c r="D12" s="10">
        <f>(D11-D14)*0.75+D14</f>
        <v>2045060.6465517241</v>
      </c>
      <c r="E12" s="10">
        <f>(E11-E14)*0.75+E14</f>
        <v>2351027.6465517241</v>
      </c>
      <c r="F12" s="10">
        <f>(F11-F14)*0.75+F14</f>
        <v>1745643.3965517241</v>
      </c>
      <c r="G12" s="10">
        <f>(G11-G14)*0.75+G14</f>
        <v>7359697.3770114947</v>
      </c>
      <c r="H12" s="22">
        <f>H14+H15</f>
        <v>13751777</v>
      </c>
    </row>
    <row r="13" spans="1:15" s="3" customFormat="1" ht="14.25" hidden="1" x14ac:dyDescent="0.25">
      <c r="A13" s="21"/>
      <c r="B13" s="9"/>
      <c r="C13" s="10">
        <f>C12-C14</f>
        <v>191802.75</v>
      </c>
      <c r="D13" s="10">
        <f t="shared" ref="D13:H13" si="3">D12-D14</f>
        <v>1802805.75</v>
      </c>
      <c r="E13" s="10">
        <f t="shared" si="3"/>
        <v>2108772.75</v>
      </c>
      <c r="F13" s="10">
        <f t="shared" si="3"/>
        <v>1503388.5</v>
      </c>
      <c r="G13" s="10">
        <f t="shared" si="3"/>
        <v>6388659</v>
      </c>
      <c r="H13" s="22">
        <f t="shared" si="3"/>
        <v>11995429</v>
      </c>
    </row>
    <row r="14" spans="1:15" x14ac:dyDescent="0.25">
      <c r="A14" s="23" t="s">
        <v>20</v>
      </c>
      <c r="B14" s="11" t="s">
        <v>16</v>
      </c>
      <c r="C14" s="12">
        <f>H14/30</f>
        <v>58544.933333333334</v>
      </c>
      <c r="D14" s="12">
        <f>$H$14/7.25</f>
        <v>242254.89655172414</v>
      </c>
      <c r="E14" s="12">
        <f>$H$14/7.25</f>
        <v>242254.89655172414</v>
      </c>
      <c r="F14" s="12">
        <f>$H$14/7.25</f>
        <v>242254.89655172414</v>
      </c>
      <c r="G14" s="12">
        <f>H14-C14-D14-E14-F14</f>
        <v>971038.37701149436</v>
      </c>
      <c r="H14" s="24">
        <v>1756348</v>
      </c>
    </row>
    <row r="15" spans="1:15" ht="135" x14ac:dyDescent="0.25">
      <c r="A15" s="23" t="s">
        <v>21</v>
      </c>
      <c r="B15" s="32" t="s">
        <v>43</v>
      </c>
      <c r="C15" s="12">
        <f>C12-C14</f>
        <v>191802.75</v>
      </c>
      <c r="D15" s="12">
        <f t="shared" ref="D15:G15" si="4">D12-D14</f>
        <v>1802805.75</v>
      </c>
      <c r="E15" s="12">
        <f t="shared" si="4"/>
        <v>2108772.75</v>
      </c>
      <c r="F15" s="12">
        <f t="shared" si="4"/>
        <v>1503388.5</v>
      </c>
      <c r="G15" s="12">
        <f t="shared" si="4"/>
        <v>6388659</v>
      </c>
      <c r="H15" s="24">
        <f>15993905-H16</f>
        <v>11995429</v>
      </c>
      <c r="N15" s="2"/>
    </row>
    <row r="16" spans="1:15" s="3" customFormat="1" ht="150" customHeight="1" x14ac:dyDescent="0.25">
      <c r="A16" s="21" t="s">
        <v>22</v>
      </c>
      <c r="B16" s="33" t="s">
        <v>36</v>
      </c>
      <c r="C16" s="10">
        <f>C11-C12</f>
        <v>63934.25</v>
      </c>
      <c r="D16" s="10">
        <f>D11-D12</f>
        <v>600935.25</v>
      </c>
      <c r="E16" s="10">
        <f>E11-E12</f>
        <v>702924.25</v>
      </c>
      <c r="F16" s="10">
        <f>F11-F12</f>
        <v>501129.5</v>
      </c>
      <c r="G16" s="10">
        <f>G11-G12</f>
        <v>2129553</v>
      </c>
      <c r="H16" s="22">
        <v>3998476</v>
      </c>
      <c r="N16" s="2"/>
    </row>
    <row r="17" spans="1:8" x14ac:dyDescent="0.25">
      <c r="A17" s="25" t="s">
        <v>24</v>
      </c>
      <c r="B17" s="36" t="s">
        <v>25</v>
      </c>
      <c r="C17" s="5"/>
      <c r="D17" s="5"/>
      <c r="E17" s="5"/>
      <c r="F17" s="5"/>
      <c r="G17" s="5"/>
      <c r="H17" s="26"/>
    </row>
    <row r="18" spans="1:8" hidden="1" x14ac:dyDescent="0.25">
      <c r="A18" s="17"/>
      <c r="B18" s="35"/>
      <c r="C18" s="7">
        <v>4904862</v>
      </c>
      <c r="D18" s="7">
        <v>2685254</v>
      </c>
      <c r="E18" s="7">
        <v>2126473</v>
      </c>
      <c r="F18" s="7">
        <v>2219603</v>
      </c>
      <c r="G18" s="7">
        <v>3585512</v>
      </c>
      <c r="H18" s="18">
        <f>SUM(C18:G18)</f>
        <v>15521704</v>
      </c>
    </row>
    <row r="19" spans="1:8" s="3" customFormat="1" x14ac:dyDescent="0.25">
      <c r="A19" s="17" t="s">
        <v>6</v>
      </c>
      <c r="B19" s="35" t="s">
        <v>14</v>
      </c>
      <c r="C19" s="7">
        <f>SUM(C20:C22)</f>
        <v>1086519.28</v>
      </c>
      <c r="D19" s="7">
        <f>C18-SUM(C20:C21)+D21</f>
        <v>4594427.92</v>
      </c>
      <c r="E19" s="7">
        <f t="shared" ref="E19" si="5">D18-SUM(D20:D21)+E21</f>
        <v>2685254</v>
      </c>
      <c r="F19" s="7">
        <f>E18-SUM(E20:E21)+F21</f>
        <v>2126473</v>
      </c>
      <c r="G19" s="7">
        <f>H18-SUM(C19:F19)</f>
        <v>5029029.8000000007</v>
      </c>
      <c r="H19" s="18">
        <f>SUM(C19:G19)</f>
        <v>15521704</v>
      </c>
    </row>
    <row r="20" spans="1:8" ht="45" x14ac:dyDescent="0.25">
      <c r="A20" s="23" t="s">
        <v>9</v>
      </c>
      <c r="B20" s="13" t="s">
        <v>37</v>
      </c>
      <c r="C20" s="12">
        <f>H18*0.04</f>
        <v>620868.16</v>
      </c>
      <c r="D20" s="12">
        <v>0</v>
      </c>
      <c r="E20" s="12">
        <v>0</v>
      </c>
      <c r="F20" s="12">
        <v>0</v>
      </c>
      <c r="G20" s="12">
        <v>0</v>
      </c>
      <c r="H20" s="24">
        <f>SUM(C20:G20)</f>
        <v>620868.16</v>
      </c>
    </row>
    <row r="21" spans="1:8" ht="141" customHeight="1" x14ac:dyDescent="0.25">
      <c r="A21" s="23" t="s">
        <v>10</v>
      </c>
      <c r="B21" s="13" t="s">
        <v>38</v>
      </c>
      <c r="C21" s="12">
        <f>H18*0.03</f>
        <v>465651.12</v>
      </c>
      <c r="D21" s="12">
        <f>$H$18*0.05</f>
        <v>776085.20000000007</v>
      </c>
      <c r="E21" s="12">
        <f t="shared" ref="E21:F21" si="6">$H$18*0.05</f>
        <v>776085.20000000007</v>
      </c>
      <c r="F21" s="12">
        <f t="shared" si="6"/>
        <v>776085.20000000007</v>
      </c>
      <c r="G21" s="12">
        <f>2*$H$18*0.05</f>
        <v>1552170.4000000001</v>
      </c>
      <c r="H21" s="24">
        <f>SUM(C21:G21)</f>
        <v>4346077.12</v>
      </c>
    </row>
    <row r="22" spans="1:8" x14ac:dyDescent="0.25">
      <c r="A22" s="23" t="s">
        <v>11</v>
      </c>
      <c r="B22" s="13" t="s">
        <v>12</v>
      </c>
      <c r="C22" s="12">
        <v>0</v>
      </c>
      <c r="D22" s="12">
        <f>D19-D21</f>
        <v>3818342.7199999997</v>
      </c>
      <c r="E22" s="12">
        <f t="shared" ref="E22" si="7">E19-E21</f>
        <v>1909168.7999999998</v>
      </c>
      <c r="F22" s="12">
        <f t="shared" ref="F22" si="8">F19-F21</f>
        <v>1350387.7999999998</v>
      </c>
      <c r="G22" s="12">
        <f>G19-G21</f>
        <v>3476859.4000000004</v>
      </c>
      <c r="H22" s="24">
        <f>SUM(C22:G22)</f>
        <v>10554758.719999999</v>
      </c>
    </row>
    <row r="23" spans="1:8" x14ac:dyDescent="0.25">
      <c r="A23" s="19" t="s">
        <v>18</v>
      </c>
      <c r="B23" s="34" t="s">
        <v>13</v>
      </c>
      <c r="C23" s="8">
        <f>600736+C26</f>
        <v>643272.16666666663</v>
      </c>
      <c r="D23" s="8">
        <f>2638222+D26</f>
        <v>2814233.7241379311</v>
      </c>
      <c r="E23" s="8">
        <f>3932504+E26</f>
        <v>4108515.7241379311</v>
      </c>
      <c r="F23" s="8">
        <f>5125185+F26</f>
        <v>5301196.7241379311</v>
      </c>
      <c r="G23" s="8">
        <f>H23-SUM(C23:F23)</f>
        <v>7403024.6609195396</v>
      </c>
      <c r="H23" s="20">
        <f>H24+H28</f>
        <v>20270243</v>
      </c>
    </row>
    <row r="24" spans="1:8" x14ac:dyDescent="0.25">
      <c r="A24" s="21" t="s">
        <v>19</v>
      </c>
      <c r="B24" s="9" t="s">
        <v>15</v>
      </c>
      <c r="C24" s="10">
        <f>(C23-C26)*0.75+C26</f>
        <v>493088.16666666669</v>
      </c>
      <c r="D24" s="10">
        <f>(D23-D26)*0.75+D26</f>
        <v>2154678.2241379311</v>
      </c>
      <c r="E24" s="10">
        <f>(E23-E26)*0.75+E26</f>
        <v>3125389.7241379311</v>
      </c>
      <c r="F24" s="10">
        <f>(F23-F26)*0.75+F26</f>
        <v>4019900.4741379311</v>
      </c>
      <c r="G24" s="10">
        <f>(G23-G26)*0.75+G26</f>
        <v>5728646.9109195396</v>
      </c>
      <c r="H24" s="22">
        <f>H26+H27</f>
        <v>15521704</v>
      </c>
    </row>
    <row r="25" spans="1:8" hidden="1" x14ac:dyDescent="0.25">
      <c r="A25" s="21"/>
      <c r="B25" s="9"/>
      <c r="C25" s="10">
        <f>C24-C26</f>
        <v>450552</v>
      </c>
      <c r="D25" s="10">
        <f t="shared" ref="D25:H25" si="9">D24-D26</f>
        <v>1978666.5</v>
      </c>
      <c r="E25" s="10">
        <f t="shared" si="9"/>
        <v>2949378</v>
      </c>
      <c r="F25" s="10">
        <f t="shared" si="9"/>
        <v>3843888.75</v>
      </c>
      <c r="G25" s="10">
        <f t="shared" si="9"/>
        <v>5023133.25</v>
      </c>
      <c r="H25" s="22">
        <f t="shared" si="9"/>
        <v>14245619</v>
      </c>
    </row>
    <row r="26" spans="1:8" x14ac:dyDescent="0.25">
      <c r="A26" s="23" t="s">
        <v>20</v>
      </c>
      <c r="B26" s="11" t="s">
        <v>16</v>
      </c>
      <c r="C26" s="12">
        <f>H26/30</f>
        <v>42536.166666666664</v>
      </c>
      <c r="D26" s="12">
        <f>$H$26/7.25</f>
        <v>176011.72413793104</v>
      </c>
      <c r="E26" s="12">
        <f>$H$26/7.25</f>
        <v>176011.72413793104</v>
      </c>
      <c r="F26" s="12">
        <f>$H$26/7.25</f>
        <v>176011.72413793104</v>
      </c>
      <c r="G26" s="12">
        <f>H26-C26-D26-E26-F26</f>
        <v>705513.6609195401</v>
      </c>
      <c r="H26" s="24">
        <v>1276085</v>
      </c>
    </row>
    <row r="27" spans="1:8" ht="142.5" customHeight="1" x14ac:dyDescent="0.25">
      <c r="A27" s="23" t="s">
        <v>21</v>
      </c>
      <c r="B27" s="32" t="s">
        <v>44</v>
      </c>
      <c r="C27" s="12">
        <f>C24-C26</f>
        <v>450552</v>
      </c>
      <c r="D27" s="12">
        <f>D24-D26</f>
        <v>1978666.5</v>
      </c>
      <c r="E27" s="12">
        <f>E24-E26</f>
        <v>2949378</v>
      </c>
      <c r="F27" s="12">
        <f>F24-F26</f>
        <v>3843888.75</v>
      </c>
      <c r="G27" s="12">
        <f>G24-G26</f>
        <v>5023133.25</v>
      </c>
      <c r="H27" s="24">
        <f>18994158-H28</f>
        <v>14245619</v>
      </c>
    </row>
    <row r="28" spans="1:8" ht="148.5" x14ac:dyDescent="0.25">
      <c r="A28" s="21" t="s">
        <v>22</v>
      </c>
      <c r="B28" s="33" t="s">
        <v>39</v>
      </c>
      <c r="C28" s="10">
        <f>C23-C24</f>
        <v>150183.99999999994</v>
      </c>
      <c r="D28" s="10">
        <f>D23-D24</f>
        <v>659555.5</v>
      </c>
      <c r="E28" s="10">
        <f>E23-E24</f>
        <v>983126</v>
      </c>
      <c r="F28" s="10">
        <f>F23-F24</f>
        <v>1281296.25</v>
      </c>
      <c r="G28" s="10">
        <f>G23-G24</f>
        <v>1674377.75</v>
      </c>
      <c r="H28" s="22">
        <v>4748539</v>
      </c>
    </row>
    <row r="29" spans="1:8" ht="16.5" customHeight="1" x14ac:dyDescent="0.25">
      <c r="A29" s="25" t="s">
        <v>27</v>
      </c>
      <c r="B29" s="36" t="s">
        <v>26</v>
      </c>
      <c r="C29" s="5"/>
      <c r="D29" s="5"/>
      <c r="E29" s="5"/>
      <c r="F29" s="5"/>
      <c r="G29" s="5"/>
      <c r="H29" s="26"/>
    </row>
    <row r="30" spans="1:8" hidden="1" x14ac:dyDescent="0.25">
      <c r="A30" s="17"/>
      <c r="B30" s="35"/>
      <c r="C30" s="7">
        <v>5082431</v>
      </c>
      <c r="D30" s="7">
        <v>2371800</v>
      </c>
      <c r="E30" s="7">
        <v>2371800</v>
      </c>
      <c r="F30" s="7">
        <v>2371800</v>
      </c>
      <c r="G30" s="7">
        <f>2371800*2</f>
        <v>4743600</v>
      </c>
      <c r="H30" s="18">
        <f>SUM(C30:G30)</f>
        <v>16941431</v>
      </c>
    </row>
    <row r="31" spans="1:8" x14ac:dyDescent="0.25">
      <c r="A31" s="17" t="s">
        <v>6</v>
      </c>
      <c r="B31" s="35" t="s">
        <v>14</v>
      </c>
      <c r="C31" s="7">
        <f>SUM(C32:C34)</f>
        <v>1185900.17</v>
      </c>
      <c r="D31" s="7">
        <f>C30-SUM(C32:C33)+D33</f>
        <v>4743602.38</v>
      </c>
      <c r="E31" s="7">
        <f t="shared" ref="E31" si="10">D30-SUM(D32:D33)+E33</f>
        <v>2371800</v>
      </c>
      <c r="F31" s="7">
        <f>E30-SUM(E32:E33)+F33</f>
        <v>2371800</v>
      </c>
      <c r="G31" s="7">
        <f>H30-SUM(C31:F31)</f>
        <v>6268328.4499999993</v>
      </c>
      <c r="H31" s="18">
        <f>SUM(C31:G31)</f>
        <v>16941431</v>
      </c>
    </row>
    <row r="32" spans="1:8" ht="45" x14ac:dyDescent="0.25">
      <c r="A32" s="23" t="s">
        <v>9</v>
      </c>
      <c r="B32" s="13" t="s">
        <v>40</v>
      </c>
      <c r="C32" s="12">
        <f>H30*0.04</f>
        <v>677657.24</v>
      </c>
      <c r="D32" s="12">
        <v>0</v>
      </c>
      <c r="E32" s="12">
        <v>0</v>
      </c>
      <c r="F32" s="12">
        <v>0</v>
      </c>
      <c r="G32" s="12">
        <v>0</v>
      </c>
      <c r="H32" s="24">
        <f>SUM(C32:G32)</f>
        <v>677657.24</v>
      </c>
    </row>
    <row r="33" spans="1:8" ht="139.5" customHeight="1" x14ac:dyDescent="0.25">
      <c r="A33" s="23" t="s">
        <v>10</v>
      </c>
      <c r="B33" s="13" t="s">
        <v>41</v>
      </c>
      <c r="C33" s="12">
        <f>H30*0.03</f>
        <v>508242.93</v>
      </c>
      <c r="D33" s="12">
        <f>$H$30*0.05</f>
        <v>847071.55</v>
      </c>
      <c r="E33" s="12">
        <f t="shared" ref="E33:F33" si="11">$H$30*0.05</f>
        <v>847071.55</v>
      </c>
      <c r="F33" s="12">
        <f t="shared" si="11"/>
        <v>847071.55</v>
      </c>
      <c r="G33" s="12">
        <f>2*$H$30*0.05</f>
        <v>1694143.1</v>
      </c>
      <c r="H33" s="24">
        <f>SUM(C33:G33)</f>
        <v>4743600.68</v>
      </c>
    </row>
    <row r="34" spans="1:8" ht="18.75" customHeight="1" x14ac:dyDescent="0.25">
      <c r="A34" s="23" t="s">
        <v>11</v>
      </c>
      <c r="B34" s="13" t="s">
        <v>12</v>
      </c>
      <c r="C34" s="12">
        <v>0</v>
      </c>
      <c r="D34" s="12">
        <f>D31-D33</f>
        <v>3896530.83</v>
      </c>
      <c r="E34" s="12">
        <f t="shared" ref="E34" si="12">E31-E33</f>
        <v>1524728.45</v>
      </c>
      <c r="F34" s="12">
        <f t="shared" ref="F34" si="13">F31-F33</f>
        <v>1524728.45</v>
      </c>
      <c r="G34" s="12">
        <f>G31-G33</f>
        <v>4574185.3499999996</v>
      </c>
      <c r="H34" s="24">
        <f>SUM(C34:G34)</f>
        <v>11520173.08</v>
      </c>
    </row>
    <row r="35" spans="1:8" x14ac:dyDescent="0.25">
      <c r="A35" s="19" t="s">
        <v>18</v>
      </c>
      <c r="B35" s="34" t="s">
        <v>13</v>
      </c>
      <c r="C35" s="8">
        <f>0+C38</f>
        <v>34902.400000000001</v>
      </c>
      <c r="D35" s="8">
        <f>$H$35/7+D38</f>
        <v>3321502.4384236452</v>
      </c>
      <c r="E35" s="8">
        <f t="shared" ref="E35:F35" si="14">$H$35/7+E38</f>
        <v>3321502.4384236452</v>
      </c>
      <c r="F35" s="8">
        <f t="shared" si="14"/>
        <v>3321502.4384236452</v>
      </c>
      <c r="G35" s="8">
        <f>H35-SUM(C35:F35)</f>
        <v>12240141.284729065</v>
      </c>
      <c r="H35" s="20">
        <f>H36+H40</f>
        <v>22239551</v>
      </c>
    </row>
    <row r="36" spans="1:8" x14ac:dyDescent="0.25">
      <c r="A36" s="21" t="s">
        <v>19</v>
      </c>
      <c r="B36" s="9" t="s">
        <v>15</v>
      </c>
      <c r="C36" s="10">
        <f>(C35-C38)*0.75+C38</f>
        <v>34902.400000000001</v>
      </c>
      <c r="D36" s="10">
        <f t="shared" ref="D36" si="15">(D35-D38)*0.75+D38</f>
        <v>2527232.7598522166</v>
      </c>
      <c r="E36" s="10">
        <f t="shared" ref="E36" si="16">(E35-E38)*0.75+E38</f>
        <v>2527232.7598522166</v>
      </c>
      <c r="F36" s="10">
        <f t="shared" ref="F36" si="17">(F35-F38)*0.75+F38</f>
        <v>2527232.7598522166</v>
      </c>
      <c r="G36" s="10">
        <f t="shared" ref="G36" si="18">(G35-G38)*0.75+G38</f>
        <v>9324830.5704433508</v>
      </c>
      <c r="H36" s="22">
        <f>H38+H39</f>
        <v>16941431</v>
      </c>
    </row>
    <row r="37" spans="1:8" ht="15" hidden="1" customHeight="1" x14ac:dyDescent="0.25">
      <c r="A37" s="21"/>
      <c r="B37" s="9"/>
      <c r="C37" s="10">
        <f>C36-C38</f>
        <v>0</v>
      </c>
      <c r="D37" s="10">
        <f t="shared" ref="D37:H37" si="19">D36-D38</f>
        <v>2382809.0357142854</v>
      </c>
      <c r="E37" s="10">
        <f t="shared" si="19"/>
        <v>2382809.0357142854</v>
      </c>
      <c r="F37" s="10">
        <f t="shared" si="19"/>
        <v>2382809.0357142854</v>
      </c>
      <c r="G37" s="10">
        <f t="shared" si="19"/>
        <v>8745932.1428571437</v>
      </c>
      <c r="H37" s="22">
        <f t="shared" si="19"/>
        <v>15894359</v>
      </c>
    </row>
    <row r="38" spans="1:8" x14ac:dyDescent="0.25">
      <c r="A38" s="23" t="s">
        <v>20</v>
      </c>
      <c r="B38" s="11" t="s">
        <v>16</v>
      </c>
      <c r="C38" s="12">
        <f>H38/30</f>
        <v>34902.400000000001</v>
      </c>
      <c r="D38" s="12">
        <f>$H$38/7.25</f>
        <v>144423.72413793104</v>
      </c>
      <c r="E38" s="12">
        <f>$H$38/7.25</f>
        <v>144423.72413793104</v>
      </c>
      <c r="F38" s="12">
        <f>$H$38/7.25</f>
        <v>144423.72413793104</v>
      </c>
      <c r="G38" s="12">
        <f>H38-C38-D38-E38-F38</f>
        <v>578898.42758620693</v>
      </c>
      <c r="H38" s="24">
        <v>1047072</v>
      </c>
    </row>
    <row r="39" spans="1:8" ht="138.75" customHeight="1" x14ac:dyDescent="0.25">
      <c r="A39" s="23" t="s">
        <v>21</v>
      </c>
      <c r="B39" s="32" t="s">
        <v>45</v>
      </c>
      <c r="C39" s="12">
        <f>C36-C38</f>
        <v>0</v>
      </c>
      <c r="D39" s="12">
        <f t="shared" ref="D39" si="20">D36-D38</f>
        <v>2382809.0357142854</v>
      </c>
      <c r="E39" s="12">
        <f t="shared" ref="E39" si="21">E36-E38</f>
        <v>2382809.0357142854</v>
      </c>
      <c r="F39" s="12">
        <f t="shared" ref="F39" si="22">F36-F38</f>
        <v>2382809.0357142854</v>
      </c>
      <c r="G39" s="12">
        <f t="shared" ref="G39" si="23">G36-G38</f>
        <v>8745932.1428571437</v>
      </c>
      <c r="H39" s="24">
        <f>21192479-H40</f>
        <v>15894359</v>
      </c>
    </row>
    <row r="40" spans="1:8" ht="151.5" customHeight="1" x14ac:dyDescent="0.25">
      <c r="A40" s="21" t="s">
        <v>22</v>
      </c>
      <c r="B40" s="33" t="s">
        <v>42</v>
      </c>
      <c r="C40" s="10">
        <f>C35-C36</f>
        <v>0</v>
      </c>
      <c r="D40" s="10">
        <f t="shared" ref="D40:G40" si="24">D35-D36</f>
        <v>794269.67857142864</v>
      </c>
      <c r="E40" s="10">
        <f t="shared" si="24"/>
        <v>794269.67857142864</v>
      </c>
      <c r="F40" s="10">
        <f t="shared" si="24"/>
        <v>794269.67857142864</v>
      </c>
      <c r="G40" s="10">
        <f t="shared" si="24"/>
        <v>2915310.7142857146</v>
      </c>
      <c r="H40" s="22">
        <v>5298120</v>
      </c>
    </row>
    <row r="41" spans="1:8" s="3" customFormat="1" ht="14.25" x14ac:dyDescent="0.25">
      <c r="A41" s="21"/>
      <c r="B41" s="9" t="s">
        <v>29</v>
      </c>
      <c r="C41" s="10">
        <f t="shared" ref="C41:H41" si="25">C7+C19+C31</f>
        <v>3235043.84</v>
      </c>
      <c r="D41" s="10">
        <f t="shared" si="25"/>
        <v>12638460.760000002</v>
      </c>
      <c r="E41" s="10">
        <f t="shared" si="25"/>
        <v>6982302</v>
      </c>
      <c r="F41" s="10">
        <f t="shared" si="25"/>
        <v>6286003</v>
      </c>
      <c r="G41" s="10">
        <f t="shared" si="25"/>
        <v>17073102.399999999</v>
      </c>
      <c r="H41" s="22">
        <f t="shared" si="25"/>
        <v>46214912</v>
      </c>
    </row>
    <row r="42" spans="1:8" s="3" customFormat="1" thickBot="1" x14ac:dyDescent="0.3">
      <c r="A42" s="27"/>
      <c r="B42" s="37" t="s">
        <v>28</v>
      </c>
      <c r="C42" s="28">
        <f t="shared" ref="C42:H42" si="26">C11+C23+C35</f>
        <v>992456.5</v>
      </c>
      <c r="D42" s="28">
        <f t="shared" si="26"/>
        <v>8781732.0591132995</v>
      </c>
      <c r="E42" s="28">
        <f t="shared" si="26"/>
        <v>10483970.059113299</v>
      </c>
      <c r="F42" s="28">
        <f t="shared" si="26"/>
        <v>10869472.059113299</v>
      </c>
      <c r="G42" s="28">
        <f t="shared" si="26"/>
        <v>29132416.322660096</v>
      </c>
      <c r="H42" s="30">
        <f t="shared" si="26"/>
        <v>60260047</v>
      </c>
    </row>
    <row r="43" spans="1:8" hidden="1" x14ac:dyDescent="0.25">
      <c r="C43" s="2">
        <f>C41-C42</f>
        <v>2242587.34</v>
      </c>
      <c r="D43" s="2">
        <f t="shared" ref="D43:H43" si="27">D41-D42</f>
        <v>3856728.7008867022</v>
      </c>
      <c r="E43" s="2">
        <f t="shared" si="27"/>
        <v>-3501668.0591132995</v>
      </c>
      <c r="F43" s="2">
        <f t="shared" si="27"/>
        <v>-4583469.0591132995</v>
      </c>
      <c r="G43" s="2">
        <f t="shared" si="27"/>
        <v>-12059313.922660097</v>
      </c>
      <c r="H43" s="2">
        <f t="shared" si="27"/>
        <v>-14045135</v>
      </c>
    </row>
    <row r="44" spans="1:8" hidden="1" x14ac:dyDescent="0.25">
      <c r="C44" s="2">
        <f t="shared" ref="C44:H44" si="28">C14+C26+C38</f>
        <v>135983.5</v>
      </c>
      <c r="D44" s="2">
        <f t="shared" si="28"/>
        <v>562690.3448275862</v>
      </c>
      <c r="E44" s="2">
        <f t="shared" si="28"/>
        <v>562690.3448275862</v>
      </c>
      <c r="F44" s="2">
        <f t="shared" si="28"/>
        <v>562690.3448275862</v>
      </c>
      <c r="G44" s="2">
        <f t="shared" si="28"/>
        <v>2255450.4655172415</v>
      </c>
      <c r="H44" s="2">
        <f t="shared" si="28"/>
        <v>4079505</v>
      </c>
    </row>
    <row r="45" spans="1:8" hidden="1" x14ac:dyDescent="0.25">
      <c r="C45" s="29">
        <f>C14/C44</f>
        <v>0.43052968436121541</v>
      </c>
      <c r="D45" s="29">
        <f t="shared" ref="D45:H45" si="29">D14/D44</f>
        <v>0.43052968436121541</v>
      </c>
      <c r="E45" s="29">
        <f t="shared" si="29"/>
        <v>0.43052968436121541</v>
      </c>
      <c r="F45" s="29">
        <f t="shared" si="29"/>
        <v>0.43052968436121541</v>
      </c>
      <c r="G45" s="29">
        <f t="shared" si="29"/>
        <v>0.43052968436121541</v>
      </c>
      <c r="H45" s="29">
        <f t="shared" si="29"/>
        <v>0.43052968436121541</v>
      </c>
    </row>
    <row r="46" spans="1:8" hidden="1" x14ac:dyDescent="0.25">
      <c r="C46" s="29">
        <f>C26/C44</f>
        <v>0.31280388184350794</v>
      </c>
      <c r="D46" s="29">
        <f t="shared" ref="D46:H46" si="30">D26/D44</f>
        <v>0.31280388184350799</v>
      </c>
      <c r="E46" s="29">
        <f t="shared" si="30"/>
        <v>0.31280388184350799</v>
      </c>
      <c r="F46" s="29">
        <f t="shared" si="30"/>
        <v>0.31280388184350799</v>
      </c>
      <c r="G46" s="29">
        <f t="shared" si="30"/>
        <v>0.31280388184350788</v>
      </c>
      <c r="H46" s="29">
        <f t="shared" si="30"/>
        <v>0.31280388184350799</v>
      </c>
    </row>
    <row r="47" spans="1:8" hidden="1" x14ac:dyDescent="0.25">
      <c r="C47" s="29">
        <f>C38/C44</f>
        <v>0.25666643379527665</v>
      </c>
      <c r="D47" s="29">
        <f t="shared" ref="D47:H47" si="31">D38/D44</f>
        <v>0.25666643379527665</v>
      </c>
      <c r="E47" s="29">
        <f t="shared" si="31"/>
        <v>0.25666643379527665</v>
      </c>
      <c r="F47" s="29">
        <f t="shared" si="31"/>
        <v>0.25666643379527665</v>
      </c>
      <c r="G47" s="29">
        <f t="shared" si="31"/>
        <v>0.25666643379527665</v>
      </c>
      <c r="H47" s="29">
        <f t="shared" si="31"/>
        <v>0.25666643379527665</v>
      </c>
    </row>
    <row r="49" spans="1:3" ht="17.25" customHeight="1" x14ac:dyDescent="0.25">
      <c r="A49" s="42" t="s">
        <v>46</v>
      </c>
      <c r="B49" s="42"/>
      <c r="C49" s="31"/>
    </row>
  </sheetData>
  <mergeCells count="4">
    <mergeCell ref="B2:C2"/>
    <mergeCell ref="E1:H1"/>
    <mergeCell ref="A3:H3"/>
    <mergeCell ref="A49:B49"/>
  </mergeCells>
  <pageMargins left="0.35433070866141736" right="0.2362204724409449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Potjomkina</dc:creator>
  <cp:lastModifiedBy>Santa Balaško</cp:lastModifiedBy>
  <cp:lastPrinted>2014-12-22T10:26:16Z</cp:lastPrinted>
  <dcterms:created xsi:type="dcterms:W3CDTF">2014-12-02T09:31:28Z</dcterms:created>
  <dcterms:modified xsi:type="dcterms:W3CDTF">2015-01-08T08:55:28Z</dcterms:modified>
</cp:coreProperties>
</file>