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6" activeTab="0"/>
  </bookViews>
  <sheets>
    <sheet name="Kopējās_izmaksas" sheetId="1" r:id="rId1"/>
    <sheet name="Būvniecības_koptame" sheetId="2" r:id="rId2"/>
    <sheet name="Būvlaukuma_iekārtošana" sheetId="3" r:id="rId3"/>
    <sheet name="Buvdarbi" sheetId="4" r:id="rId4"/>
    <sheet name="Komunikācijas" sheetId="5" r:id="rId5"/>
    <sheet name="Elektroapgāde" sheetId="6" r:id="rId6"/>
    <sheet name="Zibensaizsardzība" sheetId="7" r:id="rId7"/>
    <sheet name="Teritoriju_labiekartosana" sheetId="8" r:id="rId8"/>
  </sheets>
  <definedNames>
    <definedName name="_xlnm.Print_Titles_3">'Būvlaukuma_iekārtošana'!$A$14:$IU$14</definedName>
    <definedName name="_xlnm.Print_Titles_4">'Buvdarbi'!$A$14:$IU$14</definedName>
    <definedName name="_xlnm.Print_Titles_5">'Komunikācijas'!$A$14:$IU$14</definedName>
    <definedName name="_xlnm.Print_Titles_6">'Elektroapgāde'!$A$14:$IU$14</definedName>
    <definedName name="_xlnm.Print_Titles_7">'Zibensaizsardzība'!$A$14:$IU$14</definedName>
    <definedName name="_xlnm.Print_Titles_8">'Teritoriju_labiekartosana'!$A$14:$IU$14</definedName>
    <definedName name="Excel_BuiltIn_Print_Area_6">'Elektroapgāde'!$A$3:$O$56</definedName>
    <definedName name="Excel_BuiltIn_Print_Titles_3_1">'Būvlaukuma_iekārtošana'!$A$14:$IU$14</definedName>
    <definedName name="Excel_BuiltIn_Print_Titles_4">'Buvdarbi'!$A$14:$IU$14</definedName>
    <definedName name="Excel_BuiltIn_Print_Titles_5">'Komunikācijas'!$A$14:$IU$14</definedName>
    <definedName name="Excel_BuiltIn_Print_Titles_6">'Elektroapgāde'!$A$14:$IU$14</definedName>
    <definedName name="Excel_BuiltIn_Print_Titles_7">'Zibensaizsardzība'!$A$14:$IU$14</definedName>
    <definedName name="Excel_BuiltIn_Print_Titles_8">'Teritoriju_labiekartosana'!$A$14:$IU$14</definedName>
    <definedName name="_xlnm.Print_Area" localSheetId="3">'Buvdarbi'!$A$1:$P$198</definedName>
    <definedName name="_xlnm.Print_Area" localSheetId="2">'Būvlaukuma_iekārtošana'!$A$1:$P$50</definedName>
    <definedName name="_xlnm.Print_Area" localSheetId="1">'Būvniecības_koptame'!$A$1:$I$62</definedName>
    <definedName name="_xlnm.Print_Area" localSheetId="5">'Elektroapgāde'!$A$1:$P$60</definedName>
    <definedName name="_xlnm.Print_Area" localSheetId="4">'Komunikācijas'!$A$1:$P$71</definedName>
    <definedName name="_xlnm.Print_Area" localSheetId="0">'Kopējās_izmaksas'!$A$1:$I$33</definedName>
    <definedName name="_xlnm.Print_Area" localSheetId="7">'Teritoriju_labiekartosana'!$A$1:$P$47</definedName>
    <definedName name="_xlnm.Print_Area" localSheetId="6">'Zibensaizsardzība'!$A$1:$P$49</definedName>
    <definedName name="_xlnm.Print_Titles" localSheetId="2">'Būvlaukuma_iekārtošana'!$14:$14</definedName>
  </definedNames>
  <calcPr fullCalcOnLoad="1"/>
</workbook>
</file>

<file path=xl/sharedStrings.xml><?xml version="1.0" encoding="utf-8"?>
<sst xmlns="http://schemas.openxmlformats.org/spreadsheetml/2006/main" count="820" uniqueCount="289">
  <si>
    <t>Pasūtītājs: Dabas aizsardzības pārvalde</t>
  </si>
  <si>
    <t>Pasūtījuma  Nr. :</t>
  </si>
  <si>
    <t xml:space="preserve">Izpildītājs: </t>
  </si>
  <si>
    <t>Nr.p.k.</t>
  </si>
  <si>
    <t>Kods, tāmes Nr.</t>
  </si>
  <si>
    <t>Darba veids vai konstruktīvā elementa nosaukums</t>
  </si>
  <si>
    <t>Tai skaitā</t>
  </si>
  <si>
    <t>Darbietilpība (c/h)</t>
  </si>
  <si>
    <t>t.sk.darba aizsardzība</t>
  </si>
  <si>
    <t>Darba devēja sociālais nodoklis 23,59%</t>
  </si>
  <si>
    <t xml:space="preserve">Pavisam kopā bez PVN </t>
  </si>
  <si>
    <t>Kopā ar PVN</t>
  </si>
  <si>
    <t>PVN 21%</t>
  </si>
  <si>
    <t>Lokālā tāme Nr. 1</t>
  </si>
  <si>
    <t>(Darba veids vai konstruktīvā elementa nosaukums)</t>
  </si>
  <si>
    <t>Tāmes izmaksas</t>
  </si>
  <si>
    <t>Vienības izmaksas</t>
  </si>
  <si>
    <t>Kopā uz visu apjomu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</si>
  <si>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</si>
  <si>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</si>
  <si>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</si>
  <si>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</si>
  <si>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</si>
  <si>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</si>
  <si>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Materiāli  (euro)</t>
  </si>
  <si>
    <t>Mehānismi (euro)</t>
  </si>
  <si>
    <t>Kopā (euro)</t>
  </si>
  <si>
    <t>Darbietilpība     (c/h)</t>
  </si>
  <si>
    <t>Darba alga      (euro)</t>
  </si>
  <si>
    <t>Materiāli       (euro)</t>
  </si>
  <si>
    <t>Mehānismi      (euro)</t>
  </si>
  <si>
    <t>Summa (euro)</t>
  </si>
  <si>
    <t>Būvlaukuma iekārtošana</t>
  </si>
  <si>
    <t>Pagaidu nožogojuma montāža un demontāža (perimetram)</t>
  </si>
  <si>
    <t>t m</t>
  </si>
  <si>
    <t>Pagaidu nožogojuma noma</t>
  </si>
  <si>
    <t>men</t>
  </si>
  <si>
    <t>Būvdarbu vadītāja biroja telpas un Strādnieku sadzīves telpas, konteinertipa 6x2,5 m uzstādīšana</t>
  </si>
  <si>
    <t>gb</t>
  </si>
  <si>
    <t>Būvdarbu vadītāja biroja telpas, konteinertipa 6x2,5 m noma</t>
  </si>
  <si>
    <t>Pārvietojamās WC, mobilās Bio-tualetas, stndarta tipa uzstādīšana</t>
  </si>
  <si>
    <t>Pārvietojamās WC, mobilās Bio-tualetas, stndarta tipa noma</t>
  </si>
  <si>
    <t>Lielgabarīta būvmateriālu nokraušanas laukuma ierīkošana</t>
  </si>
  <si>
    <t>m2</t>
  </si>
  <si>
    <t>Divviru vārtu uzstādīšana (platums 4,5 m)</t>
  </si>
  <si>
    <t>Būvtāfeles izgatavošana atbilstoši Līgatnes novada apbūves noteikumu noformēšanai un tās uzstādīšana</t>
  </si>
  <si>
    <t>Pagaidu elektrības pieslēguma ierīkošana (ieskaitot skaņošanu ar komunikāciju turētāju un skaitītāja uzstādīšanu)</t>
  </si>
  <si>
    <t>kpl</t>
  </si>
  <si>
    <t>Pagaidu elektrokabelis uz būvniecības laiku</t>
  </si>
  <si>
    <t>Maksa par izlietoto elektroenerģiju</t>
  </si>
  <si>
    <t>Konteinera būvgružiem uzstādīšana</t>
  </si>
  <si>
    <t>Brīdinājuma zīmju uzstādīšana</t>
  </si>
  <si>
    <t>Ugunsdzēsības stends ierīkošana</t>
  </si>
  <si>
    <t>Viss kopā</t>
  </si>
  <si>
    <t xml:space="preserve"> transporta izdevumi</t>
  </si>
  <si>
    <t>Tiešās izmaksas kopā</t>
  </si>
  <si>
    <t xml:space="preserve">Virsizdevumi </t>
  </si>
  <si>
    <t>t.sk. darba aizsardzība</t>
  </si>
  <si>
    <t xml:space="preserve">Peļņa </t>
  </si>
  <si>
    <t xml:space="preserve">Darba devēja soc.nodoklis </t>
  </si>
  <si>
    <t>Kopā</t>
  </si>
  <si>
    <t>PVN</t>
  </si>
  <si>
    <t>Pavisam kopā</t>
  </si>
  <si>
    <t>Lokālā tāme Nr. 2</t>
  </si>
  <si>
    <t>Būvdarbi</t>
  </si>
  <si>
    <t>Ēkas perimetru montāža</t>
  </si>
  <si>
    <t>Būvbedru rakšana un sagatavošana pamatu betonēšanai ar smilts un šķembu pabēruma ierīkošanu ar blietēšanu</t>
  </si>
  <si>
    <t>m3</t>
  </si>
  <si>
    <t>Rupjgraudaina smilts</t>
  </si>
  <si>
    <t>Dolomīta šķembas</t>
  </si>
  <si>
    <t>Veidņu montāža demontāža</t>
  </si>
  <si>
    <t>Veidņu noma</t>
  </si>
  <si>
    <t>Stiegrošanas darbi</t>
  </si>
  <si>
    <t>t</t>
  </si>
  <si>
    <t>Stiegras metāla</t>
  </si>
  <si>
    <t>Palīgmateriāli</t>
  </si>
  <si>
    <t>Betonēšanas darbi ar hidroizolācijas iestrādi</t>
  </si>
  <si>
    <t>Betona B7,5 kārta 25 mm</t>
  </si>
  <si>
    <t>hidroizolācija 0,2 mm</t>
  </si>
  <si>
    <t>Atbalsta kolonu un nojumes karkasu montāža</t>
  </si>
  <si>
    <t>brusas 200*200 mm</t>
  </si>
  <si>
    <t>montāžas palīgmateriāli</t>
  </si>
  <si>
    <t>Segumu un nožogojumu montāža</t>
  </si>
  <si>
    <t>Grīdas dēļi</t>
  </si>
  <si>
    <t>sijas 50*70 mm</t>
  </si>
  <si>
    <t>montāžas un stiprinājumu palīgmateriāli</t>
  </si>
  <si>
    <t>Pagrabu kāpņu izgatavošana un montāža</t>
  </si>
  <si>
    <t>Impregnēti kokmateriāli</t>
  </si>
  <si>
    <t>palīgmateriāli</t>
  </si>
  <si>
    <t>Ēkas karkasa ar jumta iesegumu izgatavošana un montāža</t>
  </si>
  <si>
    <t>Šķautņu guļbūves, ieskaitot grīdas sijas izgatavošana un montāža būvlaukumā, bez grīdas meteriāla</t>
  </si>
  <si>
    <t>Šķautņi apstrādāti ar antipirēniem, antiseptiķiem un lineļļām</t>
  </si>
  <si>
    <t>palīg un blīvējamie materiāli</t>
  </si>
  <si>
    <t>P-1 Stāvu pārseguma montāža</t>
  </si>
  <si>
    <t>Koka sijas 75*200 mm</t>
  </si>
  <si>
    <t>PAROC UNS 37 vai ekvivalents 100 mm</t>
  </si>
  <si>
    <t>Tvaika izolācija</t>
  </si>
  <si>
    <t>Koka latas 50 mm</t>
  </si>
  <si>
    <t>Apdares dēļi 19 mm</t>
  </si>
  <si>
    <t>OSB klājs 22mm</t>
  </si>
  <si>
    <t>P-2 Barības virtuves pārseguma montāža</t>
  </si>
  <si>
    <t>PAROC UNS 37 vai ekvivalents 200 mm</t>
  </si>
  <si>
    <t>Alumīnija folija</t>
  </si>
  <si>
    <t>Koka karkass/ ventilācija 23 mm</t>
  </si>
  <si>
    <t>OSB klājs</t>
  </si>
  <si>
    <t>Jumta koka konstrukcijas un ieseguma montāža (ieskaitot apdari un pielaidumus</t>
  </si>
  <si>
    <t>Koka spāres 200*50 mm</t>
  </si>
  <si>
    <t>PAROC UNS 37 100 mm</t>
  </si>
  <si>
    <t>Difūzijas plēve</t>
  </si>
  <si>
    <t>Koka šķērslatas 50 x 100mm</t>
  </si>
  <si>
    <t>Koka šķindeļi priede(plēstas)</t>
  </si>
  <si>
    <t>stiprinājumi</t>
  </si>
  <si>
    <t>Ventilācijas izbūve</t>
  </si>
  <si>
    <t>Ventilācijas šahtu un divām ventilācijas ejām montāža 5200 mm</t>
  </si>
  <si>
    <t>Ventilācijas šahtu un divām ventilācijas ejām</t>
  </si>
  <si>
    <t>Dūmvada ar dūmu kanālu un vienu ventilācijas eju montāža 4003 mm</t>
  </si>
  <si>
    <t>Ventilācijas šahtu un vienu ventilācijas eju</t>
  </si>
  <si>
    <t>Dekoratīvais apmetums</t>
  </si>
  <si>
    <t>Grīdas</t>
  </si>
  <si>
    <t>G-1 Siltināta grīda ar tvaika izolāciju</t>
  </si>
  <si>
    <t>Atbalsta dēlis 25 mm</t>
  </si>
  <si>
    <t>PAROC WAS 25t vai ekvivalents 30 mm</t>
  </si>
  <si>
    <t>PAROC UNS 37 vai ekvivalents 170 mm</t>
  </si>
  <si>
    <t>Koka gulsnis 100*200 mm</t>
  </si>
  <si>
    <t>Koka lata 20 mm</t>
  </si>
  <si>
    <t>Tvaika izolācija 0,2 mm</t>
  </si>
  <si>
    <t>Grīdas dēlis 25 mm</t>
  </si>
  <si>
    <t>G-2 Grīdas montāža uz esošā betonējuma</t>
  </si>
  <si>
    <t>Putupolistirols 70 mm</t>
  </si>
  <si>
    <t>Dz/b nesošais slānis 50 mm</t>
  </si>
  <si>
    <t>Hidroizlācija, izlīdzinošais slānis-līme 10 mm</t>
  </si>
  <si>
    <t>Grīdas segums(flīzes)</t>
  </si>
  <si>
    <t>G-3 Siltināta grīda uz projektējama betonējuma</t>
  </si>
  <si>
    <t>Blietētas šķembas uz grunts 150 mm</t>
  </si>
  <si>
    <t>Sienu, starpsienu montāža</t>
  </si>
  <si>
    <t>S-1 Barības virtuves ārsiena</t>
  </si>
  <si>
    <t>PAROC UNS 37 vai ekvivalents 50 mm</t>
  </si>
  <si>
    <t>Ģipškartons/ugunsizturīgs/ 13 mm</t>
  </si>
  <si>
    <t>Koka karkass 50mm</t>
  </si>
  <si>
    <t>S-2  Barības virtuves starpsienas</t>
  </si>
  <si>
    <t>Koka karkass 50 mm</t>
  </si>
  <si>
    <t>Ģipškartons/ūdensizturīgs/ 13 mm</t>
  </si>
  <si>
    <t>Līmjava, dušas flīzes</t>
  </si>
  <si>
    <t>S-3 starpsienas</t>
  </si>
  <si>
    <t>S-4 starpsienas</t>
  </si>
  <si>
    <t>Koka karkass 50x75 mm</t>
  </si>
  <si>
    <t>S-5 starpsienas</t>
  </si>
  <si>
    <t>S-6 starpsienas</t>
  </si>
  <si>
    <t>Ķieģeļu mūris 120 mm</t>
  </si>
  <si>
    <t>Mūrjava</t>
  </si>
  <si>
    <t>kg</t>
  </si>
  <si>
    <t>S-8  Barības virtuves starpsienas</t>
  </si>
  <si>
    <t>PAROC UNS 37 vai ekvivalents 70 mm</t>
  </si>
  <si>
    <t>S-9 Siltināta ārsiena virs  Barības virtuves</t>
  </si>
  <si>
    <t>Difūzijas plēve 0,2 mm</t>
  </si>
  <si>
    <t>Karkass PAROC UNS 37 vai ekvivalents 200 mm</t>
  </si>
  <si>
    <t>Logu, durvju montāža</t>
  </si>
  <si>
    <t>Koka rāmja konstrukcijas logi, pilnā projekta komplektācijā montāža</t>
  </si>
  <si>
    <t>L-1 Koka logs 700*600 mm pilnā projekta komplektācijā verams</t>
  </si>
  <si>
    <t>Montāžas un blīvmateriāli</t>
  </si>
  <si>
    <t>L-2 Koka logs trijstūra 1,05 m2 , pilnā projekta komplektācijā neverams</t>
  </si>
  <si>
    <t>Ārdurvis, barību piegādes vārti koka konstrukcijas, pilnā projekta komplektācijā montāža</t>
  </si>
  <si>
    <t>D-1 ārdurvis koka 900*2100 mm projekta komplektācijā</t>
  </si>
  <si>
    <t>D-3 barību piegādes vārti koka 4000*2100 mm projekta komplektācijā</t>
  </si>
  <si>
    <t>Iekšdurvis koka konstrukcijas, pilnā projekta komplektācijā montāža</t>
  </si>
  <si>
    <t>D-4 iekšdurvis koka 900*2100 mm projekta komplektācijā</t>
  </si>
  <si>
    <t>D-5 iekšdurvis koka 900*2100 mm projekta komplektācijā</t>
  </si>
  <si>
    <t>Iekšdurvis  pilnā projekta komplektācijā montāža</t>
  </si>
  <si>
    <t>D-2 iekšdurvis 900*2100 mm projekta komplektācijā</t>
  </si>
  <si>
    <t>Virtuves durvis pilnā projekta komplektācijā montāža</t>
  </si>
  <si>
    <t>D-6 durvis 900*2100 mm projekta komplektācijā</t>
  </si>
  <si>
    <t>Lokālā tāme Nr. 3</t>
  </si>
  <si>
    <t>Komunikāciju izbūve</t>
  </si>
  <si>
    <t>Daudzslāņu kompozītcaurule PN10 ar stiprinājumiem un veidgabaliem,</t>
  </si>
  <si>
    <t>Daudzslāņu kompozītcaurule PN10 ar stiprinājumiem un veidgabaliem, piemēram, "Uponor" DN20 vai ekvivalents (25x2,5), montāža</t>
  </si>
  <si>
    <t>Daudzslāņu kompozītcaurule PN10 ar stiprinājumiem un veidgabaliem, piemēram, "Uponor" DN25 vai ekvivalents (32x3,0), montāža</t>
  </si>
  <si>
    <t>Pretkondensāta izolācija - porgumija - plastmasas caurulei DN15 (piemēram "ARMAFLEX", 19 mm vai ekvivalents), montāža</t>
  </si>
  <si>
    <t>Pretkondensāta izolācija - porgumija - plastmasas caurulei DN20 (piemēram "ARMAFLEX", 19 mm vai ekvivalents), montāža</t>
  </si>
  <si>
    <t>Izolācija plastmasas caurulei DN25 no akmens vatesčaulas (piemēram "Paroc"AE) ar polivinilhlorīda pārklājumu δ = 20mm, montāža</t>
  </si>
  <si>
    <t>Tērauda aizsargčaula ēkas sienā DN15 (21,3x2,8), montāža</t>
  </si>
  <si>
    <t>Tērauda aizsargčaula ēkas sienā DN20(26,9x3,2), montāža</t>
  </si>
  <si>
    <t>Tērauda aizsargčaula ēkas sienā DN25 (33,7x2,6), montāža</t>
  </si>
  <si>
    <t>Noslēgarmatūra - lodveida aizbīdnis DN 15, montāža</t>
  </si>
  <si>
    <t>Noslēgarmatūra - lodveida aizbīdnis DN 20, montāža</t>
  </si>
  <si>
    <t>Noslēgarmatūra - lodveida aizbīdnis DN 25, montāža</t>
  </si>
  <si>
    <t>Elektro boileris 200 l uzstādīšana</t>
  </si>
  <si>
    <t>Laistīšanas krāns ārā (siltinātā nišā) ,DN20 ar lokano šļūteni L = 30m, ar aizbīdni pirms laistīšanas krāna,komplektā ar āra lūku 330x330 un slēdzeni, montāža</t>
  </si>
  <si>
    <t>Alumīnija izlietnes trīsceļu termostatiskie vārsti karstā - aukstā ūdens maisītāji (piem. VTA322, 3/4" a.v. 20-430C, misiņš Kvs 1,6 ESBE vai analogs, montāža</t>
  </si>
  <si>
    <t>Pieslēgumi</t>
  </si>
  <si>
    <t>Kanalizācija</t>
  </si>
  <si>
    <t>PP HT kanalizācijas caurules ar veidgabaliem un stiprinājumiem Ø50. (piemēram, "Uponor" vai ekvivalents), montāža</t>
  </si>
  <si>
    <t>PP HT kanalizācijas caurules ar veidgabaliem un stiprinājumiem Ø110. (piemēram, "Uponor" vai ekvivalents), montāža</t>
  </si>
  <si>
    <t>Tērauda aizsargčaula kanalizācijas vadam ejot caur sienu DN88 montāža</t>
  </si>
  <si>
    <t>Ugunsdzēsības manžetes Ø50, montāža</t>
  </si>
  <si>
    <t>Tīrīšanas lūka Ø110, montāža</t>
  </si>
  <si>
    <t>Tīrīšanas lūka Ø50, montāža</t>
  </si>
  <si>
    <t>Revīzija uz stāvvada Ø110, montāža</t>
  </si>
  <si>
    <t>Revīzija uz stāvvada Ø50, montāža</t>
  </si>
  <si>
    <t>Grīdas traps ar sifonu un nerūsējošu tērauda režģi Ø50 (piemēram "ACO passavant" vai ekvivalents), montāža</t>
  </si>
  <si>
    <t>Vēdināšanas izvads jumtā Ø110*2,7</t>
  </si>
  <si>
    <t>Pievienojums pie esošās kanalizācijas vada</t>
  </si>
  <si>
    <t>vieta</t>
  </si>
  <si>
    <t>Sanitārtehniskās ierīces</t>
  </si>
  <si>
    <t>Nerūsošā tērauda izlietnes , komplektā ar skrūvēm un sifonu,  50x43,5, vai ekvivalents montāža</t>
  </si>
  <si>
    <t>Nerūsošā tērauda izlietnes maisītājs, montāža</t>
  </si>
  <si>
    <t>Nerūsošā tērauda trauku mazgātne, komplektā ar skrūvēm un sifonu, Reginox vai ekvivalents nerūs.tēr.izlietne Beta 20 BAP 780x430, montāža</t>
  </si>
  <si>
    <t>Nerūsošā tērauda trauku mazgātnes maisītājs, montāža</t>
  </si>
  <si>
    <t>WC keramikas klozetpods komplektā ar skrūvēm, skalošanas kasti, pievienošanas caurulēm, sēdriņķi un vāku, Cersanit Olimpia Water Closet Suite vai ekvivalents, montāža</t>
  </si>
  <si>
    <t>Lokālā tāme Nr. 4</t>
  </si>
  <si>
    <t>Elektroapgāde</t>
  </si>
  <si>
    <t>Kabeļa MMJ-3x1,5 montāža ieskaitot visus nepieciešamos materiālus un darbus</t>
  </si>
  <si>
    <t>Kabeļa MMJ-3x2,5 montāža ieskaitot visus nepieciešamos materiālus un darbus</t>
  </si>
  <si>
    <t>Kabeļa MMJ-3x4 montāža ieskaitot visus nepieciešamos materiālus un darbus</t>
  </si>
  <si>
    <t>Kabeļa MMJ-4x16 montāža ieskaitot visus nepieciešamos materiālus un darbus</t>
  </si>
  <si>
    <t>Kabeļa MMJ-5x2,5 montāža ieskaitot visus nepieciešamos materiālus un darbus</t>
  </si>
  <si>
    <t>Kabeļa MMJ-5x4 montāža ieskaitot visus nepieciešamos materiālus un darbus</t>
  </si>
  <si>
    <t>Gaismeklis ar LED spuldzi 2x58W, IP 23</t>
  </si>
  <si>
    <t>Gaismeklis ar LEDspuldzi 1x36W</t>
  </si>
  <si>
    <t>Gaismeklis ar LEDspuldzi 1x36W, IP 23</t>
  </si>
  <si>
    <t>Gaismeklis, 35W, IP 23</t>
  </si>
  <si>
    <t>Gaismeklis, 35W, IP 44</t>
  </si>
  <si>
    <t>Gaismeklis ar krītošu gaismas staru, 35W, IP 44 (hermētisks)</t>
  </si>
  <si>
    <t>Gaismeklis ar krītošu gaismas staru, 35W, IP 44</t>
  </si>
  <si>
    <t>Avārijas gaismeklis ar akumulatoru līdz 3 st.</t>
  </si>
  <si>
    <t>Spēka, apgaismošanas un vadības sadalnes</t>
  </si>
  <si>
    <t>Rozešu montāža</t>
  </si>
  <si>
    <t>Nosūces ventilators montāža</t>
  </si>
  <si>
    <t>Elektro radiators 1000 W montāža</t>
  </si>
  <si>
    <t>Elektro radiators 600 W montāža</t>
  </si>
  <si>
    <t>Elektro radiators 500 W montāža</t>
  </si>
  <si>
    <t>Mērījumi un elektroapgādes pieslēgums</t>
  </si>
  <si>
    <t>Montāžas palīgmateriāli</t>
  </si>
  <si>
    <t>Lokālā tāme Nr. 5</t>
  </si>
  <si>
    <t>Zibensaizsardzības izbūve</t>
  </si>
  <si>
    <t>Zibens uztvērējspices montāža uz jumta</t>
  </si>
  <si>
    <t>Cinkota apaļdz.8mm, uz paliktņiem, montāža ieskaitot visus nepieciešamos materiālus un darbus</t>
  </si>
  <si>
    <t>Izolēta apaļdz.8mm, ar sienas stiprinājumiem, montāža ieskaitot visus nepieciešamos materiālus un darbus</t>
  </si>
  <si>
    <t>Zemējuma apaļdzelzs, cinkotā Ø 6 mm montāža ieskaitot visus nepieciešamos materiālus un darbus</t>
  </si>
  <si>
    <t>Zemējuma apaļdzelzs, cinkotā Ø10 mm montāža ieskaitot visus nepieciešamos materiālus un darbus</t>
  </si>
  <si>
    <t>Mērspailes ar izolējošu kārbu montāža ieskaitot visus nepieciešamos materiālus un darbus</t>
  </si>
  <si>
    <t>Potenciāla izlīdzinošā kopnes montāža</t>
  </si>
  <si>
    <t>Zālāja un dekoratīvo stādījumu atjaunošana ieskaitot visus nepieciešamos darbus un materiālus pilnam darba ciklam</t>
  </si>
  <si>
    <t>Tranšejas rakšana un aizbēršana</t>
  </si>
  <si>
    <t>Savienojuma elementu montāža ieskaitot visus nepieciešamos materiālus un darbus</t>
  </si>
  <si>
    <t>Lokālā tāme Nr. 6</t>
  </si>
  <si>
    <t>Teritoriju labiekārtošana</t>
  </si>
  <si>
    <t>Projekta nospraušana dabā</t>
  </si>
  <si>
    <t>Zāliena ieseguma ierīkošana (rekonstrukcijas darbos skartajās zonās):</t>
  </si>
  <si>
    <t>Esošās augsnes (no atbērtnes) sagatavošana zālienam, ielabošana ar pievestu organisko un minerālo mēslojumu, planēšana ar rokām (h=150 mm), blietēšana atbilstoši esošajām zemes virsmas augstumu atzīmēm</t>
  </si>
  <si>
    <t>Prof. starta mēslojums zālienam NPK 12-22-10-2Fe-8S vai ekvivalents (Izsējas norma 25 kg uz 700 m2)</t>
  </si>
  <si>
    <t>Zāliena sēklu maisījums – Turfline "Ornamental" (izplatītājs Latvijā SIA "Kurzemes sēklas" vai ekvivalents) - izsējas norma 3 kg/100 m², vai izmantot analogu zāliena sēklu maisījumu</t>
  </si>
  <si>
    <t>Tāme sastādīta: 2015. gada 18. martā</t>
  </si>
  <si>
    <t>Būves nosaukums :  Saimniecības ēka - dzīvnieku barības virtuve, kadastra Nr. 426200101370</t>
  </si>
  <si>
    <t>Tāme sastādīta : 2015. gada 18. martā</t>
  </si>
  <si>
    <t>Tāme sastādīta : 2015. gada 18.martā</t>
  </si>
  <si>
    <t>3.pielikums</t>
  </si>
  <si>
    <t>Direktora vietnieks</t>
  </si>
  <si>
    <t>Dabas aizsardzības pārvaldes</t>
  </si>
  <si>
    <t>Vidzemes reģionālās administrācijas</t>
  </si>
  <si>
    <t>Sastādīja:</t>
  </si>
  <si>
    <t>Mārtiņš Zīverts</t>
  </si>
  <si>
    <t>tālr. 29205712</t>
  </si>
  <si>
    <t>martins.ziverts@daba.gov.lv</t>
  </si>
  <si>
    <t>3.2. pielikums</t>
  </si>
  <si>
    <t>3.3. pielikums</t>
  </si>
  <si>
    <t>3.4. pielikums</t>
  </si>
  <si>
    <t>3.5. pielikums</t>
  </si>
  <si>
    <t>3.6. pielikums</t>
  </si>
  <si>
    <t>Kopējās izmaksas</t>
  </si>
  <si>
    <r>
      <t xml:space="preserve">Projektēšanas izdevumi 8% </t>
    </r>
    <r>
      <rPr>
        <sz val="10"/>
        <color indexed="8"/>
        <rFont val="Arial"/>
        <family val="2"/>
      </rPr>
      <t>(PVN ieskaitot)</t>
    </r>
  </si>
  <si>
    <r>
      <t xml:space="preserve">Būvuzraudzības izdevumi 4% </t>
    </r>
    <r>
      <rPr>
        <sz val="10"/>
        <color indexed="8"/>
        <rFont val="Arial"/>
        <family val="2"/>
      </rPr>
      <t>(PVN ieskaitot)</t>
    </r>
  </si>
  <si>
    <r>
      <t>Autoruzraudzības izdevumi 4% (</t>
    </r>
    <r>
      <rPr>
        <sz val="10"/>
        <color indexed="8"/>
        <rFont val="Arial"/>
        <family val="2"/>
      </rPr>
      <t>PVN ieskaitot</t>
    </r>
    <r>
      <rPr>
        <b/>
        <sz val="10"/>
        <color indexed="8"/>
        <rFont val="Arial"/>
        <family val="2"/>
      </rPr>
      <t>)</t>
    </r>
  </si>
  <si>
    <t xml:space="preserve"> PVN 21%</t>
  </si>
  <si>
    <t xml:space="preserve"> Saimniecības ēka - dzīvnieku barības virtuve, kadastra Nr. 426200101370</t>
  </si>
  <si>
    <t>Virsizdevumi 8%</t>
  </si>
  <si>
    <t>Peļņa 6%</t>
  </si>
  <si>
    <t>3.1.pielikums</t>
  </si>
  <si>
    <t>3.7. pielikums</t>
  </si>
  <si>
    <r>
      <t>Tāmes izmaksas (</t>
    </r>
    <r>
      <rPr>
        <sz val="10"/>
        <rFont val="Arial"/>
        <family val="2"/>
      </rPr>
      <t>euro)</t>
    </r>
  </si>
  <si>
    <r>
      <t>Darba alga (</t>
    </r>
    <r>
      <rPr>
        <sz val="10"/>
        <rFont val="Arial"/>
        <family val="2"/>
      </rPr>
      <t>euro)</t>
    </r>
  </si>
  <si>
    <r>
      <t>Materiāli (</t>
    </r>
    <r>
      <rPr>
        <sz val="10"/>
        <rFont val="Arial"/>
        <family val="2"/>
      </rPr>
      <t>euro)</t>
    </r>
  </si>
  <si>
    <r>
      <t>Mehānismi (</t>
    </r>
    <r>
      <rPr>
        <sz val="10"/>
        <rFont val="Arial"/>
        <family val="2"/>
      </rPr>
      <t>euro)</t>
    </r>
  </si>
  <si>
    <t>Tāmes izmaksas (euro)</t>
  </si>
  <si>
    <t>Materiāli (euro)</t>
  </si>
  <si>
    <t>Jaunas ēkas būvniecība t.sk. projektēšana, būvuzraudzība un autoruzraudzība</t>
  </si>
  <si>
    <t>Būvniecības koptāme</t>
  </si>
  <si>
    <t>Cauruļvadu montāža</t>
  </si>
  <si>
    <t>Pārslēdža montāža</t>
  </si>
  <si>
    <t>Fotosensora montāža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</si>
</sst>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left" vertical="top"/>
      <protection/>
    </xf>
    <xf numFmtId="0" fontId="3" fillId="0" borderId="0" xfId="46" applyFont="1" applyAlignment="1">
      <alignment horizontal="left" vertical="top"/>
      <protection/>
    </xf>
    <xf numFmtId="2" fontId="1" fillId="0" borderId="0" xfId="46" applyNumberFormat="1" applyFont="1" applyAlignment="1">
      <alignment vertical="top"/>
      <protection/>
    </xf>
    <xf numFmtId="0" fontId="1" fillId="0" borderId="0" xfId="46" applyFont="1" applyAlignment="1">
      <alignment horizontal="center" vertical="top"/>
      <protection/>
    </xf>
    <xf numFmtId="0" fontId="1" fillId="0" borderId="0" xfId="46" applyFont="1" applyAlignment="1">
      <alignment vertical="top"/>
      <protection/>
    </xf>
    <xf numFmtId="0" fontId="1" fillId="0" borderId="0" xfId="46" applyFont="1">
      <alignment/>
      <protection/>
    </xf>
    <xf numFmtId="0" fontId="0" fillId="0" borderId="0" xfId="47" applyFont="1">
      <alignment/>
      <protection/>
    </xf>
    <xf numFmtId="0" fontId="1" fillId="0" borderId="0" xfId="46" applyFont="1" applyBorder="1" applyAlignment="1">
      <alignment wrapText="1"/>
      <protection/>
    </xf>
    <xf numFmtId="2" fontId="1" fillId="0" borderId="0" xfId="46" applyNumberFormat="1" applyFont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0" xfId="46" applyFont="1" applyBorder="1" applyAlignment="1">
      <alignment horizontal="center" vertical="top"/>
      <protection/>
    </xf>
    <xf numFmtId="4" fontId="1" fillId="0" borderId="0" xfId="46" applyNumberFormat="1" applyFont="1" applyBorder="1" applyAlignment="1">
      <alignment horizontal="center" vertical="top"/>
      <protection/>
    </xf>
    <xf numFmtId="4" fontId="1" fillId="0" borderId="0" xfId="46" applyNumberFormat="1" applyFont="1" applyBorder="1" applyAlignment="1">
      <alignment vertical="top"/>
      <protection/>
    </xf>
    <xf numFmtId="4" fontId="1" fillId="0" borderId="0" xfId="46" applyNumberFormat="1" applyFont="1" applyAlignment="1">
      <alignment vertical="top"/>
      <protection/>
    </xf>
    <xf numFmtId="0" fontId="7" fillId="33" borderId="0" xfId="0" applyFont="1" applyFill="1" applyAlignment="1">
      <alignment/>
    </xf>
    <xf numFmtId="0" fontId="1" fillId="0" borderId="0" xfId="46" applyFont="1" applyAlignment="1">
      <alignment horizontal="center" vertical="center"/>
      <protection/>
    </xf>
    <xf numFmtId="0" fontId="1" fillId="0" borderId="0" xfId="46" applyFont="1" applyBorder="1" applyAlignment="1">
      <alignment horizontal="center" vertical="center"/>
      <protection/>
    </xf>
    <xf numFmtId="4" fontId="1" fillId="0" borderId="0" xfId="46" applyNumberFormat="1" applyFont="1" applyBorder="1" applyAlignment="1">
      <alignment horizontal="center" vertical="center"/>
      <protection/>
    </xf>
    <xf numFmtId="4" fontId="1" fillId="0" borderId="0" xfId="46" applyNumberFormat="1" applyFont="1" applyAlignment="1">
      <alignment vertical="center"/>
      <protection/>
    </xf>
    <xf numFmtId="10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5" fillId="0" borderId="0" xfId="46" applyFont="1" applyAlignment="1">
      <alignment horizontal="center" vertical="top"/>
      <protection/>
    </xf>
    <xf numFmtId="0" fontId="5" fillId="0" borderId="0" xfId="46" applyFont="1" applyBorder="1" applyAlignment="1">
      <alignment horizontal="center" vertical="top"/>
      <protection/>
    </xf>
    <xf numFmtId="4" fontId="5" fillId="0" borderId="0" xfId="46" applyNumberFormat="1" applyFont="1" applyFill="1" applyBorder="1" applyAlignment="1">
      <alignment horizontal="center" vertical="top"/>
      <protection/>
    </xf>
    <xf numFmtId="4" fontId="5" fillId="0" borderId="0" xfId="46" applyNumberFormat="1" applyFont="1" applyAlignment="1">
      <alignment vertical="top"/>
      <protection/>
    </xf>
    <xf numFmtId="0" fontId="4" fillId="0" borderId="0" xfId="47" applyFont="1">
      <alignment/>
      <protection/>
    </xf>
    <xf numFmtId="0" fontId="0" fillId="0" borderId="0" xfId="47" applyFont="1" applyBorder="1" applyAlignment="1">
      <alignment horizontal="left"/>
      <protection/>
    </xf>
    <xf numFmtId="0" fontId="9" fillId="0" borderId="0" xfId="47" applyFont="1" applyAlignment="1">
      <alignment horizontal="center"/>
      <protection/>
    </xf>
    <xf numFmtId="0" fontId="0" fillId="0" borderId="10" xfId="47" applyFont="1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2" xfId="47" applyFont="1" applyBorder="1" applyAlignment="1">
      <alignment horizontal="center" vertical="center" textRotation="90"/>
      <protection/>
    </xf>
    <xf numFmtId="0" fontId="0" fillId="0" borderId="12" xfId="47" applyFont="1" applyBorder="1" applyAlignment="1">
      <alignment vertical="center" wrapText="1"/>
      <protection/>
    </xf>
    <xf numFmtId="0" fontId="0" fillId="0" borderId="11" xfId="47" applyFont="1" applyBorder="1" applyAlignment="1">
      <alignment horizontal="center" vertical="center" textRotation="90" wrapText="1"/>
      <protection/>
    </xf>
    <xf numFmtId="0" fontId="11" fillId="0" borderId="11" xfId="47" applyFont="1" applyFill="1" applyBorder="1" applyAlignment="1">
      <alignment horizontal="center" vertical="center"/>
      <protection/>
    </xf>
    <xf numFmtId="0" fontId="3" fillId="0" borderId="11" xfId="47" applyFont="1" applyFill="1" applyBorder="1" applyAlignment="1">
      <alignment horizontal="center" vertical="center" wrapText="1"/>
      <protection/>
    </xf>
    <xf numFmtId="0" fontId="12" fillId="0" borderId="11" xfId="47" applyFont="1" applyFill="1" applyBorder="1" applyAlignment="1">
      <alignment horizontal="center" vertical="center"/>
      <protection/>
    </xf>
    <xf numFmtId="2" fontId="13" fillId="0" borderId="11" xfId="47" applyNumberFormat="1" applyFont="1" applyFill="1" applyBorder="1" applyAlignment="1">
      <alignment horizontal="center" vertical="center" wrapText="1"/>
      <protection/>
    </xf>
    <xf numFmtId="0" fontId="4" fillId="0" borderId="11" xfId="47" applyFill="1" applyBorder="1">
      <alignment/>
      <protection/>
    </xf>
    <xf numFmtId="0" fontId="1" fillId="0" borderId="11" xfId="47" applyFont="1" applyFill="1" applyBorder="1" applyAlignment="1">
      <alignment horizontal="center" vertical="center" wrapText="1"/>
      <protection/>
    </xf>
    <xf numFmtId="0" fontId="1" fillId="0" borderId="11" xfId="47" applyFont="1" applyFill="1" applyBorder="1" applyAlignment="1">
      <alignment horizontal="left" vertical="center" wrapText="1"/>
      <protection/>
    </xf>
    <xf numFmtId="0" fontId="1" fillId="0" borderId="11" xfId="47" applyFont="1" applyFill="1" applyBorder="1" applyAlignment="1">
      <alignment horizontal="center" vertical="center" wrapText="1"/>
      <protection/>
    </xf>
    <xf numFmtId="2" fontId="1" fillId="0" borderId="11" xfId="47" applyNumberFormat="1" applyFont="1" applyFill="1" applyBorder="1" applyAlignment="1">
      <alignment horizontal="center" vertical="center" wrapText="1"/>
      <protection/>
    </xf>
    <xf numFmtId="2" fontId="0" fillId="0" borderId="11" xfId="47" applyNumberFormat="1" applyFont="1" applyBorder="1" applyAlignment="1">
      <alignment horizontal="center" vertical="center" wrapText="1"/>
      <protection/>
    </xf>
    <xf numFmtId="2" fontId="0" fillId="0" borderId="11" xfId="47" applyNumberFormat="1" applyFont="1" applyFill="1" applyBorder="1" applyAlignment="1">
      <alignment horizontal="center" vertical="center" wrapText="1"/>
      <protection/>
    </xf>
    <xf numFmtId="2" fontId="0" fillId="0" borderId="11" xfId="47" applyNumberFormat="1" applyFont="1" applyBorder="1" applyAlignment="1">
      <alignment horizontal="center" vertical="center" wrapText="1"/>
      <protection/>
    </xf>
    <xf numFmtId="4" fontId="0" fillId="0" borderId="11" xfId="47" applyNumberFormat="1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9" fillId="0" borderId="11" xfId="47" applyFont="1" applyFill="1" applyBorder="1" applyAlignment="1">
      <alignment horizontal="right" vertical="center" wrapText="1"/>
      <protection/>
    </xf>
    <xf numFmtId="0" fontId="0" fillId="0" borderId="11" xfId="47" applyFont="1" applyBorder="1" applyAlignment="1">
      <alignment vertical="center" wrapText="1"/>
      <protection/>
    </xf>
    <xf numFmtId="2" fontId="9" fillId="0" borderId="11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/>
      <protection/>
    </xf>
    <xf numFmtId="0" fontId="0" fillId="0" borderId="11" xfId="47" applyFont="1" applyBorder="1">
      <alignment/>
      <protection/>
    </xf>
    <xf numFmtId="10" fontId="0" fillId="0" borderId="11" xfId="47" applyNumberFormat="1" applyFont="1" applyBorder="1" applyAlignment="1">
      <alignment horizontal="center"/>
      <protection/>
    </xf>
    <xf numFmtId="0" fontId="0" fillId="0" borderId="11" xfId="47" applyFont="1" applyBorder="1">
      <alignment/>
      <protection/>
    </xf>
    <xf numFmtId="4" fontId="0" fillId="0" borderId="11" xfId="47" applyNumberFormat="1" applyFont="1" applyBorder="1" applyAlignment="1">
      <alignment horizontal="center"/>
      <protection/>
    </xf>
    <xf numFmtId="4" fontId="0" fillId="0" borderId="11" xfId="47" applyNumberFormat="1" applyFont="1" applyBorder="1" applyAlignment="1">
      <alignment horizontal="center" vertical="center" wrapText="1"/>
      <protection/>
    </xf>
    <xf numFmtId="4" fontId="0" fillId="0" borderId="11" xfId="47" applyNumberFormat="1" applyFont="1" applyFill="1" applyBorder="1" applyAlignment="1">
      <alignment horizontal="center"/>
      <protection/>
    </xf>
    <xf numFmtId="2" fontId="0" fillId="0" borderId="11" xfId="47" applyNumberFormat="1" applyFont="1" applyBorder="1">
      <alignment/>
      <protection/>
    </xf>
    <xf numFmtId="10" fontId="0" fillId="0" borderId="11" xfId="47" applyNumberFormat="1" applyFont="1" applyBorder="1">
      <alignment/>
      <protection/>
    </xf>
    <xf numFmtId="4" fontId="0" fillId="0" borderId="11" xfId="47" applyNumberFormat="1" applyFont="1" applyBorder="1">
      <alignment/>
      <protection/>
    </xf>
    <xf numFmtId="4" fontId="9" fillId="0" borderId="11" xfId="47" applyNumberFormat="1" applyFont="1" applyBorder="1" applyAlignment="1">
      <alignment horizontal="center"/>
      <protection/>
    </xf>
    <xf numFmtId="4" fontId="9" fillId="0" borderId="11" xfId="47" applyNumberFormat="1" applyFont="1" applyFill="1" applyBorder="1" applyAlignment="1">
      <alignment horizontal="center"/>
      <protection/>
    </xf>
    <xf numFmtId="0" fontId="9" fillId="0" borderId="0" xfId="47" applyFont="1">
      <alignment/>
      <protection/>
    </xf>
    <xf numFmtId="0" fontId="0" fillId="0" borderId="0" xfId="47" applyFont="1" applyBorder="1">
      <alignment/>
      <protection/>
    </xf>
    <xf numFmtId="10" fontId="0" fillId="0" borderId="11" xfId="47" applyNumberFormat="1" applyFont="1" applyBorder="1">
      <alignment/>
      <protection/>
    </xf>
    <xf numFmtId="4" fontId="0" fillId="0" borderId="11" xfId="47" applyNumberFormat="1" applyFont="1" applyBorder="1">
      <alignment/>
      <protection/>
    </xf>
    <xf numFmtId="4" fontId="14" fillId="0" borderId="11" xfId="47" applyNumberFormat="1" applyFont="1" applyBorder="1" applyAlignment="1">
      <alignment horizontal="center"/>
      <protection/>
    </xf>
    <xf numFmtId="0" fontId="0" fillId="0" borderId="0" xfId="47" applyFont="1" applyAlignment="1">
      <alignment/>
      <protection/>
    </xf>
    <xf numFmtId="0" fontId="0" fillId="0" borderId="0" xfId="47" applyFont="1" applyBorder="1" applyAlignment="1">
      <alignment horizontal="center"/>
      <protection/>
    </xf>
    <xf numFmtId="0" fontId="9" fillId="0" borderId="0" xfId="0" applyFont="1" applyAlignment="1">
      <alignment/>
    </xf>
    <xf numFmtId="0" fontId="16" fillId="0" borderId="0" xfId="47" applyFont="1">
      <alignment/>
      <protection/>
    </xf>
    <xf numFmtId="0" fontId="45" fillId="0" borderId="0" xfId="54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vertical="top"/>
    </xf>
    <xf numFmtId="0" fontId="0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15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right" wrapText="1"/>
    </xf>
    <xf numFmtId="0" fontId="1" fillId="0" borderId="11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left"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/>
      <protection/>
    </xf>
    <xf numFmtId="2" fontId="1" fillId="0" borderId="11" xfId="46" applyNumberFormat="1" applyFont="1" applyBorder="1" applyAlignment="1">
      <alignment vertical="top"/>
      <protection/>
    </xf>
    <xf numFmtId="0" fontId="1" fillId="0" borderId="11" xfId="46" applyFont="1" applyBorder="1" applyAlignment="1">
      <alignment horizontal="left" vertical="center" wrapText="1"/>
      <protection/>
    </xf>
    <xf numFmtId="4" fontId="1" fillId="0" borderId="11" xfId="46" applyNumberFormat="1" applyFont="1" applyBorder="1" applyAlignment="1">
      <alignment horizontal="right" vertical="top" wrapText="1"/>
      <protection/>
    </xf>
    <xf numFmtId="4" fontId="1" fillId="0" borderId="11" xfId="46" applyNumberFormat="1" applyFont="1" applyBorder="1" applyAlignment="1">
      <alignment horizontal="right" vertical="top"/>
      <protection/>
    </xf>
    <xf numFmtId="4" fontId="1" fillId="0" borderId="11" xfId="46" applyNumberFormat="1" applyFont="1" applyBorder="1" applyAlignment="1">
      <alignment vertical="top"/>
      <protection/>
    </xf>
    <xf numFmtId="0" fontId="1" fillId="0" borderId="11" xfId="46" applyFont="1" applyFill="1" applyBorder="1" applyAlignment="1">
      <alignment horizontal="left" vertical="center" wrapText="1"/>
      <protection/>
    </xf>
    <xf numFmtId="4" fontId="1" fillId="0" borderId="11" xfId="46" applyNumberFormat="1" applyFont="1" applyFill="1" applyBorder="1" applyAlignment="1">
      <alignment horizontal="right" vertical="top"/>
      <protection/>
    </xf>
    <xf numFmtId="4" fontId="1" fillId="0" borderId="11" xfId="46" applyNumberFormat="1" applyFont="1" applyFill="1" applyBorder="1" applyAlignment="1">
      <alignment vertical="top"/>
      <protection/>
    </xf>
    <xf numFmtId="4" fontId="1" fillId="0" borderId="11" xfId="46" applyNumberFormat="1" applyFont="1" applyFill="1" applyBorder="1" applyAlignment="1">
      <alignment horizontal="right" vertical="center"/>
      <protection/>
    </xf>
    <xf numFmtId="4" fontId="1" fillId="0" borderId="11" xfId="46" applyNumberFormat="1" applyFont="1" applyFill="1" applyBorder="1" applyAlignment="1">
      <alignment vertical="center"/>
      <protection/>
    </xf>
    <xf numFmtId="0" fontId="1" fillId="0" borderId="11" xfId="46" applyFont="1" applyFill="1" applyBorder="1" applyAlignment="1">
      <alignment wrapText="1"/>
      <protection/>
    </xf>
    <xf numFmtId="4" fontId="1" fillId="0" borderId="11" xfId="46" applyNumberFormat="1" applyFont="1" applyFill="1" applyBorder="1" applyAlignment="1">
      <alignment horizontal="right"/>
      <protection/>
    </xf>
    <xf numFmtId="4" fontId="1" fillId="0" borderId="11" xfId="46" applyNumberFormat="1" applyFont="1" applyFill="1" applyBorder="1">
      <alignment/>
      <protection/>
    </xf>
    <xf numFmtId="0" fontId="0" fillId="33" borderId="11" xfId="0" applyFont="1" applyFill="1" applyBorder="1" applyAlignment="1">
      <alignment horizontal="left" vertical="center" wrapText="1"/>
    </xf>
    <xf numFmtId="0" fontId="5" fillId="0" borderId="11" xfId="46" applyFont="1" applyBorder="1" applyAlignment="1">
      <alignment horizontal="center" vertical="top"/>
      <protection/>
    </xf>
    <xf numFmtId="0" fontId="5" fillId="0" borderId="11" xfId="46" applyFont="1" applyBorder="1" applyAlignment="1">
      <alignment horizontal="right" vertical="top" wrapText="1"/>
      <protection/>
    </xf>
    <xf numFmtId="4" fontId="5" fillId="0" borderId="11" xfId="46" applyNumberFormat="1" applyFont="1" applyBorder="1" applyAlignment="1">
      <alignment horizontal="right" vertical="top" wrapText="1"/>
      <protection/>
    </xf>
    <xf numFmtId="4" fontId="5" fillId="0" borderId="11" xfId="46" applyNumberFormat="1" applyFont="1" applyBorder="1" applyAlignment="1">
      <alignment horizontal="right" vertical="top"/>
      <protection/>
    </xf>
    <xf numFmtId="4" fontId="5" fillId="0" borderId="11" xfId="46" applyNumberFormat="1" applyFont="1" applyBorder="1" applyAlignment="1">
      <alignment vertical="top"/>
      <protection/>
    </xf>
    <xf numFmtId="4" fontId="1" fillId="0" borderId="11" xfId="46" applyNumberFormat="1" applyFont="1" applyBorder="1" applyAlignment="1">
      <alignment vertical="top" wrapText="1"/>
      <protection/>
    </xf>
    <xf numFmtId="0" fontId="6" fillId="0" borderId="11" xfId="46" applyFont="1" applyBorder="1" applyAlignment="1">
      <alignment horizontal="right" vertical="top" wrapText="1"/>
      <protection/>
    </xf>
    <xf numFmtId="0" fontId="5" fillId="0" borderId="11" xfId="46" applyFont="1" applyBorder="1" applyAlignment="1">
      <alignment horizontal="right" vertical="center" wrapText="1"/>
      <protection/>
    </xf>
    <xf numFmtId="4" fontId="1" fillId="0" borderId="11" xfId="46" applyNumberFormat="1" applyFont="1" applyBorder="1" applyAlignment="1">
      <alignment vertical="center" wrapText="1"/>
      <protection/>
    </xf>
    <xf numFmtId="4" fontId="5" fillId="0" borderId="11" xfId="46" applyNumberFormat="1" applyFont="1" applyBorder="1" applyAlignment="1">
      <alignment vertical="top" wrapText="1"/>
      <protection/>
    </xf>
    <xf numFmtId="0" fontId="1" fillId="0" borderId="11" xfId="46" applyFont="1" applyBorder="1" applyAlignment="1">
      <alignment horizontal="right" vertical="top" wrapText="1"/>
      <protection/>
    </xf>
    <xf numFmtId="0" fontId="2" fillId="0" borderId="0" xfId="46" applyFont="1" applyBorder="1" applyAlignment="1">
      <alignment horizontal="left" vertical="top"/>
      <protection/>
    </xf>
    <xf numFmtId="0" fontId="1" fillId="0" borderId="0" xfId="46" applyFont="1" applyBorder="1" applyAlignment="1">
      <alignment horizontal="center"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/>
      <protection/>
    </xf>
    <xf numFmtId="2" fontId="1" fillId="0" borderId="0" xfId="46" applyNumberFormat="1" applyFont="1" applyBorder="1" applyAlignment="1">
      <alignment vertical="top"/>
      <protection/>
    </xf>
    <xf numFmtId="0" fontId="0" fillId="0" borderId="12" xfId="47" applyFont="1" applyBorder="1" applyAlignment="1">
      <alignment horizontal="center" vertical="center" textRotation="90" wrapText="1"/>
      <protection/>
    </xf>
    <xf numFmtId="0" fontId="5" fillId="0" borderId="14" xfId="46" applyFont="1" applyBorder="1" applyAlignment="1">
      <alignment horizontal="right" vertical="top" wrapText="1"/>
      <protection/>
    </xf>
    <xf numFmtId="0" fontId="0" fillId="0" borderId="11" xfId="46" applyFont="1" applyBorder="1" applyAlignment="1">
      <alignment horizontal="left" vertical="center" wrapText="1"/>
      <protection/>
    </xf>
    <xf numFmtId="0" fontId="1" fillId="0" borderId="11" xfId="46" applyFont="1" applyBorder="1" applyAlignment="1">
      <alignment horizontal="center" vertical="top" wrapText="1"/>
      <protection/>
    </xf>
    <xf numFmtId="4" fontId="9" fillId="34" borderId="11" xfId="46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2" fontId="0" fillId="0" borderId="0" xfId="46" applyNumberFormat="1" applyFont="1" applyAlignment="1">
      <alignment vertical="top" wrapText="1"/>
      <protection/>
    </xf>
    <xf numFmtId="0" fontId="0" fillId="0" borderId="0" xfId="46" applyFont="1" applyAlignment="1">
      <alignment horizontal="center" vertical="top"/>
      <protection/>
    </xf>
    <xf numFmtId="0" fontId="0" fillId="0" borderId="0" xfId="46" applyFont="1" applyAlignment="1">
      <alignment vertical="top"/>
      <protection/>
    </xf>
    <xf numFmtId="2" fontId="0" fillId="0" borderId="0" xfId="46" applyNumberFormat="1" applyFont="1" applyAlignment="1">
      <alignment vertical="top"/>
      <protection/>
    </xf>
    <xf numFmtId="0" fontId="0" fillId="0" borderId="0" xfId="46" applyFont="1" applyAlignment="1">
      <alignment vertical="top" wrapText="1"/>
      <protection/>
    </xf>
    <xf numFmtId="0" fontId="0" fillId="0" borderId="0" xfId="46" applyFont="1" applyBorder="1" applyAlignment="1">
      <alignment vertical="top" wrapText="1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0" xfId="46" applyFont="1" applyBorder="1" applyAlignment="1">
      <alignment vertical="top"/>
      <protection/>
    </xf>
    <xf numFmtId="2" fontId="0" fillId="0" borderId="0" xfId="46" applyNumberFormat="1" applyFont="1" applyBorder="1" applyAlignment="1">
      <alignment vertical="top"/>
      <protection/>
    </xf>
    <xf numFmtId="2" fontId="0" fillId="0" borderId="11" xfId="46" applyNumberFormat="1" applyFont="1" applyBorder="1" applyAlignment="1">
      <alignment horizontal="center" vertical="center" textRotation="90" wrapText="1"/>
      <protection/>
    </xf>
    <xf numFmtId="0" fontId="0" fillId="0" borderId="11" xfId="46" applyFont="1" applyBorder="1" applyAlignment="1">
      <alignment vertical="top" wrapText="1"/>
      <protection/>
    </xf>
    <xf numFmtId="0" fontId="0" fillId="0" borderId="11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vertical="top"/>
      <protection/>
    </xf>
    <xf numFmtId="2" fontId="0" fillId="0" borderId="11" xfId="46" applyNumberFormat="1" applyFont="1" applyBorder="1" applyAlignment="1">
      <alignment vertical="top"/>
      <protection/>
    </xf>
    <xf numFmtId="4" fontId="0" fillId="0" borderId="11" xfId="46" applyNumberFormat="1" applyFont="1" applyBorder="1" applyAlignment="1">
      <alignment horizontal="right" vertical="top" wrapText="1"/>
      <protection/>
    </xf>
    <xf numFmtId="4" fontId="0" fillId="0" borderId="11" xfId="46" applyNumberFormat="1" applyFont="1" applyBorder="1" applyAlignment="1">
      <alignment vertical="top"/>
      <protection/>
    </xf>
    <xf numFmtId="4" fontId="0" fillId="0" borderId="11" xfId="46" applyNumberFormat="1" applyFont="1" applyBorder="1" applyAlignment="1">
      <alignment horizontal="right" vertical="top"/>
      <protection/>
    </xf>
    <xf numFmtId="4" fontId="9" fillId="0" borderId="11" xfId="46" applyNumberFormat="1" applyFont="1" applyBorder="1" applyAlignment="1">
      <alignment horizontal="right" vertical="top" wrapText="1"/>
      <protection/>
    </xf>
    <xf numFmtId="4" fontId="9" fillId="0" borderId="11" xfId="46" applyNumberFormat="1" applyFont="1" applyBorder="1" applyAlignment="1">
      <alignment horizontal="right" vertical="top"/>
      <protection/>
    </xf>
    <xf numFmtId="4" fontId="0" fillId="0" borderId="11" xfId="46" applyNumberFormat="1" applyFont="1" applyBorder="1" applyAlignment="1">
      <alignment vertical="top" wrapText="1"/>
      <protection/>
    </xf>
    <xf numFmtId="4" fontId="0" fillId="0" borderId="0" xfId="46" applyNumberFormat="1" applyFont="1" applyBorder="1" applyAlignment="1">
      <alignment horizontal="center" vertical="top"/>
      <protection/>
    </xf>
    <xf numFmtId="4" fontId="0" fillId="0" borderId="0" xfId="46" applyNumberFormat="1" applyFont="1" applyBorder="1" applyAlignment="1">
      <alignment vertical="top"/>
      <protection/>
    </xf>
    <xf numFmtId="4" fontId="0" fillId="0" borderId="0" xfId="46" applyNumberFormat="1" applyFont="1" applyAlignment="1">
      <alignment vertical="top"/>
      <protection/>
    </xf>
    <xf numFmtId="4" fontId="0" fillId="0" borderId="11" xfId="46" applyNumberFormat="1" applyFont="1" applyBorder="1" applyAlignment="1">
      <alignment vertical="center" wrapText="1"/>
      <protection/>
    </xf>
    <xf numFmtId="4" fontId="0" fillId="0" borderId="0" xfId="46" applyNumberFormat="1" applyFont="1" applyBorder="1" applyAlignment="1">
      <alignment horizontal="center" vertical="center"/>
      <protection/>
    </xf>
    <xf numFmtId="4" fontId="0" fillId="0" borderId="0" xfId="46" applyNumberFormat="1" applyFont="1" applyAlignment="1">
      <alignment vertical="center"/>
      <protection/>
    </xf>
    <xf numFmtId="4" fontId="9" fillId="0" borderId="11" xfId="46" applyNumberFormat="1" applyFont="1" applyBorder="1" applyAlignment="1">
      <alignment vertical="top" wrapText="1"/>
      <protection/>
    </xf>
    <xf numFmtId="4" fontId="9" fillId="0" borderId="0" xfId="46" applyNumberFormat="1" applyFont="1" applyFill="1" applyBorder="1" applyAlignment="1">
      <alignment horizontal="center" vertical="top"/>
      <protection/>
    </xf>
    <xf numFmtId="4" fontId="9" fillId="0" borderId="0" xfId="46" applyNumberFormat="1" applyFont="1" applyAlignment="1">
      <alignment vertical="top"/>
      <protection/>
    </xf>
    <xf numFmtId="4" fontId="9" fillId="0" borderId="14" xfId="46" applyNumberFormat="1" applyFont="1" applyBorder="1" applyAlignment="1">
      <alignment vertical="top" wrapText="1"/>
      <protection/>
    </xf>
    <xf numFmtId="2" fontId="0" fillId="0" borderId="11" xfId="46" applyNumberFormat="1" applyFont="1" applyBorder="1" applyAlignment="1">
      <alignment horizontal="center" vertical="center" textRotation="90" wrapText="1"/>
      <protection/>
    </xf>
    <xf numFmtId="0" fontId="1" fillId="0" borderId="11" xfId="46" applyFont="1" applyBorder="1" applyAlignment="1">
      <alignment horizontal="center" vertical="center" textRotation="90"/>
      <protection/>
    </xf>
    <xf numFmtId="0" fontId="1" fillId="33" borderId="11" xfId="46" applyFont="1" applyFill="1" applyBorder="1" applyAlignment="1">
      <alignment horizontal="center" vertical="center" textRotation="90"/>
      <protection/>
    </xf>
    <xf numFmtId="0" fontId="1" fillId="33" borderId="11" xfId="46" applyFont="1" applyFill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 textRotation="90" wrapText="1"/>
      <protection/>
    </xf>
    <xf numFmtId="0" fontId="17" fillId="0" borderId="11" xfId="46" applyFont="1" applyBorder="1" applyAlignment="1">
      <alignment horizontal="center" vertical="center"/>
      <protection/>
    </xf>
    <xf numFmtId="2" fontId="1" fillId="0" borderId="11" xfId="46" applyNumberFormat="1" applyFont="1" applyBorder="1" applyAlignment="1">
      <alignment horizontal="center" vertical="center" textRotation="90" wrapText="1"/>
      <protection/>
    </xf>
    <xf numFmtId="0" fontId="1" fillId="33" borderId="10" xfId="46" applyFont="1" applyFill="1" applyBorder="1" applyAlignment="1">
      <alignment horizontal="center" vertical="center" textRotation="90" wrapText="1"/>
      <protection/>
    </xf>
    <xf numFmtId="0" fontId="1" fillId="33" borderId="12" xfId="46" applyFont="1" applyFill="1" applyBorder="1" applyAlignment="1">
      <alignment horizontal="center" vertical="center" textRotation="90" wrapText="1"/>
      <protection/>
    </xf>
    <xf numFmtId="0" fontId="0" fillId="0" borderId="11" xfId="46" applyFont="1" applyBorder="1" applyAlignment="1">
      <alignment horizontal="center" vertical="center" textRotation="90" wrapText="1"/>
      <protection/>
    </xf>
    <xf numFmtId="0" fontId="8" fillId="0" borderId="0" xfId="47" applyFont="1" applyBorder="1" applyAlignment="1">
      <alignment horizontal="center"/>
      <protection/>
    </xf>
    <xf numFmtId="0" fontId="8" fillId="0" borderId="15" xfId="47" applyFont="1" applyBorder="1" applyAlignment="1">
      <alignment horizontal="center" wrapText="1"/>
      <protection/>
    </xf>
    <xf numFmtId="0" fontId="10" fillId="0" borderId="16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right"/>
      <protection/>
    </xf>
    <xf numFmtId="0" fontId="9" fillId="0" borderId="11" xfId="47" applyFont="1" applyBorder="1" applyAlignment="1">
      <alignment horizontal="right"/>
      <protection/>
    </xf>
    <xf numFmtId="0" fontId="8" fillId="0" borderId="11" xfId="47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cel Built-in Excel Built-in Excel Built-in Excel Built-in Norma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F20" sqref="F20"/>
    </sheetView>
  </sheetViews>
  <sheetFormatPr defaultColWidth="9.140625" defaultRowHeight="12.75"/>
  <cols>
    <col min="3" max="3" width="41.8515625" style="0" customWidth="1"/>
    <col min="4" max="4" width="12.57421875" style="126" customWidth="1"/>
    <col min="5" max="5" width="9.57421875" style="126" customWidth="1"/>
    <col min="6" max="6" width="9.7109375" style="126" customWidth="1"/>
    <col min="7" max="7" width="9.57421875" style="126" customWidth="1"/>
    <col min="8" max="8" width="9.8515625" style="0" customWidth="1"/>
  </cols>
  <sheetData>
    <row r="1" ht="12.75">
      <c r="H1" t="s">
        <v>255</v>
      </c>
    </row>
    <row r="2" spans="1:8" ht="15">
      <c r="A2" s="1"/>
      <c r="B2" s="2"/>
      <c r="C2" s="3" t="s">
        <v>284</v>
      </c>
      <c r="D2" s="127"/>
      <c r="E2" s="128"/>
      <c r="F2" s="129"/>
      <c r="G2" s="130"/>
      <c r="H2" s="4"/>
    </row>
    <row r="3" spans="1:8" ht="14.25">
      <c r="A3" s="1"/>
      <c r="B3" s="2"/>
      <c r="C3" s="2" t="s">
        <v>268</v>
      </c>
      <c r="D3" s="127"/>
      <c r="E3" s="128"/>
      <c r="F3" s="129"/>
      <c r="G3" s="130"/>
      <c r="H3" s="4"/>
    </row>
    <row r="4" spans="1:8" ht="14.25">
      <c r="A4" s="1"/>
      <c r="B4" s="2"/>
      <c r="C4" s="2"/>
      <c r="D4" s="127"/>
      <c r="E4" s="128"/>
      <c r="F4" s="129"/>
      <c r="G4" s="130"/>
      <c r="H4" s="4"/>
    </row>
    <row r="5" spans="1:8" ht="14.25">
      <c r="A5" s="1"/>
      <c r="B5" s="2"/>
      <c r="C5" s="2" t="s">
        <v>251</v>
      </c>
      <c r="D5" s="131"/>
      <c r="E5" s="128"/>
      <c r="F5" s="129"/>
      <c r="G5" s="130"/>
      <c r="H5" s="4"/>
    </row>
    <row r="6" spans="1:8" ht="14.25">
      <c r="A6" s="116"/>
      <c r="B6" s="116"/>
      <c r="C6" s="117"/>
      <c r="D6" s="132"/>
      <c r="E6" s="133"/>
      <c r="F6" s="134"/>
      <c r="G6" s="135"/>
      <c r="H6" s="120"/>
    </row>
    <row r="7" spans="1:8" ht="14.25">
      <c r="A7" s="158" t="s">
        <v>3</v>
      </c>
      <c r="B7" s="159" t="s">
        <v>4</v>
      </c>
      <c r="C7" s="160" t="s">
        <v>5</v>
      </c>
      <c r="D7" s="161" t="s">
        <v>278</v>
      </c>
      <c r="E7" s="162" t="s">
        <v>6</v>
      </c>
      <c r="F7" s="162"/>
      <c r="G7" s="162"/>
      <c r="H7" s="163" t="s">
        <v>7</v>
      </c>
    </row>
    <row r="8" spans="1:8" ht="77.25" customHeight="1">
      <c r="A8" s="158"/>
      <c r="B8" s="159"/>
      <c r="C8" s="160"/>
      <c r="D8" s="161"/>
      <c r="E8" s="136" t="s">
        <v>279</v>
      </c>
      <c r="F8" s="136" t="s">
        <v>280</v>
      </c>
      <c r="G8" s="136" t="s">
        <v>281</v>
      </c>
      <c r="H8" s="163"/>
    </row>
    <row r="9" spans="1:8" ht="12.75">
      <c r="A9" s="87"/>
      <c r="B9" s="87"/>
      <c r="C9" s="88"/>
      <c r="D9" s="137"/>
      <c r="E9" s="138"/>
      <c r="F9" s="139"/>
      <c r="G9" s="140"/>
      <c r="H9" s="91"/>
    </row>
    <row r="10" spans="1:8" ht="36.75" customHeight="1">
      <c r="A10" s="87">
        <v>1</v>
      </c>
      <c r="B10" s="87">
        <v>1</v>
      </c>
      <c r="C10" s="123" t="s">
        <v>273</v>
      </c>
      <c r="D10" s="141">
        <f>SUM(E10:G10)</f>
        <v>70672.18</v>
      </c>
      <c r="E10" s="142">
        <f>Būvniecības_koptame!E24</f>
        <v>19580.300000000003</v>
      </c>
      <c r="F10" s="142">
        <f>Būvniecības_koptame!F24</f>
        <v>47769.29</v>
      </c>
      <c r="G10" s="142">
        <f>Būvniecības_koptame!G24</f>
        <v>3322.59</v>
      </c>
      <c r="H10" s="95">
        <f>Būvniecības_koptame!H24</f>
        <v>3824.2</v>
      </c>
    </row>
    <row r="11" spans="1:8" ht="12.75">
      <c r="A11" s="87"/>
      <c r="B11" s="87"/>
      <c r="C11" s="124"/>
      <c r="D11" s="141"/>
      <c r="E11" s="143"/>
      <c r="F11" s="143"/>
      <c r="G11" s="143"/>
      <c r="H11" s="95"/>
    </row>
    <row r="12" spans="1:8" ht="12.75">
      <c r="A12" s="105"/>
      <c r="B12" s="105"/>
      <c r="C12" s="106"/>
      <c r="D12" s="144">
        <f>SUM(D10:D11)</f>
        <v>70672.18</v>
      </c>
      <c r="E12" s="145">
        <f>SUM(E10:E11)</f>
        <v>19580.300000000003</v>
      </c>
      <c r="F12" s="145">
        <f>SUM(F10:F11)</f>
        <v>47769.29</v>
      </c>
      <c r="G12" s="145">
        <f>SUM(G10:G11)</f>
        <v>3322.59</v>
      </c>
      <c r="H12" s="109">
        <f>SUM(H10:H11)</f>
        <v>3824.2</v>
      </c>
    </row>
    <row r="13" spans="1:8" ht="12.75">
      <c r="A13" s="5"/>
      <c r="B13" s="12"/>
      <c r="C13" s="106" t="s">
        <v>274</v>
      </c>
      <c r="D13" s="146">
        <f>D12*8%</f>
        <v>5653.774399999999</v>
      </c>
      <c r="E13" s="147"/>
      <c r="F13" s="148"/>
      <c r="G13" s="148"/>
      <c r="H13" s="14"/>
    </row>
    <row r="14" spans="1:8" ht="12.75">
      <c r="A14" s="5"/>
      <c r="B14" s="12"/>
      <c r="C14" s="111" t="s">
        <v>8</v>
      </c>
      <c r="D14" s="146">
        <f>D13/5</f>
        <v>1130.75488</v>
      </c>
      <c r="E14" s="147"/>
      <c r="F14" s="148"/>
      <c r="G14" s="148"/>
      <c r="H14" s="14"/>
    </row>
    <row r="15" spans="1:8" ht="12.75">
      <c r="A15" s="5"/>
      <c r="B15" s="12"/>
      <c r="C15" s="106" t="s">
        <v>275</v>
      </c>
      <c r="D15" s="146">
        <f>D12*6%</f>
        <v>4240.3308</v>
      </c>
      <c r="E15" s="147"/>
      <c r="F15" s="149"/>
      <c r="G15" s="149"/>
      <c r="H15" s="15"/>
    </row>
    <row r="16" spans="1:8" ht="12.75">
      <c r="A16" s="17"/>
      <c r="B16" s="18"/>
      <c r="C16" s="112" t="s">
        <v>9</v>
      </c>
      <c r="D16" s="150">
        <f>E12*(23.59/100)</f>
        <v>4618.992770000001</v>
      </c>
      <c r="E16" s="151"/>
      <c r="F16" s="152"/>
      <c r="G16" s="152"/>
      <c r="H16" s="20"/>
    </row>
    <row r="17" spans="1:8" ht="12.75">
      <c r="A17" s="23"/>
      <c r="B17" s="24"/>
      <c r="C17" s="106" t="s">
        <v>10</v>
      </c>
      <c r="D17" s="153">
        <f>SUM(D12:D16)-D14</f>
        <v>85185.27796999998</v>
      </c>
      <c r="E17" s="154"/>
      <c r="F17" s="155"/>
      <c r="G17" s="155"/>
      <c r="H17" s="26"/>
    </row>
    <row r="18" spans="1:8" ht="12.75">
      <c r="A18" s="23"/>
      <c r="B18" s="24"/>
      <c r="C18" s="106" t="s">
        <v>269</v>
      </c>
      <c r="D18" s="153">
        <f>D17*0.08</f>
        <v>6814.8222375999985</v>
      </c>
      <c r="E18" s="154"/>
      <c r="F18" s="155"/>
      <c r="G18" s="155"/>
      <c r="H18" s="26"/>
    </row>
    <row r="19" spans="1:8" ht="12.75">
      <c r="A19" s="23"/>
      <c r="B19" s="24"/>
      <c r="C19" s="106" t="s">
        <v>270</v>
      </c>
      <c r="D19" s="153">
        <f>D17*0.04</f>
        <v>3407.4111187999993</v>
      </c>
      <c r="E19" s="154"/>
      <c r="F19" s="155"/>
      <c r="G19" s="155"/>
      <c r="H19" s="26"/>
    </row>
    <row r="20" spans="1:8" ht="25.5">
      <c r="A20" s="23"/>
      <c r="B20" s="24"/>
      <c r="C20" s="106" t="s">
        <v>271</v>
      </c>
      <c r="D20" s="153">
        <f>D17*0.04</f>
        <v>3407.4111187999993</v>
      </c>
      <c r="E20" s="154"/>
      <c r="F20" s="155"/>
      <c r="G20" s="155"/>
      <c r="H20" s="26"/>
    </row>
    <row r="21" spans="3:4" ht="12.75">
      <c r="C21" s="115" t="s">
        <v>272</v>
      </c>
      <c r="D21" s="146">
        <f>ROUND(D17*0,2)</f>
        <v>0</v>
      </c>
    </row>
    <row r="22" spans="3:4" ht="12.75">
      <c r="C22" s="106" t="s">
        <v>11</v>
      </c>
      <c r="D22" s="125">
        <f>D17+D18+D19+D20+D21</f>
        <v>98814.92244519998</v>
      </c>
    </row>
    <row r="23" spans="3:4" ht="12.75">
      <c r="C23" s="122"/>
      <c r="D23" s="156"/>
    </row>
    <row r="27" ht="12.75">
      <c r="A27" t="s">
        <v>259</v>
      </c>
    </row>
    <row r="28" ht="12.75">
      <c r="A28" s="71" t="s">
        <v>260</v>
      </c>
    </row>
    <row r="29" ht="12.75">
      <c r="A29" s="72" t="s">
        <v>257</v>
      </c>
    </row>
    <row r="30" ht="12.75">
      <c r="A30" s="72" t="s">
        <v>258</v>
      </c>
    </row>
    <row r="31" ht="12.75">
      <c r="A31" s="72" t="s">
        <v>256</v>
      </c>
    </row>
    <row r="32" ht="12.75">
      <c r="A32" s="72" t="s">
        <v>261</v>
      </c>
    </row>
    <row r="33" ht="12.75">
      <c r="A33" s="73" t="s">
        <v>262</v>
      </c>
    </row>
  </sheetData>
  <sheetProtection/>
  <mergeCells count="6">
    <mergeCell ref="A7:A8"/>
    <mergeCell ref="B7:B8"/>
    <mergeCell ref="C7:C8"/>
    <mergeCell ref="D7:D8"/>
    <mergeCell ref="E7:G7"/>
    <mergeCell ref="H7:H8"/>
  </mergeCells>
  <hyperlinks>
    <hyperlink ref="A33" r:id="rId1" display="martins.ziverts@daba.gov.lv"/>
  </hyperlink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1">
      <selection activeCell="I8" sqref="I8"/>
    </sheetView>
  </sheetViews>
  <sheetFormatPr defaultColWidth="11.57421875" defaultRowHeight="12.75"/>
  <cols>
    <col min="1" max="2" width="6.00390625" style="0" customWidth="1"/>
    <col min="3" max="3" width="36.8515625" style="0" customWidth="1"/>
    <col min="4" max="7" width="11.57421875" style="0" customWidth="1"/>
    <col min="8" max="8" width="18.28125" style="0" customWidth="1"/>
  </cols>
  <sheetData>
    <row r="1" ht="12.75">
      <c r="H1" t="s">
        <v>276</v>
      </c>
    </row>
    <row r="3" spans="1:8" ht="15">
      <c r="A3" s="1"/>
      <c r="B3" s="7"/>
      <c r="C3" s="3" t="s">
        <v>285</v>
      </c>
      <c r="D3" s="9"/>
      <c r="E3" s="9"/>
      <c r="F3" s="9"/>
      <c r="G3" s="9"/>
      <c r="H3" s="9"/>
    </row>
    <row r="4" spans="1:8" ht="12.75">
      <c r="A4" s="1"/>
      <c r="B4" s="7"/>
      <c r="C4" s="8"/>
      <c r="D4" s="9"/>
      <c r="E4" s="9"/>
      <c r="F4" s="9"/>
      <c r="G4" s="9"/>
      <c r="H4" s="9"/>
    </row>
    <row r="5" spans="1:8" ht="12.75">
      <c r="A5" s="1"/>
      <c r="B5" s="7"/>
      <c r="C5" s="8" t="s">
        <v>0</v>
      </c>
      <c r="D5" s="9"/>
      <c r="E5" s="9"/>
      <c r="F5" s="9"/>
      <c r="G5" s="9"/>
      <c r="H5" s="9"/>
    </row>
    <row r="6" spans="1:8" ht="12.75">
      <c r="A6" s="1"/>
      <c r="B6" s="7"/>
      <c r="C6" s="8" t="s">
        <v>252</v>
      </c>
      <c r="D6" s="9"/>
      <c r="E6" s="9"/>
      <c r="F6" s="9"/>
      <c r="G6" s="9"/>
      <c r="H6" s="9"/>
    </row>
    <row r="7" spans="1:8" ht="12.75">
      <c r="A7" s="1"/>
      <c r="B7" s="7"/>
      <c r="C7" s="8" t="s">
        <v>1</v>
      </c>
      <c r="D7" s="9"/>
      <c r="E7" s="9"/>
      <c r="F7" s="9"/>
      <c r="G7" s="9"/>
      <c r="H7" s="9"/>
    </row>
    <row r="8" spans="1:8" ht="12.75">
      <c r="A8" s="1"/>
      <c r="B8" s="7"/>
      <c r="C8" s="8" t="s">
        <v>2</v>
      </c>
      <c r="D8" s="7"/>
      <c r="E8" s="7"/>
      <c r="F8" s="7"/>
      <c r="G8" s="7"/>
      <c r="H8" s="7"/>
    </row>
    <row r="9" spans="1:8" ht="14.25">
      <c r="A9" s="1"/>
      <c r="B9" s="2"/>
      <c r="C9" s="2"/>
      <c r="D9" s="10"/>
      <c r="E9" s="5"/>
      <c r="F9" s="6"/>
      <c r="G9" s="4"/>
      <c r="H9" s="4"/>
    </row>
    <row r="10" spans="1:8" ht="14.25">
      <c r="A10" s="1"/>
      <c r="B10" s="2"/>
      <c r="C10" s="2"/>
      <c r="D10" s="10"/>
      <c r="E10" s="5"/>
      <c r="F10" s="6"/>
      <c r="G10" s="4"/>
      <c r="H10" s="4"/>
    </row>
    <row r="11" spans="1:8" ht="14.25">
      <c r="A11" s="1"/>
      <c r="B11" s="2"/>
      <c r="C11" s="2" t="s">
        <v>251</v>
      </c>
      <c r="D11" s="11"/>
      <c r="E11" s="5"/>
      <c r="F11" s="6"/>
      <c r="G11" s="4"/>
      <c r="H11" s="4"/>
    </row>
    <row r="12" spans="1:8" ht="14.25">
      <c r="A12" s="116"/>
      <c r="B12" s="116"/>
      <c r="C12" s="117"/>
      <c r="D12" s="118"/>
      <c r="E12" s="12"/>
      <c r="F12" s="119"/>
      <c r="G12" s="120"/>
      <c r="H12" s="120"/>
    </row>
    <row r="13" spans="1:8" ht="12.75" customHeight="1">
      <c r="A13" s="158" t="s">
        <v>3</v>
      </c>
      <c r="B13" s="164" t="s">
        <v>4</v>
      </c>
      <c r="C13" s="160" t="s">
        <v>5</v>
      </c>
      <c r="D13" s="166" t="s">
        <v>282</v>
      </c>
      <c r="E13" s="162" t="s">
        <v>6</v>
      </c>
      <c r="F13" s="162"/>
      <c r="G13" s="162"/>
      <c r="H13" s="163" t="s">
        <v>7</v>
      </c>
    </row>
    <row r="14" spans="1:8" ht="61.5" customHeight="1">
      <c r="A14" s="158"/>
      <c r="B14" s="165"/>
      <c r="C14" s="160"/>
      <c r="D14" s="166"/>
      <c r="E14" s="157" t="s">
        <v>23</v>
      </c>
      <c r="F14" s="157" t="s">
        <v>283</v>
      </c>
      <c r="G14" s="157" t="s">
        <v>25</v>
      </c>
      <c r="H14" s="163"/>
    </row>
    <row r="15" spans="1:8" ht="12.75">
      <c r="A15" s="87"/>
      <c r="B15" s="87"/>
      <c r="C15" s="88"/>
      <c r="D15" s="89"/>
      <c r="E15" s="87"/>
      <c r="F15" s="90"/>
      <c r="G15" s="91"/>
      <c r="H15" s="91"/>
    </row>
    <row r="16" spans="1:8" ht="12.75">
      <c r="A16" s="87">
        <v>1</v>
      </c>
      <c r="B16" s="87">
        <v>1</v>
      </c>
      <c r="C16" s="92" t="str">
        <f>Būvlaukuma_iekārtošana!A5</f>
        <v>Būvlaukuma iekārtošana</v>
      </c>
      <c r="D16" s="93">
        <f aca="true" t="shared" si="0" ref="D16:D21">SUM(E16:G16)</f>
        <v>1590.73</v>
      </c>
      <c r="E16" s="94">
        <f>Būvlaukuma_iekārtošana!L34</f>
        <v>195.2</v>
      </c>
      <c r="F16" s="94">
        <f>Būvlaukuma_iekārtošana!M34</f>
        <v>372.06</v>
      </c>
      <c r="G16" s="94">
        <f>Būvlaukuma_iekārtošana!N34</f>
        <v>1023.47</v>
      </c>
      <c r="H16" s="95">
        <f>Būvlaukuma_iekārtošana!K32</f>
        <v>38.1</v>
      </c>
    </row>
    <row r="17" spans="1:8" ht="12.75">
      <c r="A17" s="87">
        <v>2</v>
      </c>
      <c r="B17" s="87">
        <v>2</v>
      </c>
      <c r="C17" s="96" t="str">
        <f>Buvdarbi!A5</f>
        <v>Būvdarbi</v>
      </c>
      <c r="D17" s="93">
        <f t="shared" si="0"/>
        <v>64148.75</v>
      </c>
      <c r="E17" s="97">
        <f>Buvdarbi!L181</f>
        <v>17739.15</v>
      </c>
      <c r="F17" s="97">
        <f>Buvdarbi!M181</f>
        <v>44173.02</v>
      </c>
      <c r="G17" s="97">
        <f>Buvdarbi!N181</f>
        <v>2236.58</v>
      </c>
      <c r="H17" s="98">
        <f>Buvdarbi!K179</f>
        <v>3464.7</v>
      </c>
    </row>
    <row r="18" spans="1:8" ht="12.75">
      <c r="A18" s="87">
        <v>3</v>
      </c>
      <c r="B18" s="87">
        <v>3</v>
      </c>
      <c r="C18" s="96" t="str">
        <f>Komunikācijas!A5</f>
        <v>Komunikāciju izbūve</v>
      </c>
      <c r="D18" s="93">
        <f t="shared" si="0"/>
        <v>1536.3600000000001</v>
      </c>
      <c r="E18" s="99">
        <f>Komunikācijas!L54</f>
        <v>330.39</v>
      </c>
      <c r="F18" s="99">
        <f>Komunikācijas!M54</f>
        <v>1192.93</v>
      </c>
      <c r="G18" s="99">
        <f>Komunikācijas!N54</f>
        <v>13.04</v>
      </c>
      <c r="H18" s="100">
        <f>Komunikācijas!K52</f>
        <v>64.53</v>
      </c>
    </row>
    <row r="19" spans="1:8" ht="12.75">
      <c r="A19" s="87">
        <v>4</v>
      </c>
      <c r="B19" s="87">
        <v>4</v>
      </c>
      <c r="C19" s="96" t="str">
        <f>Elektroapgāde!A5</f>
        <v>Elektroapgāde</v>
      </c>
      <c r="D19" s="93">
        <f t="shared" si="0"/>
        <v>1939.58</v>
      </c>
      <c r="E19" s="99">
        <f>Elektroapgāde!L45</f>
        <v>674.24</v>
      </c>
      <c r="F19" s="99">
        <f>Elektroapgāde!M45</f>
        <v>1241.01</v>
      </c>
      <c r="G19" s="99">
        <f>Elektroapgāde!N45</f>
        <v>24.33</v>
      </c>
      <c r="H19" s="100">
        <f>Elektroapgāde!K43</f>
        <v>131.52</v>
      </c>
    </row>
    <row r="20" spans="1:8" ht="12.75">
      <c r="A20" s="87">
        <v>5</v>
      </c>
      <c r="B20" s="87">
        <v>5</v>
      </c>
      <c r="C20" s="96" t="str">
        <f>Zibensaizsardzība!A5</f>
        <v>Zibensaizsardzības izbūve</v>
      </c>
      <c r="D20" s="93">
        <f t="shared" si="0"/>
        <v>1140.92</v>
      </c>
      <c r="E20" s="99">
        <f>Zibensaizsardzība!L29</f>
        <v>540.4</v>
      </c>
      <c r="F20" s="99">
        <f>Zibensaizsardzība!M29</f>
        <v>579.36</v>
      </c>
      <c r="G20" s="99">
        <f>Zibensaizsardzība!N29</f>
        <v>21.16</v>
      </c>
      <c r="H20" s="100">
        <f>Zibensaizsardzība!K27</f>
        <v>105.63000000000001</v>
      </c>
    </row>
    <row r="21" spans="1:8" ht="12.75">
      <c r="A21" s="87">
        <v>6</v>
      </c>
      <c r="B21" s="87">
        <v>6</v>
      </c>
      <c r="C21" s="101" t="str">
        <f>Teritoriju_labiekartosana!A5</f>
        <v>Teritoriju labiekārtošana</v>
      </c>
      <c r="D21" s="93">
        <f t="shared" si="0"/>
        <v>315.84</v>
      </c>
      <c r="E21" s="102">
        <f>Teritoriju_labiekartosana!L24</f>
        <v>100.92</v>
      </c>
      <c r="F21" s="102">
        <f>Teritoriju_labiekartosana!M24</f>
        <v>210.91</v>
      </c>
      <c r="G21" s="102">
        <f>Teritoriju_labiekartosana!N24</f>
        <v>4.01</v>
      </c>
      <c r="H21" s="103">
        <f>Teritoriju_labiekartosana!K22</f>
        <v>19.72</v>
      </c>
    </row>
    <row r="22" spans="1:8" ht="12.75">
      <c r="A22" s="87"/>
      <c r="B22" s="87"/>
      <c r="C22" s="104"/>
      <c r="D22" s="93"/>
      <c r="E22" s="102"/>
      <c r="F22" s="102"/>
      <c r="G22" s="102"/>
      <c r="H22" s="103"/>
    </row>
    <row r="23" spans="1:8" ht="12.75">
      <c r="A23" s="87"/>
      <c r="B23" s="87"/>
      <c r="C23" s="104"/>
      <c r="D23" s="93"/>
      <c r="E23" s="94"/>
      <c r="F23" s="94"/>
      <c r="G23" s="94"/>
      <c r="H23" s="95"/>
    </row>
    <row r="24" spans="1:8" ht="12.75">
      <c r="A24" s="105"/>
      <c r="B24" s="105"/>
      <c r="C24" s="106"/>
      <c r="D24" s="107">
        <f>SUM(D16:D23)</f>
        <v>70672.18</v>
      </c>
      <c r="E24" s="108">
        <f>SUM(E16:E23)</f>
        <v>19580.300000000003</v>
      </c>
      <c r="F24" s="108">
        <f>SUM(F16:F23)</f>
        <v>47769.29</v>
      </c>
      <c r="G24" s="108">
        <f>SUM(G16:G23)</f>
        <v>3322.59</v>
      </c>
      <c r="H24" s="109">
        <f>SUM(H16:H23)</f>
        <v>3824.2</v>
      </c>
    </row>
    <row r="25" spans="1:8" ht="12.75">
      <c r="A25" s="5"/>
      <c r="B25" s="12"/>
      <c r="C25" s="106" t="str">
        <f>CONCATENATE("Virsizdevumi ",L29*100," %")</f>
        <v>Virsizdevumi 8 %</v>
      </c>
      <c r="D25" s="110">
        <f>D24*L29</f>
        <v>5653.774399999999</v>
      </c>
      <c r="E25" s="13"/>
      <c r="F25" s="14"/>
      <c r="G25" s="14"/>
      <c r="H25" s="14"/>
    </row>
    <row r="26" spans="1:8" ht="12.75">
      <c r="A26" s="5"/>
      <c r="B26" s="12"/>
      <c r="C26" s="111" t="s">
        <v>8</v>
      </c>
      <c r="D26" s="110">
        <f>D25/5</f>
        <v>1130.75488</v>
      </c>
      <c r="E26" s="13"/>
      <c r="F26" s="14"/>
      <c r="G26" s="14"/>
      <c r="H26" s="14"/>
    </row>
    <row r="27" spans="1:13" ht="12.75">
      <c r="A27" s="5"/>
      <c r="B27" s="12"/>
      <c r="C27" s="106" t="str">
        <f>CONCATENATE("Peļņa ",L30*100," %")</f>
        <v>Peļņa 6 %</v>
      </c>
      <c r="D27" s="110">
        <f>D24*(L30)</f>
        <v>4240.3308</v>
      </c>
      <c r="E27" s="13"/>
      <c r="F27" s="15"/>
      <c r="G27" s="15"/>
      <c r="H27" s="15"/>
      <c r="L27" s="16">
        <v>5.12</v>
      </c>
      <c r="M27" s="16"/>
    </row>
    <row r="28" spans="1:13" ht="25.5">
      <c r="A28" s="17"/>
      <c r="B28" s="18"/>
      <c r="C28" s="112" t="s">
        <v>9</v>
      </c>
      <c r="D28" s="113">
        <f>E24*(23.59/100)</f>
        <v>4618.992770000001</v>
      </c>
      <c r="E28" s="19"/>
      <c r="F28" s="20"/>
      <c r="G28" s="20"/>
      <c r="H28" s="20"/>
      <c r="L28" s="21">
        <v>0.04</v>
      </c>
      <c r="M28" s="22">
        <f>F24/(1+L28)*L28</f>
        <v>1837.2803846153847</v>
      </c>
    </row>
    <row r="29" spans="1:13" ht="12.75">
      <c r="A29" s="23"/>
      <c r="B29" s="24"/>
      <c r="C29" s="106" t="s">
        <v>10</v>
      </c>
      <c r="D29" s="114">
        <f>SUM(D24:D28)-D26</f>
        <v>85185.27796999998</v>
      </c>
      <c r="E29" s="25"/>
      <c r="F29" s="26"/>
      <c r="G29" s="26"/>
      <c r="H29" s="26"/>
      <c r="L29" s="21">
        <v>0.08</v>
      </c>
      <c r="M29" s="16"/>
    </row>
    <row r="30" spans="3:13" ht="12.75">
      <c r="C30" s="115" t="s">
        <v>12</v>
      </c>
      <c r="D30" s="110">
        <f>ROUND(D29*0,2)</f>
        <v>0</v>
      </c>
      <c r="L30" s="21">
        <v>0.06</v>
      </c>
      <c r="M30" s="16"/>
    </row>
    <row r="31" spans="3:4" ht="12.75">
      <c r="C31" s="106" t="s">
        <v>11</v>
      </c>
      <c r="D31" s="114">
        <f>D29+D30</f>
        <v>85185.27796999998</v>
      </c>
    </row>
    <row r="35" ht="12.75">
      <c r="A35" t="s">
        <v>259</v>
      </c>
    </row>
    <row r="36" ht="12.75">
      <c r="A36" s="71" t="s">
        <v>260</v>
      </c>
    </row>
    <row r="37" ht="12.75">
      <c r="A37" s="72" t="s">
        <v>257</v>
      </c>
    </row>
    <row r="38" ht="12.75">
      <c r="A38" s="72" t="s">
        <v>258</v>
      </c>
    </row>
    <row r="39" ht="12.75">
      <c r="A39" s="72" t="s">
        <v>256</v>
      </c>
    </row>
    <row r="40" ht="12.75">
      <c r="A40" s="72" t="s">
        <v>261</v>
      </c>
    </row>
    <row r="41" ht="12.75">
      <c r="A41" s="73" t="s">
        <v>262</v>
      </c>
    </row>
  </sheetData>
  <sheetProtection selectLockedCells="1" selectUnlockedCells="1"/>
  <mergeCells count="6">
    <mergeCell ref="H13:H14"/>
    <mergeCell ref="A13:A14"/>
    <mergeCell ref="B13:B14"/>
    <mergeCell ref="C13:C14"/>
    <mergeCell ref="D13:D14"/>
    <mergeCell ref="E13:G13"/>
  </mergeCells>
  <hyperlinks>
    <hyperlink ref="A41" r:id="rId1" display="martins.ziverts@daba.gov.lv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0" workbookViewId="0" topLeftCell="A1">
      <selection activeCell="B15" sqref="B15"/>
    </sheetView>
  </sheetViews>
  <sheetFormatPr defaultColWidth="11.57421875" defaultRowHeight="12.75"/>
  <cols>
    <col min="1" max="1" width="5.00390625" style="27" customWidth="1"/>
    <col min="2" max="2" width="46.00390625" style="27" customWidth="1"/>
    <col min="3" max="11" width="8.7109375" style="27" customWidth="1"/>
    <col min="12" max="12" width="9.7109375" style="27" customWidth="1"/>
    <col min="13" max="13" width="10.140625" style="27" customWidth="1"/>
    <col min="14" max="14" width="8.7109375" style="27" customWidth="1"/>
    <col min="15" max="15" width="9.7109375" style="27" customWidth="1"/>
    <col min="16" max="255" width="8.7109375" style="27" customWidth="1"/>
  </cols>
  <sheetData>
    <row r="1" ht="15">
      <c r="N1" s="27" t="s">
        <v>263</v>
      </c>
    </row>
    <row r="3" spans="1:15" ht="15">
      <c r="A3" s="167" t="s">
        <v>13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68" t="str">
        <f>B15</f>
        <v>Būvlaukuma iekārtošana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">
      <c r="A8" s="8" t="s">
        <v>252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 t="s">
        <v>1</v>
      </c>
      <c r="B9" s="8"/>
      <c r="C9" s="8"/>
      <c r="D9" s="8"/>
      <c r="E9" s="8"/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</row>
    <row r="10" spans="1:15" ht="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 t="s">
        <v>254</v>
      </c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30"/>
      <c r="B12" s="30"/>
      <c r="C12" s="30"/>
      <c r="D12" s="30"/>
      <c r="E12" s="170" t="s">
        <v>16</v>
      </c>
      <c r="F12" s="170"/>
      <c r="G12" s="170"/>
      <c r="H12" s="170"/>
      <c r="I12" s="170"/>
      <c r="J12" s="170"/>
      <c r="K12" s="170" t="s">
        <v>17</v>
      </c>
      <c r="L12" s="170"/>
      <c r="M12" s="170"/>
      <c r="N12" s="170"/>
      <c r="O12" s="170"/>
    </row>
    <row r="13" spans="1:15" ht="60.75" customHeight="1">
      <c r="A13" s="32" t="s">
        <v>3</v>
      </c>
      <c r="B13" s="33" t="s">
        <v>18</v>
      </c>
      <c r="C13" s="121" t="s">
        <v>19</v>
      </c>
      <c r="D13" s="121" t="s">
        <v>20</v>
      </c>
      <c r="E13" s="34" t="s">
        <v>21</v>
      </c>
      <c r="F13" s="34" t="s">
        <v>22</v>
      </c>
      <c r="G13" s="34" t="s">
        <v>23</v>
      </c>
      <c r="H13" s="34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4" t="s">
        <v>29</v>
      </c>
      <c r="N13" s="34" t="s">
        <v>30</v>
      </c>
      <c r="O13" s="34" t="s">
        <v>31</v>
      </c>
    </row>
    <row r="14" spans="1:15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</row>
    <row r="15" spans="1:15" ht="15">
      <c r="A15" s="35"/>
      <c r="B15" s="36" t="s">
        <v>32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24" customHeight="1">
      <c r="A16" s="40">
        <v>1</v>
      </c>
      <c r="B16" s="41" t="s">
        <v>33</v>
      </c>
      <c r="C16" s="42" t="s">
        <v>34</v>
      </c>
      <c r="D16" s="43">
        <v>120</v>
      </c>
      <c r="E16" s="44">
        <v>0.15</v>
      </c>
      <c r="F16" s="44">
        <f>Būvniecības_koptame!$L$27</f>
        <v>5.12</v>
      </c>
      <c r="G16" s="44">
        <f aca="true" t="shared" si="0" ref="G16:G30">ROUND(F16*E16,2)</f>
        <v>0.77</v>
      </c>
      <c r="H16" s="45">
        <v>0</v>
      </c>
      <c r="I16" s="44">
        <f>ROUND(G16*Būvniecības_koptame!$L$28,2)</f>
        <v>0.03</v>
      </c>
      <c r="J16" s="46">
        <f aca="true" t="shared" si="1" ref="J16:J30">ROUND(I16+H16+G16,2)</f>
        <v>0.8</v>
      </c>
      <c r="K16" s="44">
        <f aca="true" t="shared" si="2" ref="K16:K30">ROUND(E16*D16,2)</f>
        <v>18</v>
      </c>
      <c r="L16" s="47">
        <f aca="true" t="shared" si="3" ref="L16:L30">ROUND(G16*D16,2)</f>
        <v>92.4</v>
      </c>
      <c r="M16" s="47">
        <f aca="true" t="shared" si="4" ref="M16:M30">ROUND(H16*D16,2)</f>
        <v>0</v>
      </c>
      <c r="N16" s="47">
        <f aca="true" t="shared" si="5" ref="N16:N30">ROUND(I16*D16,2)</f>
        <v>3.6</v>
      </c>
      <c r="O16" s="47">
        <f aca="true" t="shared" si="6" ref="O16:O30">ROUND(N16+M16+L16,2)</f>
        <v>96</v>
      </c>
    </row>
    <row r="17" spans="1:15" ht="15">
      <c r="A17" s="40">
        <v>2</v>
      </c>
      <c r="B17" s="41" t="s">
        <v>35</v>
      </c>
      <c r="C17" s="42" t="s">
        <v>36</v>
      </c>
      <c r="D17" s="43">
        <v>2</v>
      </c>
      <c r="E17" s="44">
        <v>0</v>
      </c>
      <c r="F17" s="44">
        <f>Būvniecības_koptame!$L$27</f>
        <v>5.12</v>
      </c>
      <c r="G17" s="44">
        <f t="shared" si="0"/>
        <v>0</v>
      </c>
      <c r="H17" s="45">
        <v>5</v>
      </c>
      <c r="I17" s="44">
        <f>1.2*90</f>
        <v>108</v>
      </c>
      <c r="J17" s="46">
        <f t="shared" si="1"/>
        <v>113</v>
      </c>
      <c r="K17" s="44">
        <f t="shared" si="2"/>
        <v>0</v>
      </c>
      <c r="L17" s="47">
        <f t="shared" si="3"/>
        <v>0</v>
      </c>
      <c r="M17" s="47">
        <f t="shared" si="4"/>
        <v>10</v>
      </c>
      <c r="N17" s="47">
        <f t="shared" si="5"/>
        <v>216</v>
      </c>
      <c r="O17" s="47">
        <f t="shared" si="6"/>
        <v>226</v>
      </c>
    </row>
    <row r="18" spans="1:15" ht="25.5">
      <c r="A18" s="40">
        <v>3</v>
      </c>
      <c r="B18" s="41" t="s">
        <v>37</v>
      </c>
      <c r="C18" s="42" t="s">
        <v>38</v>
      </c>
      <c r="D18" s="43">
        <v>1</v>
      </c>
      <c r="E18" s="44">
        <v>2</v>
      </c>
      <c r="F18" s="44">
        <f>Būvniecības_koptame!$L$27</f>
        <v>5.12</v>
      </c>
      <c r="G18" s="44">
        <f t="shared" si="0"/>
        <v>10.24</v>
      </c>
      <c r="H18" s="45">
        <v>0</v>
      </c>
      <c r="I18" s="44">
        <f>ROUND(G18*Būvniecības_koptame!$L$28,2)</f>
        <v>0.41</v>
      </c>
      <c r="J18" s="46">
        <f t="shared" si="1"/>
        <v>10.65</v>
      </c>
      <c r="K18" s="44">
        <f t="shared" si="2"/>
        <v>2</v>
      </c>
      <c r="L18" s="47">
        <f t="shared" si="3"/>
        <v>10.24</v>
      </c>
      <c r="M18" s="47">
        <f t="shared" si="4"/>
        <v>0</v>
      </c>
      <c r="N18" s="47">
        <f t="shared" si="5"/>
        <v>0.41</v>
      </c>
      <c r="O18" s="47">
        <f t="shared" si="6"/>
        <v>10.65</v>
      </c>
    </row>
    <row r="19" spans="1:15" ht="25.5">
      <c r="A19" s="40">
        <v>4</v>
      </c>
      <c r="B19" s="41" t="s">
        <v>39</v>
      </c>
      <c r="C19" s="42" t="s">
        <v>36</v>
      </c>
      <c r="D19" s="43">
        <v>2</v>
      </c>
      <c r="E19" s="44">
        <v>0</v>
      </c>
      <c r="F19" s="44">
        <f>Būvniecības_koptame!$L$27</f>
        <v>5.12</v>
      </c>
      <c r="G19" s="44">
        <f t="shared" si="0"/>
        <v>0</v>
      </c>
      <c r="H19" s="45">
        <v>0</v>
      </c>
      <c r="I19" s="44">
        <v>180</v>
      </c>
      <c r="J19" s="46">
        <f t="shared" si="1"/>
        <v>180</v>
      </c>
      <c r="K19" s="44">
        <f t="shared" si="2"/>
        <v>0</v>
      </c>
      <c r="L19" s="47">
        <f t="shared" si="3"/>
        <v>0</v>
      </c>
      <c r="M19" s="47">
        <f t="shared" si="4"/>
        <v>0</v>
      </c>
      <c r="N19" s="47">
        <f t="shared" si="5"/>
        <v>360</v>
      </c>
      <c r="O19" s="47">
        <f t="shared" si="6"/>
        <v>360</v>
      </c>
    </row>
    <row r="20" spans="1:15" ht="25.5">
      <c r="A20" s="40">
        <v>5</v>
      </c>
      <c r="B20" s="41" t="s">
        <v>40</v>
      </c>
      <c r="C20" s="42" t="s">
        <v>38</v>
      </c>
      <c r="D20" s="43">
        <v>1</v>
      </c>
      <c r="E20" s="44">
        <v>1</v>
      </c>
      <c r="F20" s="44">
        <f>Būvniecības_koptame!$L$27</f>
        <v>5.12</v>
      </c>
      <c r="G20" s="44">
        <f t="shared" si="0"/>
        <v>5.12</v>
      </c>
      <c r="H20" s="45">
        <v>0</v>
      </c>
      <c r="I20" s="44">
        <f>ROUND(G20*Būvniecības_koptame!$L$28,2)</f>
        <v>0.2</v>
      </c>
      <c r="J20" s="46">
        <f t="shared" si="1"/>
        <v>5.32</v>
      </c>
      <c r="K20" s="44">
        <f t="shared" si="2"/>
        <v>1</v>
      </c>
      <c r="L20" s="47">
        <f t="shared" si="3"/>
        <v>5.12</v>
      </c>
      <c r="M20" s="47">
        <f t="shared" si="4"/>
        <v>0</v>
      </c>
      <c r="N20" s="47">
        <f t="shared" si="5"/>
        <v>0.2</v>
      </c>
      <c r="O20" s="47">
        <f t="shared" si="6"/>
        <v>5.32</v>
      </c>
    </row>
    <row r="21" spans="1:15" ht="25.5">
      <c r="A21" s="40">
        <v>6</v>
      </c>
      <c r="B21" s="41" t="s">
        <v>41</v>
      </c>
      <c r="C21" s="42" t="s">
        <v>36</v>
      </c>
      <c r="D21" s="43">
        <v>2</v>
      </c>
      <c r="E21" s="44">
        <v>0</v>
      </c>
      <c r="F21" s="44">
        <f>Būvniecības_koptame!$L$27</f>
        <v>5.12</v>
      </c>
      <c r="G21" s="44">
        <f t="shared" si="0"/>
        <v>0</v>
      </c>
      <c r="H21" s="45">
        <v>0</v>
      </c>
      <c r="I21" s="44">
        <v>120</v>
      </c>
      <c r="J21" s="46">
        <f t="shared" si="1"/>
        <v>120</v>
      </c>
      <c r="K21" s="44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240</v>
      </c>
      <c r="O21" s="47">
        <f t="shared" si="6"/>
        <v>240</v>
      </c>
    </row>
    <row r="22" spans="1:15" ht="25.5">
      <c r="A22" s="40">
        <v>7</v>
      </c>
      <c r="B22" s="41" t="s">
        <v>42</v>
      </c>
      <c r="C22" s="42" t="s">
        <v>43</v>
      </c>
      <c r="D22" s="43">
        <v>28</v>
      </c>
      <c r="E22" s="44">
        <v>0.2</v>
      </c>
      <c r="F22" s="44">
        <f>Būvniecības_koptame!$L$27</f>
        <v>5.12</v>
      </c>
      <c r="G22" s="44">
        <f t="shared" si="0"/>
        <v>1.02</v>
      </c>
      <c r="H22" s="45">
        <v>0</v>
      </c>
      <c r="I22" s="44">
        <f>ROUND(G22*Būvniecības_koptame!$L$28,2)</f>
        <v>0.04</v>
      </c>
      <c r="J22" s="46">
        <f t="shared" si="1"/>
        <v>1.06</v>
      </c>
      <c r="K22" s="44">
        <f t="shared" si="2"/>
        <v>5.6</v>
      </c>
      <c r="L22" s="47">
        <f t="shared" si="3"/>
        <v>28.56</v>
      </c>
      <c r="M22" s="47">
        <f t="shared" si="4"/>
        <v>0</v>
      </c>
      <c r="N22" s="47">
        <f t="shared" si="5"/>
        <v>1.12</v>
      </c>
      <c r="O22" s="47">
        <f t="shared" si="6"/>
        <v>29.68</v>
      </c>
    </row>
    <row r="23" spans="1:15" ht="15">
      <c r="A23" s="40">
        <v>8</v>
      </c>
      <c r="B23" s="41" t="s">
        <v>44</v>
      </c>
      <c r="C23" s="42" t="s">
        <v>38</v>
      </c>
      <c r="D23" s="43">
        <v>0</v>
      </c>
      <c r="E23" s="44">
        <v>2</v>
      </c>
      <c r="F23" s="44">
        <f>Būvniecības_koptame!$L$27</f>
        <v>5.12</v>
      </c>
      <c r="G23" s="44">
        <f t="shared" si="0"/>
        <v>10.24</v>
      </c>
      <c r="H23" s="45">
        <v>5</v>
      </c>
      <c r="I23" s="44">
        <v>30</v>
      </c>
      <c r="J23" s="46">
        <f t="shared" si="1"/>
        <v>45.24</v>
      </c>
      <c r="K23" s="44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</row>
    <row r="24" spans="1:15" ht="25.5">
      <c r="A24" s="40">
        <v>9</v>
      </c>
      <c r="B24" s="41" t="s">
        <v>45</v>
      </c>
      <c r="C24" s="42" t="s">
        <v>38</v>
      </c>
      <c r="D24" s="43">
        <v>1</v>
      </c>
      <c r="E24" s="44">
        <v>1</v>
      </c>
      <c r="F24" s="44">
        <f>Būvniecības_koptame!$L$27</f>
        <v>5.12</v>
      </c>
      <c r="G24" s="44">
        <f t="shared" si="0"/>
        <v>5.12</v>
      </c>
      <c r="H24" s="45">
        <f>55</f>
        <v>55</v>
      </c>
      <c r="I24" s="44">
        <f>ROUND(G24*Būvniecības_koptame!$L$28,2)</f>
        <v>0.2</v>
      </c>
      <c r="J24" s="46">
        <f t="shared" si="1"/>
        <v>60.32</v>
      </c>
      <c r="K24" s="44">
        <f t="shared" si="2"/>
        <v>1</v>
      </c>
      <c r="L24" s="47">
        <f t="shared" si="3"/>
        <v>5.12</v>
      </c>
      <c r="M24" s="47">
        <f t="shared" si="4"/>
        <v>55</v>
      </c>
      <c r="N24" s="47">
        <f t="shared" si="5"/>
        <v>0.2</v>
      </c>
      <c r="O24" s="47">
        <f t="shared" si="6"/>
        <v>60.32</v>
      </c>
    </row>
    <row r="25" spans="1:15" ht="38.25">
      <c r="A25" s="40">
        <v>10</v>
      </c>
      <c r="B25" s="41" t="s">
        <v>46</v>
      </c>
      <c r="C25" s="42" t="s">
        <v>47</v>
      </c>
      <c r="D25" s="43">
        <v>1</v>
      </c>
      <c r="E25" s="44">
        <v>8</v>
      </c>
      <c r="F25" s="44">
        <f>Būvniecības_koptame!$L$27</f>
        <v>5.12</v>
      </c>
      <c r="G25" s="44">
        <f t="shared" si="0"/>
        <v>40.96</v>
      </c>
      <c r="H25" s="45">
        <v>120</v>
      </c>
      <c r="I25" s="44">
        <f>ROUND(G25*Būvniecības_koptame!$L$28,2)</f>
        <v>1.64</v>
      </c>
      <c r="J25" s="46">
        <f t="shared" si="1"/>
        <v>162.6</v>
      </c>
      <c r="K25" s="44">
        <f t="shared" si="2"/>
        <v>8</v>
      </c>
      <c r="L25" s="47">
        <f t="shared" si="3"/>
        <v>40.96</v>
      </c>
      <c r="M25" s="47">
        <f t="shared" si="4"/>
        <v>120</v>
      </c>
      <c r="N25" s="47">
        <f t="shared" si="5"/>
        <v>1.64</v>
      </c>
      <c r="O25" s="47">
        <f t="shared" si="6"/>
        <v>162.6</v>
      </c>
    </row>
    <row r="26" spans="1:15" ht="15">
      <c r="A26" s="40">
        <v>11</v>
      </c>
      <c r="B26" s="41" t="s">
        <v>48</v>
      </c>
      <c r="C26" s="42" t="s">
        <v>34</v>
      </c>
      <c r="D26" s="43">
        <v>2</v>
      </c>
      <c r="E26" s="44">
        <v>0</v>
      </c>
      <c r="F26" s="44">
        <f>Būvniecības_koptame!$L$27</f>
        <v>5.12</v>
      </c>
      <c r="G26" s="44">
        <f t="shared" si="0"/>
        <v>0</v>
      </c>
      <c r="H26" s="45">
        <v>3</v>
      </c>
      <c r="I26" s="44">
        <f>ROUND(G26*Būvniecības_koptame!$L$28,2)</f>
        <v>0</v>
      </c>
      <c r="J26" s="46">
        <f t="shared" si="1"/>
        <v>3</v>
      </c>
      <c r="K26" s="44">
        <f t="shared" si="2"/>
        <v>0</v>
      </c>
      <c r="L26" s="47">
        <f t="shared" si="3"/>
        <v>0</v>
      </c>
      <c r="M26" s="47">
        <f t="shared" si="4"/>
        <v>6</v>
      </c>
      <c r="N26" s="47">
        <f t="shared" si="5"/>
        <v>0</v>
      </c>
      <c r="O26" s="47">
        <f t="shared" si="6"/>
        <v>6</v>
      </c>
    </row>
    <row r="27" spans="1:15" ht="15">
      <c r="A27" s="40">
        <v>12</v>
      </c>
      <c r="B27" s="41" t="s">
        <v>49</v>
      </c>
      <c r="C27" s="42" t="s">
        <v>36</v>
      </c>
      <c r="D27" s="43">
        <v>2</v>
      </c>
      <c r="E27" s="44">
        <v>0</v>
      </c>
      <c r="F27" s="44">
        <f>Būvniecības_koptame!$L$27</f>
        <v>5.12</v>
      </c>
      <c r="G27" s="44">
        <f t="shared" si="0"/>
        <v>0</v>
      </c>
      <c r="H27" s="45">
        <v>40</v>
      </c>
      <c r="I27" s="44">
        <f>ROUND(G27*Būvniecības_koptame!$L$28,2)</f>
        <v>0</v>
      </c>
      <c r="J27" s="46">
        <f t="shared" si="1"/>
        <v>40</v>
      </c>
      <c r="K27" s="44">
        <f t="shared" si="2"/>
        <v>0</v>
      </c>
      <c r="L27" s="47">
        <f t="shared" si="3"/>
        <v>0</v>
      </c>
      <c r="M27" s="47">
        <f t="shared" si="4"/>
        <v>80</v>
      </c>
      <c r="N27" s="47">
        <f t="shared" si="5"/>
        <v>0</v>
      </c>
      <c r="O27" s="47">
        <f t="shared" si="6"/>
        <v>80</v>
      </c>
    </row>
    <row r="28" spans="1:15" ht="15">
      <c r="A28" s="40">
        <v>13</v>
      </c>
      <c r="B28" s="41" t="s">
        <v>50</v>
      </c>
      <c r="C28" s="42" t="s">
        <v>38</v>
      </c>
      <c r="D28" s="43">
        <v>1</v>
      </c>
      <c r="E28" s="44">
        <v>1</v>
      </c>
      <c r="F28" s="44">
        <f>Būvniecības_koptame!$L$27</f>
        <v>5.12</v>
      </c>
      <c r="G28" s="44">
        <f t="shared" si="0"/>
        <v>5.12</v>
      </c>
      <c r="H28" s="45">
        <v>10</v>
      </c>
      <c r="I28" s="44">
        <v>200</v>
      </c>
      <c r="J28" s="46">
        <f t="shared" si="1"/>
        <v>215.12</v>
      </c>
      <c r="K28" s="44">
        <f t="shared" si="2"/>
        <v>1</v>
      </c>
      <c r="L28" s="47">
        <f t="shared" si="3"/>
        <v>5.12</v>
      </c>
      <c r="M28" s="47">
        <f t="shared" si="4"/>
        <v>10</v>
      </c>
      <c r="N28" s="47">
        <f t="shared" si="5"/>
        <v>200</v>
      </c>
      <c r="O28" s="47">
        <f t="shared" si="6"/>
        <v>215.12</v>
      </c>
    </row>
    <row r="29" spans="1:15" ht="15">
      <c r="A29" s="40">
        <v>14</v>
      </c>
      <c r="B29" s="41" t="s">
        <v>51</v>
      </c>
      <c r="C29" s="42" t="s">
        <v>47</v>
      </c>
      <c r="D29" s="43">
        <v>2</v>
      </c>
      <c r="E29" s="44">
        <v>0.5</v>
      </c>
      <c r="F29" s="44">
        <f>Būvniecības_koptame!$L$27</f>
        <v>5.12</v>
      </c>
      <c r="G29" s="44">
        <f t="shared" si="0"/>
        <v>2.56</v>
      </c>
      <c r="H29" s="45">
        <v>20</v>
      </c>
      <c r="I29" s="44">
        <f>ROUND(G29*Būvniecības_koptame!$L$28,2)</f>
        <v>0.1</v>
      </c>
      <c r="J29" s="46">
        <f t="shared" si="1"/>
        <v>22.66</v>
      </c>
      <c r="K29" s="44">
        <f t="shared" si="2"/>
        <v>1</v>
      </c>
      <c r="L29" s="47">
        <f t="shared" si="3"/>
        <v>5.12</v>
      </c>
      <c r="M29" s="47">
        <f t="shared" si="4"/>
        <v>40</v>
      </c>
      <c r="N29" s="47">
        <f t="shared" si="5"/>
        <v>0.2</v>
      </c>
      <c r="O29" s="47">
        <f t="shared" si="6"/>
        <v>45.32</v>
      </c>
    </row>
    <row r="30" spans="1:15" ht="15">
      <c r="A30" s="40">
        <v>15</v>
      </c>
      <c r="B30" s="41" t="s">
        <v>52</v>
      </c>
      <c r="C30" s="42" t="s">
        <v>47</v>
      </c>
      <c r="D30" s="43">
        <v>1</v>
      </c>
      <c r="E30" s="44">
        <v>0.5</v>
      </c>
      <c r="F30" s="44">
        <f>Būvniecības_koptame!$L$27</f>
        <v>5.12</v>
      </c>
      <c r="G30" s="44">
        <f t="shared" si="0"/>
        <v>2.56</v>
      </c>
      <c r="H30" s="45">
        <v>30</v>
      </c>
      <c r="I30" s="44">
        <f>ROUND(G30*Būvniecības_koptame!$L$28,2)</f>
        <v>0.1</v>
      </c>
      <c r="J30" s="46">
        <f t="shared" si="1"/>
        <v>32.66</v>
      </c>
      <c r="K30" s="44">
        <f t="shared" si="2"/>
        <v>0.5</v>
      </c>
      <c r="L30" s="47">
        <f t="shared" si="3"/>
        <v>2.56</v>
      </c>
      <c r="M30" s="47">
        <f t="shared" si="4"/>
        <v>30</v>
      </c>
      <c r="N30" s="47">
        <f t="shared" si="5"/>
        <v>0.1</v>
      </c>
      <c r="O30" s="47">
        <f t="shared" si="6"/>
        <v>32.66</v>
      </c>
    </row>
    <row r="31" spans="1:15" ht="15">
      <c r="A31" s="40"/>
      <c r="B31" s="41"/>
      <c r="C31" s="42"/>
      <c r="D31" s="43"/>
      <c r="E31" s="44"/>
      <c r="F31" s="44"/>
      <c r="G31" s="44"/>
      <c r="H31" s="45"/>
      <c r="I31" s="44"/>
      <c r="J31" s="46"/>
      <c r="K31" s="44"/>
      <c r="L31" s="47"/>
      <c r="M31" s="47"/>
      <c r="N31" s="47"/>
      <c r="O31" s="47"/>
    </row>
    <row r="32" spans="1:15" ht="15">
      <c r="A32" s="48"/>
      <c r="B32" s="49" t="s">
        <v>53</v>
      </c>
      <c r="C32" s="50"/>
      <c r="D32" s="50"/>
      <c r="E32" s="50"/>
      <c r="F32" s="50"/>
      <c r="G32" s="50"/>
      <c r="H32" s="50"/>
      <c r="I32" s="50"/>
      <c r="J32" s="50"/>
      <c r="K32" s="51">
        <f>SUM(K16:K31)</f>
        <v>38.1</v>
      </c>
      <c r="L32" s="51">
        <f>SUM(L16:L31)</f>
        <v>195.20000000000002</v>
      </c>
      <c r="M32" s="51">
        <f>SUM(M16:M31)</f>
        <v>351</v>
      </c>
      <c r="N32" s="51">
        <f>SUM(N16:N31)</f>
        <v>1023.4700000000001</v>
      </c>
      <c r="O32" s="51">
        <f>SUM(O16:O31)</f>
        <v>1569.67</v>
      </c>
    </row>
    <row r="33" spans="1:15" ht="15">
      <c r="A33" s="52"/>
      <c r="B33" s="8"/>
      <c r="C33" s="53"/>
      <c r="D33" s="54">
        <v>0.06</v>
      </c>
      <c r="E33" s="171" t="s">
        <v>54</v>
      </c>
      <c r="F33" s="171"/>
      <c r="G33" s="171"/>
      <c r="H33" s="171"/>
      <c r="I33" s="171"/>
      <c r="J33" s="171"/>
      <c r="K33" s="55"/>
      <c r="L33" s="56"/>
      <c r="M33" s="57">
        <f>ROUND(M32*D33,2)</f>
        <v>21.06</v>
      </c>
      <c r="N33" s="56"/>
      <c r="O33" s="58">
        <f>M33</f>
        <v>21.06</v>
      </c>
    </row>
    <row r="34" spans="1:15" ht="15">
      <c r="A34" s="52"/>
      <c r="B34" s="8"/>
      <c r="C34" s="53"/>
      <c r="D34" s="53"/>
      <c r="E34" s="171" t="s">
        <v>55</v>
      </c>
      <c r="F34" s="171"/>
      <c r="G34" s="171"/>
      <c r="H34" s="171"/>
      <c r="I34" s="171"/>
      <c r="J34" s="171"/>
      <c r="K34" s="59"/>
      <c r="L34" s="56">
        <f>ROUND(L33+L32,2)</f>
        <v>195.2</v>
      </c>
      <c r="M34" s="56">
        <f>ROUND(M33+M32,2)</f>
        <v>372.06</v>
      </c>
      <c r="N34" s="56">
        <f>ROUND(N33+N32,2)</f>
        <v>1023.47</v>
      </c>
      <c r="O34" s="56">
        <f>ROUND(N34+M34+L34,2)</f>
        <v>1590.73</v>
      </c>
    </row>
    <row r="35" spans="1:15" ht="15" hidden="1">
      <c r="A35" s="52"/>
      <c r="B35" s="8"/>
      <c r="C35" s="8"/>
      <c r="D35" s="8"/>
      <c r="E35" s="8"/>
      <c r="F35" s="8"/>
      <c r="G35" s="172" t="s">
        <v>56</v>
      </c>
      <c r="H35" s="172"/>
      <c r="I35" s="172"/>
      <c r="J35" s="172"/>
      <c r="K35" s="60">
        <f>Būvniecības_koptame!$L$29</f>
        <v>0.08</v>
      </c>
      <c r="L35" s="61"/>
      <c r="M35" s="61"/>
      <c r="N35" s="61"/>
      <c r="O35" s="62">
        <f>ROUND(O34*K35,2)</f>
        <v>127.26</v>
      </c>
    </row>
    <row r="36" spans="1:15" ht="15" hidden="1">
      <c r="A36" s="52"/>
      <c r="B36" s="8"/>
      <c r="C36" s="8"/>
      <c r="D36" s="8"/>
      <c r="E36" s="8"/>
      <c r="F36" s="8"/>
      <c r="G36" s="171" t="s">
        <v>57</v>
      </c>
      <c r="H36" s="171"/>
      <c r="I36" s="171"/>
      <c r="J36" s="171"/>
      <c r="K36" s="55"/>
      <c r="L36" s="61"/>
      <c r="M36" s="61"/>
      <c r="N36" s="61"/>
      <c r="O36" s="62">
        <f>O35/5</f>
        <v>25.452</v>
      </c>
    </row>
    <row r="37" spans="1:15" ht="15" hidden="1">
      <c r="A37" s="52"/>
      <c r="B37" s="8"/>
      <c r="C37" s="8"/>
      <c r="D37" s="8"/>
      <c r="E37" s="8"/>
      <c r="F37" s="8"/>
      <c r="G37" s="172" t="s">
        <v>58</v>
      </c>
      <c r="H37" s="172"/>
      <c r="I37" s="172"/>
      <c r="J37" s="172"/>
      <c r="K37" s="60">
        <f>Būvniecības_koptame!$L$30</f>
        <v>0.06</v>
      </c>
      <c r="L37" s="61"/>
      <c r="M37" s="61"/>
      <c r="N37" s="61"/>
      <c r="O37" s="62">
        <f>ROUND(O34*K37,2)</f>
        <v>95.44</v>
      </c>
    </row>
    <row r="38" spans="1:15" ht="15" hidden="1">
      <c r="A38" s="52"/>
      <c r="B38" s="8"/>
      <c r="C38" s="8"/>
      <c r="D38" s="8"/>
      <c r="E38" s="8"/>
      <c r="F38" s="8"/>
      <c r="G38" s="172" t="s">
        <v>59</v>
      </c>
      <c r="H38" s="172"/>
      <c r="I38" s="172"/>
      <c r="J38" s="172"/>
      <c r="K38" s="60">
        <v>0.2359</v>
      </c>
      <c r="L38" s="61"/>
      <c r="M38" s="61"/>
      <c r="N38" s="61"/>
      <c r="O38" s="62">
        <f>ROUND(L34*K38,2)</f>
        <v>46.05</v>
      </c>
    </row>
    <row r="39" spans="1:15" ht="15" hidden="1">
      <c r="A39" s="52"/>
      <c r="B39" s="8"/>
      <c r="C39" s="8"/>
      <c r="D39" s="8"/>
      <c r="E39" s="8"/>
      <c r="F39" s="8"/>
      <c r="G39" s="172" t="s">
        <v>60</v>
      </c>
      <c r="H39" s="172"/>
      <c r="I39" s="172"/>
      <c r="J39" s="172"/>
      <c r="K39" s="60"/>
      <c r="L39" s="61"/>
      <c r="M39" s="61"/>
      <c r="N39" s="61"/>
      <c r="O39" s="63">
        <f>ROUND(SUM(O34:O38),2)</f>
        <v>1884.93</v>
      </c>
    </row>
    <row r="40" spans="1:15" ht="15" hidden="1">
      <c r="A40" s="64"/>
      <c r="B40" s="65"/>
      <c r="C40" s="65"/>
      <c r="D40" s="65"/>
      <c r="E40" s="65"/>
      <c r="F40" s="8"/>
      <c r="G40" s="172" t="s">
        <v>61</v>
      </c>
      <c r="H40" s="172"/>
      <c r="I40" s="172"/>
      <c r="J40" s="172"/>
      <c r="K40" s="66">
        <v>0.21</v>
      </c>
      <c r="L40" s="67"/>
      <c r="M40" s="67"/>
      <c r="N40" s="67"/>
      <c r="O40" s="68">
        <f>ROUND(O39*K40,2)</f>
        <v>395.84</v>
      </c>
    </row>
    <row r="41" spans="1:15" ht="15" hidden="1">
      <c r="A41" s="52"/>
      <c r="B41" s="65"/>
      <c r="C41" s="65"/>
      <c r="D41" s="65"/>
      <c r="E41" s="65"/>
      <c r="F41" s="8"/>
      <c r="G41" s="173" t="s">
        <v>62</v>
      </c>
      <c r="H41" s="173"/>
      <c r="I41" s="173"/>
      <c r="J41" s="173"/>
      <c r="K41" s="53"/>
      <c r="L41" s="67"/>
      <c r="M41" s="67"/>
      <c r="N41" s="67"/>
      <c r="O41" s="68">
        <f>ROUND(SUM(O39:O40),2)</f>
        <v>2280.77</v>
      </c>
    </row>
    <row r="44" spans="1:15" ht="15">
      <c r="A44" s="69"/>
      <c r="B44" s="28" t="s">
        <v>259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ht="15">
      <c r="B45" s="71" t="s">
        <v>260</v>
      </c>
    </row>
    <row r="46" ht="15">
      <c r="B46" s="72" t="s">
        <v>257</v>
      </c>
    </row>
    <row r="47" ht="15">
      <c r="B47" s="72" t="s">
        <v>258</v>
      </c>
    </row>
    <row r="48" ht="15">
      <c r="B48" s="72" t="s">
        <v>256</v>
      </c>
    </row>
    <row r="49" ht="15">
      <c r="B49" s="72" t="s">
        <v>261</v>
      </c>
    </row>
    <row r="50" ht="15">
      <c r="B50" s="73" t="s">
        <v>262</v>
      </c>
    </row>
  </sheetData>
  <sheetProtection selectLockedCells="1" selectUnlockedCells="1"/>
  <mergeCells count="14">
    <mergeCell ref="G40:J40"/>
    <mergeCell ref="G41:J41"/>
    <mergeCell ref="E34:J34"/>
    <mergeCell ref="G35:J35"/>
    <mergeCell ref="G36:J36"/>
    <mergeCell ref="G37:J37"/>
    <mergeCell ref="G38:J38"/>
    <mergeCell ref="G39:J39"/>
    <mergeCell ref="A3:O3"/>
    <mergeCell ref="A5:O5"/>
    <mergeCell ref="A6:O6"/>
    <mergeCell ref="E12:J12"/>
    <mergeCell ref="K12:O12"/>
    <mergeCell ref="E33:J33"/>
  </mergeCells>
  <hyperlinks>
    <hyperlink ref="B50" r:id="rId1" display="martins.ziverts@daba.gov.lv"/>
  </hyperlinks>
  <printOptions horizontalCentered="1"/>
  <pageMargins left="0.7086614173228347" right="0.7086614173228347" top="0.7480314960629921" bottom="0.31496062992125984" header="0.5118110236220472" footer="0.5118110236220472"/>
  <pageSetup horizontalDpi="300" verticalDpi="300" orientation="landscape" paperSize="9" scale="70" r:id="rId2"/>
  <rowBreaks count="1" manualBreakCount="1">
    <brk id="5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7"/>
  <sheetViews>
    <sheetView zoomScaleSheetLayoutView="100" zoomScalePageLayoutView="0" workbookViewId="0" topLeftCell="A1">
      <selection activeCell="P5" sqref="P5"/>
    </sheetView>
  </sheetViews>
  <sheetFormatPr defaultColWidth="11.57421875" defaultRowHeight="12.75"/>
  <cols>
    <col min="1" max="1" width="5.00390625" style="27" customWidth="1"/>
    <col min="2" max="2" width="46.00390625" style="27" customWidth="1"/>
    <col min="3" max="11" width="8.7109375" style="27" customWidth="1"/>
    <col min="12" max="12" width="9.7109375" style="27" customWidth="1"/>
    <col min="13" max="13" width="10.140625" style="27" customWidth="1"/>
    <col min="14" max="14" width="8.7109375" style="27" customWidth="1"/>
    <col min="15" max="15" width="9.7109375" style="27" customWidth="1"/>
    <col min="16" max="255" width="8.7109375" style="27" customWidth="1"/>
  </cols>
  <sheetData>
    <row r="1" ht="15">
      <c r="N1" s="27" t="s">
        <v>264</v>
      </c>
    </row>
    <row r="3" spans="1:15" ht="15">
      <c r="A3" s="167" t="s">
        <v>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68" t="str">
        <f>B15</f>
        <v>Būvdarbi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">
      <c r="A8" s="8" t="s">
        <v>252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 t="s">
        <v>1</v>
      </c>
      <c r="B9" s="8"/>
      <c r="C9" s="8"/>
      <c r="D9" s="8"/>
      <c r="E9" s="8"/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</row>
    <row r="10" spans="1:15" ht="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 t="s">
        <v>253</v>
      </c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30"/>
      <c r="B12" s="30"/>
      <c r="C12" s="30"/>
      <c r="D12" s="30"/>
      <c r="E12" s="170" t="s">
        <v>16</v>
      </c>
      <c r="F12" s="170"/>
      <c r="G12" s="170"/>
      <c r="H12" s="170"/>
      <c r="I12" s="170"/>
      <c r="J12" s="170"/>
      <c r="K12" s="170" t="s">
        <v>17</v>
      </c>
      <c r="L12" s="170"/>
      <c r="M12" s="170"/>
      <c r="N12" s="170"/>
      <c r="O12" s="170"/>
    </row>
    <row r="13" spans="1:15" ht="54.75" customHeight="1">
      <c r="A13" s="32" t="s">
        <v>3</v>
      </c>
      <c r="B13" s="33" t="s">
        <v>18</v>
      </c>
      <c r="C13" s="32" t="s">
        <v>19</v>
      </c>
      <c r="D13" s="32" t="s">
        <v>20</v>
      </c>
      <c r="E13" s="34" t="s">
        <v>21</v>
      </c>
      <c r="F13" s="34" t="s">
        <v>22</v>
      </c>
      <c r="G13" s="34" t="s">
        <v>23</v>
      </c>
      <c r="H13" s="34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4" t="s">
        <v>29</v>
      </c>
      <c r="N13" s="34" t="s">
        <v>30</v>
      </c>
      <c r="O13" s="34" t="s">
        <v>31</v>
      </c>
    </row>
    <row r="14" spans="1:15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</row>
    <row r="15" spans="1:15" ht="15">
      <c r="A15" s="35"/>
      <c r="B15" s="36" t="s">
        <v>64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>
      <c r="A16" s="79"/>
      <c r="B16" s="77" t="s">
        <v>65</v>
      </c>
      <c r="C16" s="82"/>
      <c r="D16" s="82"/>
      <c r="E16" s="44"/>
      <c r="F16" s="44"/>
      <c r="G16" s="44"/>
      <c r="H16" s="45"/>
      <c r="I16" s="44"/>
      <c r="J16" s="46"/>
      <c r="K16" s="44"/>
      <c r="L16" s="47"/>
      <c r="M16" s="47"/>
      <c r="N16" s="47"/>
      <c r="O16" s="47"/>
    </row>
    <row r="17" spans="1:15" ht="39">
      <c r="A17" s="80">
        <v>1</v>
      </c>
      <c r="B17" s="75" t="s">
        <v>66</v>
      </c>
      <c r="C17" s="74" t="s">
        <v>67</v>
      </c>
      <c r="D17" s="74">
        <v>32.75</v>
      </c>
      <c r="E17" s="44">
        <v>4</v>
      </c>
      <c r="F17" s="44">
        <f>Būvniecības_koptame!$L$27</f>
        <v>5.12</v>
      </c>
      <c r="G17" s="44">
        <f aca="true" t="shared" si="0" ref="G17:G38">ROUND(F17*E17,2)</f>
        <v>20.48</v>
      </c>
      <c r="H17" s="45"/>
      <c r="I17" s="44">
        <f>ROUND(G17*Būvniecības_koptame!$L$28,2)</f>
        <v>0.82</v>
      </c>
      <c r="J17" s="46">
        <f aca="true" t="shared" si="1" ref="J17:J38">ROUND(I17+H17+G17,2)</f>
        <v>21.3</v>
      </c>
      <c r="K17" s="44">
        <f aca="true" t="shared" si="2" ref="K17:K38">ROUND(E17*D17,2)</f>
        <v>131</v>
      </c>
      <c r="L17" s="47">
        <f aca="true" t="shared" si="3" ref="L17:L38">ROUND(G17*D17,2)</f>
        <v>670.72</v>
      </c>
      <c r="M17" s="47">
        <f aca="true" t="shared" si="4" ref="M17:M38">ROUND(H17*D17,2)</f>
        <v>0</v>
      </c>
      <c r="N17" s="47">
        <f aca="true" t="shared" si="5" ref="N17:N38">ROUND(I17*D17,2)</f>
        <v>26.86</v>
      </c>
      <c r="O17" s="47">
        <f aca="true" t="shared" si="6" ref="O17:O38">ROUND(N17+M17+L17,2)</f>
        <v>697.58</v>
      </c>
    </row>
    <row r="18" spans="1:15" ht="15">
      <c r="A18" s="80">
        <v>2</v>
      </c>
      <c r="B18" s="83" t="s">
        <v>68</v>
      </c>
      <c r="C18" s="74" t="s">
        <v>67</v>
      </c>
      <c r="D18" s="74">
        <v>24.15</v>
      </c>
      <c r="E18" s="44">
        <v>0</v>
      </c>
      <c r="F18" s="44">
        <f>Būvniecības_koptame!$L$27</f>
        <v>5.12</v>
      </c>
      <c r="G18" s="44">
        <f t="shared" si="0"/>
        <v>0</v>
      </c>
      <c r="H18" s="45">
        <v>12</v>
      </c>
      <c r="I18" s="44">
        <f>ROUND(G18*Būvniecības_koptame!$L$28,2)</f>
        <v>0</v>
      </c>
      <c r="J18" s="46">
        <f t="shared" si="1"/>
        <v>12</v>
      </c>
      <c r="K18" s="44">
        <f t="shared" si="2"/>
        <v>0</v>
      </c>
      <c r="L18" s="47">
        <f t="shared" si="3"/>
        <v>0</v>
      </c>
      <c r="M18" s="47">
        <f t="shared" si="4"/>
        <v>289.8</v>
      </c>
      <c r="N18" s="47">
        <f t="shared" si="5"/>
        <v>0</v>
      </c>
      <c r="O18" s="47">
        <f t="shared" si="6"/>
        <v>289.8</v>
      </c>
    </row>
    <row r="19" spans="1:15" ht="15">
      <c r="A19" s="80">
        <v>3</v>
      </c>
      <c r="B19" s="83" t="s">
        <v>69</v>
      </c>
      <c r="C19" s="74" t="s">
        <v>67</v>
      </c>
      <c r="D19" s="74">
        <v>8.75</v>
      </c>
      <c r="E19" s="44">
        <v>0</v>
      </c>
      <c r="F19" s="44">
        <f>Būvniecības_koptame!$L$27</f>
        <v>5.12</v>
      </c>
      <c r="G19" s="44">
        <f t="shared" si="0"/>
        <v>0</v>
      </c>
      <c r="H19" s="45">
        <v>30</v>
      </c>
      <c r="I19" s="44">
        <f>ROUND(G19*Būvniecības_koptame!$L$28,2)</f>
        <v>0</v>
      </c>
      <c r="J19" s="46">
        <f t="shared" si="1"/>
        <v>30</v>
      </c>
      <c r="K19" s="44">
        <f t="shared" si="2"/>
        <v>0</v>
      </c>
      <c r="L19" s="47">
        <f t="shared" si="3"/>
        <v>0</v>
      </c>
      <c r="M19" s="47">
        <f t="shared" si="4"/>
        <v>262.5</v>
      </c>
      <c r="N19" s="47">
        <f t="shared" si="5"/>
        <v>0</v>
      </c>
      <c r="O19" s="47">
        <f t="shared" si="6"/>
        <v>262.5</v>
      </c>
    </row>
    <row r="20" spans="1:15" ht="15">
      <c r="A20" s="80">
        <v>4</v>
      </c>
      <c r="B20" s="75" t="s">
        <v>70</v>
      </c>
      <c r="C20" s="74" t="s">
        <v>43</v>
      </c>
      <c r="D20" s="74">
        <v>160.75</v>
      </c>
      <c r="E20" s="44">
        <v>2</v>
      </c>
      <c r="F20" s="44">
        <f>Būvniecības_koptame!$L$27</f>
        <v>5.12</v>
      </c>
      <c r="G20" s="44">
        <f t="shared" si="0"/>
        <v>10.24</v>
      </c>
      <c r="H20" s="45">
        <v>3</v>
      </c>
      <c r="I20" s="44">
        <f>ROUND(G20*Būvniecības_koptame!$L$28,2)</f>
        <v>0.41</v>
      </c>
      <c r="J20" s="46">
        <f t="shared" si="1"/>
        <v>13.65</v>
      </c>
      <c r="K20" s="44">
        <f t="shared" si="2"/>
        <v>321.5</v>
      </c>
      <c r="L20" s="47">
        <f t="shared" si="3"/>
        <v>1646.08</v>
      </c>
      <c r="M20" s="47">
        <f t="shared" si="4"/>
        <v>482.25</v>
      </c>
      <c r="N20" s="47">
        <f t="shared" si="5"/>
        <v>65.91</v>
      </c>
      <c r="O20" s="47">
        <f t="shared" si="6"/>
        <v>2194.24</v>
      </c>
    </row>
    <row r="21" spans="1:15" ht="15">
      <c r="A21" s="80">
        <v>5</v>
      </c>
      <c r="B21" s="75" t="s">
        <v>71</v>
      </c>
      <c r="C21" s="74" t="s">
        <v>43</v>
      </c>
      <c r="D21" s="74">
        <v>160.75</v>
      </c>
      <c r="E21" s="44">
        <v>0</v>
      </c>
      <c r="F21" s="44">
        <f>Būvniecības_koptame!$L$27</f>
        <v>5.12</v>
      </c>
      <c r="G21" s="44">
        <f t="shared" si="0"/>
        <v>0</v>
      </c>
      <c r="H21" s="45">
        <v>2</v>
      </c>
      <c r="I21" s="44">
        <v>9.5</v>
      </c>
      <c r="J21" s="46">
        <f t="shared" si="1"/>
        <v>11.5</v>
      </c>
      <c r="K21" s="44">
        <f t="shared" si="2"/>
        <v>0</v>
      </c>
      <c r="L21" s="47">
        <f t="shared" si="3"/>
        <v>0</v>
      </c>
      <c r="M21" s="47">
        <f t="shared" si="4"/>
        <v>321.5</v>
      </c>
      <c r="N21" s="47">
        <f t="shared" si="5"/>
        <v>1527.13</v>
      </c>
      <c r="O21" s="47">
        <f t="shared" si="6"/>
        <v>1848.63</v>
      </c>
    </row>
    <row r="22" spans="1:15" ht="15">
      <c r="A22" s="80">
        <v>6</v>
      </c>
      <c r="B22" s="75" t="s">
        <v>72</v>
      </c>
      <c r="C22" s="74" t="s">
        <v>73</v>
      </c>
      <c r="D22" s="74">
        <v>1.13</v>
      </c>
      <c r="E22" s="44">
        <v>50</v>
      </c>
      <c r="F22" s="44">
        <f>Būvniecības_koptame!$L$27</f>
        <v>5.12</v>
      </c>
      <c r="G22" s="44">
        <f t="shared" si="0"/>
        <v>256</v>
      </c>
      <c r="H22" s="45">
        <v>0</v>
      </c>
      <c r="I22" s="44">
        <f>ROUND(G22*Būvniecības_koptame!$L$28,2)</f>
        <v>10.24</v>
      </c>
      <c r="J22" s="46">
        <f t="shared" si="1"/>
        <v>266.24</v>
      </c>
      <c r="K22" s="44">
        <f t="shared" si="2"/>
        <v>56.5</v>
      </c>
      <c r="L22" s="47">
        <f t="shared" si="3"/>
        <v>289.28</v>
      </c>
      <c r="M22" s="47">
        <f t="shared" si="4"/>
        <v>0</v>
      </c>
      <c r="N22" s="47">
        <f t="shared" si="5"/>
        <v>11.57</v>
      </c>
      <c r="O22" s="47">
        <f t="shared" si="6"/>
        <v>300.85</v>
      </c>
    </row>
    <row r="23" spans="1:15" ht="15">
      <c r="A23" s="80">
        <v>7</v>
      </c>
      <c r="B23" s="83" t="s">
        <v>74</v>
      </c>
      <c r="C23" s="74" t="s">
        <v>73</v>
      </c>
      <c r="D23" s="74">
        <v>1.13</v>
      </c>
      <c r="E23" s="44">
        <v>0</v>
      </c>
      <c r="F23" s="44">
        <f>Būvniecības_koptame!$L$27</f>
        <v>5.12</v>
      </c>
      <c r="G23" s="44">
        <f t="shared" si="0"/>
        <v>0</v>
      </c>
      <c r="H23" s="45">
        <v>640</v>
      </c>
      <c r="I23" s="44">
        <f>ROUND(G23*Būvniecības_koptame!$L$28,2)</f>
        <v>0</v>
      </c>
      <c r="J23" s="46">
        <f t="shared" si="1"/>
        <v>640</v>
      </c>
      <c r="K23" s="44">
        <f t="shared" si="2"/>
        <v>0</v>
      </c>
      <c r="L23" s="47">
        <f t="shared" si="3"/>
        <v>0</v>
      </c>
      <c r="M23" s="47">
        <f t="shared" si="4"/>
        <v>723.2</v>
      </c>
      <c r="N23" s="47">
        <f t="shared" si="5"/>
        <v>0</v>
      </c>
      <c r="O23" s="47">
        <f t="shared" si="6"/>
        <v>723.2</v>
      </c>
    </row>
    <row r="24" spans="1:15" ht="15">
      <c r="A24" s="80">
        <v>8</v>
      </c>
      <c r="B24" s="83" t="s">
        <v>75</v>
      </c>
      <c r="C24" s="74" t="s">
        <v>47</v>
      </c>
      <c r="D24" s="74">
        <v>5</v>
      </c>
      <c r="E24" s="44">
        <v>0</v>
      </c>
      <c r="F24" s="44">
        <f>Būvniecības_koptame!$L$27</f>
        <v>5.12</v>
      </c>
      <c r="G24" s="44">
        <f t="shared" si="0"/>
        <v>0</v>
      </c>
      <c r="H24" s="45">
        <v>1</v>
      </c>
      <c r="I24" s="44">
        <f>ROUND(G24*Būvniecības_koptame!$L$28,2)</f>
        <v>0</v>
      </c>
      <c r="J24" s="46">
        <f t="shared" si="1"/>
        <v>1</v>
      </c>
      <c r="K24" s="44">
        <f t="shared" si="2"/>
        <v>0</v>
      </c>
      <c r="L24" s="47">
        <f t="shared" si="3"/>
        <v>0</v>
      </c>
      <c r="M24" s="47">
        <f t="shared" si="4"/>
        <v>5</v>
      </c>
      <c r="N24" s="47">
        <f t="shared" si="5"/>
        <v>0</v>
      </c>
      <c r="O24" s="47">
        <f t="shared" si="6"/>
        <v>5</v>
      </c>
    </row>
    <row r="25" spans="1:15" ht="15">
      <c r="A25" s="80">
        <v>9</v>
      </c>
      <c r="B25" s="75" t="s">
        <v>76</v>
      </c>
      <c r="C25" s="74" t="s">
        <v>67</v>
      </c>
      <c r="D25" s="74">
        <v>44</v>
      </c>
      <c r="E25" s="44">
        <v>12</v>
      </c>
      <c r="F25" s="44">
        <f>Būvniecības_koptame!$L$27</f>
        <v>5.12</v>
      </c>
      <c r="G25" s="44">
        <f t="shared" si="0"/>
        <v>61.44</v>
      </c>
      <c r="H25" s="45"/>
      <c r="I25" s="44">
        <f>ROUND(G25*Būvniecības_koptame!$L$28,2)</f>
        <v>2.46</v>
      </c>
      <c r="J25" s="46">
        <f t="shared" si="1"/>
        <v>63.9</v>
      </c>
      <c r="K25" s="44">
        <f t="shared" si="2"/>
        <v>528</v>
      </c>
      <c r="L25" s="47">
        <f t="shared" si="3"/>
        <v>2703.36</v>
      </c>
      <c r="M25" s="47">
        <f t="shared" si="4"/>
        <v>0</v>
      </c>
      <c r="N25" s="47">
        <f t="shared" si="5"/>
        <v>108.24</v>
      </c>
      <c r="O25" s="47">
        <f t="shared" si="6"/>
        <v>2811.6</v>
      </c>
    </row>
    <row r="26" spans="1:15" ht="15">
      <c r="A26" s="80">
        <v>10</v>
      </c>
      <c r="B26" s="83" t="s">
        <v>77</v>
      </c>
      <c r="C26" s="74" t="s">
        <v>67</v>
      </c>
      <c r="D26" s="74">
        <v>44</v>
      </c>
      <c r="E26" s="44">
        <v>0</v>
      </c>
      <c r="F26" s="44">
        <f>Būvniecības_koptame!$L$27</f>
        <v>5.12</v>
      </c>
      <c r="G26" s="44">
        <f t="shared" si="0"/>
        <v>0</v>
      </c>
      <c r="H26" s="45">
        <f>48/0.7</f>
        <v>68.57142857142857</v>
      </c>
      <c r="I26" s="44">
        <f>ROUND(G26*Būvniecības_koptame!$L$28,2)</f>
        <v>0</v>
      </c>
      <c r="J26" s="46">
        <f t="shared" si="1"/>
        <v>68.57</v>
      </c>
      <c r="K26" s="44">
        <f t="shared" si="2"/>
        <v>0</v>
      </c>
      <c r="L26" s="47">
        <f t="shared" si="3"/>
        <v>0</v>
      </c>
      <c r="M26" s="47">
        <f t="shared" si="4"/>
        <v>3017.14</v>
      </c>
      <c r="N26" s="47">
        <f t="shared" si="5"/>
        <v>0</v>
      </c>
      <c r="O26" s="47">
        <f t="shared" si="6"/>
        <v>3017.14</v>
      </c>
    </row>
    <row r="27" spans="1:15" ht="15">
      <c r="A27" s="80">
        <v>11</v>
      </c>
      <c r="B27" s="83" t="s">
        <v>75</v>
      </c>
      <c r="C27" s="74" t="s">
        <v>47</v>
      </c>
      <c r="D27" s="74">
        <v>18</v>
      </c>
      <c r="E27" s="44">
        <v>0</v>
      </c>
      <c r="F27" s="44">
        <f>Būvniecības_koptame!$L$27</f>
        <v>5.12</v>
      </c>
      <c r="G27" s="44">
        <f t="shared" si="0"/>
        <v>0</v>
      </c>
      <c r="H27" s="45">
        <v>1</v>
      </c>
      <c r="I27" s="44">
        <f>ROUND(G27*Būvniecības_koptame!$L$28,2)</f>
        <v>0</v>
      </c>
      <c r="J27" s="46">
        <f t="shared" si="1"/>
        <v>1</v>
      </c>
      <c r="K27" s="44">
        <f t="shared" si="2"/>
        <v>0</v>
      </c>
      <c r="L27" s="47">
        <f t="shared" si="3"/>
        <v>0</v>
      </c>
      <c r="M27" s="47">
        <f t="shared" si="4"/>
        <v>18</v>
      </c>
      <c r="N27" s="47">
        <f t="shared" si="5"/>
        <v>0</v>
      </c>
      <c r="O27" s="47">
        <f t="shared" si="6"/>
        <v>18</v>
      </c>
    </row>
    <row r="28" spans="1:15" ht="15">
      <c r="A28" s="80">
        <v>12</v>
      </c>
      <c r="B28" s="83" t="s">
        <v>78</v>
      </c>
      <c r="C28" s="74" t="s">
        <v>43</v>
      </c>
      <c r="D28" s="74">
        <v>43.75</v>
      </c>
      <c r="E28" s="44">
        <v>0</v>
      </c>
      <c r="F28" s="44">
        <f>Būvniecības_koptame!$L$27</f>
        <v>5.12</v>
      </c>
      <c r="G28" s="44">
        <f t="shared" si="0"/>
        <v>0</v>
      </c>
      <c r="H28" s="45">
        <v>2.3</v>
      </c>
      <c r="I28" s="44">
        <f>ROUND(G28*Būvniecības_koptame!$L$28,2)</f>
        <v>0</v>
      </c>
      <c r="J28" s="46">
        <f t="shared" si="1"/>
        <v>2.3</v>
      </c>
      <c r="K28" s="44">
        <f t="shared" si="2"/>
        <v>0</v>
      </c>
      <c r="L28" s="47">
        <f t="shared" si="3"/>
        <v>0</v>
      </c>
      <c r="M28" s="47">
        <f t="shared" si="4"/>
        <v>100.63</v>
      </c>
      <c r="N28" s="47">
        <f t="shared" si="5"/>
        <v>0</v>
      </c>
      <c r="O28" s="47">
        <f t="shared" si="6"/>
        <v>100.63</v>
      </c>
    </row>
    <row r="29" spans="1:15" ht="15">
      <c r="A29" s="80">
        <v>13</v>
      </c>
      <c r="B29" s="84" t="s">
        <v>79</v>
      </c>
      <c r="C29" s="74" t="s">
        <v>67</v>
      </c>
      <c r="D29" s="74">
        <v>1.83</v>
      </c>
      <c r="E29" s="44">
        <v>17</v>
      </c>
      <c r="F29" s="44">
        <f>Būvniecības_koptame!$L$27</f>
        <v>5.12</v>
      </c>
      <c r="G29" s="44">
        <f t="shared" si="0"/>
        <v>87.04</v>
      </c>
      <c r="H29" s="45"/>
      <c r="I29" s="44">
        <f>ROUND(G29*Būvniecības_koptame!$L$28,2)</f>
        <v>3.48</v>
      </c>
      <c r="J29" s="46">
        <f t="shared" si="1"/>
        <v>90.52</v>
      </c>
      <c r="K29" s="44">
        <f t="shared" si="2"/>
        <v>31.11</v>
      </c>
      <c r="L29" s="47">
        <f t="shared" si="3"/>
        <v>159.28</v>
      </c>
      <c r="M29" s="47">
        <f t="shared" si="4"/>
        <v>0</v>
      </c>
      <c r="N29" s="47">
        <f t="shared" si="5"/>
        <v>6.37</v>
      </c>
      <c r="O29" s="47">
        <f t="shared" si="6"/>
        <v>165.65</v>
      </c>
    </row>
    <row r="30" spans="1:15" ht="15">
      <c r="A30" s="80">
        <v>14</v>
      </c>
      <c r="B30" s="83" t="s">
        <v>80</v>
      </c>
      <c r="C30" s="74" t="s">
        <v>67</v>
      </c>
      <c r="D30" s="74">
        <v>1.83</v>
      </c>
      <c r="E30" s="44">
        <v>0</v>
      </c>
      <c r="F30" s="44">
        <f>Būvniecības_koptame!$L$27</f>
        <v>5.12</v>
      </c>
      <c r="G30" s="44">
        <f t="shared" si="0"/>
        <v>0</v>
      </c>
      <c r="H30" s="45">
        <v>195</v>
      </c>
      <c r="I30" s="44">
        <f>ROUND(G30*Būvniecības_koptame!$L$28,2)</f>
        <v>0</v>
      </c>
      <c r="J30" s="46">
        <f t="shared" si="1"/>
        <v>195</v>
      </c>
      <c r="K30" s="44">
        <f t="shared" si="2"/>
        <v>0</v>
      </c>
      <c r="L30" s="47">
        <f t="shared" si="3"/>
        <v>0</v>
      </c>
      <c r="M30" s="47">
        <f t="shared" si="4"/>
        <v>356.85</v>
      </c>
      <c r="N30" s="47">
        <f t="shared" si="5"/>
        <v>0</v>
      </c>
      <c r="O30" s="47">
        <f t="shared" si="6"/>
        <v>356.85</v>
      </c>
    </row>
    <row r="31" spans="1:15" ht="15">
      <c r="A31" s="80">
        <v>15</v>
      </c>
      <c r="B31" s="83" t="s">
        <v>81</v>
      </c>
      <c r="C31" s="74" t="s">
        <v>47</v>
      </c>
      <c r="D31" s="74">
        <v>5</v>
      </c>
      <c r="E31" s="44">
        <v>0</v>
      </c>
      <c r="F31" s="44">
        <f>Būvniecības_koptame!$L$27</f>
        <v>5.12</v>
      </c>
      <c r="G31" s="44">
        <f t="shared" si="0"/>
        <v>0</v>
      </c>
      <c r="H31" s="45">
        <v>10</v>
      </c>
      <c r="I31" s="44">
        <f>ROUND(G31*Būvniecības_koptame!$L$28,2)</f>
        <v>0</v>
      </c>
      <c r="J31" s="46">
        <f t="shared" si="1"/>
        <v>10</v>
      </c>
      <c r="K31" s="44">
        <f t="shared" si="2"/>
        <v>0</v>
      </c>
      <c r="L31" s="47">
        <f t="shared" si="3"/>
        <v>0</v>
      </c>
      <c r="M31" s="47">
        <f t="shared" si="4"/>
        <v>50</v>
      </c>
      <c r="N31" s="47">
        <f t="shared" si="5"/>
        <v>0</v>
      </c>
      <c r="O31" s="47">
        <f t="shared" si="6"/>
        <v>50</v>
      </c>
    </row>
    <row r="32" spans="1:15" ht="15">
      <c r="A32" s="80">
        <v>16</v>
      </c>
      <c r="B32" s="75" t="s">
        <v>82</v>
      </c>
      <c r="C32" s="74" t="s">
        <v>67</v>
      </c>
      <c r="D32" s="74">
        <v>2.8</v>
      </c>
      <c r="E32" s="44">
        <v>12</v>
      </c>
      <c r="F32" s="44">
        <f>Būvniecības_koptame!$L$27</f>
        <v>5.12</v>
      </c>
      <c r="G32" s="44">
        <f t="shared" si="0"/>
        <v>61.44</v>
      </c>
      <c r="H32" s="45"/>
      <c r="I32" s="44">
        <f>ROUND(G32*Būvniecības_koptame!$L$28,2)</f>
        <v>2.46</v>
      </c>
      <c r="J32" s="46">
        <f t="shared" si="1"/>
        <v>63.9</v>
      </c>
      <c r="K32" s="44">
        <f t="shared" si="2"/>
        <v>33.6</v>
      </c>
      <c r="L32" s="47">
        <f t="shared" si="3"/>
        <v>172.03</v>
      </c>
      <c r="M32" s="47">
        <f t="shared" si="4"/>
        <v>0</v>
      </c>
      <c r="N32" s="47">
        <f t="shared" si="5"/>
        <v>6.89</v>
      </c>
      <c r="O32" s="47">
        <f t="shared" si="6"/>
        <v>178.92</v>
      </c>
    </row>
    <row r="33" spans="1:15" ht="15">
      <c r="A33" s="80">
        <v>17</v>
      </c>
      <c r="B33" s="83" t="s">
        <v>83</v>
      </c>
      <c r="C33" s="74" t="s">
        <v>43</v>
      </c>
      <c r="D33" s="74">
        <v>12</v>
      </c>
      <c r="E33" s="44">
        <v>0</v>
      </c>
      <c r="F33" s="44">
        <f>Būvniecības_koptame!$L$27</f>
        <v>5.12</v>
      </c>
      <c r="G33" s="44">
        <f t="shared" si="0"/>
        <v>0</v>
      </c>
      <c r="H33" s="45">
        <f>13.4</f>
        <v>13.4</v>
      </c>
      <c r="I33" s="44">
        <f>ROUND(G33*Būvniecības_koptame!$L$28,2)</f>
        <v>0</v>
      </c>
      <c r="J33" s="46">
        <f t="shared" si="1"/>
        <v>13.4</v>
      </c>
      <c r="K33" s="44">
        <f t="shared" si="2"/>
        <v>0</v>
      </c>
      <c r="L33" s="47">
        <f t="shared" si="3"/>
        <v>0</v>
      </c>
      <c r="M33" s="47">
        <f t="shared" si="4"/>
        <v>160.8</v>
      </c>
      <c r="N33" s="47">
        <f t="shared" si="5"/>
        <v>0</v>
      </c>
      <c r="O33" s="47">
        <f t="shared" si="6"/>
        <v>160.8</v>
      </c>
    </row>
    <row r="34" spans="1:15" ht="15">
      <c r="A34" s="80">
        <v>18</v>
      </c>
      <c r="B34" s="83" t="s">
        <v>84</v>
      </c>
      <c r="C34" s="74" t="s">
        <v>67</v>
      </c>
      <c r="D34" s="74">
        <v>1.1</v>
      </c>
      <c r="E34" s="44">
        <v>0</v>
      </c>
      <c r="F34" s="44">
        <f>Būvniecības_koptame!$L$27</f>
        <v>5.12</v>
      </c>
      <c r="G34" s="44">
        <f t="shared" si="0"/>
        <v>0</v>
      </c>
      <c r="H34" s="45">
        <v>195</v>
      </c>
      <c r="I34" s="44">
        <f>ROUND(G34*Būvniecības_koptame!$L$28,2)</f>
        <v>0</v>
      </c>
      <c r="J34" s="46">
        <f t="shared" si="1"/>
        <v>195</v>
      </c>
      <c r="K34" s="44">
        <f t="shared" si="2"/>
        <v>0</v>
      </c>
      <c r="L34" s="47">
        <f t="shared" si="3"/>
        <v>0</v>
      </c>
      <c r="M34" s="47">
        <f t="shared" si="4"/>
        <v>214.5</v>
      </c>
      <c r="N34" s="47">
        <f t="shared" si="5"/>
        <v>0</v>
      </c>
      <c r="O34" s="47">
        <f t="shared" si="6"/>
        <v>214.5</v>
      </c>
    </row>
    <row r="35" spans="1:15" ht="15">
      <c r="A35" s="80">
        <v>19</v>
      </c>
      <c r="B35" s="83" t="s">
        <v>85</v>
      </c>
      <c r="C35" s="74" t="s">
        <v>47</v>
      </c>
      <c r="D35" s="74">
        <v>24</v>
      </c>
      <c r="E35" s="44">
        <v>0</v>
      </c>
      <c r="F35" s="44">
        <f>Būvniecības_koptame!$L$27</f>
        <v>5.12</v>
      </c>
      <c r="G35" s="44">
        <f t="shared" si="0"/>
        <v>0</v>
      </c>
      <c r="H35" s="45">
        <v>2</v>
      </c>
      <c r="I35" s="44">
        <f>ROUND(G35*Būvniecības_koptame!$L$28,2)</f>
        <v>0</v>
      </c>
      <c r="J35" s="46">
        <f t="shared" si="1"/>
        <v>2</v>
      </c>
      <c r="K35" s="44">
        <f t="shared" si="2"/>
        <v>0</v>
      </c>
      <c r="L35" s="47">
        <f t="shared" si="3"/>
        <v>0</v>
      </c>
      <c r="M35" s="47">
        <f t="shared" si="4"/>
        <v>48</v>
      </c>
      <c r="N35" s="47">
        <f t="shared" si="5"/>
        <v>0</v>
      </c>
      <c r="O35" s="47">
        <f t="shared" si="6"/>
        <v>48</v>
      </c>
    </row>
    <row r="36" spans="1:15" ht="15">
      <c r="A36" s="80">
        <v>20</v>
      </c>
      <c r="B36" s="75" t="s">
        <v>86</v>
      </c>
      <c r="C36" s="74" t="s">
        <v>47</v>
      </c>
      <c r="D36" s="74">
        <v>1</v>
      </c>
      <c r="E36" s="44">
        <v>15</v>
      </c>
      <c r="F36" s="44">
        <f>Būvniecības_koptame!$L$27</f>
        <v>5.12</v>
      </c>
      <c r="G36" s="44">
        <f t="shared" si="0"/>
        <v>76.8</v>
      </c>
      <c r="H36" s="45"/>
      <c r="I36" s="44">
        <f>ROUND(G36*Būvniecības_koptame!$L$28,2)</f>
        <v>3.07</v>
      </c>
      <c r="J36" s="46">
        <f t="shared" si="1"/>
        <v>79.87</v>
      </c>
      <c r="K36" s="44">
        <f t="shared" si="2"/>
        <v>15</v>
      </c>
      <c r="L36" s="47">
        <f t="shared" si="3"/>
        <v>76.8</v>
      </c>
      <c r="M36" s="47">
        <f t="shared" si="4"/>
        <v>0</v>
      </c>
      <c r="N36" s="47">
        <f t="shared" si="5"/>
        <v>3.07</v>
      </c>
      <c r="O36" s="47">
        <f t="shared" si="6"/>
        <v>79.87</v>
      </c>
    </row>
    <row r="37" spans="1:15" ht="15">
      <c r="A37" s="80">
        <v>21</v>
      </c>
      <c r="B37" s="83" t="s">
        <v>87</v>
      </c>
      <c r="C37" s="74" t="s">
        <v>67</v>
      </c>
      <c r="D37" s="74">
        <v>2.5</v>
      </c>
      <c r="E37" s="44">
        <v>0</v>
      </c>
      <c r="F37" s="44">
        <f>Būvniecības_koptame!$L$27</f>
        <v>5.12</v>
      </c>
      <c r="G37" s="44">
        <f t="shared" si="0"/>
        <v>0</v>
      </c>
      <c r="H37" s="45">
        <v>195</v>
      </c>
      <c r="I37" s="44">
        <f>ROUND(G37*Būvniecības_koptame!$L$28,2)</f>
        <v>0</v>
      </c>
      <c r="J37" s="46">
        <f t="shared" si="1"/>
        <v>195</v>
      </c>
      <c r="K37" s="44">
        <f t="shared" si="2"/>
        <v>0</v>
      </c>
      <c r="L37" s="47">
        <f t="shared" si="3"/>
        <v>0</v>
      </c>
      <c r="M37" s="47">
        <f t="shared" si="4"/>
        <v>487.5</v>
      </c>
      <c r="N37" s="47">
        <f t="shared" si="5"/>
        <v>0</v>
      </c>
      <c r="O37" s="47">
        <f t="shared" si="6"/>
        <v>487.5</v>
      </c>
    </row>
    <row r="38" spans="1:15" ht="15">
      <c r="A38" s="80">
        <v>22</v>
      </c>
      <c r="B38" s="83" t="s">
        <v>88</v>
      </c>
      <c r="C38" s="74" t="s">
        <v>47</v>
      </c>
      <c r="D38" s="74">
        <v>2</v>
      </c>
      <c r="E38" s="44">
        <v>0</v>
      </c>
      <c r="F38" s="44">
        <f>Būvniecības_koptame!$L$27</f>
        <v>5.12</v>
      </c>
      <c r="G38" s="44">
        <f t="shared" si="0"/>
        <v>0</v>
      </c>
      <c r="H38" s="45">
        <v>10</v>
      </c>
      <c r="I38" s="44">
        <f>ROUND(G38*Būvniecības_koptame!$L$28,2)</f>
        <v>0</v>
      </c>
      <c r="J38" s="46">
        <f t="shared" si="1"/>
        <v>10</v>
      </c>
      <c r="K38" s="44">
        <f t="shared" si="2"/>
        <v>0</v>
      </c>
      <c r="L38" s="47">
        <f t="shared" si="3"/>
        <v>0</v>
      </c>
      <c r="M38" s="47">
        <f t="shared" si="4"/>
        <v>20</v>
      </c>
      <c r="N38" s="47">
        <f t="shared" si="5"/>
        <v>0</v>
      </c>
      <c r="O38" s="47">
        <f t="shared" si="6"/>
        <v>20</v>
      </c>
    </row>
    <row r="39" spans="1:15" ht="25.5">
      <c r="A39" s="81"/>
      <c r="B39" s="77" t="s">
        <v>89</v>
      </c>
      <c r="C39" s="78"/>
      <c r="D39" s="78"/>
      <c r="E39" s="44"/>
      <c r="F39" s="44"/>
      <c r="G39" s="44"/>
      <c r="H39" s="45"/>
      <c r="I39" s="44"/>
      <c r="J39" s="46"/>
      <c r="K39" s="44"/>
      <c r="L39" s="47"/>
      <c r="M39" s="47"/>
      <c r="N39" s="47"/>
      <c r="O39" s="47"/>
    </row>
    <row r="40" spans="1:15" ht="39">
      <c r="A40" s="80">
        <v>1</v>
      </c>
      <c r="B40" s="75" t="s">
        <v>90</v>
      </c>
      <c r="C40" s="74" t="s">
        <v>67</v>
      </c>
      <c r="D40" s="74">
        <v>48.8</v>
      </c>
      <c r="E40" s="44">
        <v>20</v>
      </c>
      <c r="F40" s="44">
        <f>Būvniecības_koptame!$L$27</f>
        <v>5.12</v>
      </c>
      <c r="G40" s="44">
        <f aca="true" t="shared" si="7" ref="G40:G67">ROUND(F40*E40,2)</f>
        <v>102.4</v>
      </c>
      <c r="H40" s="45"/>
      <c r="I40" s="44">
        <f>ROUND(G40*Būvniecības_koptame!$L$28,2)</f>
        <v>4.1</v>
      </c>
      <c r="J40" s="46">
        <f aca="true" t="shared" si="8" ref="J40:J67">ROUND(I40+H40+G40,2)</f>
        <v>106.5</v>
      </c>
      <c r="K40" s="44">
        <f aca="true" t="shared" si="9" ref="K40:K67">ROUND(E40*D40,2)</f>
        <v>976</v>
      </c>
      <c r="L40" s="47">
        <f aca="true" t="shared" si="10" ref="L40:L67">ROUND(G40*D40,2)</f>
        <v>4997.12</v>
      </c>
      <c r="M40" s="47">
        <f aca="true" t="shared" si="11" ref="M40:M67">ROUND(H40*D40,2)</f>
        <v>0</v>
      </c>
      <c r="N40" s="47">
        <f aca="true" t="shared" si="12" ref="N40:N67">ROUND(I40*D40,2)</f>
        <v>200.08</v>
      </c>
      <c r="O40" s="47">
        <f aca="true" t="shared" si="13" ref="O40:O67">ROUND(N40+M40+L40,2)</f>
        <v>5197.2</v>
      </c>
    </row>
    <row r="41" spans="1:15" ht="26.25">
      <c r="A41" s="80">
        <v>2</v>
      </c>
      <c r="B41" s="83" t="s">
        <v>91</v>
      </c>
      <c r="C41" s="74" t="s">
        <v>67</v>
      </c>
      <c r="D41" s="74">
        <v>48.8</v>
      </c>
      <c r="E41" s="44">
        <v>0</v>
      </c>
      <c r="F41" s="44">
        <f>Būvniecības_koptame!$L$27</f>
        <v>5.12</v>
      </c>
      <c r="G41" s="44">
        <f t="shared" si="7"/>
        <v>0</v>
      </c>
      <c r="H41" s="45">
        <v>240</v>
      </c>
      <c r="I41" s="44">
        <f>ROUND(G41*Būvniecības_koptame!$L$28,2)</f>
        <v>0</v>
      </c>
      <c r="J41" s="46">
        <f t="shared" si="8"/>
        <v>240</v>
      </c>
      <c r="K41" s="44">
        <f t="shared" si="9"/>
        <v>0</v>
      </c>
      <c r="L41" s="47">
        <f t="shared" si="10"/>
        <v>0</v>
      </c>
      <c r="M41" s="47">
        <f t="shared" si="11"/>
        <v>11712</v>
      </c>
      <c r="N41" s="47">
        <f t="shared" si="12"/>
        <v>0</v>
      </c>
      <c r="O41" s="47">
        <f t="shared" si="13"/>
        <v>11712</v>
      </c>
    </row>
    <row r="42" spans="1:15" ht="15">
      <c r="A42" s="80">
        <v>3</v>
      </c>
      <c r="B42" s="83" t="s">
        <v>92</v>
      </c>
      <c r="C42" s="74" t="s">
        <v>67</v>
      </c>
      <c r="D42" s="74">
        <v>22.29</v>
      </c>
      <c r="E42" s="44">
        <v>0</v>
      </c>
      <c r="F42" s="44">
        <f>Būvniecības_koptame!$L$27</f>
        <v>5.12</v>
      </c>
      <c r="G42" s="44">
        <f t="shared" si="7"/>
        <v>0</v>
      </c>
      <c r="H42" s="45">
        <v>20</v>
      </c>
      <c r="I42" s="44">
        <f>ROUND(G42*Būvniecības_koptame!$L$28,2)</f>
        <v>0</v>
      </c>
      <c r="J42" s="46">
        <f t="shared" si="8"/>
        <v>20</v>
      </c>
      <c r="K42" s="44">
        <f t="shared" si="9"/>
        <v>0</v>
      </c>
      <c r="L42" s="47">
        <f t="shared" si="10"/>
        <v>0</v>
      </c>
      <c r="M42" s="47">
        <f t="shared" si="11"/>
        <v>445.8</v>
      </c>
      <c r="N42" s="47">
        <f t="shared" si="12"/>
        <v>0</v>
      </c>
      <c r="O42" s="47">
        <f t="shared" si="13"/>
        <v>445.8</v>
      </c>
    </row>
    <row r="43" spans="1:15" ht="15">
      <c r="A43" s="80">
        <v>4</v>
      </c>
      <c r="B43" s="75" t="s">
        <v>93</v>
      </c>
      <c r="C43" s="74" t="s">
        <v>43</v>
      </c>
      <c r="D43" s="74">
        <v>56</v>
      </c>
      <c r="E43" s="44">
        <v>2</v>
      </c>
      <c r="F43" s="44">
        <f>Būvniecības_koptame!$L$27</f>
        <v>5.12</v>
      </c>
      <c r="G43" s="44">
        <f t="shared" si="7"/>
        <v>10.24</v>
      </c>
      <c r="H43" s="45"/>
      <c r="I43" s="44">
        <f>ROUND(G43*Būvniecības_koptame!$L$28,2)</f>
        <v>0.41</v>
      </c>
      <c r="J43" s="46">
        <f t="shared" si="8"/>
        <v>10.65</v>
      </c>
      <c r="K43" s="44">
        <f t="shared" si="9"/>
        <v>112</v>
      </c>
      <c r="L43" s="47">
        <f t="shared" si="10"/>
        <v>573.44</v>
      </c>
      <c r="M43" s="47">
        <f t="shared" si="11"/>
        <v>0</v>
      </c>
      <c r="N43" s="47">
        <f t="shared" si="12"/>
        <v>22.96</v>
      </c>
      <c r="O43" s="47">
        <f t="shared" si="13"/>
        <v>596.4</v>
      </c>
    </row>
    <row r="44" spans="1:15" ht="15">
      <c r="A44" s="80">
        <v>5</v>
      </c>
      <c r="B44" s="83" t="s">
        <v>94</v>
      </c>
      <c r="C44" s="74" t="s">
        <v>67</v>
      </c>
      <c r="D44" s="74">
        <v>2.85</v>
      </c>
      <c r="E44" s="44">
        <v>0</v>
      </c>
      <c r="F44" s="44">
        <f>Būvniecības_koptame!$L$27</f>
        <v>5.12</v>
      </c>
      <c r="G44" s="44">
        <f t="shared" si="7"/>
        <v>0</v>
      </c>
      <c r="H44" s="45">
        <v>195</v>
      </c>
      <c r="I44" s="44">
        <f>ROUND(G44*Būvniecības_koptame!$L$28,2)</f>
        <v>0</v>
      </c>
      <c r="J44" s="46">
        <f t="shared" si="8"/>
        <v>195</v>
      </c>
      <c r="K44" s="44">
        <f t="shared" si="9"/>
        <v>0</v>
      </c>
      <c r="L44" s="47">
        <f t="shared" si="10"/>
        <v>0</v>
      </c>
      <c r="M44" s="47">
        <f t="shared" si="11"/>
        <v>555.75</v>
      </c>
      <c r="N44" s="47">
        <f t="shared" si="12"/>
        <v>0</v>
      </c>
      <c r="O44" s="47">
        <f t="shared" si="13"/>
        <v>555.75</v>
      </c>
    </row>
    <row r="45" spans="1:15" ht="15">
      <c r="A45" s="80">
        <v>6</v>
      </c>
      <c r="B45" s="83" t="s">
        <v>95</v>
      </c>
      <c r="C45" s="74" t="s">
        <v>43</v>
      </c>
      <c r="D45" s="74">
        <v>52.87</v>
      </c>
      <c r="E45" s="44">
        <v>0</v>
      </c>
      <c r="F45" s="44">
        <f>Būvniecības_koptame!$L$27</f>
        <v>5.12</v>
      </c>
      <c r="G45" s="44">
        <f t="shared" si="7"/>
        <v>0</v>
      </c>
      <c r="H45" s="45">
        <f>23/0.7*0.1</f>
        <v>3.2857142857142856</v>
      </c>
      <c r="I45" s="44">
        <f>ROUND(G45*Būvniecības_koptame!$L$28,2)</f>
        <v>0</v>
      </c>
      <c r="J45" s="46">
        <f t="shared" si="8"/>
        <v>3.29</v>
      </c>
      <c r="K45" s="44">
        <f t="shared" si="9"/>
        <v>0</v>
      </c>
      <c r="L45" s="47">
        <f t="shared" si="10"/>
        <v>0</v>
      </c>
      <c r="M45" s="47">
        <f t="shared" si="11"/>
        <v>173.72</v>
      </c>
      <c r="N45" s="47">
        <f t="shared" si="12"/>
        <v>0</v>
      </c>
      <c r="O45" s="47">
        <f t="shared" si="13"/>
        <v>173.72</v>
      </c>
    </row>
    <row r="46" spans="1:15" ht="15">
      <c r="A46" s="80">
        <v>7</v>
      </c>
      <c r="B46" s="83" t="s">
        <v>96</v>
      </c>
      <c r="C46" s="74" t="s">
        <v>43</v>
      </c>
      <c r="D46" s="74">
        <v>52.87</v>
      </c>
      <c r="E46" s="44">
        <v>0</v>
      </c>
      <c r="F46" s="44">
        <f>Būvniecības_koptame!$L$27</f>
        <v>5.12</v>
      </c>
      <c r="G46" s="44">
        <f t="shared" si="7"/>
        <v>0</v>
      </c>
      <c r="H46" s="45">
        <v>0.75</v>
      </c>
      <c r="I46" s="44">
        <f>ROUND(G46*Būvniecības_koptame!$L$28,2)</f>
        <v>0</v>
      </c>
      <c r="J46" s="46">
        <f t="shared" si="8"/>
        <v>0.75</v>
      </c>
      <c r="K46" s="44">
        <f t="shared" si="9"/>
        <v>0</v>
      </c>
      <c r="L46" s="47">
        <f t="shared" si="10"/>
        <v>0</v>
      </c>
      <c r="M46" s="47">
        <f t="shared" si="11"/>
        <v>39.65</v>
      </c>
      <c r="N46" s="47">
        <f t="shared" si="12"/>
        <v>0</v>
      </c>
      <c r="O46" s="47">
        <f t="shared" si="13"/>
        <v>39.65</v>
      </c>
    </row>
    <row r="47" spans="1:15" ht="15">
      <c r="A47" s="80">
        <v>8</v>
      </c>
      <c r="B47" s="83" t="s">
        <v>97</v>
      </c>
      <c r="C47" s="74" t="s">
        <v>67</v>
      </c>
      <c r="D47" s="74">
        <v>1.4</v>
      </c>
      <c r="E47" s="44">
        <v>0</v>
      </c>
      <c r="F47" s="44">
        <f>Būvniecības_koptame!$L$27</f>
        <v>5.12</v>
      </c>
      <c r="G47" s="44">
        <f t="shared" si="7"/>
        <v>0</v>
      </c>
      <c r="H47" s="45">
        <v>195</v>
      </c>
      <c r="I47" s="44">
        <f>ROUND(G47*Būvniecības_koptame!$L$28,2)</f>
        <v>0</v>
      </c>
      <c r="J47" s="46">
        <f t="shared" si="8"/>
        <v>195</v>
      </c>
      <c r="K47" s="44">
        <f t="shared" si="9"/>
        <v>0</v>
      </c>
      <c r="L47" s="47">
        <f t="shared" si="10"/>
        <v>0</v>
      </c>
      <c r="M47" s="47">
        <f t="shared" si="11"/>
        <v>273</v>
      </c>
      <c r="N47" s="47">
        <f t="shared" si="12"/>
        <v>0</v>
      </c>
      <c r="O47" s="47">
        <f t="shared" si="13"/>
        <v>273</v>
      </c>
    </row>
    <row r="48" spans="1:15" ht="15">
      <c r="A48" s="80">
        <v>9</v>
      </c>
      <c r="B48" s="83" t="s">
        <v>98</v>
      </c>
      <c r="C48" s="74" t="s">
        <v>43</v>
      </c>
      <c r="D48" s="74">
        <v>62.66</v>
      </c>
      <c r="E48" s="44">
        <v>0</v>
      </c>
      <c r="F48" s="44">
        <f>Būvniecības_koptame!$L$27</f>
        <v>5.12</v>
      </c>
      <c r="G48" s="44">
        <f t="shared" si="7"/>
        <v>0</v>
      </c>
      <c r="H48" s="45">
        <v>11.2</v>
      </c>
      <c r="I48" s="44">
        <f>ROUND(G48*Būvniecības_koptame!$L$28,2)</f>
        <v>0</v>
      </c>
      <c r="J48" s="46">
        <f t="shared" si="8"/>
        <v>11.2</v>
      </c>
      <c r="K48" s="44">
        <f t="shared" si="9"/>
        <v>0</v>
      </c>
      <c r="L48" s="47">
        <f t="shared" si="10"/>
        <v>0</v>
      </c>
      <c r="M48" s="47">
        <f t="shared" si="11"/>
        <v>701.79</v>
      </c>
      <c r="N48" s="47">
        <f t="shared" si="12"/>
        <v>0</v>
      </c>
      <c r="O48" s="47">
        <f t="shared" si="13"/>
        <v>701.79</v>
      </c>
    </row>
    <row r="49" spans="1:15" ht="15">
      <c r="A49" s="80">
        <v>10</v>
      </c>
      <c r="B49" s="83" t="s">
        <v>99</v>
      </c>
      <c r="C49" s="74" t="s">
        <v>43</v>
      </c>
      <c r="D49" s="74">
        <v>44.75</v>
      </c>
      <c r="E49" s="44">
        <v>0</v>
      </c>
      <c r="F49" s="44">
        <f>Būvniecības_koptame!$L$27</f>
        <v>5.12</v>
      </c>
      <c r="G49" s="44">
        <f t="shared" si="7"/>
        <v>0</v>
      </c>
      <c r="H49" s="45">
        <f>320*0.022/0.7</f>
        <v>10.057142857142855</v>
      </c>
      <c r="I49" s="44">
        <f>ROUND(G49*Būvniecības_koptame!$L$28,2)</f>
        <v>0</v>
      </c>
      <c r="J49" s="46">
        <f t="shared" si="8"/>
        <v>10.06</v>
      </c>
      <c r="K49" s="44">
        <f t="shared" si="9"/>
        <v>0</v>
      </c>
      <c r="L49" s="47">
        <f t="shared" si="10"/>
        <v>0</v>
      </c>
      <c r="M49" s="47">
        <f t="shared" si="11"/>
        <v>450.06</v>
      </c>
      <c r="N49" s="47">
        <f t="shared" si="12"/>
        <v>0</v>
      </c>
      <c r="O49" s="47">
        <f t="shared" si="13"/>
        <v>450.06</v>
      </c>
    </row>
    <row r="50" spans="1:15" ht="15">
      <c r="A50" s="80">
        <v>11</v>
      </c>
      <c r="B50" s="75" t="s">
        <v>100</v>
      </c>
      <c r="C50" s="74" t="s">
        <v>43</v>
      </c>
      <c r="D50" s="74">
        <v>24</v>
      </c>
      <c r="E50" s="44">
        <v>2</v>
      </c>
      <c r="F50" s="44">
        <f>Būvniecības_koptame!$L$27</f>
        <v>5.12</v>
      </c>
      <c r="G50" s="44">
        <f t="shared" si="7"/>
        <v>10.24</v>
      </c>
      <c r="H50" s="45"/>
      <c r="I50" s="44">
        <f>ROUND(G50*Būvniecības_koptame!$L$28,2)</f>
        <v>0.41</v>
      </c>
      <c r="J50" s="46">
        <f t="shared" si="8"/>
        <v>10.65</v>
      </c>
      <c r="K50" s="44">
        <f t="shared" si="9"/>
        <v>48</v>
      </c>
      <c r="L50" s="47">
        <f t="shared" si="10"/>
        <v>245.76</v>
      </c>
      <c r="M50" s="47">
        <f t="shared" si="11"/>
        <v>0</v>
      </c>
      <c r="N50" s="47">
        <f t="shared" si="12"/>
        <v>9.84</v>
      </c>
      <c r="O50" s="47">
        <f t="shared" si="13"/>
        <v>255.6</v>
      </c>
    </row>
    <row r="51" spans="1:15" ht="15">
      <c r="A51" s="80">
        <v>12</v>
      </c>
      <c r="B51" s="83" t="s">
        <v>94</v>
      </c>
      <c r="C51" s="74" t="s">
        <v>67</v>
      </c>
      <c r="D51" s="74">
        <v>2.68</v>
      </c>
      <c r="E51" s="44">
        <v>0</v>
      </c>
      <c r="F51" s="44">
        <f>Būvniecības_koptame!$L$27</f>
        <v>5.12</v>
      </c>
      <c r="G51" s="44">
        <f t="shared" si="7"/>
        <v>0</v>
      </c>
      <c r="H51" s="45">
        <v>195</v>
      </c>
      <c r="I51" s="44">
        <f>ROUND(G51*Būvniecības_koptame!$L$28,2)</f>
        <v>0</v>
      </c>
      <c r="J51" s="46">
        <f t="shared" si="8"/>
        <v>195</v>
      </c>
      <c r="K51" s="44">
        <f t="shared" si="9"/>
        <v>0</v>
      </c>
      <c r="L51" s="47">
        <f t="shared" si="10"/>
        <v>0</v>
      </c>
      <c r="M51" s="47">
        <f t="shared" si="11"/>
        <v>522.6</v>
      </c>
      <c r="N51" s="47">
        <f t="shared" si="12"/>
        <v>0</v>
      </c>
      <c r="O51" s="47">
        <f t="shared" si="13"/>
        <v>522.6</v>
      </c>
    </row>
    <row r="52" spans="1:15" ht="15">
      <c r="A52" s="80">
        <v>13</v>
      </c>
      <c r="B52" s="83" t="s">
        <v>101</v>
      </c>
      <c r="C52" s="74" t="s">
        <v>43</v>
      </c>
      <c r="D52" s="74">
        <v>24</v>
      </c>
      <c r="E52" s="44">
        <v>0</v>
      </c>
      <c r="F52" s="44">
        <f>Būvniecības_koptame!$L$27</f>
        <v>5.12</v>
      </c>
      <c r="G52" s="44">
        <f t="shared" si="7"/>
        <v>0</v>
      </c>
      <c r="H52" s="45">
        <v>6.58</v>
      </c>
      <c r="I52" s="44">
        <f>ROUND(G52*Būvniecības_koptame!$L$28,2)</f>
        <v>0</v>
      </c>
      <c r="J52" s="46">
        <f t="shared" si="8"/>
        <v>6.58</v>
      </c>
      <c r="K52" s="44">
        <f t="shared" si="9"/>
        <v>0</v>
      </c>
      <c r="L52" s="47">
        <f t="shared" si="10"/>
        <v>0</v>
      </c>
      <c r="M52" s="47">
        <f t="shared" si="11"/>
        <v>157.92</v>
      </c>
      <c r="N52" s="47">
        <f t="shared" si="12"/>
        <v>0</v>
      </c>
      <c r="O52" s="47">
        <f t="shared" si="13"/>
        <v>157.92</v>
      </c>
    </row>
    <row r="53" spans="1:15" ht="15">
      <c r="A53" s="80">
        <v>14</v>
      </c>
      <c r="B53" s="83" t="s">
        <v>102</v>
      </c>
      <c r="C53" s="74" t="s">
        <v>43</v>
      </c>
      <c r="D53" s="74">
        <v>24</v>
      </c>
      <c r="E53" s="44">
        <v>0</v>
      </c>
      <c r="F53" s="44">
        <f>Būvniecības_koptame!$L$27</f>
        <v>5.12</v>
      </c>
      <c r="G53" s="44">
        <f t="shared" si="7"/>
        <v>0</v>
      </c>
      <c r="H53" s="45">
        <v>3.15</v>
      </c>
      <c r="I53" s="44">
        <f>ROUND(G53*Būvniecības_koptame!$L$28,2)</f>
        <v>0</v>
      </c>
      <c r="J53" s="46">
        <f t="shared" si="8"/>
        <v>3.15</v>
      </c>
      <c r="K53" s="44">
        <f t="shared" si="9"/>
        <v>0</v>
      </c>
      <c r="L53" s="47">
        <f t="shared" si="10"/>
        <v>0</v>
      </c>
      <c r="M53" s="47">
        <f t="shared" si="11"/>
        <v>75.6</v>
      </c>
      <c r="N53" s="47">
        <f t="shared" si="12"/>
        <v>0</v>
      </c>
      <c r="O53" s="47">
        <f t="shared" si="13"/>
        <v>75.6</v>
      </c>
    </row>
    <row r="54" spans="1:15" ht="15">
      <c r="A54" s="80">
        <v>15</v>
      </c>
      <c r="B54" s="83" t="s">
        <v>103</v>
      </c>
      <c r="C54" s="74" t="s">
        <v>67</v>
      </c>
      <c r="D54" s="74">
        <v>0.26</v>
      </c>
      <c r="E54" s="44">
        <v>0</v>
      </c>
      <c r="F54" s="44">
        <f>Būvniecības_koptame!$L$27</f>
        <v>5.12</v>
      </c>
      <c r="G54" s="44">
        <f t="shared" si="7"/>
        <v>0</v>
      </c>
      <c r="H54" s="45">
        <v>195</v>
      </c>
      <c r="I54" s="44">
        <f>ROUND(G54*Būvniecības_koptame!$L$28,2)</f>
        <v>0</v>
      </c>
      <c r="J54" s="46">
        <f t="shared" si="8"/>
        <v>195</v>
      </c>
      <c r="K54" s="44">
        <f t="shared" si="9"/>
        <v>0</v>
      </c>
      <c r="L54" s="47">
        <f t="shared" si="10"/>
        <v>0</v>
      </c>
      <c r="M54" s="47">
        <f t="shared" si="11"/>
        <v>50.7</v>
      </c>
      <c r="N54" s="47">
        <f t="shared" si="12"/>
        <v>0</v>
      </c>
      <c r="O54" s="47">
        <f t="shared" si="13"/>
        <v>50.7</v>
      </c>
    </row>
    <row r="55" spans="1:15" ht="15">
      <c r="A55" s="80">
        <v>16</v>
      </c>
      <c r="B55" s="83" t="s">
        <v>98</v>
      </c>
      <c r="C55" s="74" t="s">
        <v>43</v>
      </c>
      <c r="D55" s="74">
        <v>24.84</v>
      </c>
      <c r="E55" s="44">
        <v>0</v>
      </c>
      <c r="F55" s="44">
        <f>Būvniecības_koptame!$L$27</f>
        <v>5.12</v>
      </c>
      <c r="G55" s="44">
        <f t="shared" si="7"/>
        <v>0</v>
      </c>
      <c r="H55" s="45">
        <v>11.2</v>
      </c>
      <c r="I55" s="44">
        <f>ROUND(G55*Būvniecības_koptame!$L$28,2)</f>
        <v>0</v>
      </c>
      <c r="J55" s="46">
        <f t="shared" si="8"/>
        <v>11.2</v>
      </c>
      <c r="K55" s="44">
        <f t="shared" si="9"/>
        <v>0</v>
      </c>
      <c r="L55" s="47">
        <f t="shared" si="10"/>
        <v>0</v>
      </c>
      <c r="M55" s="47">
        <f t="shared" si="11"/>
        <v>278.21</v>
      </c>
      <c r="N55" s="47">
        <f t="shared" si="12"/>
        <v>0</v>
      </c>
      <c r="O55" s="47">
        <f t="shared" si="13"/>
        <v>278.21</v>
      </c>
    </row>
    <row r="56" spans="1:15" ht="15">
      <c r="A56" s="80">
        <v>17</v>
      </c>
      <c r="B56" s="83" t="s">
        <v>104</v>
      </c>
      <c r="C56" s="74" t="s">
        <v>43</v>
      </c>
      <c r="D56" s="74">
        <v>24</v>
      </c>
      <c r="E56" s="44">
        <v>0</v>
      </c>
      <c r="F56" s="44">
        <f>Būvniecības_koptame!$L$27</f>
        <v>5.12</v>
      </c>
      <c r="G56" s="44">
        <f t="shared" si="7"/>
        <v>0</v>
      </c>
      <c r="H56" s="45">
        <v>10.06</v>
      </c>
      <c r="I56" s="44">
        <f>ROUND(G56*Būvniecības_koptame!$L$28,2)</f>
        <v>0</v>
      </c>
      <c r="J56" s="46">
        <f t="shared" si="8"/>
        <v>10.06</v>
      </c>
      <c r="K56" s="44">
        <f t="shared" si="9"/>
        <v>0</v>
      </c>
      <c r="L56" s="47">
        <f t="shared" si="10"/>
        <v>0</v>
      </c>
      <c r="M56" s="47">
        <f t="shared" si="11"/>
        <v>241.44</v>
      </c>
      <c r="N56" s="47">
        <f t="shared" si="12"/>
        <v>0</v>
      </c>
      <c r="O56" s="47">
        <f t="shared" si="13"/>
        <v>241.44</v>
      </c>
    </row>
    <row r="57" spans="1:15" ht="26.25">
      <c r="A57" s="80">
        <v>18</v>
      </c>
      <c r="B57" s="75" t="s">
        <v>105</v>
      </c>
      <c r="C57" s="74" t="s">
        <v>43</v>
      </c>
      <c r="D57" s="74">
        <v>160.2</v>
      </c>
      <c r="E57" s="44">
        <v>3</v>
      </c>
      <c r="F57" s="44">
        <f>Būvniecības_koptame!$L$27</f>
        <v>5.12</v>
      </c>
      <c r="G57" s="44">
        <f t="shared" si="7"/>
        <v>15.36</v>
      </c>
      <c r="H57" s="45"/>
      <c r="I57" s="44">
        <f>ROUND(G57*Būvniecības_koptame!$L$28,2)</f>
        <v>0.61</v>
      </c>
      <c r="J57" s="46">
        <f t="shared" si="8"/>
        <v>15.97</v>
      </c>
      <c r="K57" s="44">
        <f t="shared" si="9"/>
        <v>480.6</v>
      </c>
      <c r="L57" s="47">
        <f t="shared" si="10"/>
        <v>2460.67</v>
      </c>
      <c r="M57" s="47">
        <f t="shared" si="11"/>
        <v>0</v>
      </c>
      <c r="N57" s="47">
        <f t="shared" si="12"/>
        <v>97.72</v>
      </c>
      <c r="O57" s="47">
        <f t="shared" si="13"/>
        <v>2558.39</v>
      </c>
    </row>
    <row r="58" spans="1:15" ht="15">
      <c r="A58" s="80">
        <v>19</v>
      </c>
      <c r="B58" s="83" t="s">
        <v>106</v>
      </c>
      <c r="C58" s="74" t="s">
        <v>67</v>
      </c>
      <c r="D58" s="74">
        <v>3.45</v>
      </c>
      <c r="E58" s="44">
        <v>0</v>
      </c>
      <c r="F58" s="44">
        <f>Būvniecības_koptame!$L$27</f>
        <v>5.12</v>
      </c>
      <c r="G58" s="44">
        <f t="shared" si="7"/>
        <v>0</v>
      </c>
      <c r="H58" s="45">
        <v>195</v>
      </c>
      <c r="I58" s="44">
        <f>ROUND(G58*Būvniecības_koptame!$L$28,2)</f>
        <v>0</v>
      </c>
      <c r="J58" s="46">
        <f t="shared" si="8"/>
        <v>195</v>
      </c>
      <c r="K58" s="44">
        <f t="shared" si="9"/>
        <v>0</v>
      </c>
      <c r="L58" s="47">
        <f t="shared" si="10"/>
        <v>0</v>
      </c>
      <c r="M58" s="47">
        <f t="shared" si="11"/>
        <v>672.75</v>
      </c>
      <c r="N58" s="47">
        <f t="shared" si="12"/>
        <v>0</v>
      </c>
      <c r="O58" s="47">
        <f t="shared" si="13"/>
        <v>672.75</v>
      </c>
    </row>
    <row r="59" spans="1:15" ht="15">
      <c r="A59" s="80">
        <v>20</v>
      </c>
      <c r="B59" s="83" t="s">
        <v>101</v>
      </c>
      <c r="C59" s="74" t="s">
        <v>43</v>
      </c>
      <c r="D59" s="74">
        <v>104.2</v>
      </c>
      <c r="E59" s="44">
        <v>0</v>
      </c>
      <c r="F59" s="44">
        <f>Būvniecības_koptame!$L$27</f>
        <v>5.12</v>
      </c>
      <c r="G59" s="44">
        <f t="shared" si="7"/>
        <v>0</v>
      </c>
      <c r="H59" s="45">
        <v>6.58</v>
      </c>
      <c r="I59" s="44">
        <f>ROUND(G59*Būvniecības_koptame!$L$28,2)</f>
        <v>0</v>
      </c>
      <c r="J59" s="46">
        <f t="shared" si="8"/>
        <v>6.58</v>
      </c>
      <c r="K59" s="44">
        <f t="shared" si="9"/>
        <v>0</v>
      </c>
      <c r="L59" s="47">
        <f t="shared" si="10"/>
        <v>0</v>
      </c>
      <c r="M59" s="47">
        <f t="shared" si="11"/>
        <v>685.64</v>
      </c>
      <c r="N59" s="47">
        <f t="shared" si="12"/>
        <v>0</v>
      </c>
      <c r="O59" s="47">
        <f t="shared" si="13"/>
        <v>685.64</v>
      </c>
    </row>
    <row r="60" spans="1:15" ht="15">
      <c r="A60" s="80">
        <v>21</v>
      </c>
      <c r="B60" s="83" t="s">
        <v>97</v>
      </c>
      <c r="C60" s="74" t="s">
        <v>67</v>
      </c>
      <c r="D60" s="74">
        <v>1.34</v>
      </c>
      <c r="E60" s="44">
        <v>0</v>
      </c>
      <c r="F60" s="44">
        <f>Būvniecības_koptame!$L$27</f>
        <v>5.12</v>
      </c>
      <c r="G60" s="44">
        <f t="shared" si="7"/>
        <v>0</v>
      </c>
      <c r="H60" s="45">
        <v>195</v>
      </c>
      <c r="I60" s="44">
        <f>ROUND(G60*Būvniecības_koptame!$L$28,2)</f>
        <v>0</v>
      </c>
      <c r="J60" s="46">
        <f t="shared" si="8"/>
        <v>195</v>
      </c>
      <c r="K60" s="44">
        <f t="shared" si="9"/>
        <v>0</v>
      </c>
      <c r="L60" s="47">
        <f t="shared" si="10"/>
        <v>0</v>
      </c>
      <c r="M60" s="47">
        <f t="shared" si="11"/>
        <v>261.3</v>
      </c>
      <c r="N60" s="47">
        <f t="shared" si="12"/>
        <v>0</v>
      </c>
      <c r="O60" s="47">
        <f t="shared" si="13"/>
        <v>261.3</v>
      </c>
    </row>
    <row r="61" spans="1:15" ht="15">
      <c r="A61" s="80">
        <v>22</v>
      </c>
      <c r="B61" s="83" t="s">
        <v>107</v>
      </c>
      <c r="C61" s="74" t="s">
        <v>43</v>
      </c>
      <c r="D61" s="74">
        <v>104.2</v>
      </c>
      <c r="E61" s="44">
        <v>0</v>
      </c>
      <c r="F61" s="44">
        <f>Būvniecības_koptame!$L$27</f>
        <v>5.12</v>
      </c>
      <c r="G61" s="44">
        <f t="shared" si="7"/>
        <v>0</v>
      </c>
      <c r="H61" s="45">
        <v>3.29</v>
      </c>
      <c r="I61" s="44">
        <f>ROUND(G61*Būvniecības_koptame!$L$28,2)</f>
        <v>0</v>
      </c>
      <c r="J61" s="46">
        <f t="shared" si="8"/>
        <v>3.29</v>
      </c>
      <c r="K61" s="44">
        <f t="shared" si="9"/>
        <v>0</v>
      </c>
      <c r="L61" s="47">
        <f t="shared" si="10"/>
        <v>0</v>
      </c>
      <c r="M61" s="47">
        <f t="shared" si="11"/>
        <v>342.82</v>
      </c>
      <c r="N61" s="47">
        <f t="shared" si="12"/>
        <v>0</v>
      </c>
      <c r="O61" s="47">
        <f t="shared" si="13"/>
        <v>342.82</v>
      </c>
    </row>
    <row r="62" spans="1:15" ht="15">
      <c r="A62" s="80">
        <v>23</v>
      </c>
      <c r="B62" s="83" t="s">
        <v>96</v>
      </c>
      <c r="C62" s="74" t="s">
        <v>43</v>
      </c>
      <c r="D62" s="74">
        <v>104.2</v>
      </c>
      <c r="E62" s="44">
        <v>0</v>
      </c>
      <c r="F62" s="44">
        <f>Būvniecības_koptame!$L$27</f>
        <v>5.12</v>
      </c>
      <c r="G62" s="44">
        <f t="shared" si="7"/>
        <v>0</v>
      </c>
      <c r="H62" s="45">
        <v>0.75</v>
      </c>
      <c r="I62" s="44">
        <f>ROUND(G62*Būvniecības_koptame!$L$28,2)</f>
        <v>0</v>
      </c>
      <c r="J62" s="46">
        <f t="shared" si="8"/>
        <v>0.75</v>
      </c>
      <c r="K62" s="44">
        <f t="shared" si="9"/>
        <v>0</v>
      </c>
      <c r="L62" s="47">
        <f t="shared" si="10"/>
        <v>0</v>
      </c>
      <c r="M62" s="47">
        <f t="shared" si="11"/>
        <v>78.15</v>
      </c>
      <c r="N62" s="47">
        <f t="shared" si="12"/>
        <v>0</v>
      </c>
      <c r="O62" s="47">
        <f t="shared" si="13"/>
        <v>78.15</v>
      </c>
    </row>
    <row r="63" spans="1:15" ht="15">
      <c r="A63" s="80">
        <v>24</v>
      </c>
      <c r="B63" s="83" t="s">
        <v>98</v>
      </c>
      <c r="C63" s="74" t="s">
        <v>43</v>
      </c>
      <c r="D63" s="74">
        <v>168</v>
      </c>
      <c r="E63" s="44">
        <v>0</v>
      </c>
      <c r="F63" s="44">
        <f>Būvniecības_koptame!$L$27</f>
        <v>5.12</v>
      </c>
      <c r="G63" s="44">
        <f t="shared" si="7"/>
        <v>0</v>
      </c>
      <c r="H63" s="45">
        <v>11.2</v>
      </c>
      <c r="I63" s="44">
        <f>ROUND(G63*Būvniecības_koptame!$L$28,2)</f>
        <v>0</v>
      </c>
      <c r="J63" s="46">
        <f t="shared" si="8"/>
        <v>11.2</v>
      </c>
      <c r="K63" s="44">
        <f t="shared" si="9"/>
        <v>0</v>
      </c>
      <c r="L63" s="47">
        <f t="shared" si="10"/>
        <v>0</v>
      </c>
      <c r="M63" s="47">
        <f t="shared" si="11"/>
        <v>1881.6</v>
      </c>
      <c r="N63" s="47">
        <f t="shared" si="12"/>
        <v>0</v>
      </c>
      <c r="O63" s="47">
        <f t="shared" si="13"/>
        <v>1881.6</v>
      </c>
    </row>
    <row r="64" spans="1:15" ht="15">
      <c r="A64" s="80">
        <v>25</v>
      </c>
      <c r="B64" s="83" t="s">
        <v>108</v>
      </c>
      <c r="C64" s="74" t="s">
        <v>43</v>
      </c>
      <c r="D64" s="74">
        <v>160.2</v>
      </c>
      <c r="E64" s="44">
        <v>0</v>
      </c>
      <c r="F64" s="44">
        <f>Būvniecības_koptame!$L$27</f>
        <v>5.12</v>
      </c>
      <c r="G64" s="44">
        <f t="shared" si="7"/>
        <v>0</v>
      </c>
      <c r="H64" s="45">
        <v>0.92</v>
      </c>
      <c r="I64" s="44">
        <f>ROUND(G64*Būvniecības_koptame!$L$28,2)</f>
        <v>0</v>
      </c>
      <c r="J64" s="46">
        <f t="shared" si="8"/>
        <v>0.92</v>
      </c>
      <c r="K64" s="44">
        <f t="shared" si="9"/>
        <v>0</v>
      </c>
      <c r="L64" s="47">
        <f t="shared" si="10"/>
        <v>0</v>
      </c>
      <c r="M64" s="47">
        <f t="shared" si="11"/>
        <v>147.38</v>
      </c>
      <c r="N64" s="47">
        <f t="shared" si="12"/>
        <v>0</v>
      </c>
      <c r="O64" s="47">
        <f t="shared" si="13"/>
        <v>147.38</v>
      </c>
    </row>
    <row r="65" spans="1:15" ht="15">
      <c r="A65" s="80">
        <v>26</v>
      </c>
      <c r="B65" s="83" t="s">
        <v>109</v>
      </c>
      <c r="C65" s="74" t="s">
        <v>67</v>
      </c>
      <c r="D65" s="74">
        <v>1.82</v>
      </c>
      <c r="E65" s="44">
        <v>0</v>
      </c>
      <c r="F65" s="44">
        <f>Būvniecības_koptame!$L$27</f>
        <v>5.12</v>
      </c>
      <c r="G65" s="44">
        <f t="shared" si="7"/>
        <v>0</v>
      </c>
      <c r="H65" s="45">
        <v>195</v>
      </c>
      <c r="I65" s="44">
        <f>ROUND(G65*Būvniecības_koptame!$L$28,2)</f>
        <v>0</v>
      </c>
      <c r="J65" s="46">
        <f t="shared" si="8"/>
        <v>195</v>
      </c>
      <c r="K65" s="44">
        <f t="shared" si="9"/>
        <v>0</v>
      </c>
      <c r="L65" s="47">
        <f t="shared" si="10"/>
        <v>0</v>
      </c>
      <c r="M65" s="47">
        <f t="shared" si="11"/>
        <v>354.9</v>
      </c>
      <c r="N65" s="47">
        <f t="shared" si="12"/>
        <v>0</v>
      </c>
      <c r="O65" s="47">
        <f t="shared" si="13"/>
        <v>354.9</v>
      </c>
    </row>
    <row r="66" spans="1:15" ht="15">
      <c r="A66" s="80">
        <v>27</v>
      </c>
      <c r="B66" s="83" t="s">
        <v>110</v>
      </c>
      <c r="C66" s="74" t="s">
        <v>43</v>
      </c>
      <c r="D66" s="74">
        <v>160.2</v>
      </c>
      <c r="E66" s="44">
        <v>0</v>
      </c>
      <c r="F66" s="44">
        <f>Būvniecības_koptame!$L$27</f>
        <v>5.12</v>
      </c>
      <c r="G66" s="44">
        <f t="shared" si="7"/>
        <v>0</v>
      </c>
      <c r="H66" s="45">
        <f>9.4/1.21</f>
        <v>7.768595041322315</v>
      </c>
      <c r="I66" s="44">
        <f>ROUND(G66*Būvniecības_koptame!$L$28,2)</f>
        <v>0</v>
      </c>
      <c r="J66" s="46">
        <f t="shared" si="8"/>
        <v>7.77</v>
      </c>
      <c r="K66" s="44">
        <f t="shared" si="9"/>
        <v>0</v>
      </c>
      <c r="L66" s="47">
        <f t="shared" si="10"/>
        <v>0</v>
      </c>
      <c r="M66" s="47">
        <f t="shared" si="11"/>
        <v>1244.53</v>
      </c>
      <c r="N66" s="47">
        <f t="shared" si="12"/>
        <v>0</v>
      </c>
      <c r="O66" s="47">
        <f t="shared" si="13"/>
        <v>1244.53</v>
      </c>
    </row>
    <row r="67" spans="1:15" ht="15">
      <c r="A67" s="80">
        <v>28</v>
      </c>
      <c r="B67" s="83" t="s">
        <v>111</v>
      </c>
      <c r="C67" s="74" t="s">
        <v>43</v>
      </c>
      <c r="D67" s="74">
        <v>6.96</v>
      </c>
      <c r="E67" s="44">
        <v>0</v>
      </c>
      <c r="F67" s="44">
        <f>Būvniecības_koptame!$L$27</f>
        <v>5.12</v>
      </c>
      <c r="G67" s="44">
        <f t="shared" si="7"/>
        <v>0</v>
      </c>
      <c r="H67" s="45">
        <v>3.5</v>
      </c>
      <c r="I67" s="44">
        <f>ROUND(G67*Būvniecības_koptame!$L$28,2)</f>
        <v>0</v>
      </c>
      <c r="J67" s="46">
        <f t="shared" si="8"/>
        <v>3.5</v>
      </c>
      <c r="K67" s="44">
        <f t="shared" si="9"/>
        <v>0</v>
      </c>
      <c r="L67" s="47">
        <f t="shared" si="10"/>
        <v>0</v>
      </c>
      <c r="M67" s="47">
        <f t="shared" si="11"/>
        <v>24.36</v>
      </c>
      <c r="N67" s="47">
        <f t="shared" si="12"/>
        <v>0</v>
      </c>
      <c r="O67" s="47">
        <f t="shared" si="13"/>
        <v>24.36</v>
      </c>
    </row>
    <row r="68" spans="1:15" ht="15">
      <c r="A68" s="81"/>
      <c r="B68" s="77" t="s">
        <v>112</v>
      </c>
      <c r="C68" s="78"/>
      <c r="D68" s="78"/>
      <c r="E68" s="44"/>
      <c r="F68" s="44"/>
      <c r="G68" s="44"/>
      <c r="H68" s="45"/>
      <c r="I68" s="44"/>
      <c r="J68" s="46"/>
      <c r="K68" s="44"/>
      <c r="L68" s="47"/>
      <c r="M68" s="47"/>
      <c r="N68" s="47"/>
      <c r="O68" s="47"/>
    </row>
    <row r="69" spans="1:15" ht="26.25">
      <c r="A69" s="80">
        <v>1</v>
      </c>
      <c r="B69" s="75" t="s">
        <v>113</v>
      </c>
      <c r="C69" s="74" t="s">
        <v>47</v>
      </c>
      <c r="D69" s="74">
        <v>1</v>
      </c>
      <c r="E69" s="44">
        <v>50</v>
      </c>
      <c r="F69" s="44">
        <f>Būvniecības_koptame!$L$27</f>
        <v>5.12</v>
      </c>
      <c r="G69" s="44">
        <f aca="true" t="shared" si="14" ref="G69:G75">ROUND(F69*E69,2)</f>
        <v>256</v>
      </c>
      <c r="H69" s="45"/>
      <c r="I69" s="44">
        <f>ROUND(G69*Būvniecības_koptame!$L$28,2)</f>
        <v>10.24</v>
      </c>
      <c r="J69" s="46">
        <f aca="true" t="shared" si="15" ref="J69:J75">ROUND(I69+H69+G69,2)</f>
        <v>266.24</v>
      </c>
      <c r="K69" s="44">
        <f aca="true" t="shared" si="16" ref="K69:K75">ROUND(E69*D69,2)</f>
        <v>50</v>
      </c>
      <c r="L69" s="47">
        <f aca="true" t="shared" si="17" ref="L69:L75">ROUND(G69*D69,2)</f>
        <v>256</v>
      </c>
      <c r="M69" s="47">
        <f aca="true" t="shared" si="18" ref="M69:M75">ROUND(H69*D69,2)</f>
        <v>0</v>
      </c>
      <c r="N69" s="47">
        <f aca="true" t="shared" si="19" ref="N69:N75">ROUND(I69*D69,2)</f>
        <v>10.24</v>
      </c>
      <c r="O69" s="47">
        <f aca="true" t="shared" si="20" ref="O69:O75">ROUND(N69+M69+L69,2)</f>
        <v>266.24</v>
      </c>
    </row>
    <row r="70" spans="1:15" ht="15">
      <c r="A70" s="80">
        <v>2</v>
      </c>
      <c r="B70" s="83" t="s">
        <v>114</v>
      </c>
      <c r="C70" s="74" t="s">
        <v>34</v>
      </c>
      <c r="D70" s="74">
        <v>5.2</v>
      </c>
      <c r="E70" s="44">
        <v>0</v>
      </c>
      <c r="F70" s="44">
        <f>Būvniecības_koptame!$L$27</f>
        <v>5.12</v>
      </c>
      <c r="G70" s="44">
        <f t="shared" si="14"/>
        <v>0</v>
      </c>
      <c r="H70" s="45">
        <v>500</v>
      </c>
      <c r="I70" s="44">
        <f>ROUND(G70*Būvniecības_koptame!$L$28,2)</f>
        <v>0</v>
      </c>
      <c r="J70" s="46">
        <f t="shared" si="15"/>
        <v>500</v>
      </c>
      <c r="K70" s="44">
        <f t="shared" si="16"/>
        <v>0</v>
      </c>
      <c r="L70" s="47">
        <f t="shared" si="17"/>
        <v>0</v>
      </c>
      <c r="M70" s="47">
        <f t="shared" si="18"/>
        <v>2600</v>
      </c>
      <c r="N70" s="47">
        <f t="shared" si="19"/>
        <v>0</v>
      </c>
      <c r="O70" s="47">
        <f t="shared" si="20"/>
        <v>2600</v>
      </c>
    </row>
    <row r="71" spans="1:15" ht="15">
      <c r="A71" s="80">
        <v>3</v>
      </c>
      <c r="B71" s="83" t="s">
        <v>75</v>
      </c>
      <c r="C71" s="74" t="s">
        <v>47</v>
      </c>
      <c r="D71" s="74">
        <v>1</v>
      </c>
      <c r="E71" s="44">
        <v>0</v>
      </c>
      <c r="F71" s="44">
        <f>Būvniecības_koptame!$L$27</f>
        <v>5.12</v>
      </c>
      <c r="G71" s="44">
        <f t="shared" si="14"/>
        <v>0</v>
      </c>
      <c r="H71" s="45">
        <v>70</v>
      </c>
      <c r="I71" s="44">
        <f>ROUND(G71*Būvniecības_koptame!$L$28,2)</f>
        <v>0</v>
      </c>
      <c r="J71" s="46">
        <f t="shared" si="15"/>
        <v>70</v>
      </c>
      <c r="K71" s="44">
        <f t="shared" si="16"/>
        <v>0</v>
      </c>
      <c r="L71" s="47">
        <f t="shared" si="17"/>
        <v>0</v>
      </c>
      <c r="M71" s="47">
        <f t="shared" si="18"/>
        <v>70</v>
      </c>
      <c r="N71" s="47">
        <f t="shared" si="19"/>
        <v>0</v>
      </c>
      <c r="O71" s="47">
        <f t="shared" si="20"/>
        <v>70</v>
      </c>
    </row>
    <row r="72" spans="1:15" ht="26.25">
      <c r="A72" s="80">
        <v>4</v>
      </c>
      <c r="B72" s="75" t="s">
        <v>115</v>
      </c>
      <c r="C72" s="74" t="s">
        <v>47</v>
      </c>
      <c r="D72" s="74">
        <v>1</v>
      </c>
      <c r="E72" s="44">
        <v>40</v>
      </c>
      <c r="F72" s="44">
        <f>Būvniecības_koptame!$L$27</f>
        <v>5.12</v>
      </c>
      <c r="G72" s="44">
        <f t="shared" si="14"/>
        <v>204.8</v>
      </c>
      <c r="H72" s="45"/>
      <c r="I72" s="44">
        <f>ROUND(G72*Būvniecības_koptame!$L$28,2)</f>
        <v>8.19</v>
      </c>
      <c r="J72" s="46">
        <f t="shared" si="15"/>
        <v>212.99</v>
      </c>
      <c r="K72" s="44">
        <f t="shared" si="16"/>
        <v>40</v>
      </c>
      <c r="L72" s="47">
        <f t="shared" si="17"/>
        <v>204.8</v>
      </c>
      <c r="M72" s="47">
        <f t="shared" si="18"/>
        <v>0</v>
      </c>
      <c r="N72" s="47">
        <f t="shared" si="19"/>
        <v>8.19</v>
      </c>
      <c r="O72" s="47">
        <f t="shared" si="20"/>
        <v>212.99</v>
      </c>
    </row>
    <row r="73" spans="1:15" ht="15">
      <c r="A73" s="80">
        <v>5</v>
      </c>
      <c r="B73" s="83" t="s">
        <v>116</v>
      </c>
      <c r="C73" s="74" t="s">
        <v>34</v>
      </c>
      <c r="D73" s="74">
        <v>4.03</v>
      </c>
      <c r="E73" s="44">
        <v>0</v>
      </c>
      <c r="F73" s="44">
        <f>Būvniecības_koptame!$L$27</f>
        <v>5.12</v>
      </c>
      <c r="G73" s="44">
        <f t="shared" si="14"/>
        <v>0</v>
      </c>
      <c r="H73" s="45">
        <v>400</v>
      </c>
      <c r="I73" s="44">
        <f>ROUND(G73*Būvniecības_koptame!$L$28,2)</f>
        <v>0</v>
      </c>
      <c r="J73" s="46">
        <f t="shared" si="15"/>
        <v>400</v>
      </c>
      <c r="K73" s="44">
        <f t="shared" si="16"/>
        <v>0</v>
      </c>
      <c r="L73" s="47">
        <f t="shared" si="17"/>
        <v>0</v>
      </c>
      <c r="M73" s="47">
        <f t="shared" si="18"/>
        <v>1612</v>
      </c>
      <c r="N73" s="47">
        <f t="shared" si="19"/>
        <v>0</v>
      </c>
      <c r="O73" s="47">
        <f t="shared" si="20"/>
        <v>1612</v>
      </c>
    </row>
    <row r="74" spans="1:15" ht="15">
      <c r="A74" s="80">
        <v>6</v>
      </c>
      <c r="B74" s="83" t="s">
        <v>75</v>
      </c>
      <c r="C74" s="74" t="s">
        <v>47</v>
      </c>
      <c r="D74" s="74">
        <v>1</v>
      </c>
      <c r="E74" s="44">
        <v>0</v>
      </c>
      <c r="F74" s="44">
        <f>Būvniecības_koptame!$L$27</f>
        <v>5.12</v>
      </c>
      <c r="G74" s="44">
        <f t="shared" si="14"/>
        <v>0</v>
      </c>
      <c r="H74" s="45">
        <v>70</v>
      </c>
      <c r="I74" s="44">
        <f>ROUND(G74*Būvniecības_koptame!$L$28,2)</f>
        <v>0</v>
      </c>
      <c r="J74" s="46">
        <f t="shared" si="15"/>
        <v>70</v>
      </c>
      <c r="K74" s="44">
        <f t="shared" si="16"/>
        <v>0</v>
      </c>
      <c r="L74" s="47">
        <f t="shared" si="17"/>
        <v>0</v>
      </c>
      <c r="M74" s="47">
        <f t="shared" si="18"/>
        <v>70</v>
      </c>
      <c r="N74" s="47">
        <f t="shared" si="19"/>
        <v>0</v>
      </c>
      <c r="O74" s="47">
        <f t="shared" si="20"/>
        <v>70</v>
      </c>
    </row>
    <row r="75" spans="1:15" ht="15">
      <c r="A75" s="80">
        <v>7</v>
      </c>
      <c r="B75" s="85" t="s">
        <v>117</v>
      </c>
      <c r="C75" s="74" t="s">
        <v>47</v>
      </c>
      <c r="D75" s="74">
        <v>1</v>
      </c>
      <c r="E75" s="44">
        <v>20</v>
      </c>
      <c r="F75" s="44">
        <f>Būvniecības_koptame!$L$27</f>
        <v>5.12</v>
      </c>
      <c r="G75" s="44">
        <f t="shared" si="14"/>
        <v>102.4</v>
      </c>
      <c r="H75" s="45">
        <v>100</v>
      </c>
      <c r="I75" s="44">
        <f>ROUND(G75*Būvniecības_koptame!$L$28,2)</f>
        <v>4.1</v>
      </c>
      <c r="J75" s="46">
        <f t="shared" si="15"/>
        <v>206.5</v>
      </c>
      <c r="K75" s="44">
        <f t="shared" si="16"/>
        <v>20</v>
      </c>
      <c r="L75" s="47">
        <f t="shared" si="17"/>
        <v>102.4</v>
      </c>
      <c r="M75" s="47">
        <f t="shared" si="18"/>
        <v>100</v>
      </c>
      <c r="N75" s="47">
        <f t="shared" si="19"/>
        <v>4.1</v>
      </c>
      <c r="O75" s="47">
        <f t="shared" si="20"/>
        <v>206.5</v>
      </c>
    </row>
    <row r="76" spans="1:15" ht="15">
      <c r="A76" s="81"/>
      <c r="B76" s="77" t="s">
        <v>118</v>
      </c>
      <c r="C76" s="78"/>
      <c r="D76" s="78"/>
      <c r="E76" s="44"/>
      <c r="F76" s="44"/>
      <c r="G76" s="44"/>
      <c r="H76" s="45"/>
      <c r="I76" s="44"/>
      <c r="J76" s="46"/>
      <c r="K76" s="44"/>
      <c r="L76" s="47"/>
      <c r="M76" s="47"/>
      <c r="N76" s="47"/>
      <c r="O76" s="47"/>
    </row>
    <row r="77" spans="1:15" ht="15">
      <c r="A77" s="80">
        <v>1</v>
      </c>
      <c r="B77" s="75" t="s">
        <v>119</v>
      </c>
      <c r="C77" s="74" t="s">
        <v>43</v>
      </c>
      <c r="D77" s="74">
        <v>24</v>
      </c>
      <c r="E77" s="44">
        <v>0</v>
      </c>
      <c r="F77" s="44">
        <f>Būvniecības_koptame!$L$27</f>
        <v>5.12</v>
      </c>
      <c r="G77" s="44">
        <f aca="true" t="shared" si="21" ref="G77:G98">ROUND(F77*E77,2)</f>
        <v>0</v>
      </c>
      <c r="H77" s="45"/>
      <c r="I77" s="44">
        <f>ROUND(G77*Būvniecības_koptame!$L$28,2)</f>
        <v>0</v>
      </c>
      <c r="J77" s="46">
        <f aca="true" t="shared" si="22" ref="J77:J98">ROUND(I77+H77+G77,2)</f>
        <v>0</v>
      </c>
      <c r="K77" s="44">
        <f aca="true" t="shared" si="23" ref="K77:K98">ROUND(E77*D77,2)</f>
        <v>0</v>
      </c>
      <c r="L77" s="47">
        <f aca="true" t="shared" si="24" ref="L77:L98">ROUND(G77*D77,2)</f>
        <v>0</v>
      </c>
      <c r="M77" s="47">
        <f aca="true" t="shared" si="25" ref="M77:M98">ROUND(H77*D77,2)</f>
        <v>0</v>
      </c>
      <c r="N77" s="47">
        <f aca="true" t="shared" si="26" ref="N77:N98">ROUND(I77*D77,2)</f>
        <v>0</v>
      </c>
      <c r="O77" s="47">
        <f aca="true" t="shared" si="27" ref="O77:O98">ROUND(N77+M77+L77,2)</f>
        <v>0</v>
      </c>
    </row>
    <row r="78" spans="1:15" ht="15">
      <c r="A78" s="80">
        <v>2</v>
      </c>
      <c r="B78" s="83" t="s">
        <v>120</v>
      </c>
      <c r="C78" s="74" t="s">
        <v>67</v>
      </c>
      <c r="D78" s="74">
        <v>1.04</v>
      </c>
      <c r="E78" s="44">
        <v>0</v>
      </c>
      <c r="F78" s="44">
        <f>Būvniecības_koptame!$L$27</f>
        <v>5.12</v>
      </c>
      <c r="G78" s="44">
        <f t="shared" si="21"/>
        <v>0</v>
      </c>
      <c r="H78" s="45">
        <v>195</v>
      </c>
      <c r="I78" s="44">
        <f>ROUND(G78*Būvniecības_koptame!$L$28,2)</f>
        <v>0</v>
      </c>
      <c r="J78" s="46">
        <f t="shared" si="22"/>
        <v>195</v>
      </c>
      <c r="K78" s="44">
        <f t="shared" si="23"/>
        <v>0</v>
      </c>
      <c r="L78" s="47">
        <f t="shared" si="24"/>
        <v>0</v>
      </c>
      <c r="M78" s="47">
        <f t="shared" si="25"/>
        <v>202.8</v>
      </c>
      <c r="N78" s="47">
        <f t="shared" si="26"/>
        <v>0</v>
      </c>
      <c r="O78" s="47">
        <f t="shared" si="27"/>
        <v>202.8</v>
      </c>
    </row>
    <row r="79" spans="1:15" ht="15">
      <c r="A79" s="80">
        <v>3</v>
      </c>
      <c r="B79" s="83" t="s">
        <v>121</v>
      </c>
      <c r="C79" s="74" t="s">
        <v>43</v>
      </c>
      <c r="D79" s="74">
        <v>24</v>
      </c>
      <c r="E79" s="44">
        <v>0</v>
      </c>
      <c r="F79" s="44">
        <f>Būvniecības_koptame!$L$27</f>
        <v>5.12</v>
      </c>
      <c r="G79" s="44">
        <f t="shared" si="21"/>
        <v>0</v>
      </c>
      <c r="H79" s="45">
        <f>82/0.7*0.03</f>
        <v>3.5142857142857142</v>
      </c>
      <c r="I79" s="44">
        <f>ROUND(G79*Būvniecības_koptame!$L$28,2)</f>
        <v>0</v>
      </c>
      <c r="J79" s="46">
        <f t="shared" si="22"/>
        <v>3.51</v>
      </c>
      <c r="K79" s="44">
        <f t="shared" si="23"/>
        <v>0</v>
      </c>
      <c r="L79" s="47">
        <f t="shared" si="24"/>
        <v>0</v>
      </c>
      <c r="M79" s="47">
        <f t="shared" si="25"/>
        <v>84.34</v>
      </c>
      <c r="N79" s="47">
        <f t="shared" si="26"/>
        <v>0</v>
      </c>
      <c r="O79" s="47">
        <f t="shared" si="27"/>
        <v>84.34</v>
      </c>
    </row>
    <row r="80" spans="1:15" ht="15">
      <c r="A80" s="80">
        <v>4</v>
      </c>
      <c r="B80" s="83" t="s">
        <v>122</v>
      </c>
      <c r="C80" s="74" t="s">
        <v>43</v>
      </c>
      <c r="D80" s="74">
        <v>24</v>
      </c>
      <c r="E80" s="44">
        <v>0</v>
      </c>
      <c r="F80" s="44">
        <f>Būvniecības_koptame!$L$27</f>
        <v>5.12</v>
      </c>
      <c r="G80" s="44">
        <f t="shared" si="21"/>
        <v>0</v>
      </c>
      <c r="H80" s="45">
        <f>23/0.7*0.17</f>
        <v>5.585714285714285</v>
      </c>
      <c r="I80" s="44">
        <f>ROUND(G80*Būvniecības_koptame!$L$28,2)</f>
        <v>0</v>
      </c>
      <c r="J80" s="46">
        <f t="shared" si="22"/>
        <v>5.59</v>
      </c>
      <c r="K80" s="44">
        <f t="shared" si="23"/>
        <v>0</v>
      </c>
      <c r="L80" s="47">
        <f t="shared" si="24"/>
        <v>0</v>
      </c>
      <c r="M80" s="47">
        <f t="shared" si="25"/>
        <v>134.06</v>
      </c>
      <c r="N80" s="47">
        <f t="shared" si="26"/>
        <v>0</v>
      </c>
      <c r="O80" s="47">
        <f t="shared" si="27"/>
        <v>134.06</v>
      </c>
    </row>
    <row r="81" spans="1:15" ht="15">
      <c r="A81" s="80">
        <v>5</v>
      </c>
      <c r="B81" s="83" t="s">
        <v>123</v>
      </c>
      <c r="C81" s="74" t="s">
        <v>67</v>
      </c>
      <c r="D81" s="74">
        <v>2.02</v>
      </c>
      <c r="E81" s="44">
        <v>0</v>
      </c>
      <c r="F81" s="44">
        <f>Būvniecības_koptame!$L$27</f>
        <v>5.12</v>
      </c>
      <c r="G81" s="44">
        <f t="shared" si="21"/>
        <v>0</v>
      </c>
      <c r="H81" s="45">
        <v>195</v>
      </c>
      <c r="I81" s="44">
        <f>ROUND(G81*Būvniecības_koptame!$L$28,2)</f>
        <v>0</v>
      </c>
      <c r="J81" s="46">
        <f t="shared" si="22"/>
        <v>195</v>
      </c>
      <c r="K81" s="44">
        <f t="shared" si="23"/>
        <v>0</v>
      </c>
      <c r="L81" s="47">
        <f t="shared" si="24"/>
        <v>0</v>
      </c>
      <c r="M81" s="47">
        <f t="shared" si="25"/>
        <v>393.9</v>
      </c>
      <c r="N81" s="47">
        <f t="shared" si="26"/>
        <v>0</v>
      </c>
      <c r="O81" s="47">
        <f t="shared" si="27"/>
        <v>393.9</v>
      </c>
    </row>
    <row r="82" spans="1:15" ht="15">
      <c r="A82" s="80">
        <v>6</v>
      </c>
      <c r="B82" s="83" t="s">
        <v>124</v>
      </c>
      <c r="C82" s="74" t="s">
        <v>67</v>
      </c>
      <c r="D82" s="74">
        <v>1.89</v>
      </c>
      <c r="E82" s="44">
        <v>0</v>
      </c>
      <c r="F82" s="44">
        <f>Būvniecības_koptame!$L$27</f>
        <v>5.12</v>
      </c>
      <c r="G82" s="44">
        <f t="shared" si="21"/>
        <v>0</v>
      </c>
      <c r="H82" s="45">
        <v>195</v>
      </c>
      <c r="I82" s="44">
        <f>ROUND(G82*Būvniecības_koptame!$L$28,2)</f>
        <v>0</v>
      </c>
      <c r="J82" s="46">
        <f t="shared" si="22"/>
        <v>195</v>
      </c>
      <c r="K82" s="44">
        <f t="shared" si="23"/>
        <v>0</v>
      </c>
      <c r="L82" s="47">
        <f t="shared" si="24"/>
        <v>0</v>
      </c>
      <c r="M82" s="47">
        <f t="shared" si="25"/>
        <v>368.55</v>
      </c>
      <c r="N82" s="47">
        <f t="shared" si="26"/>
        <v>0</v>
      </c>
      <c r="O82" s="47">
        <f t="shared" si="27"/>
        <v>368.55</v>
      </c>
    </row>
    <row r="83" spans="1:15" ht="15">
      <c r="A83" s="80">
        <v>7</v>
      </c>
      <c r="B83" s="83" t="s">
        <v>125</v>
      </c>
      <c r="C83" s="74" t="s">
        <v>43</v>
      </c>
      <c r="D83" s="74">
        <v>4.8</v>
      </c>
      <c r="E83" s="44">
        <v>0</v>
      </c>
      <c r="F83" s="44">
        <f>Būvniecības_koptame!$L$27</f>
        <v>5.12</v>
      </c>
      <c r="G83" s="44">
        <f t="shared" si="21"/>
        <v>0</v>
      </c>
      <c r="H83" s="45">
        <v>0.56</v>
      </c>
      <c r="I83" s="44">
        <f>ROUND(G83*Būvniecības_koptame!$L$28,2)</f>
        <v>0</v>
      </c>
      <c r="J83" s="46">
        <f t="shared" si="22"/>
        <v>0.56</v>
      </c>
      <c r="K83" s="44">
        <f t="shared" si="23"/>
        <v>0</v>
      </c>
      <c r="L83" s="47">
        <f t="shared" si="24"/>
        <v>0</v>
      </c>
      <c r="M83" s="47">
        <f t="shared" si="25"/>
        <v>2.69</v>
      </c>
      <c r="N83" s="47">
        <f t="shared" si="26"/>
        <v>0</v>
      </c>
      <c r="O83" s="47">
        <f t="shared" si="27"/>
        <v>2.69</v>
      </c>
    </row>
    <row r="84" spans="1:15" ht="15">
      <c r="A84" s="80">
        <v>8</v>
      </c>
      <c r="B84" s="83" t="s">
        <v>126</v>
      </c>
      <c r="C84" s="74" t="s">
        <v>67</v>
      </c>
      <c r="D84" s="74">
        <v>1.98</v>
      </c>
      <c r="E84" s="44">
        <v>0</v>
      </c>
      <c r="F84" s="44">
        <f>Būvniecības_koptame!$L$27</f>
        <v>5.12</v>
      </c>
      <c r="G84" s="44">
        <f t="shared" si="21"/>
        <v>0</v>
      </c>
      <c r="H84" s="45">
        <v>460</v>
      </c>
      <c r="I84" s="44">
        <f>ROUND(G84*Būvniecības_koptame!$L$28,2)</f>
        <v>0</v>
      </c>
      <c r="J84" s="46">
        <f t="shared" si="22"/>
        <v>460</v>
      </c>
      <c r="K84" s="44">
        <f t="shared" si="23"/>
        <v>0</v>
      </c>
      <c r="L84" s="47">
        <f t="shared" si="24"/>
        <v>0</v>
      </c>
      <c r="M84" s="47">
        <f t="shared" si="25"/>
        <v>910.8</v>
      </c>
      <c r="N84" s="47">
        <f t="shared" si="26"/>
        <v>0</v>
      </c>
      <c r="O84" s="47">
        <f t="shared" si="27"/>
        <v>910.8</v>
      </c>
    </row>
    <row r="85" spans="1:15" ht="15">
      <c r="A85" s="80">
        <v>9</v>
      </c>
      <c r="B85" s="75" t="s">
        <v>127</v>
      </c>
      <c r="C85" s="74" t="s">
        <v>43</v>
      </c>
      <c r="D85" s="74">
        <v>40</v>
      </c>
      <c r="E85" s="44">
        <f>2+1+0.15+0.15</f>
        <v>3.3</v>
      </c>
      <c r="F85" s="44">
        <f>Būvniecības_koptame!$L$27</f>
        <v>5.12</v>
      </c>
      <c r="G85" s="44">
        <f t="shared" si="21"/>
        <v>16.9</v>
      </c>
      <c r="H85" s="45"/>
      <c r="I85" s="44">
        <f>ROUND(G85*Būvniecības_koptame!$L$28,2)</f>
        <v>0.68</v>
      </c>
      <c r="J85" s="46">
        <f t="shared" si="22"/>
        <v>17.58</v>
      </c>
      <c r="K85" s="44">
        <f t="shared" si="23"/>
        <v>132</v>
      </c>
      <c r="L85" s="47">
        <f t="shared" si="24"/>
        <v>676</v>
      </c>
      <c r="M85" s="47">
        <f t="shared" si="25"/>
        <v>0</v>
      </c>
      <c r="N85" s="47">
        <f t="shared" si="26"/>
        <v>27.2</v>
      </c>
      <c r="O85" s="47">
        <f t="shared" si="27"/>
        <v>703.2</v>
      </c>
    </row>
    <row r="86" spans="1:15" ht="15">
      <c r="A86" s="80">
        <v>10</v>
      </c>
      <c r="B86" s="83" t="s">
        <v>128</v>
      </c>
      <c r="C86" s="74" t="s">
        <v>43</v>
      </c>
      <c r="D86" s="74">
        <v>15.57</v>
      </c>
      <c r="E86" s="44">
        <v>0</v>
      </c>
      <c r="F86" s="44">
        <f>Būvniecības_koptame!$L$27</f>
        <v>5.12</v>
      </c>
      <c r="G86" s="44">
        <f t="shared" si="21"/>
        <v>0</v>
      </c>
      <c r="H86" s="45">
        <f>34*0.07</f>
        <v>2.3800000000000003</v>
      </c>
      <c r="I86" s="44">
        <f>ROUND(G86*Būvniecības_koptame!$L$28,2)</f>
        <v>0</v>
      </c>
      <c r="J86" s="46">
        <f t="shared" si="22"/>
        <v>2.38</v>
      </c>
      <c r="K86" s="44">
        <f t="shared" si="23"/>
        <v>0</v>
      </c>
      <c r="L86" s="47">
        <f t="shared" si="24"/>
        <v>0</v>
      </c>
      <c r="M86" s="47">
        <f t="shared" si="25"/>
        <v>37.06</v>
      </c>
      <c r="N86" s="47">
        <f t="shared" si="26"/>
        <v>0</v>
      </c>
      <c r="O86" s="47">
        <f t="shared" si="27"/>
        <v>37.06</v>
      </c>
    </row>
    <row r="87" spans="1:15" ht="15">
      <c r="A87" s="80">
        <v>11</v>
      </c>
      <c r="B87" s="83" t="s">
        <v>78</v>
      </c>
      <c r="C87" s="74" t="s">
        <v>43</v>
      </c>
      <c r="D87" s="74">
        <v>8</v>
      </c>
      <c r="E87" s="44">
        <v>0</v>
      </c>
      <c r="F87" s="44">
        <f>Būvniecības_koptame!$L$27</f>
        <v>5.12</v>
      </c>
      <c r="G87" s="44">
        <f t="shared" si="21"/>
        <v>0</v>
      </c>
      <c r="H87" s="45">
        <v>0.54</v>
      </c>
      <c r="I87" s="44">
        <f>ROUND(G87*Būvniecības_koptame!$L$28,2)</f>
        <v>0</v>
      </c>
      <c r="J87" s="46">
        <f t="shared" si="22"/>
        <v>0.54</v>
      </c>
      <c r="K87" s="44">
        <f t="shared" si="23"/>
        <v>0</v>
      </c>
      <c r="L87" s="47">
        <f t="shared" si="24"/>
        <v>0</v>
      </c>
      <c r="M87" s="47">
        <f t="shared" si="25"/>
        <v>4.32</v>
      </c>
      <c r="N87" s="47">
        <f t="shared" si="26"/>
        <v>0</v>
      </c>
      <c r="O87" s="47">
        <f t="shared" si="27"/>
        <v>4.32</v>
      </c>
    </row>
    <row r="88" spans="1:15" ht="15">
      <c r="A88" s="80">
        <v>12</v>
      </c>
      <c r="B88" s="83" t="s">
        <v>129</v>
      </c>
      <c r="C88" s="74" t="s">
        <v>67</v>
      </c>
      <c r="D88" s="74">
        <v>0.7</v>
      </c>
      <c r="E88" s="44">
        <v>0</v>
      </c>
      <c r="F88" s="44">
        <f>Būvniecības_koptame!$L$27</f>
        <v>5.12</v>
      </c>
      <c r="G88" s="44">
        <f t="shared" si="21"/>
        <v>0</v>
      </c>
      <c r="H88" s="45">
        <v>68</v>
      </c>
      <c r="I88" s="44">
        <f>ROUND(G88*Būvniecības_koptame!$L$28,2)</f>
        <v>0</v>
      </c>
      <c r="J88" s="46">
        <f t="shared" si="22"/>
        <v>68</v>
      </c>
      <c r="K88" s="44">
        <f t="shared" si="23"/>
        <v>0</v>
      </c>
      <c r="L88" s="47">
        <f t="shared" si="24"/>
        <v>0</v>
      </c>
      <c r="M88" s="47">
        <f t="shared" si="25"/>
        <v>47.6</v>
      </c>
      <c r="N88" s="47">
        <f t="shared" si="26"/>
        <v>0</v>
      </c>
      <c r="O88" s="47">
        <f t="shared" si="27"/>
        <v>47.6</v>
      </c>
    </row>
    <row r="89" spans="1:15" ht="15">
      <c r="A89" s="80">
        <v>13</v>
      </c>
      <c r="B89" s="83" t="s">
        <v>130</v>
      </c>
      <c r="C89" s="74" t="s">
        <v>43</v>
      </c>
      <c r="D89" s="74">
        <v>13.9</v>
      </c>
      <c r="E89" s="44">
        <v>0</v>
      </c>
      <c r="F89" s="44">
        <f>Būvniecības_koptame!$L$27</f>
        <v>5.12</v>
      </c>
      <c r="G89" s="44">
        <f t="shared" si="21"/>
        <v>0</v>
      </c>
      <c r="H89" s="45">
        <v>1.46</v>
      </c>
      <c r="I89" s="44">
        <f>ROUND(G89*Būvniecības_koptame!$L$28,2)</f>
        <v>0</v>
      </c>
      <c r="J89" s="46">
        <f t="shared" si="22"/>
        <v>1.46</v>
      </c>
      <c r="K89" s="44">
        <f t="shared" si="23"/>
        <v>0</v>
      </c>
      <c r="L89" s="47">
        <f t="shared" si="24"/>
        <v>0</v>
      </c>
      <c r="M89" s="47">
        <f t="shared" si="25"/>
        <v>20.29</v>
      </c>
      <c r="N89" s="47">
        <f t="shared" si="26"/>
        <v>0</v>
      </c>
      <c r="O89" s="47">
        <f t="shared" si="27"/>
        <v>20.29</v>
      </c>
    </row>
    <row r="90" spans="1:15" ht="15">
      <c r="A90" s="80">
        <v>14</v>
      </c>
      <c r="B90" s="83" t="s">
        <v>131</v>
      </c>
      <c r="C90" s="74" t="s">
        <v>43</v>
      </c>
      <c r="D90" s="74">
        <v>40</v>
      </c>
      <c r="E90" s="44">
        <v>0</v>
      </c>
      <c r="F90" s="44">
        <f>Būvniecības_koptame!$L$27</f>
        <v>5.12</v>
      </c>
      <c r="G90" s="44">
        <f t="shared" si="21"/>
        <v>0</v>
      </c>
      <c r="H90" s="45">
        <v>11.2</v>
      </c>
      <c r="I90" s="44">
        <f>ROUND(G90*Būvniecības_koptame!$L$28,2)</f>
        <v>0</v>
      </c>
      <c r="J90" s="46">
        <f t="shared" si="22"/>
        <v>11.2</v>
      </c>
      <c r="K90" s="44">
        <f t="shared" si="23"/>
        <v>0</v>
      </c>
      <c r="L90" s="47">
        <f t="shared" si="24"/>
        <v>0</v>
      </c>
      <c r="M90" s="47">
        <f t="shared" si="25"/>
        <v>448</v>
      </c>
      <c r="N90" s="47">
        <f t="shared" si="26"/>
        <v>0</v>
      </c>
      <c r="O90" s="47">
        <f t="shared" si="27"/>
        <v>448</v>
      </c>
    </row>
    <row r="91" spans="1:15" ht="15">
      <c r="A91" s="80">
        <v>15</v>
      </c>
      <c r="B91" s="75" t="s">
        <v>132</v>
      </c>
      <c r="C91" s="74" t="s">
        <v>43</v>
      </c>
      <c r="D91" s="74">
        <v>14</v>
      </c>
      <c r="E91" s="44">
        <f>2+1+1+0.3+0.3</f>
        <v>4.6</v>
      </c>
      <c r="F91" s="44">
        <f>Būvniecības_koptame!$L$27</f>
        <v>5.12</v>
      </c>
      <c r="G91" s="44">
        <f t="shared" si="21"/>
        <v>23.55</v>
      </c>
      <c r="H91" s="45"/>
      <c r="I91" s="44">
        <f>ROUND(G91*Būvniecības_koptame!$L$28,2)</f>
        <v>0.94</v>
      </c>
      <c r="J91" s="46">
        <f t="shared" si="22"/>
        <v>24.49</v>
      </c>
      <c r="K91" s="44">
        <f t="shared" si="23"/>
        <v>64.4</v>
      </c>
      <c r="L91" s="47">
        <f t="shared" si="24"/>
        <v>329.7</v>
      </c>
      <c r="M91" s="47">
        <f t="shared" si="25"/>
        <v>0</v>
      </c>
      <c r="N91" s="47">
        <f t="shared" si="26"/>
        <v>13.16</v>
      </c>
      <c r="O91" s="47">
        <f t="shared" si="27"/>
        <v>342.86</v>
      </c>
    </row>
    <row r="92" spans="1:15" ht="15">
      <c r="A92" s="80">
        <v>16</v>
      </c>
      <c r="B92" s="83" t="s">
        <v>133</v>
      </c>
      <c r="C92" s="74" t="s">
        <v>67</v>
      </c>
      <c r="D92" s="74">
        <v>2.1</v>
      </c>
      <c r="E92" s="44">
        <v>0</v>
      </c>
      <c r="F92" s="44">
        <f>Būvniecības_koptame!$L$27</f>
        <v>5.12</v>
      </c>
      <c r="G92" s="44">
        <f t="shared" si="21"/>
        <v>0</v>
      </c>
      <c r="H92" s="45">
        <v>30</v>
      </c>
      <c r="I92" s="44">
        <f>ROUND(G92*Būvniecības_koptame!$L$28,2)</f>
        <v>0</v>
      </c>
      <c r="J92" s="46">
        <f t="shared" si="22"/>
        <v>30</v>
      </c>
      <c r="K92" s="44">
        <f t="shared" si="23"/>
        <v>0</v>
      </c>
      <c r="L92" s="47">
        <f t="shared" si="24"/>
        <v>0</v>
      </c>
      <c r="M92" s="47">
        <f t="shared" si="25"/>
        <v>63</v>
      </c>
      <c r="N92" s="47">
        <f t="shared" si="26"/>
        <v>0</v>
      </c>
      <c r="O92" s="47">
        <f t="shared" si="27"/>
        <v>63</v>
      </c>
    </row>
    <row r="93" spans="1:15" ht="15">
      <c r="A93" s="80">
        <v>17</v>
      </c>
      <c r="B93" s="83" t="s">
        <v>77</v>
      </c>
      <c r="C93" s="74" t="s">
        <v>67</v>
      </c>
      <c r="D93" s="74">
        <v>0.35</v>
      </c>
      <c r="E93" s="44">
        <v>0</v>
      </c>
      <c r="F93" s="44">
        <f>Būvniecības_koptame!$L$27</f>
        <v>5.12</v>
      </c>
      <c r="G93" s="44">
        <f t="shared" si="21"/>
        <v>0</v>
      </c>
      <c r="H93" s="45">
        <v>68</v>
      </c>
      <c r="I93" s="44">
        <f>ROUND(G93*Būvniecības_koptame!$L$28,2)</f>
        <v>0</v>
      </c>
      <c r="J93" s="46">
        <f t="shared" si="22"/>
        <v>68</v>
      </c>
      <c r="K93" s="44">
        <f t="shared" si="23"/>
        <v>0</v>
      </c>
      <c r="L93" s="47">
        <f t="shared" si="24"/>
        <v>0</v>
      </c>
      <c r="M93" s="47">
        <f t="shared" si="25"/>
        <v>23.8</v>
      </c>
      <c r="N93" s="47">
        <f t="shared" si="26"/>
        <v>0</v>
      </c>
      <c r="O93" s="47">
        <f t="shared" si="27"/>
        <v>23.8</v>
      </c>
    </row>
    <row r="94" spans="1:15" ht="15">
      <c r="A94" s="80">
        <v>18</v>
      </c>
      <c r="B94" s="83" t="s">
        <v>128</v>
      </c>
      <c r="C94" s="74" t="s">
        <v>43</v>
      </c>
      <c r="D94" s="74">
        <v>4.93</v>
      </c>
      <c r="E94" s="44">
        <v>0</v>
      </c>
      <c r="F94" s="44">
        <f>Būvniecības_koptame!$L$27</f>
        <v>5.12</v>
      </c>
      <c r="G94" s="44">
        <f t="shared" si="21"/>
        <v>0</v>
      </c>
      <c r="H94" s="45">
        <f>34*0.07</f>
        <v>2.3800000000000003</v>
      </c>
      <c r="I94" s="44">
        <f>ROUND(G94*Būvniecības_koptame!$L$28,2)</f>
        <v>0</v>
      </c>
      <c r="J94" s="46">
        <f t="shared" si="22"/>
        <v>2.38</v>
      </c>
      <c r="K94" s="44">
        <f t="shared" si="23"/>
        <v>0</v>
      </c>
      <c r="L94" s="47">
        <f t="shared" si="24"/>
        <v>0</v>
      </c>
      <c r="M94" s="47">
        <f t="shared" si="25"/>
        <v>11.73</v>
      </c>
      <c r="N94" s="47">
        <f t="shared" si="26"/>
        <v>0</v>
      </c>
      <c r="O94" s="47">
        <f t="shared" si="27"/>
        <v>11.73</v>
      </c>
    </row>
    <row r="95" spans="1:15" ht="15">
      <c r="A95" s="80">
        <v>19</v>
      </c>
      <c r="B95" s="83" t="s">
        <v>78</v>
      </c>
      <c r="C95" s="74" t="s">
        <v>43</v>
      </c>
      <c r="D95" s="74">
        <v>4.66</v>
      </c>
      <c r="E95" s="44">
        <v>0</v>
      </c>
      <c r="F95" s="44">
        <f>Būvniecības_koptame!$L$27</f>
        <v>5.12</v>
      </c>
      <c r="G95" s="44">
        <f t="shared" si="21"/>
        <v>0</v>
      </c>
      <c r="H95" s="45">
        <v>0.54</v>
      </c>
      <c r="I95" s="44">
        <f>ROUND(G95*Būvniecības_koptame!$L$28,2)</f>
        <v>0</v>
      </c>
      <c r="J95" s="46">
        <f t="shared" si="22"/>
        <v>0.54</v>
      </c>
      <c r="K95" s="44">
        <f t="shared" si="23"/>
        <v>0</v>
      </c>
      <c r="L95" s="47">
        <f t="shared" si="24"/>
        <v>0</v>
      </c>
      <c r="M95" s="47">
        <f t="shared" si="25"/>
        <v>2.52</v>
      </c>
      <c r="N95" s="47">
        <f t="shared" si="26"/>
        <v>0</v>
      </c>
      <c r="O95" s="47">
        <f t="shared" si="27"/>
        <v>2.52</v>
      </c>
    </row>
    <row r="96" spans="1:15" ht="15">
      <c r="A96" s="80">
        <v>20</v>
      </c>
      <c r="B96" s="83" t="s">
        <v>129</v>
      </c>
      <c r="C96" s="74" t="s">
        <v>67</v>
      </c>
      <c r="D96" s="74">
        <v>0.22</v>
      </c>
      <c r="E96" s="44">
        <v>0</v>
      </c>
      <c r="F96" s="44">
        <f>Būvniecības_koptame!$L$27</f>
        <v>5.12</v>
      </c>
      <c r="G96" s="44">
        <f t="shared" si="21"/>
        <v>0</v>
      </c>
      <c r="H96" s="45">
        <v>68</v>
      </c>
      <c r="I96" s="44">
        <f>ROUND(G96*Būvniecības_koptame!$L$28,2)</f>
        <v>0</v>
      </c>
      <c r="J96" s="46">
        <f t="shared" si="22"/>
        <v>68</v>
      </c>
      <c r="K96" s="44">
        <f t="shared" si="23"/>
        <v>0</v>
      </c>
      <c r="L96" s="47">
        <f t="shared" si="24"/>
        <v>0</v>
      </c>
      <c r="M96" s="47">
        <f t="shared" si="25"/>
        <v>14.96</v>
      </c>
      <c r="N96" s="47">
        <f t="shared" si="26"/>
        <v>0</v>
      </c>
      <c r="O96" s="47">
        <f t="shared" si="27"/>
        <v>14.96</v>
      </c>
    </row>
    <row r="97" spans="1:15" ht="15">
      <c r="A97" s="80">
        <v>21</v>
      </c>
      <c r="B97" s="83" t="s">
        <v>130</v>
      </c>
      <c r="C97" s="74" t="s">
        <v>43</v>
      </c>
      <c r="D97" s="74">
        <v>4.4</v>
      </c>
      <c r="E97" s="44">
        <v>0</v>
      </c>
      <c r="F97" s="44">
        <f>Būvniecības_koptame!$L$27</f>
        <v>5.12</v>
      </c>
      <c r="G97" s="44">
        <f t="shared" si="21"/>
        <v>0</v>
      </c>
      <c r="H97" s="45">
        <v>1.46</v>
      </c>
      <c r="I97" s="44">
        <f>ROUND(G97*Būvniecības_koptame!$L$28,2)</f>
        <v>0</v>
      </c>
      <c r="J97" s="46">
        <f t="shared" si="22"/>
        <v>1.46</v>
      </c>
      <c r="K97" s="44">
        <f t="shared" si="23"/>
        <v>0</v>
      </c>
      <c r="L97" s="47">
        <f t="shared" si="24"/>
        <v>0</v>
      </c>
      <c r="M97" s="47">
        <f t="shared" si="25"/>
        <v>6.42</v>
      </c>
      <c r="N97" s="47">
        <f t="shared" si="26"/>
        <v>0</v>
      </c>
      <c r="O97" s="47">
        <f t="shared" si="27"/>
        <v>6.42</v>
      </c>
    </row>
    <row r="98" spans="1:15" ht="15">
      <c r="A98" s="80">
        <v>22</v>
      </c>
      <c r="B98" s="83" t="s">
        <v>131</v>
      </c>
      <c r="C98" s="74" t="s">
        <v>43</v>
      </c>
      <c r="D98" s="74">
        <v>14</v>
      </c>
      <c r="E98" s="44">
        <v>0</v>
      </c>
      <c r="F98" s="44">
        <f>Būvniecības_koptame!$L$27</f>
        <v>5.12</v>
      </c>
      <c r="G98" s="44">
        <f t="shared" si="21"/>
        <v>0</v>
      </c>
      <c r="H98" s="45">
        <v>8</v>
      </c>
      <c r="I98" s="44">
        <f>ROUND(G98*Būvniecības_koptame!$L$28,2)</f>
        <v>0</v>
      </c>
      <c r="J98" s="46">
        <f t="shared" si="22"/>
        <v>8</v>
      </c>
      <c r="K98" s="44">
        <f t="shared" si="23"/>
        <v>0</v>
      </c>
      <c r="L98" s="47">
        <f t="shared" si="24"/>
        <v>0</v>
      </c>
      <c r="M98" s="47">
        <f t="shared" si="25"/>
        <v>112</v>
      </c>
      <c r="N98" s="47">
        <f t="shared" si="26"/>
        <v>0</v>
      </c>
      <c r="O98" s="47">
        <f t="shared" si="27"/>
        <v>112</v>
      </c>
    </row>
    <row r="99" spans="1:15" ht="15">
      <c r="A99" s="81"/>
      <c r="B99" s="77" t="s">
        <v>134</v>
      </c>
      <c r="C99" s="78"/>
      <c r="D99" s="78"/>
      <c r="E99" s="44"/>
      <c r="F99" s="44"/>
      <c r="G99" s="44"/>
      <c r="H99" s="45"/>
      <c r="I99" s="44"/>
      <c r="J99" s="46"/>
      <c r="K99" s="44"/>
      <c r="L99" s="47"/>
      <c r="M99" s="47"/>
      <c r="N99" s="47"/>
      <c r="O99" s="47"/>
    </row>
    <row r="100" spans="1:15" ht="15">
      <c r="A100" s="80">
        <v>1</v>
      </c>
      <c r="B100" s="75" t="s">
        <v>135</v>
      </c>
      <c r="C100" s="74" t="s">
        <v>43</v>
      </c>
      <c r="D100" s="74">
        <v>43.2</v>
      </c>
      <c r="E100" s="44">
        <f>1+1+0.7+1</f>
        <v>3.7</v>
      </c>
      <c r="F100" s="44">
        <f>Būvniecības_koptame!$L$27</f>
        <v>5.12</v>
      </c>
      <c r="G100" s="44">
        <f aca="true" t="shared" si="28" ref="G100:G131">ROUND(F100*E100,2)</f>
        <v>18.94</v>
      </c>
      <c r="H100" s="45"/>
      <c r="I100" s="44">
        <f>ROUND(G100*Būvniecības_koptame!$L$28,2)</f>
        <v>0.76</v>
      </c>
      <c r="J100" s="46">
        <f aca="true" t="shared" si="29" ref="J100:J131">ROUND(I100+H100+G100,2)</f>
        <v>19.7</v>
      </c>
      <c r="K100" s="44">
        <f aca="true" t="shared" si="30" ref="K100:K131">ROUND(E100*D100,2)</f>
        <v>159.84</v>
      </c>
      <c r="L100" s="47">
        <f aca="true" t="shared" si="31" ref="L100:L131">ROUND(G100*D100,2)</f>
        <v>818.21</v>
      </c>
      <c r="M100" s="47">
        <f aca="true" t="shared" si="32" ref="M100:M131">ROUND(H100*D100,2)</f>
        <v>0</v>
      </c>
      <c r="N100" s="47">
        <f aca="true" t="shared" si="33" ref="N100:N131">ROUND(I100*D100,2)</f>
        <v>32.83</v>
      </c>
      <c r="O100" s="47">
        <f aca="true" t="shared" si="34" ref="O100:O131">ROUND(N100+M100+L100,2)</f>
        <v>851.04</v>
      </c>
    </row>
    <row r="101" spans="1:15" ht="15">
      <c r="A101" s="80">
        <v>2</v>
      </c>
      <c r="B101" s="83" t="s">
        <v>136</v>
      </c>
      <c r="C101" s="74" t="s">
        <v>43</v>
      </c>
      <c r="D101" s="74">
        <v>44.2</v>
      </c>
      <c r="E101" s="44">
        <v>0</v>
      </c>
      <c r="F101" s="44">
        <f>Būvniecības_koptame!$L$27</f>
        <v>5.12</v>
      </c>
      <c r="G101" s="44">
        <f t="shared" si="28"/>
        <v>0</v>
      </c>
      <c r="H101" s="45">
        <f>23/0.7*0.05</f>
        <v>1.6428571428571428</v>
      </c>
      <c r="I101" s="44">
        <f>ROUND(G101*Būvniecības_koptame!$L$28,2)</f>
        <v>0</v>
      </c>
      <c r="J101" s="46">
        <f t="shared" si="29"/>
        <v>1.64</v>
      </c>
      <c r="K101" s="44">
        <f t="shared" si="30"/>
        <v>0</v>
      </c>
      <c r="L101" s="47">
        <f t="shared" si="31"/>
        <v>0</v>
      </c>
      <c r="M101" s="47">
        <f t="shared" si="32"/>
        <v>72.61</v>
      </c>
      <c r="N101" s="47">
        <f t="shared" si="33"/>
        <v>0</v>
      </c>
      <c r="O101" s="47">
        <f t="shared" si="34"/>
        <v>72.61</v>
      </c>
    </row>
    <row r="102" spans="1:15" ht="15">
      <c r="A102" s="80">
        <v>3</v>
      </c>
      <c r="B102" s="83" t="s">
        <v>137</v>
      </c>
      <c r="C102" s="74" t="s">
        <v>43</v>
      </c>
      <c r="D102" s="74">
        <v>45.2</v>
      </c>
      <c r="E102" s="44">
        <v>0</v>
      </c>
      <c r="F102" s="44">
        <f>Būvniecības_koptame!$L$27</f>
        <v>5.12</v>
      </c>
      <c r="G102" s="44">
        <f t="shared" si="28"/>
        <v>0</v>
      </c>
      <c r="H102" s="45">
        <f>1.55/0.7</f>
        <v>2.214285714285714</v>
      </c>
      <c r="I102" s="44">
        <f>ROUND(G102*Būvniecības_koptame!$L$28,2)</f>
        <v>0</v>
      </c>
      <c r="J102" s="46">
        <f t="shared" si="29"/>
        <v>2.21</v>
      </c>
      <c r="K102" s="44">
        <f t="shared" si="30"/>
        <v>0</v>
      </c>
      <c r="L102" s="47">
        <f t="shared" si="31"/>
        <v>0</v>
      </c>
      <c r="M102" s="47">
        <f t="shared" si="32"/>
        <v>100.09</v>
      </c>
      <c r="N102" s="47">
        <f t="shared" si="33"/>
        <v>0</v>
      </c>
      <c r="O102" s="47">
        <f t="shared" si="34"/>
        <v>100.09</v>
      </c>
    </row>
    <row r="103" spans="1:15" ht="15">
      <c r="A103" s="80">
        <v>4</v>
      </c>
      <c r="B103" s="83" t="s">
        <v>102</v>
      </c>
      <c r="C103" s="74" t="s">
        <v>43</v>
      </c>
      <c r="D103" s="74">
        <v>4</v>
      </c>
      <c r="E103" s="44">
        <v>0</v>
      </c>
      <c r="F103" s="44">
        <f>Būvniecības_koptame!$L$27</f>
        <v>5.12</v>
      </c>
      <c r="G103" s="44">
        <f t="shared" si="28"/>
        <v>0</v>
      </c>
      <c r="H103" s="45">
        <v>3.15</v>
      </c>
      <c r="I103" s="44">
        <f>ROUND(G103*Būvniecības_koptame!$L$28,2)</f>
        <v>0</v>
      </c>
      <c r="J103" s="46">
        <f t="shared" si="29"/>
        <v>3.15</v>
      </c>
      <c r="K103" s="44">
        <f t="shared" si="30"/>
        <v>0</v>
      </c>
      <c r="L103" s="47">
        <f t="shared" si="31"/>
        <v>0</v>
      </c>
      <c r="M103" s="47">
        <f t="shared" si="32"/>
        <v>12.6</v>
      </c>
      <c r="N103" s="47">
        <f t="shared" si="33"/>
        <v>0</v>
      </c>
      <c r="O103" s="47">
        <f t="shared" si="34"/>
        <v>12.6</v>
      </c>
    </row>
    <row r="104" spans="1:15" ht="15">
      <c r="A104" s="80">
        <v>5</v>
      </c>
      <c r="B104" s="83" t="s">
        <v>103</v>
      </c>
      <c r="C104" s="74" t="s">
        <v>67</v>
      </c>
      <c r="D104" s="74">
        <v>0.1</v>
      </c>
      <c r="E104" s="44">
        <v>0</v>
      </c>
      <c r="F104" s="44">
        <f>Būvniecības_koptame!$L$27</f>
        <v>5.12</v>
      </c>
      <c r="G104" s="44">
        <f t="shared" si="28"/>
        <v>0</v>
      </c>
      <c r="H104" s="45">
        <v>195</v>
      </c>
      <c r="I104" s="44">
        <f>ROUND(G104*Būvniecības_koptame!$L$28,2)</f>
        <v>0</v>
      </c>
      <c r="J104" s="46">
        <f t="shared" si="29"/>
        <v>195</v>
      </c>
      <c r="K104" s="44">
        <f t="shared" si="30"/>
        <v>0</v>
      </c>
      <c r="L104" s="47">
        <f t="shared" si="31"/>
        <v>0</v>
      </c>
      <c r="M104" s="47">
        <f t="shared" si="32"/>
        <v>19.5</v>
      </c>
      <c r="N104" s="47">
        <f t="shared" si="33"/>
        <v>0</v>
      </c>
      <c r="O104" s="47">
        <f t="shared" si="34"/>
        <v>19.5</v>
      </c>
    </row>
    <row r="105" spans="1:15" ht="15">
      <c r="A105" s="80">
        <v>6</v>
      </c>
      <c r="B105" s="83" t="s">
        <v>138</v>
      </c>
      <c r="C105" s="74" t="s">
        <v>67</v>
      </c>
      <c r="D105" s="74">
        <v>0.1</v>
      </c>
      <c r="E105" s="44">
        <v>0</v>
      </c>
      <c r="F105" s="44">
        <f>Būvniecības_koptame!$L$27</f>
        <v>5.12</v>
      </c>
      <c r="G105" s="44">
        <f t="shared" si="28"/>
        <v>0</v>
      </c>
      <c r="H105" s="45">
        <v>195</v>
      </c>
      <c r="I105" s="44">
        <f>ROUND(G105*Būvniecības_koptame!$L$28,2)</f>
        <v>0</v>
      </c>
      <c r="J105" s="46">
        <f t="shared" si="29"/>
        <v>195</v>
      </c>
      <c r="K105" s="44">
        <f t="shared" si="30"/>
        <v>0</v>
      </c>
      <c r="L105" s="47">
        <f t="shared" si="31"/>
        <v>0</v>
      </c>
      <c r="M105" s="47">
        <f t="shared" si="32"/>
        <v>19.5</v>
      </c>
      <c r="N105" s="47">
        <f t="shared" si="33"/>
        <v>0</v>
      </c>
      <c r="O105" s="47">
        <f t="shared" si="34"/>
        <v>19.5</v>
      </c>
    </row>
    <row r="106" spans="1:15" ht="15">
      <c r="A106" s="80">
        <v>7</v>
      </c>
      <c r="B106" s="83" t="s">
        <v>98</v>
      </c>
      <c r="C106" s="74" t="s">
        <v>43</v>
      </c>
      <c r="D106" s="74">
        <v>24</v>
      </c>
      <c r="E106" s="44">
        <v>0</v>
      </c>
      <c r="F106" s="44">
        <f>Būvniecības_koptame!$L$27</f>
        <v>5.12</v>
      </c>
      <c r="G106" s="44">
        <f t="shared" si="28"/>
        <v>0</v>
      </c>
      <c r="H106" s="45">
        <v>11.2</v>
      </c>
      <c r="I106" s="44">
        <f>ROUND(G106*Būvniecības_koptame!$L$28,2)</f>
        <v>0</v>
      </c>
      <c r="J106" s="46">
        <f t="shared" si="29"/>
        <v>11.2</v>
      </c>
      <c r="K106" s="44">
        <f t="shared" si="30"/>
        <v>0</v>
      </c>
      <c r="L106" s="47">
        <f t="shared" si="31"/>
        <v>0</v>
      </c>
      <c r="M106" s="47">
        <f t="shared" si="32"/>
        <v>268.8</v>
      </c>
      <c r="N106" s="47">
        <f t="shared" si="33"/>
        <v>0</v>
      </c>
      <c r="O106" s="47">
        <f t="shared" si="34"/>
        <v>268.8</v>
      </c>
    </row>
    <row r="107" spans="1:15" ht="15">
      <c r="A107" s="80">
        <v>8</v>
      </c>
      <c r="B107" s="75" t="s">
        <v>139</v>
      </c>
      <c r="C107" s="74" t="s">
        <v>43</v>
      </c>
      <c r="D107" s="74">
        <v>2.1</v>
      </c>
      <c r="E107" s="44">
        <f>3.7+2</f>
        <v>5.7</v>
      </c>
      <c r="F107" s="44">
        <f>Būvniecības_koptame!$L$27</f>
        <v>5.12</v>
      </c>
      <c r="G107" s="44">
        <f t="shared" si="28"/>
        <v>29.18</v>
      </c>
      <c r="H107" s="45"/>
      <c r="I107" s="44">
        <f>ROUND(G107*Būvniecības_koptame!$L$28,2)</f>
        <v>1.17</v>
      </c>
      <c r="J107" s="46">
        <f t="shared" si="29"/>
        <v>30.35</v>
      </c>
      <c r="K107" s="44">
        <f t="shared" si="30"/>
        <v>11.97</v>
      </c>
      <c r="L107" s="47">
        <f t="shared" si="31"/>
        <v>61.28</v>
      </c>
      <c r="M107" s="47">
        <f t="shared" si="32"/>
        <v>0</v>
      </c>
      <c r="N107" s="47">
        <f t="shared" si="33"/>
        <v>2.46</v>
      </c>
      <c r="O107" s="47">
        <f t="shared" si="34"/>
        <v>63.74</v>
      </c>
    </row>
    <row r="108" spans="1:15" ht="15">
      <c r="A108" s="80">
        <v>9</v>
      </c>
      <c r="B108" s="83" t="s">
        <v>103</v>
      </c>
      <c r="C108" s="74" t="s">
        <v>67</v>
      </c>
      <c r="D108" s="74">
        <v>0.02</v>
      </c>
      <c r="E108" s="44">
        <v>0</v>
      </c>
      <c r="F108" s="44">
        <f>Būvniecības_koptame!$L$27</f>
        <v>5.12</v>
      </c>
      <c r="G108" s="44">
        <f t="shared" si="28"/>
        <v>0</v>
      </c>
      <c r="H108" s="45">
        <v>195</v>
      </c>
      <c r="I108" s="44">
        <f>ROUND(G108*Būvniecības_koptame!$L$28,2)</f>
        <v>0</v>
      </c>
      <c r="J108" s="46">
        <f t="shared" si="29"/>
        <v>195</v>
      </c>
      <c r="K108" s="44">
        <f t="shared" si="30"/>
        <v>0</v>
      </c>
      <c r="L108" s="47">
        <f t="shared" si="31"/>
        <v>0</v>
      </c>
      <c r="M108" s="47">
        <f t="shared" si="32"/>
        <v>3.9</v>
      </c>
      <c r="N108" s="47">
        <f t="shared" si="33"/>
        <v>0</v>
      </c>
      <c r="O108" s="47">
        <f t="shared" si="34"/>
        <v>3.9</v>
      </c>
    </row>
    <row r="109" spans="1:15" ht="15">
      <c r="A109" s="80">
        <v>10</v>
      </c>
      <c r="B109" s="83" t="s">
        <v>140</v>
      </c>
      <c r="C109" s="74" t="s">
        <v>67</v>
      </c>
      <c r="D109" s="74">
        <v>0.02</v>
      </c>
      <c r="E109" s="44">
        <v>0</v>
      </c>
      <c r="F109" s="44">
        <f>Būvniecības_koptame!$L$27</f>
        <v>5.12</v>
      </c>
      <c r="G109" s="44">
        <f t="shared" si="28"/>
        <v>0</v>
      </c>
      <c r="H109" s="45">
        <v>195</v>
      </c>
      <c r="I109" s="44">
        <f>ROUND(G109*Būvniecības_koptame!$L$28,2)</f>
        <v>0</v>
      </c>
      <c r="J109" s="46">
        <f t="shared" si="29"/>
        <v>195</v>
      </c>
      <c r="K109" s="44">
        <f t="shared" si="30"/>
        <v>0</v>
      </c>
      <c r="L109" s="47">
        <f t="shared" si="31"/>
        <v>0</v>
      </c>
      <c r="M109" s="47">
        <f t="shared" si="32"/>
        <v>3.9</v>
      </c>
      <c r="N109" s="47">
        <f t="shared" si="33"/>
        <v>0</v>
      </c>
      <c r="O109" s="47">
        <f t="shared" si="34"/>
        <v>3.9</v>
      </c>
    </row>
    <row r="110" spans="1:15" ht="15">
      <c r="A110" s="80">
        <v>11</v>
      </c>
      <c r="B110" s="83" t="s">
        <v>102</v>
      </c>
      <c r="C110" s="74" t="s">
        <v>43</v>
      </c>
      <c r="D110" s="74">
        <v>2.1</v>
      </c>
      <c r="E110" s="44">
        <v>0</v>
      </c>
      <c r="F110" s="44">
        <f>Būvniecības_koptame!$L$27</f>
        <v>5.12</v>
      </c>
      <c r="G110" s="44">
        <f t="shared" si="28"/>
        <v>0</v>
      </c>
      <c r="H110" s="45">
        <v>3.15</v>
      </c>
      <c r="I110" s="44">
        <f>ROUND(G110*Būvniecības_koptame!$L$28,2)</f>
        <v>0</v>
      </c>
      <c r="J110" s="46">
        <f t="shared" si="29"/>
        <v>3.15</v>
      </c>
      <c r="K110" s="44">
        <f t="shared" si="30"/>
        <v>0</v>
      </c>
      <c r="L110" s="47">
        <f t="shared" si="31"/>
        <v>0</v>
      </c>
      <c r="M110" s="47">
        <f t="shared" si="32"/>
        <v>6.62</v>
      </c>
      <c r="N110" s="47">
        <f t="shared" si="33"/>
        <v>0</v>
      </c>
      <c r="O110" s="47">
        <f t="shared" si="34"/>
        <v>6.62</v>
      </c>
    </row>
    <row r="111" spans="1:15" ht="15">
      <c r="A111" s="80">
        <v>12</v>
      </c>
      <c r="B111" s="83" t="s">
        <v>137</v>
      </c>
      <c r="C111" s="74" t="s">
        <v>43</v>
      </c>
      <c r="D111" s="74">
        <v>2.37</v>
      </c>
      <c r="E111" s="44">
        <v>0</v>
      </c>
      <c r="F111" s="44">
        <f>Būvniecības_koptame!$L$27</f>
        <v>5.12</v>
      </c>
      <c r="G111" s="44">
        <f t="shared" si="28"/>
        <v>0</v>
      </c>
      <c r="H111" s="45">
        <v>2.21</v>
      </c>
      <c r="I111" s="44">
        <f>ROUND(G111*Būvniecības_koptame!$L$28,2)</f>
        <v>0</v>
      </c>
      <c r="J111" s="46">
        <f t="shared" si="29"/>
        <v>2.21</v>
      </c>
      <c r="K111" s="44">
        <f t="shared" si="30"/>
        <v>0</v>
      </c>
      <c r="L111" s="47">
        <f t="shared" si="31"/>
        <v>0</v>
      </c>
      <c r="M111" s="47">
        <f t="shared" si="32"/>
        <v>5.24</v>
      </c>
      <c r="N111" s="47">
        <f t="shared" si="33"/>
        <v>0</v>
      </c>
      <c r="O111" s="47">
        <f t="shared" si="34"/>
        <v>5.24</v>
      </c>
    </row>
    <row r="112" spans="1:15" ht="15">
      <c r="A112" s="80">
        <v>13</v>
      </c>
      <c r="B112" s="83" t="s">
        <v>136</v>
      </c>
      <c r="C112" s="74" t="s">
        <v>43</v>
      </c>
      <c r="D112" s="74">
        <v>2.1</v>
      </c>
      <c r="E112" s="44">
        <v>0</v>
      </c>
      <c r="F112" s="44">
        <f>Būvniecības_koptame!$L$27</f>
        <v>5.12</v>
      </c>
      <c r="G112" s="44">
        <f t="shared" si="28"/>
        <v>0</v>
      </c>
      <c r="H112" s="45">
        <v>1.64</v>
      </c>
      <c r="I112" s="44">
        <f>ROUND(G112*Būvniecības_koptame!$L$28,2)</f>
        <v>0</v>
      </c>
      <c r="J112" s="46">
        <f t="shared" si="29"/>
        <v>1.64</v>
      </c>
      <c r="K112" s="44">
        <f t="shared" si="30"/>
        <v>0</v>
      </c>
      <c r="L112" s="47">
        <f t="shared" si="31"/>
        <v>0</v>
      </c>
      <c r="M112" s="47">
        <f t="shared" si="32"/>
        <v>3.44</v>
      </c>
      <c r="N112" s="47">
        <f t="shared" si="33"/>
        <v>0</v>
      </c>
      <c r="O112" s="47">
        <f t="shared" si="34"/>
        <v>3.44</v>
      </c>
    </row>
    <row r="113" spans="1:15" ht="15">
      <c r="A113" s="80">
        <v>14</v>
      </c>
      <c r="B113" s="83" t="s">
        <v>125</v>
      </c>
      <c r="C113" s="74" t="s">
        <v>43</v>
      </c>
      <c r="D113" s="74">
        <v>2.35</v>
      </c>
      <c r="E113" s="44">
        <v>0</v>
      </c>
      <c r="F113" s="44">
        <f>Būvniecības_koptame!$L$27</f>
        <v>5.12</v>
      </c>
      <c r="G113" s="44">
        <f t="shared" si="28"/>
        <v>0</v>
      </c>
      <c r="H113" s="45">
        <v>0.56</v>
      </c>
      <c r="I113" s="44">
        <f>ROUND(G113*Būvniecības_koptame!$L$28,2)</f>
        <v>0</v>
      </c>
      <c r="J113" s="46">
        <f t="shared" si="29"/>
        <v>0.56</v>
      </c>
      <c r="K113" s="44">
        <f t="shared" si="30"/>
        <v>0</v>
      </c>
      <c r="L113" s="47">
        <f t="shared" si="31"/>
        <v>0</v>
      </c>
      <c r="M113" s="47">
        <f t="shared" si="32"/>
        <v>1.32</v>
      </c>
      <c r="N113" s="47">
        <f t="shared" si="33"/>
        <v>0</v>
      </c>
      <c r="O113" s="47">
        <f t="shared" si="34"/>
        <v>1.32</v>
      </c>
    </row>
    <row r="114" spans="1:15" ht="15">
      <c r="A114" s="80">
        <v>15</v>
      </c>
      <c r="B114" s="83" t="s">
        <v>141</v>
      </c>
      <c r="C114" s="74" t="s">
        <v>43</v>
      </c>
      <c r="D114" s="74">
        <v>2.37</v>
      </c>
      <c r="E114" s="44">
        <v>0</v>
      </c>
      <c r="F114" s="44">
        <f>Būvniecības_koptame!$L$27</f>
        <v>5.12</v>
      </c>
      <c r="G114" s="44">
        <f t="shared" si="28"/>
        <v>0</v>
      </c>
      <c r="H114" s="45">
        <f>1.35/0.7</f>
        <v>1.9285714285714286</v>
      </c>
      <c r="I114" s="44">
        <f>ROUND(G114*Būvniecības_koptame!$L$28,2)</f>
        <v>0</v>
      </c>
      <c r="J114" s="46">
        <f t="shared" si="29"/>
        <v>1.93</v>
      </c>
      <c r="K114" s="44">
        <f t="shared" si="30"/>
        <v>0</v>
      </c>
      <c r="L114" s="47">
        <f t="shared" si="31"/>
        <v>0</v>
      </c>
      <c r="M114" s="47">
        <f t="shared" si="32"/>
        <v>4.57</v>
      </c>
      <c r="N114" s="47">
        <f t="shared" si="33"/>
        <v>0</v>
      </c>
      <c r="O114" s="47">
        <f t="shared" si="34"/>
        <v>4.57</v>
      </c>
    </row>
    <row r="115" spans="1:15" ht="15">
      <c r="A115" s="80">
        <v>16</v>
      </c>
      <c r="B115" s="83" t="s">
        <v>142</v>
      </c>
      <c r="C115" s="74" t="s">
        <v>43</v>
      </c>
      <c r="D115" s="74">
        <v>2.37</v>
      </c>
      <c r="E115" s="44">
        <v>0</v>
      </c>
      <c r="F115" s="44">
        <f>Būvniecības_koptame!$L$27</f>
        <v>5.12</v>
      </c>
      <c r="G115" s="44">
        <f t="shared" si="28"/>
        <v>0</v>
      </c>
      <c r="H115" s="45">
        <v>10.45</v>
      </c>
      <c r="I115" s="44">
        <f>ROUND(G115*Būvniecības_koptame!$L$28,2)</f>
        <v>0</v>
      </c>
      <c r="J115" s="46">
        <f t="shared" si="29"/>
        <v>10.45</v>
      </c>
      <c r="K115" s="44">
        <f t="shared" si="30"/>
        <v>0</v>
      </c>
      <c r="L115" s="47">
        <f t="shared" si="31"/>
        <v>0</v>
      </c>
      <c r="M115" s="47">
        <f t="shared" si="32"/>
        <v>24.77</v>
      </c>
      <c r="N115" s="47">
        <f t="shared" si="33"/>
        <v>0</v>
      </c>
      <c r="O115" s="47">
        <f t="shared" si="34"/>
        <v>24.77</v>
      </c>
    </row>
    <row r="116" spans="1:15" ht="15">
      <c r="A116" s="80">
        <v>17</v>
      </c>
      <c r="B116" s="83" t="s">
        <v>98</v>
      </c>
      <c r="C116" s="74" t="s">
        <v>43</v>
      </c>
      <c r="D116" s="74">
        <v>2.35</v>
      </c>
      <c r="E116" s="44">
        <v>0</v>
      </c>
      <c r="F116" s="44">
        <f>Būvniecības_koptame!$L$27</f>
        <v>5.12</v>
      </c>
      <c r="G116" s="44">
        <f t="shared" si="28"/>
        <v>0</v>
      </c>
      <c r="H116" s="45">
        <v>11.2</v>
      </c>
      <c r="I116" s="44">
        <f>ROUND(G116*Būvniecības_koptame!$L$28,2)</f>
        <v>0</v>
      </c>
      <c r="J116" s="46">
        <f t="shared" si="29"/>
        <v>11.2</v>
      </c>
      <c r="K116" s="44">
        <f t="shared" si="30"/>
        <v>0</v>
      </c>
      <c r="L116" s="47">
        <f t="shared" si="31"/>
        <v>0</v>
      </c>
      <c r="M116" s="47">
        <f t="shared" si="32"/>
        <v>26.32</v>
      </c>
      <c r="N116" s="47">
        <f t="shared" si="33"/>
        <v>0</v>
      </c>
      <c r="O116" s="47">
        <f t="shared" si="34"/>
        <v>26.32</v>
      </c>
    </row>
    <row r="117" spans="1:15" ht="15">
      <c r="A117" s="80">
        <v>18</v>
      </c>
      <c r="B117" s="75" t="s">
        <v>143</v>
      </c>
      <c r="C117" s="74" t="s">
        <v>43</v>
      </c>
      <c r="D117" s="74">
        <v>1.9</v>
      </c>
      <c r="E117" s="44">
        <v>5.7</v>
      </c>
      <c r="F117" s="44">
        <f>Būvniecības_koptame!$L$27</f>
        <v>5.12</v>
      </c>
      <c r="G117" s="44">
        <f t="shared" si="28"/>
        <v>29.18</v>
      </c>
      <c r="H117" s="45"/>
      <c r="I117" s="44">
        <f>ROUND(G117*Būvniecības_koptame!$L$28,2)</f>
        <v>1.17</v>
      </c>
      <c r="J117" s="46">
        <f t="shared" si="29"/>
        <v>30.35</v>
      </c>
      <c r="K117" s="44">
        <f t="shared" si="30"/>
        <v>10.83</v>
      </c>
      <c r="L117" s="47">
        <f t="shared" si="31"/>
        <v>55.44</v>
      </c>
      <c r="M117" s="47">
        <f t="shared" si="32"/>
        <v>0</v>
      </c>
      <c r="N117" s="47">
        <f t="shared" si="33"/>
        <v>2.22</v>
      </c>
      <c r="O117" s="47">
        <f t="shared" si="34"/>
        <v>57.66</v>
      </c>
    </row>
    <row r="118" spans="1:15" ht="15">
      <c r="A118" s="80">
        <v>19</v>
      </c>
      <c r="B118" s="83" t="s">
        <v>136</v>
      </c>
      <c r="C118" s="74" t="s">
        <v>43</v>
      </c>
      <c r="D118" s="74">
        <v>1.9</v>
      </c>
      <c r="E118" s="44">
        <v>0</v>
      </c>
      <c r="F118" s="44">
        <f>Būvniecības_koptame!$L$27</f>
        <v>5.12</v>
      </c>
      <c r="G118" s="44">
        <f t="shared" si="28"/>
        <v>0</v>
      </c>
      <c r="H118" s="45">
        <v>1.64</v>
      </c>
      <c r="I118" s="44">
        <f>ROUND(G118*Būvniecības_koptame!$L$28,2)</f>
        <v>0</v>
      </c>
      <c r="J118" s="46">
        <f t="shared" si="29"/>
        <v>1.64</v>
      </c>
      <c r="K118" s="44">
        <f t="shared" si="30"/>
        <v>0</v>
      </c>
      <c r="L118" s="47">
        <f t="shared" si="31"/>
        <v>0</v>
      </c>
      <c r="M118" s="47">
        <f t="shared" si="32"/>
        <v>3.12</v>
      </c>
      <c r="N118" s="47">
        <f t="shared" si="33"/>
        <v>0</v>
      </c>
      <c r="O118" s="47">
        <f t="shared" si="34"/>
        <v>3.12</v>
      </c>
    </row>
    <row r="119" spans="1:15" ht="15">
      <c r="A119" s="80">
        <v>20</v>
      </c>
      <c r="B119" s="83" t="s">
        <v>140</v>
      </c>
      <c r="C119" s="74" t="s">
        <v>67</v>
      </c>
      <c r="D119" s="74">
        <v>0.02</v>
      </c>
      <c r="E119" s="44">
        <v>0</v>
      </c>
      <c r="F119" s="44">
        <f>Būvniecības_koptame!$L$27</f>
        <v>5.12</v>
      </c>
      <c r="G119" s="44">
        <f t="shared" si="28"/>
        <v>0</v>
      </c>
      <c r="H119" s="45">
        <v>195</v>
      </c>
      <c r="I119" s="44">
        <f>ROUND(G119*Būvniecības_koptame!$L$28,2)</f>
        <v>0</v>
      </c>
      <c r="J119" s="46">
        <f t="shared" si="29"/>
        <v>195</v>
      </c>
      <c r="K119" s="44">
        <f t="shared" si="30"/>
        <v>0</v>
      </c>
      <c r="L119" s="47">
        <f t="shared" si="31"/>
        <v>0</v>
      </c>
      <c r="M119" s="47">
        <f t="shared" si="32"/>
        <v>3.9</v>
      </c>
      <c r="N119" s="47">
        <f t="shared" si="33"/>
        <v>0</v>
      </c>
      <c r="O119" s="47">
        <f t="shared" si="34"/>
        <v>3.9</v>
      </c>
    </row>
    <row r="120" spans="1:15" ht="15">
      <c r="A120" s="80">
        <v>21</v>
      </c>
      <c r="B120" s="83" t="s">
        <v>98</v>
      </c>
      <c r="C120" s="74" t="s">
        <v>43</v>
      </c>
      <c r="D120" s="74">
        <v>2.13</v>
      </c>
      <c r="E120" s="44">
        <v>0</v>
      </c>
      <c r="F120" s="44">
        <f>Būvniecības_koptame!$L$27</f>
        <v>5.12</v>
      </c>
      <c r="G120" s="44">
        <f t="shared" si="28"/>
        <v>0</v>
      </c>
      <c r="H120" s="45">
        <v>11.2</v>
      </c>
      <c r="I120" s="44">
        <f>ROUND(G120*Būvniecības_koptame!$L$28,2)</f>
        <v>0</v>
      </c>
      <c r="J120" s="46">
        <f t="shared" si="29"/>
        <v>11.2</v>
      </c>
      <c r="K120" s="44">
        <f t="shared" si="30"/>
        <v>0</v>
      </c>
      <c r="L120" s="47">
        <f t="shared" si="31"/>
        <v>0</v>
      </c>
      <c r="M120" s="47">
        <f t="shared" si="32"/>
        <v>23.86</v>
      </c>
      <c r="N120" s="47">
        <f t="shared" si="33"/>
        <v>0</v>
      </c>
      <c r="O120" s="47">
        <f t="shared" si="34"/>
        <v>23.86</v>
      </c>
    </row>
    <row r="121" spans="1:15" ht="15">
      <c r="A121" s="80">
        <v>22</v>
      </c>
      <c r="B121" s="83" t="s">
        <v>125</v>
      </c>
      <c r="C121" s="74" t="s">
        <v>43</v>
      </c>
      <c r="D121" s="74">
        <v>2.13</v>
      </c>
      <c r="E121" s="44">
        <v>0</v>
      </c>
      <c r="F121" s="44">
        <f>Būvniecības_koptame!$L$27</f>
        <v>5.12</v>
      </c>
      <c r="G121" s="44">
        <f t="shared" si="28"/>
        <v>0</v>
      </c>
      <c r="H121" s="45">
        <v>0.56</v>
      </c>
      <c r="I121" s="44">
        <f>ROUND(G121*Būvniecības_koptame!$L$28,2)</f>
        <v>0</v>
      </c>
      <c r="J121" s="46">
        <f t="shared" si="29"/>
        <v>0.56</v>
      </c>
      <c r="K121" s="44">
        <f t="shared" si="30"/>
        <v>0</v>
      </c>
      <c r="L121" s="47">
        <f t="shared" si="31"/>
        <v>0</v>
      </c>
      <c r="M121" s="47">
        <f t="shared" si="32"/>
        <v>1.19</v>
      </c>
      <c r="N121" s="47">
        <f t="shared" si="33"/>
        <v>0</v>
      </c>
      <c r="O121" s="47">
        <f t="shared" si="34"/>
        <v>1.19</v>
      </c>
    </row>
    <row r="122" spans="1:15" ht="15">
      <c r="A122" s="80">
        <v>23</v>
      </c>
      <c r="B122" s="83" t="s">
        <v>141</v>
      </c>
      <c r="C122" s="74" t="s">
        <v>43</v>
      </c>
      <c r="D122" s="74">
        <v>2.15</v>
      </c>
      <c r="E122" s="44">
        <v>0</v>
      </c>
      <c r="F122" s="44">
        <f>Būvniecības_koptame!$L$27</f>
        <v>5.12</v>
      </c>
      <c r="G122" s="44">
        <f t="shared" si="28"/>
        <v>0</v>
      </c>
      <c r="H122" s="45">
        <v>1.9300000000000002</v>
      </c>
      <c r="I122" s="44">
        <f>ROUND(G122*Būvniecības_koptame!$L$28,2)</f>
        <v>0</v>
      </c>
      <c r="J122" s="46">
        <f t="shared" si="29"/>
        <v>1.93</v>
      </c>
      <c r="K122" s="44">
        <f t="shared" si="30"/>
        <v>0</v>
      </c>
      <c r="L122" s="47">
        <f t="shared" si="31"/>
        <v>0</v>
      </c>
      <c r="M122" s="47">
        <f t="shared" si="32"/>
        <v>4.15</v>
      </c>
      <c r="N122" s="47">
        <f t="shared" si="33"/>
        <v>0</v>
      </c>
      <c r="O122" s="47">
        <f t="shared" si="34"/>
        <v>4.15</v>
      </c>
    </row>
    <row r="123" spans="1:15" ht="15">
      <c r="A123" s="80">
        <v>24</v>
      </c>
      <c r="B123" s="83" t="s">
        <v>142</v>
      </c>
      <c r="C123" s="74" t="s">
        <v>43</v>
      </c>
      <c r="D123" s="74">
        <v>2.15</v>
      </c>
      <c r="E123" s="44">
        <v>0</v>
      </c>
      <c r="F123" s="44">
        <f>Būvniecības_koptame!$L$27</f>
        <v>5.12</v>
      </c>
      <c r="G123" s="44">
        <f t="shared" si="28"/>
        <v>0</v>
      </c>
      <c r="H123" s="45">
        <v>10.45</v>
      </c>
      <c r="I123" s="44">
        <f>ROUND(G123*Būvniecības_koptame!$L$28,2)</f>
        <v>0</v>
      </c>
      <c r="J123" s="46">
        <f t="shared" si="29"/>
        <v>10.45</v>
      </c>
      <c r="K123" s="44">
        <f t="shared" si="30"/>
        <v>0</v>
      </c>
      <c r="L123" s="47">
        <f t="shared" si="31"/>
        <v>0</v>
      </c>
      <c r="M123" s="47">
        <f t="shared" si="32"/>
        <v>22.47</v>
      </c>
      <c r="N123" s="47">
        <f t="shared" si="33"/>
        <v>0</v>
      </c>
      <c r="O123" s="47">
        <f t="shared" si="34"/>
        <v>22.47</v>
      </c>
    </row>
    <row r="124" spans="1:15" ht="15">
      <c r="A124" s="80">
        <v>25</v>
      </c>
      <c r="B124" s="75" t="s">
        <v>144</v>
      </c>
      <c r="C124" s="74" t="s">
        <v>43</v>
      </c>
      <c r="D124" s="74">
        <v>2.8</v>
      </c>
      <c r="E124" s="44">
        <v>5.7</v>
      </c>
      <c r="F124" s="44">
        <f>Būvniecības_koptame!$L$27</f>
        <v>5.12</v>
      </c>
      <c r="G124" s="44">
        <f t="shared" si="28"/>
        <v>29.18</v>
      </c>
      <c r="H124" s="45"/>
      <c r="I124" s="44">
        <f>ROUND(G124*Būvniecības_koptame!$L$28,2)</f>
        <v>1.17</v>
      </c>
      <c r="J124" s="46">
        <f t="shared" si="29"/>
        <v>30.35</v>
      </c>
      <c r="K124" s="44">
        <f t="shared" si="30"/>
        <v>15.96</v>
      </c>
      <c r="L124" s="47">
        <f t="shared" si="31"/>
        <v>81.7</v>
      </c>
      <c r="M124" s="47">
        <f t="shared" si="32"/>
        <v>0</v>
      </c>
      <c r="N124" s="47">
        <f t="shared" si="33"/>
        <v>3.28</v>
      </c>
      <c r="O124" s="47">
        <f t="shared" si="34"/>
        <v>84.98</v>
      </c>
    </row>
    <row r="125" spans="1:15" ht="15">
      <c r="A125" s="80">
        <v>26</v>
      </c>
      <c r="B125" s="83" t="s">
        <v>136</v>
      </c>
      <c r="C125" s="74" t="s">
        <v>43</v>
      </c>
      <c r="D125" s="74">
        <v>2.8</v>
      </c>
      <c r="E125" s="44">
        <v>0</v>
      </c>
      <c r="F125" s="44">
        <f>Būvniecības_koptame!$L$27</f>
        <v>5.12</v>
      </c>
      <c r="G125" s="44">
        <f t="shared" si="28"/>
        <v>0</v>
      </c>
      <c r="H125" s="45">
        <v>1.64</v>
      </c>
      <c r="I125" s="44">
        <f>ROUND(G125*Būvniecības_koptame!$L$28,2)</f>
        <v>0</v>
      </c>
      <c r="J125" s="46">
        <f t="shared" si="29"/>
        <v>1.64</v>
      </c>
      <c r="K125" s="44">
        <f t="shared" si="30"/>
        <v>0</v>
      </c>
      <c r="L125" s="47">
        <f t="shared" si="31"/>
        <v>0</v>
      </c>
      <c r="M125" s="47">
        <f t="shared" si="32"/>
        <v>4.59</v>
      </c>
      <c r="N125" s="47">
        <f t="shared" si="33"/>
        <v>0</v>
      </c>
      <c r="O125" s="47">
        <f t="shared" si="34"/>
        <v>4.59</v>
      </c>
    </row>
    <row r="126" spans="1:15" ht="15">
      <c r="A126" s="80">
        <v>27</v>
      </c>
      <c r="B126" s="83" t="s">
        <v>145</v>
      </c>
      <c r="C126" s="74" t="s">
        <v>67</v>
      </c>
      <c r="D126" s="74">
        <v>0.05</v>
      </c>
      <c r="E126" s="44">
        <v>0</v>
      </c>
      <c r="F126" s="44">
        <f>Būvniecības_koptame!$L$27</f>
        <v>5.12</v>
      </c>
      <c r="G126" s="44">
        <f t="shared" si="28"/>
        <v>0</v>
      </c>
      <c r="H126" s="45">
        <v>195</v>
      </c>
      <c r="I126" s="44">
        <f>ROUND(G126*Būvniecības_koptame!$L$28,2)</f>
        <v>0</v>
      </c>
      <c r="J126" s="46">
        <f t="shared" si="29"/>
        <v>195</v>
      </c>
      <c r="K126" s="44">
        <f t="shared" si="30"/>
        <v>0</v>
      </c>
      <c r="L126" s="47">
        <f t="shared" si="31"/>
        <v>0</v>
      </c>
      <c r="M126" s="47">
        <f t="shared" si="32"/>
        <v>9.75</v>
      </c>
      <c r="N126" s="47">
        <f t="shared" si="33"/>
        <v>0</v>
      </c>
      <c r="O126" s="47">
        <f t="shared" si="34"/>
        <v>9.75</v>
      </c>
    </row>
    <row r="127" spans="1:15" ht="15">
      <c r="A127" s="80">
        <v>28</v>
      </c>
      <c r="B127" s="83" t="s">
        <v>98</v>
      </c>
      <c r="C127" s="74" t="s">
        <v>43</v>
      </c>
      <c r="D127" s="74">
        <v>3.14</v>
      </c>
      <c r="E127" s="44">
        <v>0</v>
      </c>
      <c r="F127" s="44">
        <f>Būvniecības_koptame!$L$27</f>
        <v>5.12</v>
      </c>
      <c r="G127" s="44">
        <f t="shared" si="28"/>
        <v>0</v>
      </c>
      <c r="H127" s="45">
        <v>11.2</v>
      </c>
      <c r="I127" s="44">
        <f>ROUND(G127*Būvniecības_koptame!$L$28,2)</f>
        <v>0</v>
      </c>
      <c r="J127" s="46">
        <f t="shared" si="29"/>
        <v>11.2</v>
      </c>
      <c r="K127" s="44">
        <f t="shared" si="30"/>
        <v>0</v>
      </c>
      <c r="L127" s="47">
        <f t="shared" si="31"/>
        <v>0</v>
      </c>
      <c r="M127" s="47">
        <f t="shared" si="32"/>
        <v>35.17</v>
      </c>
      <c r="N127" s="47">
        <f t="shared" si="33"/>
        <v>0</v>
      </c>
      <c r="O127" s="47">
        <f t="shared" si="34"/>
        <v>35.17</v>
      </c>
    </row>
    <row r="128" spans="1:15" ht="15">
      <c r="A128" s="80">
        <v>29</v>
      </c>
      <c r="B128" s="83" t="s">
        <v>125</v>
      </c>
      <c r="C128" s="74" t="s">
        <v>43</v>
      </c>
      <c r="D128" s="74">
        <v>3.14</v>
      </c>
      <c r="E128" s="44">
        <v>0</v>
      </c>
      <c r="F128" s="44">
        <f>Būvniecības_koptame!$L$27</f>
        <v>5.12</v>
      </c>
      <c r="G128" s="44">
        <f t="shared" si="28"/>
        <v>0</v>
      </c>
      <c r="H128" s="45">
        <v>0.56</v>
      </c>
      <c r="I128" s="44">
        <f>ROUND(G128*Būvniecības_koptame!$L$28,2)</f>
        <v>0</v>
      </c>
      <c r="J128" s="46">
        <f t="shared" si="29"/>
        <v>0.56</v>
      </c>
      <c r="K128" s="44">
        <f t="shared" si="30"/>
        <v>0</v>
      </c>
      <c r="L128" s="47">
        <f t="shared" si="31"/>
        <v>0</v>
      </c>
      <c r="M128" s="47">
        <f t="shared" si="32"/>
        <v>1.76</v>
      </c>
      <c r="N128" s="47">
        <f t="shared" si="33"/>
        <v>0</v>
      </c>
      <c r="O128" s="47">
        <f t="shared" si="34"/>
        <v>1.76</v>
      </c>
    </row>
    <row r="129" spans="1:15" ht="15">
      <c r="A129" s="80">
        <v>30</v>
      </c>
      <c r="B129" s="83" t="s">
        <v>141</v>
      </c>
      <c r="C129" s="74" t="s">
        <v>43</v>
      </c>
      <c r="D129" s="74">
        <v>3.16</v>
      </c>
      <c r="E129" s="44">
        <v>0</v>
      </c>
      <c r="F129" s="44">
        <f>Būvniecības_koptame!$L$27</f>
        <v>5.12</v>
      </c>
      <c r="G129" s="44">
        <f t="shared" si="28"/>
        <v>0</v>
      </c>
      <c r="H129" s="45">
        <v>1.9300000000000002</v>
      </c>
      <c r="I129" s="44">
        <f>ROUND(G129*Būvniecības_koptame!$L$28,2)</f>
        <v>0</v>
      </c>
      <c r="J129" s="46">
        <f t="shared" si="29"/>
        <v>1.93</v>
      </c>
      <c r="K129" s="44">
        <f t="shared" si="30"/>
        <v>0</v>
      </c>
      <c r="L129" s="47">
        <f t="shared" si="31"/>
        <v>0</v>
      </c>
      <c r="M129" s="47">
        <f t="shared" si="32"/>
        <v>6.1</v>
      </c>
      <c r="N129" s="47">
        <f t="shared" si="33"/>
        <v>0</v>
      </c>
      <c r="O129" s="47">
        <f t="shared" si="34"/>
        <v>6.1</v>
      </c>
    </row>
    <row r="130" spans="1:15" ht="15">
      <c r="A130" s="80">
        <v>31</v>
      </c>
      <c r="B130" s="83" t="s">
        <v>142</v>
      </c>
      <c r="C130" s="74" t="s">
        <v>43</v>
      </c>
      <c r="D130" s="74">
        <v>3.16</v>
      </c>
      <c r="E130" s="44">
        <v>0</v>
      </c>
      <c r="F130" s="44">
        <f>Būvniecības_koptame!$L$27</f>
        <v>5.12</v>
      </c>
      <c r="G130" s="44">
        <f t="shared" si="28"/>
        <v>0</v>
      </c>
      <c r="H130" s="45">
        <v>10.45</v>
      </c>
      <c r="I130" s="44">
        <f>ROUND(G130*Būvniecības_koptame!$L$28,2)</f>
        <v>0</v>
      </c>
      <c r="J130" s="46">
        <f t="shared" si="29"/>
        <v>10.45</v>
      </c>
      <c r="K130" s="44">
        <f t="shared" si="30"/>
        <v>0</v>
      </c>
      <c r="L130" s="47">
        <f t="shared" si="31"/>
        <v>0</v>
      </c>
      <c r="M130" s="47">
        <f t="shared" si="32"/>
        <v>33.02</v>
      </c>
      <c r="N130" s="47">
        <f t="shared" si="33"/>
        <v>0</v>
      </c>
      <c r="O130" s="47">
        <f t="shared" si="34"/>
        <v>33.02</v>
      </c>
    </row>
    <row r="131" spans="1:15" ht="15">
      <c r="A131" s="80">
        <v>32</v>
      </c>
      <c r="B131" s="75" t="s">
        <v>146</v>
      </c>
      <c r="C131" s="74" t="s">
        <v>43</v>
      </c>
      <c r="D131" s="74">
        <v>20.5</v>
      </c>
      <c r="E131" s="44">
        <v>3</v>
      </c>
      <c r="F131" s="44">
        <f>Būvniecības_koptame!$L$27</f>
        <v>5.12</v>
      </c>
      <c r="G131" s="44">
        <f t="shared" si="28"/>
        <v>15.36</v>
      </c>
      <c r="H131" s="45"/>
      <c r="I131" s="44">
        <f>ROUND(G131*Būvniecības_koptame!$L$28,2)</f>
        <v>0.61</v>
      </c>
      <c r="J131" s="46">
        <f t="shared" si="29"/>
        <v>15.97</v>
      </c>
      <c r="K131" s="44">
        <f t="shared" si="30"/>
        <v>61.5</v>
      </c>
      <c r="L131" s="47">
        <f t="shared" si="31"/>
        <v>314.88</v>
      </c>
      <c r="M131" s="47">
        <f t="shared" si="32"/>
        <v>0</v>
      </c>
      <c r="N131" s="47">
        <f t="shared" si="33"/>
        <v>12.51</v>
      </c>
      <c r="O131" s="47">
        <f t="shared" si="34"/>
        <v>327.39</v>
      </c>
    </row>
    <row r="132" spans="1:15" ht="15">
      <c r="A132" s="80">
        <v>33</v>
      </c>
      <c r="B132" s="83" t="s">
        <v>145</v>
      </c>
      <c r="C132" s="74" t="s">
        <v>67</v>
      </c>
      <c r="D132" s="74">
        <v>0.19</v>
      </c>
      <c r="E132" s="44">
        <v>0</v>
      </c>
      <c r="F132" s="44">
        <f>Būvniecības_koptame!$L$27</f>
        <v>5.12</v>
      </c>
      <c r="G132" s="44">
        <f aca="true" t="shared" si="35" ref="G132:G155">ROUND(F132*E132,2)</f>
        <v>0</v>
      </c>
      <c r="H132" s="45">
        <v>195</v>
      </c>
      <c r="I132" s="44">
        <f>ROUND(G132*Būvniecības_koptame!$L$28,2)</f>
        <v>0</v>
      </c>
      <c r="J132" s="46">
        <f aca="true" t="shared" si="36" ref="J132:J155">ROUND(I132+H132+G132,2)</f>
        <v>195</v>
      </c>
      <c r="K132" s="44">
        <f aca="true" t="shared" si="37" ref="K132:K155">ROUND(E132*D132,2)</f>
        <v>0</v>
      </c>
      <c r="L132" s="47">
        <f aca="true" t="shared" si="38" ref="L132:L155">ROUND(G132*D132,2)</f>
        <v>0</v>
      </c>
      <c r="M132" s="47">
        <f aca="true" t="shared" si="39" ref="M132:M155">ROUND(H132*D132,2)</f>
        <v>37.05</v>
      </c>
      <c r="N132" s="47">
        <f aca="true" t="shared" si="40" ref="N132:N155">ROUND(I132*D132,2)</f>
        <v>0</v>
      </c>
      <c r="O132" s="47">
        <f aca="true" t="shared" si="41" ref="O132:O155">ROUND(N132+M132+L132,2)</f>
        <v>37.05</v>
      </c>
    </row>
    <row r="133" spans="1:15" ht="15">
      <c r="A133" s="80">
        <v>34</v>
      </c>
      <c r="B133" s="83" t="s">
        <v>98</v>
      </c>
      <c r="C133" s="74" t="s">
        <v>43</v>
      </c>
      <c r="D133" s="74">
        <v>22.96</v>
      </c>
      <c r="E133" s="44">
        <v>0</v>
      </c>
      <c r="F133" s="44">
        <f>Būvniecības_koptame!$L$27</f>
        <v>5.12</v>
      </c>
      <c r="G133" s="44">
        <f t="shared" si="35"/>
        <v>0</v>
      </c>
      <c r="H133" s="45">
        <v>11.2</v>
      </c>
      <c r="I133" s="44">
        <f>ROUND(G133*Būvniecības_koptame!$L$28,2)</f>
        <v>0</v>
      </c>
      <c r="J133" s="46">
        <f t="shared" si="36"/>
        <v>11.2</v>
      </c>
      <c r="K133" s="44">
        <f t="shared" si="37"/>
        <v>0</v>
      </c>
      <c r="L133" s="47">
        <f t="shared" si="38"/>
        <v>0</v>
      </c>
      <c r="M133" s="47">
        <f t="shared" si="39"/>
        <v>257.15</v>
      </c>
      <c r="N133" s="47">
        <f t="shared" si="40"/>
        <v>0</v>
      </c>
      <c r="O133" s="47">
        <f t="shared" si="41"/>
        <v>257.15</v>
      </c>
    </row>
    <row r="134" spans="1:15" ht="15">
      <c r="A134" s="80">
        <v>35</v>
      </c>
      <c r="B134" s="83" t="s">
        <v>136</v>
      </c>
      <c r="C134" s="74" t="s">
        <v>43</v>
      </c>
      <c r="D134" s="74">
        <v>20.5</v>
      </c>
      <c r="E134" s="44">
        <v>0</v>
      </c>
      <c r="F134" s="44">
        <f>Būvniecības_koptame!$L$27</f>
        <v>5.12</v>
      </c>
      <c r="G134" s="44">
        <f t="shared" si="35"/>
        <v>0</v>
      </c>
      <c r="H134" s="45">
        <v>1.64</v>
      </c>
      <c r="I134" s="44">
        <f>ROUND(G134*Būvniecības_koptame!$L$28,2)</f>
        <v>0</v>
      </c>
      <c r="J134" s="46">
        <f t="shared" si="36"/>
        <v>1.64</v>
      </c>
      <c r="K134" s="44">
        <f t="shared" si="37"/>
        <v>0</v>
      </c>
      <c r="L134" s="47">
        <f t="shared" si="38"/>
        <v>0</v>
      </c>
      <c r="M134" s="47">
        <f t="shared" si="39"/>
        <v>33.62</v>
      </c>
      <c r="N134" s="47">
        <f t="shared" si="40"/>
        <v>0</v>
      </c>
      <c r="O134" s="47">
        <f t="shared" si="41"/>
        <v>33.62</v>
      </c>
    </row>
    <row r="135" spans="1:15" ht="15">
      <c r="A135" s="80">
        <v>36</v>
      </c>
      <c r="B135" s="83" t="s">
        <v>98</v>
      </c>
      <c r="C135" s="74" t="s">
        <v>43</v>
      </c>
      <c r="D135" s="74">
        <v>22.96</v>
      </c>
      <c r="E135" s="44">
        <v>0</v>
      </c>
      <c r="F135" s="44">
        <f>Būvniecības_koptame!$L$27</f>
        <v>5.12</v>
      </c>
      <c r="G135" s="44">
        <f t="shared" si="35"/>
        <v>0</v>
      </c>
      <c r="H135" s="45">
        <v>11.2</v>
      </c>
      <c r="I135" s="44">
        <f>ROUND(G135*Būvniecības_koptame!$L$28,2)</f>
        <v>0</v>
      </c>
      <c r="J135" s="46">
        <f t="shared" si="36"/>
        <v>11.2</v>
      </c>
      <c r="K135" s="44">
        <f t="shared" si="37"/>
        <v>0</v>
      </c>
      <c r="L135" s="47">
        <f t="shared" si="38"/>
        <v>0</v>
      </c>
      <c r="M135" s="47">
        <f t="shared" si="39"/>
        <v>257.15</v>
      </c>
      <c r="N135" s="47">
        <f t="shared" si="40"/>
        <v>0</v>
      </c>
      <c r="O135" s="47">
        <f t="shared" si="41"/>
        <v>257.15</v>
      </c>
    </row>
    <row r="136" spans="1:15" ht="15">
      <c r="A136" s="80">
        <v>37</v>
      </c>
      <c r="B136" s="75" t="s">
        <v>147</v>
      </c>
      <c r="C136" s="74" t="s">
        <v>43</v>
      </c>
      <c r="D136" s="74">
        <v>7.72</v>
      </c>
      <c r="E136" s="44">
        <v>3</v>
      </c>
      <c r="F136" s="44">
        <f>Būvniecības_koptame!$L$27</f>
        <v>5.12</v>
      </c>
      <c r="G136" s="44">
        <f t="shared" si="35"/>
        <v>15.36</v>
      </c>
      <c r="H136" s="45"/>
      <c r="I136" s="44">
        <f>ROUND(G136*Būvniecības_koptame!$L$28,2)</f>
        <v>0.61</v>
      </c>
      <c r="J136" s="46">
        <f t="shared" si="36"/>
        <v>15.97</v>
      </c>
      <c r="K136" s="44">
        <f t="shared" si="37"/>
        <v>23.16</v>
      </c>
      <c r="L136" s="47">
        <f t="shared" si="38"/>
        <v>118.58</v>
      </c>
      <c r="M136" s="47">
        <f t="shared" si="39"/>
        <v>0</v>
      </c>
      <c r="N136" s="47">
        <f t="shared" si="40"/>
        <v>4.71</v>
      </c>
      <c r="O136" s="47">
        <f t="shared" si="41"/>
        <v>123.29</v>
      </c>
    </row>
    <row r="137" spans="1:15" ht="15">
      <c r="A137" s="80">
        <v>38</v>
      </c>
      <c r="B137" s="83" t="s">
        <v>148</v>
      </c>
      <c r="C137" s="74" t="s">
        <v>43</v>
      </c>
      <c r="D137" s="74">
        <v>9.03</v>
      </c>
      <c r="E137" s="44">
        <v>0</v>
      </c>
      <c r="F137" s="44">
        <f>Būvniecības_koptame!$L$27</f>
        <v>5.12</v>
      </c>
      <c r="G137" s="44">
        <f t="shared" si="35"/>
        <v>0</v>
      </c>
      <c r="H137" s="45">
        <f>110/0.7*0.12</f>
        <v>18.857142857142858</v>
      </c>
      <c r="I137" s="44">
        <f>ROUND(G137*Būvniecības_koptame!$L$28,2)</f>
        <v>0</v>
      </c>
      <c r="J137" s="46">
        <f t="shared" si="36"/>
        <v>18.86</v>
      </c>
      <c r="K137" s="44">
        <f t="shared" si="37"/>
        <v>0</v>
      </c>
      <c r="L137" s="47">
        <f t="shared" si="38"/>
        <v>0</v>
      </c>
      <c r="M137" s="47">
        <f t="shared" si="39"/>
        <v>170.28</v>
      </c>
      <c r="N137" s="47">
        <f t="shared" si="40"/>
        <v>0</v>
      </c>
      <c r="O137" s="47">
        <f t="shared" si="41"/>
        <v>170.28</v>
      </c>
    </row>
    <row r="138" spans="1:15" ht="15">
      <c r="A138" s="80">
        <v>39</v>
      </c>
      <c r="B138" s="83" t="s">
        <v>149</v>
      </c>
      <c r="C138" s="74" t="s">
        <v>150</v>
      </c>
      <c r="D138" s="74">
        <v>134.08</v>
      </c>
      <c r="E138" s="44">
        <v>0</v>
      </c>
      <c r="F138" s="44">
        <f>Būvniecības_koptame!$L$27</f>
        <v>5.12</v>
      </c>
      <c r="G138" s="44">
        <f t="shared" si="35"/>
        <v>0</v>
      </c>
      <c r="H138" s="45">
        <v>0.23</v>
      </c>
      <c r="I138" s="44">
        <f>ROUND(G138*Būvniecības_koptame!$L$28,2)</f>
        <v>0</v>
      </c>
      <c r="J138" s="46">
        <f t="shared" si="36"/>
        <v>0.23</v>
      </c>
      <c r="K138" s="44">
        <f t="shared" si="37"/>
        <v>0</v>
      </c>
      <c r="L138" s="47">
        <f t="shared" si="38"/>
        <v>0</v>
      </c>
      <c r="M138" s="47">
        <f t="shared" si="39"/>
        <v>30.84</v>
      </c>
      <c r="N138" s="47">
        <f t="shared" si="40"/>
        <v>0</v>
      </c>
      <c r="O138" s="47">
        <f t="shared" si="41"/>
        <v>30.84</v>
      </c>
    </row>
    <row r="139" spans="1:15" ht="15">
      <c r="A139" s="80">
        <v>40</v>
      </c>
      <c r="B139" s="75" t="s">
        <v>151</v>
      </c>
      <c r="C139" s="74" t="s">
        <v>43</v>
      </c>
      <c r="D139" s="74">
        <v>3.98</v>
      </c>
      <c r="E139" s="44">
        <f>1+1.4+0.3+1</f>
        <v>3.7</v>
      </c>
      <c r="F139" s="44">
        <f>Būvniecības_koptame!$L$27</f>
        <v>5.12</v>
      </c>
      <c r="G139" s="44">
        <f t="shared" si="35"/>
        <v>18.94</v>
      </c>
      <c r="H139" s="45"/>
      <c r="I139" s="44">
        <f>ROUND(G139*Būvniecības_koptame!$L$28,2)</f>
        <v>0.76</v>
      </c>
      <c r="J139" s="46">
        <f t="shared" si="36"/>
        <v>19.7</v>
      </c>
      <c r="K139" s="44">
        <f t="shared" si="37"/>
        <v>14.73</v>
      </c>
      <c r="L139" s="47">
        <f t="shared" si="38"/>
        <v>75.38</v>
      </c>
      <c r="M139" s="47">
        <f t="shared" si="39"/>
        <v>0</v>
      </c>
      <c r="N139" s="47">
        <f t="shared" si="40"/>
        <v>3.02</v>
      </c>
      <c r="O139" s="47">
        <f t="shared" si="41"/>
        <v>78.4</v>
      </c>
    </row>
    <row r="140" spans="1:15" ht="15">
      <c r="A140" s="80">
        <v>41</v>
      </c>
      <c r="B140" s="83" t="s">
        <v>98</v>
      </c>
      <c r="C140" s="74" t="s">
        <v>43</v>
      </c>
      <c r="D140" s="74">
        <v>4.46</v>
      </c>
      <c r="E140" s="44">
        <v>0</v>
      </c>
      <c r="F140" s="44">
        <f>Būvniecības_koptame!$L$27</f>
        <v>5.12</v>
      </c>
      <c r="G140" s="44">
        <f t="shared" si="35"/>
        <v>0</v>
      </c>
      <c r="H140" s="45">
        <v>11.2</v>
      </c>
      <c r="I140" s="44">
        <f>ROUND(G140*Būvniecības_koptame!$L$28,2)</f>
        <v>0</v>
      </c>
      <c r="J140" s="46">
        <f t="shared" si="36"/>
        <v>11.2</v>
      </c>
      <c r="K140" s="44">
        <f t="shared" si="37"/>
        <v>0</v>
      </c>
      <c r="L140" s="47">
        <f t="shared" si="38"/>
        <v>0</v>
      </c>
      <c r="M140" s="47">
        <f t="shared" si="39"/>
        <v>49.95</v>
      </c>
      <c r="N140" s="47">
        <f t="shared" si="40"/>
        <v>0</v>
      </c>
      <c r="O140" s="47">
        <f t="shared" si="41"/>
        <v>49.95</v>
      </c>
    </row>
    <row r="141" spans="1:15" ht="15">
      <c r="A141" s="80">
        <v>42</v>
      </c>
      <c r="B141" s="83" t="s">
        <v>103</v>
      </c>
      <c r="C141" s="74" t="s">
        <v>67</v>
      </c>
      <c r="D141" s="74">
        <v>0.15</v>
      </c>
      <c r="E141" s="44">
        <v>0</v>
      </c>
      <c r="F141" s="44">
        <f>Būvniecības_koptame!$L$27</f>
        <v>5.12</v>
      </c>
      <c r="G141" s="44">
        <f t="shared" si="35"/>
        <v>0</v>
      </c>
      <c r="H141" s="45">
        <v>195</v>
      </c>
      <c r="I141" s="44">
        <f>ROUND(G141*Būvniecības_koptame!$L$28,2)</f>
        <v>0</v>
      </c>
      <c r="J141" s="46">
        <f t="shared" si="36"/>
        <v>195</v>
      </c>
      <c r="K141" s="44">
        <f t="shared" si="37"/>
        <v>0</v>
      </c>
      <c r="L141" s="47">
        <f t="shared" si="38"/>
        <v>0</v>
      </c>
      <c r="M141" s="47">
        <f t="shared" si="39"/>
        <v>29.25</v>
      </c>
      <c r="N141" s="47">
        <f t="shared" si="40"/>
        <v>0</v>
      </c>
      <c r="O141" s="47">
        <f t="shared" si="41"/>
        <v>29.25</v>
      </c>
    </row>
    <row r="142" spans="1:15" ht="15">
      <c r="A142" s="80">
        <v>43</v>
      </c>
      <c r="B142" s="83" t="s">
        <v>137</v>
      </c>
      <c r="C142" s="74" t="s">
        <v>43</v>
      </c>
      <c r="D142" s="74">
        <v>4.5</v>
      </c>
      <c r="E142" s="44">
        <v>0</v>
      </c>
      <c r="F142" s="44">
        <f>Būvniecības_koptame!$L$27</f>
        <v>5.12</v>
      </c>
      <c r="G142" s="44">
        <f t="shared" si="35"/>
        <v>0</v>
      </c>
      <c r="H142" s="45">
        <v>2.21</v>
      </c>
      <c r="I142" s="44">
        <f>ROUND(G142*Būvniecības_koptame!$L$28,2)</f>
        <v>0</v>
      </c>
      <c r="J142" s="46">
        <f t="shared" si="36"/>
        <v>2.21</v>
      </c>
      <c r="K142" s="44">
        <f t="shared" si="37"/>
        <v>0</v>
      </c>
      <c r="L142" s="47">
        <f t="shared" si="38"/>
        <v>0</v>
      </c>
      <c r="M142" s="47">
        <f t="shared" si="39"/>
        <v>9.95</v>
      </c>
      <c r="N142" s="47">
        <f t="shared" si="40"/>
        <v>0</v>
      </c>
      <c r="O142" s="47">
        <f t="shared" si="41"/>
        <v>9.95</v>
      </c>
    </row>
    <row r="143" spans="1:15" ht="15">
      <c r="A143" s="80">
        <v>44</v>
      </c>
      <c r="B143" s="83" t="s">
        <v>152</v>
      </c>
      <c r="C143" s="74" t="s">
        <v>43</v>
      </c>
      <c r="D143" s="74">
        <v>3.98</v>
      </c>
      <c r="E143" s="44">
        <v>0</v>
      </c>
      <c r="F143" s="44">
        <f>Būvniecības_koptame!$L$27</f>
        <v>5.12</v>
      </c>
      <c r="G143" s="44">
        <f t="shared" si="35"/>
        <v>0</v>
      </c>
      <c r="H143" s="45">
        <v>1.64</v>
      </c>
      <c r="I143" s="44">
        <f>ROUND(G143*Būvniecības_koptame!$L$28,2)</f>
        <v>0</v>
      </c>
      <c r="J143" s="46">
        <f t="shared" si="36"/>
        <v>1.64</v>
      </c>
      <c r="K143" s="44">
        <f t="shared" si="37"/>
        <v>0</v>
      </c>
      <c r="L143" s="47">
        <f t="shared" si="38"/>
        <v>0</v>
      </c>
      <c r="M143" s="47">
        <f t="shared" si="39"/>
        <v>6.53</v>
      </c>
      <c r="N143" s="47">
        <f t="shared" si="40"/>
        <v>0</v>
      </c>
      <c r="O143" s="47">
        <f t="shared" si="41"/>
        <v>6.53</v>
      </c>
    </row>
    <row r="144" spans="1:15" ht="15">
      <c r="A144" s="80">
        <v>45</v>
      </c>
      <c r="B144" s="83" t="s">
        <v>137</v>
      </c>
      <c r="C144" s="74" t="s">
        <v>43</v>
      </c>
      <c r="D144" s="74">
        <v>4.5</v>
      </c>
      <c r="E144" s="44">
        <v>0</v>
      </c>
      <c r="F144" s="44">
        <f>Būvniecības_koptame!$L$27</f>
        <v>5.12</v>
      </c>
      <c r="G144" s="44">
        <f t="shared" si="35"/>
        <v>0</v>
      </c>
      <c r="H144" s="45">
        <v>2.21</v>
      </c>
      <c r="I144" s="44">
        <f>ROUND(G144*Būvniecības_koptame!$L$28,2)</f>
        <v>0</v>
      </c>
      <c r="J144" s="46">
        <f t="shared" si="36"/>
        <v>2.21</v>
      </c>
      <c r="K144" s="44">
        <f t="shared" si="37"/>
        <v>0</v>
      </c>
      <c r="L144" s="47">
        <f t="shared" si="38"/>
        <v>0</v>
      </c>
      <c r="M144" s="47">
        <f t="shared" si="39"/>
        <v>9.95</v>
      </c>
      <c r="N144" s="47">
        <f t="shared" si="40"/>
        <v>0</v>
      </c>
      <c r="O144" s="47">
        <f t="shared" si="41"/>
        <v>9.95</v>
      </c>
    </row>
    <row r="145" spans="1:15" ht="15">
      <c r="A145" s="80">
        <v>46</v>
      </c>
      <c r="B145" s="83" t="s">
        <v>102</v>
      </c>
      <c r="C145" s="74" t="s">
        <v>43</v>
      </c>
      <c r="D145" s="74">
        <v>3.98</v>
      </c>
      <c r="E145" s="44">
        <v>0</v>
      </c>
      <c r="F145" s="44">
        <f>Būvniecības_koptame!$L$27</f>
        <v>5.12</v>
      </c>
      <c r="G145" s="44">
        <f t="shared" si="35"/>
        <v>0</v>
      </c>
      <c r="H145" s="45">
        <v>3.15</v>
      </c>
      <c r="I145" s="44">
        <f>ROUND(G145*Būvniecības_koptame!$L$28,2)</f>
        <v>0</v>
      </c>
      <c r="J145" s="46">
        <f t="shared" si="36"/>
        <v>3.15</v>
      </c>
      <c r="K145" s="44">
        <f t="shared" si="37"/>
        <v>0</v>
      </c>
      <c r="L145" s="47">
        <f t="shared" si="38"/>
        <v>0</v>
      </c>
      <c r="M145" s="47">
        <f t="shared" si="39"/>
        <v>12.54</v>
      </c>
      <c r="N145" s="47">
        <f t="shared" si="40"/>
        <v>0</v>
      </c>
      <c r="O145" s="47">
        <f t="shared" si="41"/>
        <v>12.54</v>
      </c>
    </row>
    <row r="146" spans="1:15" ht="15">
      <c r="A146" s="80">
        <v>47</v>
      </c>
      <c r="B146" s="83" t="s">
        <v>103</v>
      </c>
      <c r="C146" s="74" t="s">
        <v>67</v>
      </c>
      <c r="D146" s="74">
        <v>0.15</v>
      </c>
      <c r="E146" s="44">
        <v>0</v>
      </c>
      <c r="F146" s="44">
        <f>Būvniecības_koptame!$L$27</f>
        <v>5.12</v>
      </c>
      <c r="G146" s="44">
        <f t="shared" si="35"/>
        <v>0</v>
      </c>
      <c r="H146" s="45">
        <v>195</v>
      </c>
      <c r="I146" s="44">
        <f>ROUND(G146*Būvniecības_koptame!$L$28,2)</f>
        <v>0</v>
      </c>
      <c r="J146" s="46">
        <f t="shared" si="36"/>
        <v>195</v>
      </c>
      <c r="K146" s="44">
        <f t="shared" si="37"/>
        <v>0</v>
      </c>
      <c r="L146" s="47">
        <f t="shared" si="38"/>
        <v>0</v>
      </c>
      <c r="M146" s="47">
        <f t="shared" si="39"/>
        <v>29.25</v>
      </c>
      <c r="N146" s="47">
        <f t="shared" si="40"/>
        <v>0</v>
      </c>
      <c r="O146" s="47">
        <f t="shared" si="41"/>
        <v>29.25</v>
      </c>
    </row>
    <row r="147" spans="1:15" ht="15">
      <c r="A147" s="80">
        <v>48</v>
      </c>
      <c r="B147" s="83" t="s">
        <v>98</v>
      </c>
      <c r="C147" s="74" t="s">
        <v>43</v>
      </c>
      <c r="D147" s="74">
        <v>4.46</v>
      </c>
      <c r="E147" s="44">
        <v>0</v>
      </c>
      <c r="F147" s="44">
        <f>Būvniecības_koptame!$L$27</f>
        <v>5.12</v>
      </c>
      <c r="G147" s="44">
        <f t="shared" si="35"/>
        <v>0</v>
      </c>
      <c r="H147" s="45">
        <v>11.2</v>
      </c>
      <c r="I147" s="44">
        <f>ROUND(G147*Būvniecības_koptame!$L$28,2)</f>
        <v>0</v>
      </c>
      <c r="J147" s="46">
        <f t="shared" si="36"/>
        <v>11.2</v>
      </c>
      <c r="K147" s="44">
        <f t="shared" si="37"/>
        <v>0</v>
      </c>
      <c r="L147" s="47">
        <f t="shared" si="38"/>
        <v>0</v>
      </c>
      <c r="M147" s="47">
        <f t="shared" si="39"/>
        <v>49.95</v>
      </c>
      <c r="N147" s="47">
        <f t="shared" si="40"/>
        <v>0</v>
      </c>
      <c r="O147" s="47">
        <f t="shared" si="41"/>
        <v>49.95</v>
      </c>
    </row>
    <row r="148" spans="1:15" ht="15">
      <c r="A148" s="80">
        <v>49</v>
      </c>
      <c r="B148" s="75" t="s">
        <v>153</v>
      </c>
      <c r="C148" s="74" t="s">
        <v>43</v>
      </c>
      <c r="D148" s="74">
        <v>17.16</v>
      </c>
      <c r="E148" s="44">
        <v>0</v>
      </c>
      <c r="F148" s="44">
        <f>Būvniecības_koptame!$L$27</f>
        <v>5.12</v>
      </c>
      <c r="G148" s="44">
        <f t="shared" si="35"/>
        <v>0</v>
      </c>
      <c r="H148" s="45"/>
      <c r="I148" s="44">
        <f>ROUND(G148*Būvniecības_koptame!$L$28,2)</f>
        <v>0</v>
      </c>
      <c r="J148" s="46">
        <f t="shared" si="36"/>
        <v>0</v>
      </c>
      <c r="K148" s="44">
        <f t="shared" si="37"/>
        <v>0</v>
      </c>
      <c r="L148" s="47">
        <f t="shared" si="38"/>
        <v>0</v>
      </c>
      <c r="M148" s="47">
        <f t="shared" si="39"/>
        <v>0</v>
      </c>
      <c r="N148" s="47">
        <f t="shared" si="40"/>
        <v>0</v>
      </c>
      <c r="O148" s="47">
        <f t="shared" si="41"/>
        <v>0</v>
      </c>
    </row>
    <row r="149" spans="1:15" ht="15">
      <c r="A149" s="80">
        <v>50</v>
      </c>
      <c r="B149" s="83" t="s">
        <v>98</v>
      </c>
      <c r="C149" s="74" t="s">
        <v>43</v>
      </c>
      <c r="D149" s="74">
        <v>18.02</v>
      </c>
      <c r="E149" s="44">
        <v>0</v>
      </c>
      <c r="F149" s="44">
        <f>Būvniecības_koptame!$L$27</f>
        <v>5.12</v>
      </c>
      <c r="G149" s="44">
        <f t="shared" si="35"/>
        <v>0</v>
      </c>
      <c r="H149" s="45">
        <v>11.2</v>
      </c>
      <c r="I149" s="44">
        <f>ROUND(G149*Būvniecības_koptame!$L$28,2)</f>
        <v>0</v>
      </c>
      <c r="J149" s="46">
        <f t="shared" si="36"/>
        <v>11.2</v>
      </c>
      <c r="K149" s="44">
        <f t="shared" si="37"/>
        <v>0</v>
      </c>
      <c r="L149" s="47">
        <f t="shared" si="38"/>
        <v>0</v>
      </c>
      <c r="M149" s="47">
        <f t="shared" si="39"/>
        <v>201.82</v>
      </c>
      <c r="N149" s="47">
        <f t="shared" si="40"/>
        <v>0</v>
      </c>
      <c r="O149" s="47">
        <f t="shared" si="41"/>
        <v>201.82</v>
      </c>
    </row>
    <row r="150" spans="1:15" ht="15">
      <c r="A150" s="80">
        <v>51</v>
      </c>
      <c r="B150" s="83" t="s">
        <v>103</v>
      </c>
      <c r="C150" s="74" t="s">
        <v>67</v>
      </c>
      <c r="D150" s="74">
        <v>0.26</v>
      </c>
      <c r="E150" s="44">
        <v>0</v>
      </c>
      <c r="F150" s="44">
        <f>Būvniecības_koptame!$L$27</f>
        <v>5.12</v>
      </c>
      <c r="G150" s="44">
        <f t="shared" si="35"/>
        <v>0</v>
      </c>
      <c r="H150" s="45">
        <v>195</v>
      </c>
      <c r="I150" s="44">
        <f>ROUND(G150*Būvniecības_koptame!$L$28,2)</f>
        <v>0</v>
      </c>
      <c r="J150" s="46">
        <f t="shared" si="36"/>
        <v>195</v>
      </c>
      <c r="K150" s="44">
        <f t="shared" si="37"/>
        <v>0</v>
      </c>
      <c r="L150" s="47">
        <f t="shared" si="38"/>
        <v>0</v>
      </c>
      <c r="M150" s="47">
        <f t="shared" si="39"/>
        <v>50.7</v>
      </c>
      <c r="N150" s="47">
        <f t="shared" si="40"/>
        <v>0</v>
      </c>
      <c r="O150" s="47">
        <f t="shared" si="41"/>
        <v>50.7</v>
      </c>
    </row>
    <row r="151" spans="1:15" ht="15">
      <c r="A151" s="80">
        <v>52</v>
      </c>
      <c r="B151" s="83" t="s">
        <v>154</v>
      </c>
      <c r="C151" s="74"/>
      <c r="D151" s="74">
        <v>8.02</v>
      </c>
      <c r="E151" s="44">
        <v>0</v>
      </c>
      <c r="F151" s="44">
        <f>Būvniecības_koptame!$L$27</f>
        <v>5.12</v>
      </c>
      <c r="G151" s="44">
        <f t="shared" si="35"/>
        <v>0</v>
      </c>
      <c r="H151" s="45">
        <v>0.92</v>
      </c>
      <c r="I151" s="44">
        <f>ROUND(G151*Būvniecības_koptame!$L$28,2)</f>
        <v>0</v>
      </c>
      <c r="J151" s="46">
        <f t="shared" si="36"/>
        <v>0.92</v>
      </c>
      <c r="K151" s="44">
        <f t="shared" si="37"/>
        <v>0</v>
      </c>
      <c r="L151" s="47">
        <f t="shared" si="38"/>
        <v>0</v>
      </c>
      <c r="M151" s="47">
        <f t="shared" si="39"/>
        <v>7.38</v>
      </c>
      <c r="N151" s="47">
        <f t="shared" si="40"/>
        <v>0</v>
      </c>
      <c r="O151" s="47">
        <f t="shared" si="41"/>
        <v>7.38</v>
      </c>
    </row>
    <row r="152" spans="1:15" ht="15">
      <c r="A152" s="80">
        <v>53</v>
      </c>
      <c r="B152" s="83" t="s">
        <v>155</v>
      </c>
      <c r="C152" s="74" t="s">
        <v>43</v>
      </c>
      <c r="D152" s="74">
        <v>24.16</v>
      </c>
      <c r="E152" s="44">
        <v>0</v>
      </c>
      <c r="F152" s="44">
        <f>Būvniecības_koptame!$L$27</f>
        <v>5.12</v>
      </c>
      <c r="G152" s="44">
        <f t="shared" si="35"/>
        <v>0</v>
      </c>
      <c r="H152" s="45">
        <f>1.64+2.54</f>
        <v>4.18</v>
      </c>
      <c r="I152" s="44">
        <f>ROUND(G152*Būvniecības_koptame!$L$28,2)</f>
        <v>0</v>
      </c>
      <c r="J152" s="46">
        <f t="shared" si="36"/>
        <v>4.18</v>
      </c>
      <c r="K152" s="44">
        <f t="shared" si="37"/>
        <v>0</v>
      </c>
      <c r="L152" s="47">
        <f t="shared" si="38"/>
        <v>0</v>
      </c>
      <c r="M152" s="47">
        <f t="shared" si="39"/>
        <v>100.99</v>
      </c>
      <c r="N152" s="47">
        <f t="shared" si="40"/>
        <v>0</v>
      </c>
      <c r="O152" s="47">
        <f t="shared" si="41"/>
        <v>100.99</v>
      </c>
    </row>
    <row r="153" spans="1:15" ht="15">
      <c r="A153" s="80">
        <v>54</v>
      </c>
      <c r="B153" s="83" t="s">
        <v>125</v>
      </c>
      <c r="C153" s="74" t="s">
        <v>43</v>
      </c>
      <c r="D153" s="74">
        <v>14.02</v>
      </c>
      <c r="E153" s="44">
        <v>0</v>
      </c>
      <c r="F153" s="44">
        <f>Būvniecības_koptame!$L$27</f>
        <v>5.12</v>
      </c>
      <c r="G153" s="44">
        <f t="shared" si="35"/>
        <v>0</v>
      </c>
      <c r="H153" s="45">
        <v>0.56</v>
      </c>
      <c r="I153" s="44">
        <f>ROUND(G153*Būvniecības_koptame!$L$28,2)</f>
        <v>0</v>
      </c>
      <c r="J153" s="46">
        <f t="shared" si="36"/>
        <v>0.56</v>
      </c>
      <c r="K153" s="44">
        <f t="shared" si="37"/>
        <v>0</v>
      </c>
      <c r="L153" s="47">
        <f t="shared" si="38"/>
        <v>0</v>
      </c>
      <c r="M153" s="47">
        <f t="shared" si="39"/>
        <v>7.85</v>
      </c>
      <c r="N153" s="47">
        <f t="shared" si="40"/>
        <v>0</v>
      </c>
      <c r="O153" s="47">
        <f t="shared" si="41"/>
        <v>7.85</v>
      </c>
    </row>
    <row r="154" spans="1:15" ht="15">
      <c r="A154" s="80">
        <v>55</v>
      </c>
      <c r="B154" s="83" t="s">
        <v>103</v>
      </c>
      <c r="C154" s="74" t="s">
        <v>67</v>
      </c>
      <c r="D154" s="74">
        <v>0.26</v>
      </c>
      <c r="E154" s="44">
        <v>0</v>
      </c>
      <c r="F154" s="44">
        <f>Būvniecības_koptame!$L$27</f>
        <v>5.12</v>
      </c>
      <c r="G154" s="44">
        <f t="shared" si="35"/>
        <v>0</v>
      </c>
      <c r="H154" s="45">
        <v>195</v>
      </c>
      <c r="I154" s="44">
        <f>ROUND(G154*Būvniecības_koptame!$L$28,2)</f>
        <v>0</v>
      </c>
      <c r="J154" s="46">
        <f t="shared" si="36"/>
        <v>195</v>
      </c>
      <c r="K154" s="44">
        <f t="shared" si="37"/>
        <v>0</v>
      </c>
      <c r="L154" s="47">
        <f t="shared" si="38"/>
        <v>0</v>
      </c>
      <c r="M154" s="47">
        <f t="shared" si="39"/>
        <v>50.7</v>
      </c>
      <c r="N154" s="47">
        <f t="shared" si="40"/>
        <v>0</v>
      </c>
      <c r="O154" s="47">
        <f t="shared" si="41"/>
        <v>50.7</v>
      </c>
    </row>
    <row r="155" spans="1:15" ht="15">
      <c r="A155" s="80">
        <v>56</v>
      </c>
      <c r="B155" s="83" t="s">
        <v>98</v>
      </c>
      <c r="C155" s="74" t="s">
        <v>43</v>
      </c>
      <c r="D155" s="74">
        <v>14.02</v>
      </c>
      <c r="E155" s="44">
        <v>0</v>
      </c>
      <c r="F155" s="44">
        <f>Būvniecības_koptame!$L$27</f>
        <v>5.12</v>
      </c>
      <c r="G155" s="44">
        <f t="shared" si="35"/>
        <v>0</v>
      </c>
      <c r="H155" s="45">
        <v>11.2</v>
      </c>
      <c r="I155" s="44">
        <f>ROUND(G155*Būvniecības_koptame!$L$28,2)</f>
        <v>0</v>
      </c>
      <c r="J155" s="46">
        <f t="shared" si="36"/>
        <v>11.2</v>
      </c>
      <c r="K155" s="44">
        <f t="shared" si="37"/>
        <v>0</v>
      </c>
      <c r="L155" s="47">
        <f t="shared" si="38"/>
        <v>0</v>
      </c>
      <c r="M155" s="47">
        <f t="shared" si="39"/>
        <v>157.02</v>
      </c>
      <c r="N155" s="47">
        <f t="shared" si="40"/>
        <v>0</v>
      </c>
      <c r="O155" s="47">
        <f t="shared" si="41"/>
        <v>157.02</v>
      </c>
    </row>
    <row r="156" spans="1:15" ht="15">
      <c r="A156" s="81"/>
      <c r="B156" s="77" t="s">
        <v>156</v>
      </c>
      <c r="C156" s="78"/>
      <c r="D156" s="78"/>
      <c r="E156" s="44"/>
      <c r="F156" s="44"/>
      <c r="G156" s="44"/>
      <c r="H156" s="45"/>
      <c r="I156" s="44"/>
      <c r="J156" s="46"/>
      <c r="K156" s="44"/>
      <c r="L156" s="47"/>
      <c r="M156" s="47"/>
      <c r="N156" s="47"/>
      <c r="O156" s="47"/>
    </row>
    <row r="157" spans="1:15" ht="26.25">
      <c r="A157" s="80">
        <v>1</v>
      </c>
      <c r="B157" s="75" t="s">
        <v>157</v>
      </c>
      <c r="C157" s="74" t="s">
        <v>38</v>
      </c>
      <c r="D157" s="74">
        <v>4</v>
      </c>
      <c r="E157" s="44">
        <v>10</v>
      </c>
      <c r="F157" s="44">
        <f>Būvniecības_koptame!$L$27</f>
        <v>5.12</v>
      </c>
      <c r="G157" s="44">
        <f aca="true" t="shared" si="42" ref="G157:G177">ROUND(F157*E157,2)</f>
        <v>51.2</v>
      </c>
      <c r="H157" s="45"/>
      <c r="I157" s="44">
        <f>ROUND(G157*Būvniecības_koptame!$L$28,2)</f>
        <v>2.05</v>
      </c>
      <c r="J157" s="46">
        <f aca="true" t="shared" si="43" ref="J157:J177">ROUND(I157+H157+G157,2)</f>
        <v>53.25</v>
      </c>
      <c r="K157" s="44">
        <f aca="true" t="shared" si="44" ref="K157:K177">ROUND(E157*D157,2)</f>
        <v>40</v>
      </c>
      <c r="L157" s="47">
        <f aca="true" t="shared" si="45" ref="L157:L177">ROUND(G157*D157,2)</f>
        <v>204.8</v>
      </c>
      <c r="M157" s="47">
        <f aca="true" t="shared" si="46" ref="M157:M177">ROUND(H157*D157,2)</f>
        <v>0</v>
      </c>
      <c r="N157" s="47">
        <f aca="true" t="shared" si="47" ref="N157:N177">ROUND(I157*D157,2)</f>
        <v>8.2</v>
      </c>
      <c r="O157" s="47">
        <f aca="true" t="shared" si="48" ref="O157:O177">ROUND(N157+M157+L157,2)</f>
        <v>213</v>
      </c>
    </row>
    <row r="158" spans="1:15" ht="26.25">
      <c r="A158" s="80">
        <v>2</v>
      </c>
      <c r="B158" s="83" t="s">
        <v>158</v>
      </c>
      <c r="C158" s="74" t="s">
        <v>43</v>
      </c>
      <c r="D158" s="74">
        <v>0.84</v>
      </c>
      <c r="E158" s="44">
        <v>0</v>
      </c>
      <c r="F158" s="44">
        <f>Būvniecības_koptame!$L$27</f>
        <v>5.12</v>
      </c>
      <c r="G158" s="44">
        <f t="shared" si="42"/>
        <v>0</v>
      </c>
      <c r="H158" s="45">
        <f>110/0.7</f>
        <v>157.14285714285714</v>
      </c>
      <c r="I158" s="44">
        <f>ROUND(G158*Būvniecības_koptame!$L$28,2)</f>
        <v>0</v>
      </c>
      <c r="J158" s="46">
        <f t="shared" si="43"/>
        <v>157.14</v>
      </c>
      <c r="K158" s="44">
        <f t="shared" si="44"/>
        <v>0</v>
      </c>
      <c r="L158" s="47">
        <f t="shared" si="45"/>
        <v>0</v>
      </c>
      <c r="M158" s="47">
        <f t="shared" si="46"/>
        <v>132</v>
      </c>
      <c r="N158" s="47">
        <f t="shared" si="47"/>
        <v>0</v>
      </c>
      <c r="O158" s="47">
        <f t="shared" si="48"/>
        <v>132</v>
      </c>
    </row>
    <row r="159" spans="1:15" ht="15">
      <c r="A159" s="80">
        <v>3</v>
      </c>
      <c r="B159" s="83" t="s">
        <v>159</v>
      </c>
      <c r="C159" s="74" t="s">
        <v>47</v>
      </c>
      <c r="D159" s="74">
        <v>2</v>
      </c>
      <c r="E159" s="44">
        <v>0</v>
      </c>
      <c r="F159" s="44">
        <f>Būvniecības_koptame!$L$27</f>
        <v>5.12</v>
      </c>
      <c r="G159" s="44">
        <f t="shared" si="42"/>
        <v>0</v>
      </c>
      <c r="H159" s="45">
        <v>15</v>
      </c>
      <c r="I159" s="44">
        <f>ROUND(G159*Būvniecības_koptame!$L$28,2)</f>
        <v>0</v>
      </c>
      <c r="J159" s="46">
        <f t="shared" si="43"/>
        <v>15</v>
      </c>
      <c r="K159" s="44">
        <f t="shared" si="44"/>
        <v>0</v>
      </c>
      <c r="L159" s="47">
        <f t="shared" si="45"/>
        <v>0</v>
      </c>
      <c r="M159" s="47">
        <f t="shared" si="46"/>
        <v>30</v>
      </c>
      <c r="N159" s="47">
        <f t="shared" si="47"/>
        <v>0</v>
      </c>
      <c r="O159" s="47">
        <f t="shared" si="48"/>
        <v>30</v>
      </c>
    </row>
    <row r="160" spans="1:15" ht="26.25">
      <c r="A160" s="80">
        <v>4</v>
      </c>
      <c r="B160" s="86" t="s">
        <v>160</v>
      </c>
      <c r="C160" s="74" t="s">
        <v>43</v>
      </c>
      <c r="D160" s="74">
        <v>2.1</v>
      </c>
      <c r="E160" s="44">
        <v>0</v>
      </c>
      <c r="F160" s="44">
        <f>Būvniecības_koptame!$L$27</f>
        <v>5.12</v>
      </c>
      <c r="G160" s="44">
        <f t="shared" si="42"/>
        <v>0</v>
      </c>
      <c r="H160" s="45">
        <f>130/0.7</f>
        <v>185.7142857142857</v>
      </c>
      <c r="I160" s="44">
        <f>ROUND(G160*Būvniecības_koptame!$L$28,2)</f>
        <v>0</v>
      </c>
      <c r="J160" s="46">
        <f t="shared" si="43"/>
        <v>185.71</v>
      </c>
      <c r="K160" s="44">
        <f t="shared" si="44"/>
        <v>0</v>
      </c>
      <c r="L160" s="47">
        <f t="shared" si="45"/>
        <v>0</v>
      </c>
      <c r="M160" s="47">
        <f t="shared" si="46"/>
        <v>390</v>
      </c>
      <c r="N160" s="47">
        <f t="shared" si="47"/>
        <v>0</v>
      </c>
      <c r="O160" s="47">
        <f t="shared" si="48"/>
        <v>390</v>
      </c>
    </row>
    <row r="161" spans="1:15" ht="15">
      <c r="A161" s="80">
        <v>5</v>
      </c>
      <c r="B161" s="86" t="s">
        <v>159</v>
      </c>
      <c r="C161" s="74" t="s">
        <v>47</v>
      </c>
      <c r="D161" s="74">
        <v>2</v>
      </c>
      <c r="E161" s="44">
        <v>0</v>
      </c>
      <c r="F161" s="44">
        <f>Būvniecības_koptame!$L$27</f>
        <v>5.12</v>
      </c>
      <c r="G161" s="44">
        <f t="shared" si="42"/>
        <v>0</v>
      </c>
      <c r="H161" s="45">
        <v>20</v>
      </c>
      <c r="I161" s="44">
        <f>ROUND(G161*Būvniecības_koptame!$L$28,2)</f>
        <v>0</v>
      </c>
      <c r="J161" s="46">
        <f t="shared" si="43"/>
        <v>20</v>
      </c>
      <c r="K161" s="44">
        <f t="shared" si="44"/>
        <v>0</v>
      </c>
      <c r="L161" s="47">
        <f t="shared" si="45"/>
        <v>0</v>
      </c>
      <c r="M161" s="47">
        <f t="shared" si="46"/>
        <v>40</v>
      </c>
      <c r="N161" s="47">
        <f t="shared" si="47"/>
        <v>0</v>
      </c>
      <c r="O161" s="47">
        <f t="shared" si="48"/>
        <v>40</v>
      </c>
    </row>
    <row r="162" spans="1:15" ht="26.25">
      <c r="A162" s="80">
        <v>6</v>
      </c>
      <c r="B162" s="75" t="s">
        <v>161</v>
      </c>
      <c r="C162" s="74" t="s">
        <v>38</v>
      </c>
      <c r="D162" s="74">
        <v>2</v>
      </c>
      <c r="E162" s="44">
        <v>12</v>
      </c>
      <c r="F162" s="44">
        <f>Būvniecības_koptame!$L$27</f>
        <v>5.12</v>
      </c>
      <c r="G162" s="44">
        <f t="shared" si="42"/>
        <v>61.44</v>
      </c>
      <c r="H162" s="45"/>
      <c r="I162" s="44">
        <f>ROUND(G162*Būvniecības_koptame!$L$28,2)</f>
        <v>2.46</v>
      </c>
      <c r="J162" s="46">
        <f t="shared" si="43"/>
        <v>63.9</v>
      </c>
      <c r="K162" s="44">
        <f t="shared" si="44"/>
        <v>24</v>
      </c>
      <c r="L162" s="47">
        <f t="shared" si="45"/>
        <v>122.88</v>
      </c>
      <c r="M162" s="47">
        <f t="shared" si="46"/>
        <v>0</v>
      </c>
      <c r="N162" s="47">
        <f t="shared" si="47"/>
        <v>4.92</v>
      </c>
      <c r="O162" s="47">
        <f t="shared" si="48"/>
        <v>127.8</v>
      </c>
    </row>
    <row r="163" spans="1:15" ht="26.25">
      <c r="A163" s="80">
        <v>7</v>
      </c>
      <c r="B163" s="83" t="s">
        <v>162</v>
      </c>
      <c r="C163" s="74" t="s">
        <v>43</v>
      </c>
      <c r="D163" s="74">
        <v>1.89</v>
      </c>
      <c r="E163" s="44">
        <v>0</v>
      </c>
      <c r="F163" s="44">
        <f>Būvniecības_koptame!$L$27</f>
        <v>5.12</v>
      </c>
      <c r="G163" s="44">
        <f t="shared" si="42"/>
        <v>0</v>
      </c>
      <c r="H163" s="45">
        <f>140/0.7</f>
        <v>199.99999999999997</v>
      </c>
      <c r="I163" s="44">
        <f>ROUND(G163*Būvniecības_koptame!$L$28,2)</f>
        <v>0</v>
      </c>
      <c r="J163" s="46">
        <f t="shared" si="43"/>
        <v>200</v>
      </c>
      <c r="K163" s="44">
        <f t="shared" si="44"/>
        <v>0</v>
      </c>
      <c r="L163" s="47">
        <f t="shared" si="45"/>
        <v>0</v>
      </c>
      <c r="M163" s="47">
        <f t="shared" si="46"/>
        <v>378</v>
      </c>
      <c r="N163" s="47">
        <f t="shared" si="47"/>
        <v>0</v>
      </c>
      <c r="O163" s="47">
        <f t="shared" si="48"/>
        <v>378</v>
      </c>
    </row>
    <row r="164" spans="1:15" ht="15">
      <c r="A164" s="80">
        <v>8</v>
      </c>
      <c r="B164" s="83" t="s">
        <v>159</v>
      </c>
      <c r="C164" s="74" t="s">
        <v>47</v>
      </c>
      <c r="D164" s="74">
        <v>1</v>
      </c>
      <c r="E164" s="44">
        <v>0</v>
      </c>
      <c r="F164" s="44">
        <f>Būvniecības_koptame!$L$27</f>
        <v>5.12</v>
      </c>
      <c r="G164" s="44">
        <f t="shared" si="42"/>
        <v>0</v>
      </c>
      <c r="H164" s="45">
        <v>15</v>
      </c>
      <c r="I164" s="44">
        <f>ROUND(G164*Būvniecības_koptame!$L$28,2)</f>
        <v>0</v>
      </c>
      <c r="J164" s="46">
        <f t="shared" si="43"/>
        <v>15</v>
      </c>
      <c r="K164" s="44">
        <f t="shared" si="44"/>
        <v>0</v>
      </c>
      <c r="L164" s="47">
        <f t="shared" si="45"/>
        <v>0</v>
      </c>
      <c r="M164" s="47">
        <f t="shared" si="46"/>
        <v>15</v>
      </c>
      <c r="N164" s="47">
        <f t="shared" si="47"/>
        <v>0</v>
      </c>
      <c r="O164" s="47">
        <f t="shared" si="48"/>
        <v>15</v>
      </c>
    </row>
    <row r="165" spans="1:15" ht="26.25">
      <c r="A165" s="80">
        <v>9</v>
      </c>
      <c r="B165" s="83" t="s">
        <v>163</v>
      </c>
      <c r="C165" s="74" t="s">
        <v>43</v>
      </c>
      <c r="D165" s="74">
        <v>8.4</v>
      </c>
      <c r="E165" s="44">
        <v>0</v>
      </c>
      <c r="F165" s="44">
        <f>Būvniecības_koptame!$L$27</f>
        <v>5.12</v>
      </c>
      <c r="G165" s="44">
        <f t="shared" si="42"/>
        <v>0</v>
      </c>
      <c r="H165" s="45">
        <v>200</v>
      </c>
      <c r="I165" s="44">
        <f>ROUND(G165*Būvniecības_koptame!$L$28,2)</f>
        <v>0</v>
      </c>
      <c r="J165" s="46">
        <f t="shared" si="43"/>
        <v>200</v>
      </c>
      <c r="K165" s="44">
        <f t="shared" si="44"/>
        <v>0</v>
      </c>
      <c r="L165" s="47">
        <f t="shared" si="45"/>
        <v>0</v>
      </c>
      <c r="M165" s="47">
        <f t="shared" si="46"/>
        <v>1680</v>
      </c>
      <c r="N165" s="47">
        <f t="shared" si="47"/>
        <v>0</v>
      </c>
      <c r="O165" s="47">
        <f t="shared" si="48"/>
        <v>1680</v>
      </c>
    </row>
    <row r="166" spans="1:15" ht="15">
      <c r="A166" s="80">
        <v>10</v>
      </c>
      <c r="B166" s="83" t="s">
        <v>159</v>
      </c>
      <c r="C166" s="74" t="s">
        <v>47</v>
      </c>
      <c r="D166" s="74">
        <v>1</v>
      </c>
      <c r="E166" s="44">
        <v>0</v>
      </c>
      <c r="F166" s="44">
        <f>Būvniecības_koptame!$L$27</f>
        <v>5.12</v>
      </c>
      <c r="G166" s="44">
        <f t="shared" si="42"/>
        <v>0</v>
      </c>
      <c r="H166" s="45">
        <v>30</v>
      </c>
      <c r="I166" s="44">
        <f>ROUND(G166*Būvniecības_koptame!$L$28,2)</f>
        <v>0</v>
      </c>
      <c r="J166" s="46">
        <f t="shared" si="43"/>
        <v>30</v>
      </c>
      <c r="K166" s="44">
        <f t="shared" si="44"/>
        <v>0</v>
      </c>
      <c r="L166" s="47">
        <f t="shared" si="45"/>
        <v>0</v>
      </c>
      <c r="M166" s="47">
        <f t="shared" si="46"/>
        <v>30</v>
      </c>
      <c r="N166" s="47">
        <f t="shared" si="47"/>
        <v>0</v>
      </c>
      <c r="O166" s="47">
        <f t="shared" si="48"/>
        <v>30</v>
      </c>
    </row>
    <row r="167" spans="1:15" ht="26.25">
      <c r="A167" s="80">
        <v>11</v>
      </c>
      <c r="B167" s="75" t="s">
        <v>164</v>
      </c>
      <c r="C167" s="74" t="s">
        <v>38</v>
      </c>
      <c r="D167" s="74">
        <v>3</v>
      </c>
      <c r="E167" s="44">
        <v>7</v>
      </c>
      <c r="F167" s="44">
        <f>Būvniecības_koptame!$L$27</f>
        <v>5.12</v>
      </c>
      <c r="G167" s="44">
        <f t="shared" si="42"/>
        <v>35.84</v>
      </c>
      <c r="H167" s="45"/>
      <c r="I167" s="44">
        <f>ROUND(G167*Būvniecības_koptame!$L$28,2)</f>
        <v>1.43</v>
      </c>
      <c r="J167" s="46">
        <f t="shared" si="43"/>
        <v>37.27</v>
      </c>
      <c r="K167" s="44">
        <f t="shared" si="44"/>
        <v>21</v>
      </c>
      <c r="L167" s="47">
        <f t="shared" si="45"/>
        <v>107.52</v>
      </c>
      <c r="M167" s="47">
        <f t="shared" si="46"/>
        <v>0</v>
      </c>
      <c r="N167" s="47">
        <f t="shared" si="47"/>
        <v>4.29</v>
      </c>
      <c r="O167" s="47">
        <f t="shared" si="48"/>
        <v>111.81</v>
      </c>
    </row>
    <row r="168" spans="1:15" ht="26.25">
      <c r="A168" s="80">
        <v>12</v>
      </c>
      <c r="B168" s="83" t="s">
        <v>165</v>
      </c>
      <c r="C168" s="74" t="s">
        <v>43</v>
      </c>
      <c r="D168" s="74">
        <v>1.89</v>
      </c>
      <c r="E168" s="44">
        <v>0</v>
      </c>
      <c r="F168" s="44">
        <f>Būvniecības_koptame!$L$27</f>
        <v>5.12</v>
      </c>
      <c r="G168" s="44">
        <f t="shared" si="42"/>
        <v>0</v>
      </c>
      <c r="H168" s="45">
        <f>110</f>
        <v>110</v>
      </c>
      <c r="I168" s="44">
        <f>ROUND(G168*Būvniecības_koptame!$L$28,2)</f>
        <v>0</v>
      </c>
      <c r="J168" s="46">
        <f t="shared" si="43"/>
        <v>110</v>
      </c>
      <c r="K168" s="44">
        <f t="shared" si="44"/>
        <v>0</v>
      </c>
      <c r="L168" s="47">
        <f t="shared" si="45"/>
        <v>0</v>
      </c>
      <c r="M168" s="47">
        <f t="shared" si="46"/>
        <v>207.9</v>
      </c>
      <c r="N168" s="47">
        <f t="shared" si="47"/>
        <v>0</v>
      </c>
      <c r="O168" s="47">
        <f t="shared" si="48"/>
        <v>207.9</v>
      </c>
    </row>
    <row r="169" spans="1:15" ht="15">
      <c r="A169" s="80">
        <v>13</v>
      </c>
      <c r="B169" s="83" t="s">
        <v>159</v>
      </c>
      <c r="C169" s="74" t="s">
        <v>47</v>
      </c>
      <c r="D169" s="74">
        <v>1</v>
      </c>
      <c r="E169" s="44">
        <v>0</v>
      </c>
      <c r="F169" s="44">
        <f>Būvniecības_koptame!$L$27</f>
        <v>5.12</v>
      </c>
      <c r="G169" s="44">
        <f t="shared" si="42"/>
        <v>0</v>
      </c>
      <c r="H169" s="45">
        <v>10</v>
      </c>
      <c r="I169" s="44">
        <f>ROUND(G169*Būvniecības_koptame!$L$28,2)</f>
        <v>0</v>
      </c>
      <c r="J169" s="46">
        <f t="shared" si="43"/>
        <v>10</v>
      </c>
      <c r="K169" s="44">
        <f t="shared" si="44"/>
        <v>0</v>
      </c>
      <c r="L169" s="47">
        <f t="shared" si="45"/>
        <v>0</v>
      </c>
      <c r="M169" s="47">
        <f t="shared" si="46"/>
        <v>10</v>
      </c>
      <c r="N169" s="47">
        <f t="shared" si="47"/>
        <v>0</v>
      </c>
      <c r="O169" s="47">
        <f t="shared" si="48"/>
        <v>10</v>
      </c>
    </row>
    <row r="170" spans="1:15" ht="26.25">
      <c r="A170" s="80">
        <v>14</v>
      </c>
      <c r="B170" s="83" t="s">
        <v>166</v>
      </c>
      <c r="C170" s="74" t="s">
        <v>43</v>
      </c>
      <c r="D170" s="74">
        <v>3.36</v>
      </c>
      <c r="E170" s="44">
        <v>0</v>
      </c>
      <c r="F170" s="44">
        <f>Būvniecības_koptame!$L$27</f>
        <v>5.12</v>
      </c>
      <c r="G170" s="44">
        <f t="shared" si="42"/>
        <v>0</v>
      </c>
      <c r="H170" s="45">
        <v>110</v>
      </c>
      <c r="I170" s="44">
        <f>ROUND(G170*Būvniecības_koptame!$L$28,2)</f>
        <v>0</v>
      </c>
      <c r="J170" s="46">
        <f t="shared" si="43"/>
        <v>110</v>
      </c>
      <c r="K170" s="44">
        <f t="shared" si="44"/>
        <v>0</v>
      </c>
      <c r="L170" s="47">
        <f t="shared" si="45"/>
        <v>0</v>
      </c>
      <c r="M170" s="47">
        <f t="shared" si="46"/>
        <v>369.6</v>
      </c>
      <c r="N170" s="47">
        <f t="shared" si="47"/>
        <v>0</v>
      </c>
      <c r="O170" s="47">
        <f t="shared" si="48"/>
        <v>369.6</v>
      </c>
    </row>
    <row r="171" spans="1:15" ht="15">
      <c r="A171" s="80">
        <v>15</v>
      </c>
      <c r="B171" s="83" t="s">
        <v>159</v>
      </c>
      <c r="C171" s="74" t="s">
        <v>47</v>
      </c>
      <c r="D171" s="74">
        <v>2</v>
      </c>
      <c r="E171" s="44">
        <v>0</v>
      </c>
      <c r="F171" s="44">
        <f>Būvniecības_koptame!$L$27</f>
        <v>5.12</v>
      </c>
      <c r="G171" s="44">
        <f t="shared" si="42"/>
        <v>0</v>
      </c>
      <c r="H171" s="45">
        <v>10</v>
      </c>
      <c r="I171" s="44">
        <f>ROUND(G171*Būvniecības_koptame!$L$28,2)</f>
        <v>0</v>
      </c>
      <c r="J171" s="46">
        <f t="shared" si="43"/>
        <v>10</v>
      </c>
      <c r="K171" s="44">
        <f t="shared" si="44"/>
        <v>0</v>
      </c>
      <c r="L171" s="47">
        <f t="shared" si="45"/>
        <v>0</v>
      </c>
      <c r="M171" s="47">
        <f t="shared" si="46"/>
        <v>20</v>
      </c>
      <c r="N171" s="47">
        <f t="shared" si="47"/>
        <v>0</v>
      </c>
      <c r="O171" s="47">
        <f t="shared" si="48"/>
        <v>20</v>
      </c>
    </row>
    <row r="172" spans="1:15" ht="15">
      <c r="A172" s="80">
        <v>16</v>
      </c>
      <c r="B172" s="75" t="s">
        <v>167</v>
      </c>
      <c r="C172" s="74" t="s">
        <v>38</v>
      </c>
      <c r="D172" s="74">
        <v>1</v>
      </c>
      <c r="E172" s="44">
        <v>14</v>
      </c>
      <c r="F172" s="44">
        <f>Būvniecības_koptame!$L$27</f>
        <v>5.12</v>
      </c>
      <c r="G172" s="44">
        <f t="shared" si="42"/>
        <v>71.68</v>
      </c>
      <c r="H172" s="45"/>
      <c r="I172" s="44">
        <f>ROUND(G172*Būvniecības_koptame!$L$28,2)</f>
        <v>2.87</v>
      </c>
      <c r="J172" s="46">
        <f t="shared" si="43"/>
        <v>74.55</v>
      </c>
      <c r="K172" s="44">
        <f t="shared" si="44"/>
        <v>14</v>
      </c>
      <c r="L172" s="47">
        <f t="shared" si="45"/>
        <v>71.68</v>
      </c>
      <c r="M172" s="47">
        <f t="shared" si="46"/>
        <v>0</v>
      </c>
      <c r="N172" s="47">
        <f t="shared" si="47"/>
        <v>2.87</v>
      </c>
      <c r="O172" s="47">
        <f t="shared" si="48"/>
        <v>74.55</v>
      </c>
    </row>
    <row r="173" spans="1:15" ht="15">
      <c r="A173" s="80">
        <v>17</v>
      </c>
      <c r="B173" s="83" t="s">
        <v>168</v>
      </c>
      <c r="C173" s="74" t="s">
        <v>43</v>
      </c>
      <c r="D173" s="74">
        <v>1.89</v>
      </c>
      <c r="E173" s="44">
        <v>0</v>
      </c>
      <c r="F173" s="44">
        <f>Būvniecības_koptame!$L$27</f>
        <v>5.12</v>
      </c>
      <c r="G173" s="44">
        <f t="shared" si="42"/>
        <v>0</v>
      </c>
      <c r="H173" s="45">
        <v>160</v>
      </c>
      <c r="I173" s="44">
        <f>ROUND(G173*Būvniecības_koptame!$L$28,2)</f>
        <v>0</v>
      </c>
      <c r="J173" s="46">
        <f t="shared" si="43"/>
        <v>160</v>
      </c>
      <c r="K173" s="44">
        <f t="shared" si="44"/>
        <v>0</v>
      </c>
      <c r="L173" s="47">
        <f t="shared" si="45"/>
        <v>0</v>
      </c>
      <c r="M173" s="47">
        <f t="shared" si="46"/>
        <v>302.4</v>
      </c>
      <c r="N173" s="47">
        <f t="shared" si="47"/>
        <v>0</v>
      </c>
      <c r="O173" s="47">
        <f t="shared" si="48"/>
        <v>302.4</v>
      </c>
    </row>
    <row r="174" spans="1:15" ht="15">
      <c r="A174" s="80">
        <v>18</v>
      </c>
      <c r="B174" s="83" t="s">
        <v>159</v>
      </c>
      <c r="C174" s="74" t="s">
        <v>47</v>
      </c>
      <c r="D174" s="74">
        <v>1</v>
      </c>
      <c r="E174" s="44">
        <v>0</v>
      </c>
      <c r="F174" s="44">
        <f>Būvniecības_koptame!$L$27</f>
        <v>5.12</v>
      </c>
      <c r="G174" s="44">
        <f t="shared" si="42"/>
        <v>0</v>
      </c>
      <c r="H174" s="45">
        <v>15</v>
      </c>
      <c r="I174" s="44">
        <f>ROUND(G174*Būvniecības_koptame!$L$28,2)</f>
        <v>0</v>
      </c>
      <c r="J174" s="46">
        <f t="shared" si="43"/>
        <v>15</v>
      </c>
      <c r="K174" s="44">
        <f t="shared" si="44"/>
        <v>0</v>
      </c>
      <c r="L174" s="47">
        <f t="shared" si="45"/>
        <v>0</v>
      </c>
      <c r="M174" s="47">
        <f t="shared" si="46"/>
        <v>15</v>
      </c>
      <c r="N174" s="47">
        <f t="shared" si="47"/>
        <v>0</v>
      </c>
      <c r="O174" s="47">
        <f t="shared" si="48"/>
        <v>15</v>
      </c>
    </row>
    <row r="175" spans="1:15" ht="15">
      <c r="A175" s="80">
        <v>19</v>
      </c>
      <c r="B175" s="75" t="s">
        <v>169</v>
      </c>
      <c r="C175" s="74" t="s">
        <v>38</v>
      </c>
      <c r="D175" s="74">
        <v>2</v>
      </c>
      <c r="E175" s="44">
        <v>14</v>
      </c>
      <c r="F175" s="44">
        <f>Būvniecības_koptame!$L$27</f>
        <v>5.12</v>
      </c>
      <c r="G175" s="44">
        <f t="shared" si="42"/>
        <v>71.68</v>
      </c>
      <c r="H175" s="45"/>
      <c r="I175" s="44">
        <f>ROUND(G175*Būvniecības_koptame!$L$28,2)</f>
        <v>2.87</v>
      </c>
      <c r="J175" s="46">
        <f t="shared" si="43"/>
        <v>74.55</v>
      </c>
      <c r="K175" s="44">
        <f t="shared" si="44"/>
        <v>28</v>
      </c>
      <c r="L175" s="47">
        <f t="shared" si="45"/>
        <v>143.36</v>
      </c>
      <c r="M175" s="47">
        <f t="shared" si="46"/>
        <v>0</v>
      </c>
      <c r="N175" s="47">
        <f t="shared" si="47"/>
        <v>5.74</v>
      </c>
      <c r="O175" s="47">
        <f t="shared" si="48"/>
        <v>149.1</v>
      </c>
    </row>
    <row r="176" spans="1:15" ht="15">
      <c r="A176" s="80">
        <v>20</v>
      </c>
      <c r="B176" s="83" t="s">
        <v>170</v>
      </c>
      <c r="C176" s="74" t="s">
        <v>43</v>
      </c>
      <c r="D176" s="74">
        <v>2.94</v>
      </c>
      <c r="E176" s="44">
        <v>0</v>
      </c>
      <c r="F176" s="44">
        <f>Būvniecības_koptame!$L$27</f>
        <v>5.12</v>
      </c>
      <c r="G176" s="44">
        <f t="shared" si="42"/>
        <v>0</v>
      </c>
      <c r="H176" s="45">
        <v>160</v>
      </c>
      <c r="I176" s="44">
        <f>ROUND(G176*Būvniecības_koptame!$L$28,2)</f>
        <v>0</v>
      </c>
      <c r="J176" s="46">
        <f t="shared" si="43"/>
        <v>160</v>
      </c>
      <c r="K176" s="44">
        <f t="shared" si="44"/>
        <v>0</v>
      </c>
      <c r="L176" s="47">
        <f t="shared" si="45"/>
        <v>0</v>
      </c>
      <c r="M176" s="47">
        <f t="shared" si="46"/>
        <v>470.4</v>
      </c>
      <c r="N176" s="47">
        <f t="shared" si="47"/>
        <v>0</v>
      </c>
      <c r="O176" s="47">
        <f t="shared" si="48"/>
        <v>470.4</v>
      </c>
    </row>
    <row r="177" spans="1:15" ht="15">
      <c r="A177" s="80">
        <v>21</v>
      </c>
      <c r="B177" s="83" t="s">
        <v>159</v>
      </c>
      <c r="C177" s="74" t="s">
        <v>47</v>
      </c>
      <c r="D177" s="74">
        <v>2</v>
      </c>
      <c r="E177" s="44">
        <v>0</v>
      </c>
      <c r="F177" s="44">
        <f>Būvniecības_koptame!$L$27</f>
        <v>5.12</v>
      </c>
      <c r="G177" s="44">
        <f t="shared" si="42"/>
        <v>0</v>
      </c>
      <c r="H177" s="45">
        <v>15</v>
      </c>
      <c r="I177" s="44">
        <f>ROUND(G177*Būvniecības_koptame!$L$28,2)</f>
        <v>0</v>
      </c>
      <c r="J177" s="46">
        <f t="shared" si="43"/>
        <v>15</v>
      </c>
      <c r="K177" s="44">
        <f t="shared" si="44"/>
        <v>0</v>
      </c>
      <c r="L177" s="47">
        <f t="shared" si="45"/>
        <v>0</v>
      </c>
      <c r="M177" s="47">
        <f t="shared" si="46"/>
        <v>30</v>
      </c>
      <c r="N177" s="47">
        <f t="shared" si="47"/>
        <v>0</v>
      </c>
      <c r="O177" s="47">
        <f t="shared" si="48"/>
        <v>30</v>
      </c>
    </row>
    <row r="178" spans="1:15" ht="15">
      <c r="A178" s="40"/>
      <c r="B178" s="41"/>
      <c r="C178" s="42"/>
      <c r="D178" s="43"/>
      <c r="E178" s="44"/>
      <c r="F178" s="44"/>
      <c r="G178" s="44"/>
      <c r="H178" s="45"/>
      <c r="I178" s="44"/>
      <c r="J178" s="46"/>
      <c r="K178" s="44"/>
      <c r="L178" s="47"/>
      <c r="M178" s="47"/>
      <c r="N178" s="47"/>
      <c r="O178" s="47"/>
    </row>
    <row r="179" spans="1:15" ht="15">
      <c r="A179" s="48"/>
      <c r="B179" s="49" t="s">
        <v>53</v>
      </c>
      <c r="C179" s="50"/>
      <c r="D179" s="50"/>
      <c r="E179" s="50"/>
      <c r="F179" s="50"/>
      <c r="G179" s="50"/>
      <c r="H179" s="50"/>
      <c r="I179" s="50"/>
      <c r="J179" s="50"/>
      <c r="K179" s="51">
        <f>SUM(K16:K178)</f>
        <v>3464.7</v>
      </c>
      <c r="L179" s="51">
        <f>SUM(L16:L178)</f>
        <v>17739.150000000005</v>
      </c>
      <c r="M179" s="51">
        <f>SUM(M16:M178)</f>
        <v>41672.65999999998</v>
      </c>
      <c r="N179" s="51">
        <f>SUM(N16:N178)</f>
        <v>2236.579999999999</v>
      </c>
      <c r="O179" s="51">
        <f>SUM(O16:O178)</f>
        <v>61648.38999999998</v>
      </c>
    </row>
    <row r="180" spans="1:15" ht="15">
      <c r="A180" s="52"/>
      <c r="B180" s="8"/>
      <c r="C180" s="53"/>
      <c r="D180" s="54">
        <v>0.06</v>
      </c>
      <c r="E180" s="171" t="s">
        <v>54</v>
      </c>
      <c r="F180" s="171"/>
      <c r="G180" s="171"/>
      <c r="H180" s="171"/>
      <c r="I180" s="171"/>
      <c r="J180" s="171"/>
      <c r="K180" s="55"/>
      <c r="L180" s="56"/>
      <c r="M180" s="57">
        <f>ROUND(M179*D180,2)</f>
        <v>2500.36</v>
      </c>
      <c r="N180" s="56"/>
      <c r="O180" s="58">
        <f>M180</f>
        <v>2500.36</v>
      </c>
    </row>
    <row r="181" spans="1:15" ht="15">
      <c r="A181" s="52"/>
      <c r="B181" s="8"/>
      <c r="C181" s="53"/>
      <c r="D181" s="53"/>
      <c r="E181" s="171" t="s">
        <v>55</v>
      </c>
      <c r="F181" s="171"/>
      <c r="G181" s="171"/>
      <c r="H181" s="171"/>
      <c r="I181" s="171"/>
      <c r="J181" s="171"/>
      <c r="K181" s="59"/>
      <c r="L181" s="56">
        <f>ROUND(L180+L179,2)</f>
        <v>17739.15</v>
      </c>
      <c r="M181" s="56">
        <f>ROUND(M180+M179,2)</f>
        <v>44173.02</v>
      </c>
      <c r="N181" s="56">
        <f>ROUND(N180+N179,2)</f>
        <v>2236.58</v>
      </c>
      <c r="O181" s="56">
        <f>ROUND(N181+M181+L181,2)</f>
        <v>64148.75</v>
      </c>
    </row>
    <row r="182" spans="1:15" ht="15" hidden="1">
      <c r="A182" s="52"/>
      <c r="B182" s="8"/>
      <c r="C182" s="8"/>
      <c r="D182" s="8"/>
      <c r="E182" s="8"/>
      <c r="F182" s="8"/>
      <c r="G182" s="172" t="s">
        <v>56</v>
      </c>
      <c r="H182" s="172"/>
      <c r="I182" s="172"/>
      <c r="J182" s="172"/>
      <c r="K182" s="60">
        <f>Būvniecības_koptame!$L$29</f>
        <v>0.08</v>
      </c>
      <c r="L182" s="61"/>
      <c r="M182" s="61"/>
      <c r="N182" s="61"/>
      <c r="O182" s="62">
        <f>ROUND(O181*K182,2)</f>
        <v>5131.9</v>
      </c>
    </row>
    <row r="183" spans="1:15" ht="15" hidden="1">
      <c r="A183" s="52"/>
      <c r="B183" s="8"/>
      <c r="C183" s="8"/>
      <c r="D183" s="8"/>
      <c r="E183" s="8"/>
      <c r="F183" s="8"/>
      <c r="G183" s="171" t="s">
        <v>57</v>
      </c>
      <c r="H183" s="171"/>
      <c r="I183" s="171"/>
      <c r="J183" s="171"/>
      <c r="K183" s="55"/>
      <c r="L183" s="61"/>
      <c r="M183" s="61"/>
      <c r="N183" s="61"/>
      <c r="O183" s="62">
        <f>O182/5</f>
        <v>1026.3799999999999</v>
      </c>
    </row>
    <row r="184" spans="1:15" ht="15" hidden="1">
      <c r="A184" s="52"/>
      <c r="B184" s="8"/>
      <c r="C184" s="8"/>
      <c r="D184" s="8"/>
      <c r="E184" s="8"/>
      <c r="F184" s="8"/>
      <c r="G184" s="172" t="s">
        <v>58</v>
      </c>
      <c r="H184" s="172"/>
      <c r="I184" s="172"/>
      <c r="J184" s="172"/>
      <c r="K184" s="60">
        <f>Būvniecības_koptame!$L$30</f>
        <v>0.06</v>
      </c>
      <c r="L184" s="61"/>
      <c r="M184" s="61"/>
      <c r="N184" s="61"/>
      <c r="O184" s="62">
        <f>ROUND(O181*K184,2)</f>
        <v>3848.93</v>
      </c>
    </row>
    <row r="185" spans="1:15" ht="15" hidden="1">
      <c r="A185" s="52"/>
      <c r="B185" s="8"/>
      <c r="C185" s="8"/>
      <c r="D185" s="8"/>
      <c r="E185" s="8"/>
      <c r="F185" s="8"/>
      <c r="G185" s="172" t="s">
        <v>59</v>
      </c>
      <c r="H185" s="172"/>
      <c r="I185" s="172"/>
      <c r="J185" s="172"/>
      <c r="K185" s="60">
        <v>0.2359</v>
      </c>
      <c r="L185" s="61"/>
      <c r="M185" s="61"/>
      <c r="N185" s="61"/>
      <c r="O185" s="62">
        <f>ROUND(L181*K185,2)</f>
        <v>4184.67</v>
      </c>
    </row>
    <row r="186" spans="1:15" ht="15" hidden="1">
      <c r="A186" s="52"/>
      <c r="B186" s="8"/>
      <c r="C186" s="8"/>
      <c r="D186" s="8"/>
      <c r="E186" s="8"/>
      <c r="F186" s="8"/>
      <c r="G186" s="172" t="s">
        <v>60</v>
      </c>
      <c r="H186" s="172"/>
      <c r="I186" s="172"/>
      <c r="J186" s="172"/>
      <c r="K186" s="60"/>
      <c r="L186" s="61"/>
      <c r="M186" s="61"/>
      <c r="N186" s="61"/>
      <c r="O186" s="63">
        <f>ROUND(SUM(O181:O185),2)</f>
        <v>78340.63</v>
      </c>
    </row>
    <row r="187" spans="1:15" ht="15" hidden="1">
      <c r="A187" s="64"/>
      <c r="B187" s="65"/>
      <c r="C187" s="65"/>
      <c r="D187" s="65"/>
      <c r="E187" s="65"/>
      <c r="F187" s="8"/>
      <c r="G187" s="172" t="s">
        <v>61</v>
      </c>
      <c r="H187" s="172"/>
      <c r="I187" s="172"/>
      <c r="J187" s="172"/>
      <c r="K187" s="66">
        <v>0.21</v>
      </c>
      <c r="L187" s="67"/>
      <c r="M187" s="67"/>
      <c r="N187" s="67"/>
      <c r="O187" s="68">
        <f>ROUND(O186*K187,2)</f>
        <v>16451.53</v>
      </c>
    </row>
    <row r="188" spans="1:15" ht="15" hidden="1">
      <c r="A188" s="52"/>
      <c r="B188" s="65"/>
      <c r="C188" s="65"/>
      <c r="D188" s="65"/>
      <c r="E188" s="65"/>
      <c r="F188" s="8"/>
      <c r="G188" s="173" t="s">
        <v>62</v>
      </c>
      <c r="H188" s="173"/>
      <c r="I188" s="173"/>
      <c r="J188" s="173"/>
      <c r="K188" s="53"/>
      <c r="L188" s="67"/>
      <c r="M188" s="67"/>
      <c r="N188" s="67"/>
      <c r="O188" s="68">
        <f>ROUND(SUM(O186:O187),2)</f>
        <v>94792.16</v>
      </c>
    </row>
    <row r="191" spans="1:15" ht="15">
      <c r="A191" s="69"/>
      <c r="B191" s="28" t="s">
        <v>259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</row>
    <row r="192" ht="15">
      <c r="B192" s="71" t="s">
        <v>260</v>
      </c>
    </row>
    <row r="193" ht="15">
      <c r="B193" s="72" t="s">
        <v>257</v>
      </c>
    </row>
    <row r="194" ht="15">
      <c r="B194" s="72" t="s">
        <v>258</v>
      </c>
    </row>
    <row r="195" ht="15">
      <c r="B195" s="72" t="s">
        <v>256</v>
      </c>
    </row>
    <row r="196" ht="15">
      <c r="B196" s="72" t="s">
        <v>261</v>
      </c>
    </row>
    <row r="197" ht="15">
      <c r="B197" s="73" t="s">
        <v>262</v>
      </c>
    </row>
  </sheetData>
  <sheetProtection selectLockedCells="1" selectUnlockedCells="1"/>
  <mergeCells count="14">
    <mergeCell ref="G187:J187"/>
    <mergeCell ref="G188:J188"/>
    <mergeCell ref="E181:J181"/>
    <mergeCell ref="G182:J182"/>
    <mergeCell ref="G183:J183"/>
    <mergeCell ref="G184:J184"/>
    <mergeCell ref="G185:J185"/>
    <mergeCell ref="G186:J186"/>
    <mergeCell ref="A3:O3"/>
    <mergeCell ref="A5:O5"/>
    <mergeCell ref="A6:O6"/>
    <mergeCell ref="E12:J12"/>
    <mergeCell ref="K12:O12"/>
    <mergeCell ref="E180:J180"/>
  </mergeCells>
  <hyperlinks>
    <hyperlink ref="B197" r:id="rId1" display="martins.ziverts@daba.gov.lv"/>
  </hyperlinks>
  <printOptions horizontalCentered="1"/>
  <pageMargins left="0.7086614173228347" right="0.7086614173228347" top="0.7480314960629921" bottom="0.31496062992125984" header="0.5118110236220472" footer="0.5118110236220472"/>
  <pageSetup horizontalDpi="300" verticalDpi="300" orientation="landscape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100" zoomScalePageLayoutView="0" workbookViewId="0" topLeftCell="A40">
      <selection activeCell="F10" sqref="F10"/>
    </sheetView>
  </sheetViews>
  <sheetFormatPr defaultColWidth="11.57421875" defaultRowHeight="12.75"/>
  <cols>
    <col min="1" max="1" width="5.00390625" style="27" customWidth="1"/>
    <col min="2" max="2" width="46.00390625" style="27" customWidth="1"/>
    <col min="3" max="11" width="8.7109375" style="27" customWidth="1"/>
    <col min="12" max="12" width="9.7109375" style="27" customWidth="1"/>
    <col min="13" max="13" width="10.140625" style="27" customWidth="1"/>
    <col min="14" max="14" width="8.7109375" style="27" customWidth="1"/>
    <col min="15" max="15" width="9.7109375" style="27" customWidth="1"/>
    <col min="16" max="255" width="8.7109375" style="27" customWidth="1"/>
  </cols>
  <sheetData>
    <row r="1" ht="15">
      <c r="N1" s="27" t="s">
        <v>265</v>
      </c>
    </row>
    <row r="3" spans="1:15" ht="15">
      <c r="A3" s="167" t="s">
        <v>171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68" t="str">
        <f>B15</f>
        <v>Komunikāciju izbūve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">
      <c r="A8" s="8" t="s">
        <v>252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 t="s">
        <v>1</v>
      </c>
      <c r="B9" s="8"/>
      <c r="C9" s="8"/>
      <c r="D9" s="8"/>
      <c r="E9" s="8"/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</row>
    <row r="10" spans="1:15" ht="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 t="s">
        <v>253</v>
      </c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30"/>
      <c r="B12" s="30"/>
      <c r="C12" s="30"/>
      <c r="D12" s="30"/>
      <c r="E12" s="170" t="s">
        <v>16</v>
      </c>
      <c r="F12" s="170"/>
      <c r="G12" s="170"/>
      <c r="H12" s="170"/>
      <c r="I12" s="170"/>
      <c r="J12" s="170"/>
      <c r="K12" s="170" t="s">
        <v>17</v>
      </c>
      <c r="L12" s="170"/>
      <c r="M12" s="170"/>
      <c r="N12" s="170"/>
      <c r="O12" s="170"/>
    </row>
    <row r="13" spans="1:15" ht="53.25" customHeight="1">
      <c r="A13" s="32" t="s">
        <v>3</v>
      </c>
      <c r="B13" s="33" t="s">
        <v>18</v>
      </c>
      <c r="C13" s="32" t="s">
        <v>19</v>
      </c>
      <c r="D13" s="32" t="s">
        <v>20</v>
      </c>
      <c r="E13" s="34" t="s">
        <v>21</v>
      </c>
      <c r="F13" s="34" t="s">
        <v>22</v>
      </c>
      <c r="G13" s="34" t="s">
        <v>23</v>
      </c>
      <c r="H13" s="34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4" t="s">
        <v>29</v>
      </c>
      <c r="N13" s="34" t="s">
        <v>30</v>
      </c>
      <c r="O13" s="34" t="s">
        <v>31</v>
      </c>
    </row>
    <row r="14" spans="1:15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</row>
    <row r="15" spans="1:15" ht="15">
      <c r="A15" s="35"/>
      <c r="B15" s="36" t="s">
        <v>172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26.25">
      <c r="A16" s="74">
        <v>1</v>
      </c>
      <c r="B16" s="75" t="s">
        <v>173</v>
      </c>
      <c r="C16" s="74" t="s">
        <v>34</v>
      </c>
      <c r="D16" s="74">
        <v>4.6</v>
      </c>
      <c r="E16" s="44">
        <v>0.6000000000000001</v>
      </c>
      <c r="F16" s="44">
        <f>Būvniecības_koptame!$L$27</f>
        <v>5.12</v>
      </c>
      <c r="G16" s="44">
        <f aca="true" t="shared" si="0" ref="G16:G31">ROUND(F16*E16,2)</f>
        <v>3.07</v>
      </c>
      <c r="H16" s="45">
        <v>2.9</v>
      </c>
      <c r="I16" s="44">
        <f>ROUND(G16*Būvniecības_koptame!$L$28,2)</f>
        <v>0.12</v>
      </c>
      <c r="J16" s="46">
        <f aca="true" t="shared" si="1" ref="J16:J31">ROUND(I16+H16+G16,2)</f>
        <v>6.09</v>
      </c>
      <c r="K16" s="44">
        <f aca="true" t="shared" si="2" ref="K16:K31">ROUND(E16*D16,2)</f>
        <v>2.76</v>
      </c>
      <c r="L16" s="47">
        <f aca="true" t="shared" si="3" ref="L16:L31">ROUND(G16*D16,2)</f>
        <v>14.12</v>
      </c>
      <c r="M16" s="47">
        <f aca="true" t="shared" si="4" ref="M16:M31">ROUND(H16*D16,2)</f>
        <v>13.34</v>
      </c>
      <c r="N16" s="47">
        <f aca="true" t="shared" si="5" ref="N16:N31">ROUND(I16*D16,2)</f>
        <v>0.55</v>
      </c>
      <c r="O16" s="47">
        <f aca="true" t="shared" si="6" ref="O16:O31">ROUND(N16+M16+L16,2)</f>
        <v>28.01</v>
      </c>
    </row>
    <row r="17" spans="1:15" ht="39">
      <c r="A17" s="74">
        <v>2</v>
      </c>
      <c r="B17" s="75" t="s">
        <v>174</v>
      </c>
      <c r="C17" s="74" t="s">
        <v>34</v>
      </c>
      <c r="D17" s="74">
        <v>4.3</v>
      </c>
      <c r="E17" s="44">
        <v>0.6000000000000001</v>
      </c>
      <c r="F17" s="44">
        <f>Būvniecības_koptame!$L$27</f>
        <v>5.12</v>
      </c>
      <c r="G17" s="44">
        <f t="shared" si="0"/>
        <v>3.07</v>
      </c>
      <c r="H17" s="45">
        <f>(1.84/1.21)*2</f>
        <v>3.0413223140495864</v>
      </c>
      <c r="I17" s="44">
        <f>ROUND(G17*Būvniecības_koptame!$L$28,2)</f>
        <v>0.12</v>
      </c>
      <c r="J17" s="46">
        <f t="shared" si="1"/>
        <v>6.23</v>
      </c>
      <c r="K17" s="44">
        <f t="shared" si="2"/>
        <v>2.58</v>
      </c>
      <c r="L17" s="47">
        <f t="shared" si="3"/>
        <v>13.2</v>
      </c>
      <c r="M17" s="47">
        <f t="shared" si="4"/>
        <v>13.08</v>
      </c>
      <c r="N17" s="47">
        <f t="shared" si="5"/>
        <v>0.52</v>
      </c>
      <c r="O17" s="47">
        <f t="shared" si="6"/>
        <v>26.8</v>
      </c>
    </row>
    <row r="18" spans="1:15" ht="39">
      <c r="A18" s="74">
        <v>3</v>
      </c>
      <c r="B18" s="75" t="s">
        <v>175</v>
      </c>
      <c r="C18" s="74" t="s">
        <v>34</v>
      </c>
      <c r="D18" s="74">
        <v>3</v>
      </c>
      <c r="E18" s="44">
        <v>0.6000000000000001</v>
      </c>
      <c r="F18" s="44">
        <f>Būvniecības_koptame!$L$27</f>
        <v>5.12</v>
      </c>
      <c r="G18" s="44">
        <f t="shared" si="0"/>
        <v>3.07</v>
      </c>
      <c r="H18" s="45">
        <f>(3.34/1.21)*2</f>
        <v>5.520661157024794</v>
      </c>
      <c r="I18" s="44">
        <f>ROUND(G18*Būvniecības_koptame!$L$28,2)</f>
        <v>0.12</v>
      </c>
      <c r="J18" s="46">
        <f t="shared" si="1"/>
        <v>8.71</v>
      </c>
      <c r="K18" s="44">
        <f t="shared" si="2"/>
        <v>1.8</v>
      </c>
      <c r="L18" s="47">
        <f t="shared" si="3"/>
        <v>9.21</v>
      </c>
      <c r="M18" s="47">
        <f t="shared" si="4"/>
        <v>16.56</v>
      </c>
      <c r="N18" s="47">
        <f t="shared" si="5"/>
        <v>0.36</v>
      </c>
      <c r="O18" s="47">
        <f t="shared" si="6"/>
        <v>26.13</v>
      </c>
    </row>
    <row r="19" spans="1:15" ht="39">
      <c r="A19" s="74">
        <v>4</v>
      </c>
      <c r="B19" s="75" t="s">
        <v>176</v>
      </c>
      <c r="C19" s="74" t="s">
        <v>34</v>
      </c>
      <c r="D19" s="74">
        <v>4.6</v>
      </c>
      <c r="E19" s="44">
        <v>0.1</v>
      </c>
      <c r="F19" s="44">
        <f>Būvniecības_koptame!$L$27</f>
        <v>5.12</v>
      </c>
      <c r="G19" s="44">
        <f t="shared" si="0"/>
        <v>0.51</v>
      </c>
      <c r="H19" s="45">
        <v>1.22</v>
      </c>
      <c r="I19" s="44">
        <f>ROUND(G19*Būvniecības_koptame!$L$28,2)</f>
        <v>0.02</v>
      </c>
      <c r="J19" s="46">
        <f t="shared" si="1"/>
        <v>1.75</v>
      </c>
      <c r="K19" s="44">
        <f t="shared" si="2"/>
        <v>0.46</v>
      </c>
      <c r="L19" s="47">
        <f t="shared" si="3"/>
        <v>2.35</v>
      </c>
      <c r="M19" s="47">
        <f t="shared" si="4"/>
        <v>5.61</v>
      </c>
      <c r="N19" s="47">
        <f t="shared" si="5"/>
        <v>0.09</v>
      </c>
      <c r="O19" s="47">
        <f t="shared" si="6"/>
        <v>8.05</v>
      </c>
    </row>
    <row r="20" spans="1:15" ht="39">
      <c r="A20" s="74">
        <v>5</v>
      </c>
      <c r="B20" s="75" t="s">
        <v>177</v>
      </c>
      <c r="C20" s="74" t="s">
        <v>34</v>
      </c>
      <c r="D20" s="74">
        <v>4.3</v>
      </c>
      <c r="E20" s="44">
        <v>0.1</v>
      </c>
      <c r="F20" s="44">
        <f>Būvniecības_koptame!$L$27</f>
        <v>5.12</v>
      </c>
      <c r="G20" s="44">
        <f t="shared" si="0"/>
        <v>0.51</v>
      </c>
      <c r="H20" s="45">
        <v>1.34</v>
      </c>
      <c r="I20" s="44">
        <f>ROUND(G20*Būvniecības_koptame!$L$28,2)</f>
        <v>0.02</v>
      </c>
      <c r="J20" s="46">
        <f t="shared" si="1"/>
        <v>1.87</v>
      </c>
      <c r="K20" s="44">
        <f t="shared" si="2"/>
        <v>0.43</v>
      </c>
      <c r="L20" s="47">
        <f t="shared" si="3"/>
        <v>2.19</v>
      </c>
      <c r="M20" s="47">
        <f t="shared" si="4"/>
        <v>5.76</v>
      </c>
      <c r="N20" s="47">
        <f t="shared" si="5"/>
        <v>0.09</v>
      </c>
      <c r="O20" s="47">
        <f t="shared" si="6"/>
        <v>8.04</v>
      </c>
    </row>
    <row r="21" spans="1:15" ht="39">
      <c r="A21" s="74">
        <v>6</v>
      </c>
      <c r="B21" s="75" t="s">
        <v>178</v>
      </c>
      <c r="C21" s="74" t="s">
        <v>34</v>
      </c>
      <c r="D21" s="74">
        <v>3</v>
      </c>
      <c r="E21" s="44">
        <v>0.2</v>
      </c>
      <c r="F21" s="44">
        <f>Būvniecības_koptame!$L$27</f>
        <v>5.12</v>
      </c>
      <c r="G21" s="44">
        <f t="shared" si="0"/>
        <v>1.02</v>
      </c>
      <c r="H21" s="45">
        <v>4.82</v>
      </c>
      <c r="I21" s="44">
        <f>ROUND(G21*Būvniecības_koptame!$L$28,2)</f>
        <v>0.04</v>
      </c>
      <c r="J21" s="46">
        <f t="shared" si="1"/>
        <v>5.88</v>
      </c>
      <c r="K21" s="44">
        <f t="shared" si="2"/>
        <v>0.6</v>
      </c>
      <c r="L21" s="47">
        <f t="shared" si="3"/>
        <v>3.06</v>
      </c>
      <c r="M21" s="47">
        <f t="shared" si="4"/>
        <v>14.46</v>
      </c>
      <c r="N21" s="47">
        <f t="shared" si="5"/>
        <v>0.12</v>
      </c>
      <c r="O21" s="47">
        <f t="shared" si="6"/>
        <v>17.64</v>
      </c>
    </row>
    <row r="22" spans="1:15" ht="26.25">
      <c r="A22" s="74">
        <v>7</v>
      </c>
      <c r="B22" s="75" t="s">
        <v>179</v>
      </c>
      <c r="C22" s="74" t="s">
        <v>34</v>
      </c>
      <c r="D22" s="74">
        <v>1</v>
      </c>
      <c r="E22" s="44">
        <v>0.7</v>
      </c>
      <c r="F22" s="44">
        <f>Būvniecības_koptame!$L$27</f>
        <v>5.12</v>
      </c>
      <c r="G22" s="44">
        <f t="shared" si="0"/>
        <v>3.58</v>
      </c>
      <c r="H22" s="45">
        <v>3.42</v>
      </c>
      <c r="I22" s="44">
        <f>ROUND(G22*Būvniecības_koptame!$L$28,2)</f>
        <v>0.14</v>
      </c>
      <c r="J22" s="46">
        <f t="shared" si="1"/>
        <v>7.14</v>
      </c>
      <c r="K22" s="44">
        <f t="shared" si="2"/>
        <v>0.7</v>
      </c>
      <c r="L22" s="47">
        <f t="shared" si="3"/>
        <v>3.58</v>
      </c>
      <c r="M22" s="47">
        <f t="shared" si="4"/>
        <v>3.42</v>
      </c>
      <c r="N22" s="47">
        <f t="shared" si="5"/>
        <v>0.14</v>
      </c>
      <c r="O22" s="47">
        <f t="shared" si="6"/>
        <v>7.14</v>
      </c>
    </row>
    <row r="23" spans="1:15" ht="26.25">
      <c r="A23" s="74">
        <v>8</v>
      </c>
      <c r="B23" s="75" t="s">
        <v>180</v>
      </c>
      <c r="C23" s="74" t="s">
        <v>34</v>
      </c>
      <c r="D23" s="74">
        <v>2</v>
      </c>
      <c r="E23" s="44">
        <v>0.7</v>
      </c>
      <c r="F23" s="44">
        <f>Būvniecības_koptame!$L$27</f>
        <v>5.12</v>
      </c>
      <c r="G23" s="44">
        <f t="shared" si="0"/>
        <v>3.58</v>
      </c>
      <c r="H23" s="45">
        <v>3.66</v>
      </c>
      <c r="I23" s="44">
        <f>ROUND(G23*Būvniecības_koptame!$L$28,2)</f>
        <v>0.14</v>
      </c>
      <c r="J23" s="46">
        <f t="shared" si="1"/>
        <v>7.38</v>
      </c>
      <c r="K23" s="44">
        <f t="shared" si="2"/>
        <v>1.4</v>
      </c>
      <c r="L23" s="47">
        <f t="shared" si="3"/>
        <v>7.16</v>
      </c>
      <c r="M23" s="47">
        <f t="shared" si="4"/>
        <v>7.32</v>
      </c>
      <c r="N23" s="47">
        <f t="shared" si="5"/>
        <v>0.28</v>
      </c>
      <c r="O23" s="47">
        <f t="shared" si="6"/>
        <v>14.76</v>
      </c>
    </row>
    <row r="24" spans="1:15" ht="26.25">
      <c r="A24" s="74">
        <v>9</v>
      </c>
      <c r="B24" s="75" t="s">
        <v>181</v>
      </c>
      <c r="C24" s="74" t="s">
        <v>34</v>
      </c>
      <c r="D24" s="74">
        <v>1</v>
      </c>
      <c r="E24" s="44">
        <v>0.7</v>
      </c>
      <c r="F24" s="44">
        <f>Būvniecības_koptame!$L$27</f>
        <v>5.12</v>
      </c>
      <c r="G24" s="44">
        <f t="shared" si="0"/>
        <v>3.58</v>
      </c>
      <c r="H24" s="45">
        <v>4.1</v>
      </c>
      <c r="I24" s="44">
        <f>ROUND(G24*Būvniecības_koptame!$L$28,2)</f>
        <v>0.14</v>
      </c>
      <c r="J24" s="46">
        <f t="shared" si="1"/>
        <v>7.82</v>
      </c>
      <c r="K24" s="44">
        <f t="shared" si="2"/>
        <v>0.7</v>
      </c>
      <c r="L24" s="47">
        <f t="shared" si="3"/>
        <v>3.58</v>
      </c>
      <c r="M24" s="47">
        <f t="shared" si="4"/>
        <v>4.1</v>
      </c>
      <c r="N24" s="47">
        <f t="shared" si="5"/>
        <v>0.14</v>
      </c>
      <c r="O24" s="47">
        <f t="shared" si="6"/>
        <v>7.82</v>
      </c>
    </row>
    <row r="25" spans="1:15" ht="15">
      <c r="A25" s="74">
        <v>10</v>
      </c>
      <c r="B25" s="75" t="s">
        <v>182</v>
      </c>
      <c r="C25" s="74" t="s">
        <v>38</v>
      </c>
      <c r="D25" s="74">
        <v>3</v>
      </c>
      <c r="E25" s="44">
        <v>0.5</v>
      </c>
      <c r="F25" s="44">
        <f>Būvniecības_koptame!$L$27</f>
        <v>5.12</v>
      </c>
      <c r="G25" s="44">
        <f t="shared" si="0"/>
        <v>2.56</v>
      </c>
      <c r="H25" s="45">
        <v>4.21</v>
      </c>
      <c r="I25" s="44">
        <f>ROUND(G25*Būvniecības_koptame!$L$28,2)</f>
        <v>0.1</v>
      </c>
      <c r="J25" s="46">
        <f t="shared" si="1"/>
        <v>6.87</v>
      </c>
      <c r="K25" s="44">
        <f t="shared" si="2"/>
        <v>1.5</v>
      </c>
      <c r="L25" s="47">
        <f t="shared" si="3"/>
        <v>7.68</v>
      </c>
      <c r="M25" s="47">
        <f t="shared" si="4"/>
        <v>12.63</v>
      </c>
      <c r="N25" s="47">
        <f t="shared" si="5"/>
        <v>0.3</v>
      </c>
      <c r="O25" s="47">
        <f t="shared" si="6"/>
        <v>20.61</v>
      </c>
    </row>
    <row r="26" spans="1:15" ht="15">
      <c r="A26" s="74">
        <v>11</v>
      </c>
      <c r="B26" s="75" t="s">
        <v>183</v>
      </c>
      <c r="C26" s="74" t="s">
        <v>38</v>
      </c>
      <c r="D26" s="74">
        <v>3</v>
      </c>
      <c r="E26" s="44">
        <v>0.5</v>
      </c>
      <c r="F26" s="44">
        <f>Būvniecības_koptame!$L$27</f>
        <v>5.12</v>
      </c>
      <c r="G26" s="44">
        <f t="shared" si="0"/>
        <v>2.56</v>
      </c>
      <c r="H26" s="45">
        <v>5.33</v>
      </c>
      <c r="I26" s="44">
        <f>ROUND(G26*Būvniecības_koptame!$L$28,2)</f>
        <v>0.1</v>
      </c>
      <c r="J26" s="46">
        <f t="shared" si="1"/>
        <v>7.99</v>
      </c>
      <c r="K26" s="44">
        <f t="shared" si="2"/>
        <v>1.5</v>
      </c>
      <c r="L26" s="47">
        <f t="shared" si="3"/>
        <v>7.68</v>
      </c>
      <c r="M26" s="47">
        <f t="shared" si="4"/>
        <v>15.99</v>
      </c>
      <c r="N26" s="47">
        <f t="shared" si="5"/>
        <v>0.3</v>
      </c>
      <c r="O26" s="47">
        <f t="shared" si="6"/>
        <v>23.97</v>
      </c>
    </row>
    <row r="27" spans="1:15" ht="15">
      <c r="A27" s="74">
        <v>12</v>
      </c>
      <c r="B27" s="75" t="s">
        <v>184</v>
      </c>
      <c r="C27" s="74" t="s">
        <v>38</v>
      </c>
      <c r="D27" s="74">
        <v>2</v>
      </c>
      <c r="E27" s="44">
        <v>0.5</v>
      </c>
      <c r="F27" s="44">
        <f>Būvniecības_koptame!$L$27</f>
        <v>5.12</v>
      </c>
      <c r="G27" s="44">
        <f t="shared" si="0"/>
        <v>2.56</v>
      </c>
      <c r="H27" s="45">
        <v>6.41</v>
      </c>
      <c r="I27" s="44">
        <f>ROUND(G27*Būvniecības_koptame!$L$28,2)</f>
        <v>0.1</v>
      </c>
      <c r="J27" s="46">
        <f t="shared" si="1"/>
        <v>9.07</v>
      </c>
      <c r="K27" s="44">
        <f t="shared" si="2"/>
        <v>1</v>
      </c>
      <c r="L27" s="47">
        <f t="shared" si="3"/>
        <v>5.12</v>
      </c>
      <c r="M27" s="47">
        <f t="shared" si="4"/>
        <v>12.82</v>
      </c>
      <c r="N27" s="47">
        <f t="shared" si="5"/>
        <v>0.2</v>
      </c>
      <c r="O27" s="47">
        <f t="shared" si="6"/>
        <v>18.14</v>
      </c>
    </row>
    <row r="28" spans="1:15" ht="15">
      <c r="A28" s="74">
        <v>13</v>
      </c>
      <c r="B28" s="75" t="s">
        <v>185</v>
      </c>
      <c r="C28" s="74" t="s">
        <v>47</v>
      </c>
      <c r="D28" s="74">
        <v>1</v>
      </c>
      <c r="E28" s="44">
        <v>4</v>
      </c>
      <c r="F28" s="44">
        <f>Būvniecības_koptame!$L$27</f>
        <v>5.12</v>
      </c>
      <c r="G28" s="44">
        <f t="shared" si="0"/>
        <v>20.48</v>
      </c>
      <c r="H28" s="45">
        <f>190/0.7</f>
        <v>271.4285714285714</v>
      </c>
      <c r="I28" s="44">
        <f>ROUND(G28*Būvniecības_koptame!$L$28,2)</f>
        <v>0.82</v>
      </c>
      <c r="J28" s="46">
        <f t="shared" si="1"/>
        <v>292.73</v>
      </c>
      <c r="K28" s="44">
        <f t="shared" si="2"/>
        <v>4</v>
      </c>
      <c r="L28" s="47">
        <f t="shared" si="3"/>
        <v>20.48</v>
      </c>
      <c r="M28" s="47">
        <f t="shared" si="4"/>
        <v>271.43</v>
      </c>
      <c r="N28" s="47">
        <f t="shared" si="5"/>
        <v>0.82</v>
      </c>
      <c r="O28" s="47">
        <f t="shared" si="6"/>
        <v>292.73</v>
      </c>
    </row>
    <row r="29" spans="1:15" ht="51.75">
      <c r="A29" s="74">
        <v>14</v>
      </c>
      <c r="B29" s="75" t="s">
        <v>186</v>
      </c>
      <c r="C29" s="74" t="s">
        <v>47</v>
      </c>
      <c r="D29" s="74">
        <v>1</v>
      </c>
      <c r="E29" s="44">
        <v>2</v>
      </c>
      <c r="F29" s="44">
        <f>Būvniecības_koptame!$L$27</f>
        <v>5.12</v>
      </c>
      <c r="G29" s="44">
        <f t="shared" si="0"/>
        <v>10.24</v>
      </c>
      <c r="H29" s="45">
        <v>35</v>
      </c>
      <c r="I29" s="44">
        <f>ROUND(G29*Būvniecības_koptame!$L$28,2)</f>
        <v>0.41</v>
      </c>
      <c r="J29" s="46">
        <f t="shared" si="1"/>
        <v>45.65</v>
      </c>
      <c r="K29" s="44">
        <f t="shared" si="2"/>
        <v>2</v>
      </c>
      <c r="L29" s="47">
        <f t="shared" si="3"/>
        <v>10.24</v>
      </c>
      <c r="M29" s="47">
        <f t="shared" si="4"/>
        <v>35</v>
      </c>
      <c r="N29" s="47">
        <f t="shared" si="5"/>
        <v>0.41</v>
      </c>
      <c r="O29" s="47">
        <f t="shared" si="6"/>
        <v>45.65</v>
      </c>
    </row>
    <row r="30" spans="1:15" ht="51.75">
      <c r="A30" s="74">
        <v>15</v>
      </c>
      <c r="B30" s="75" t="s">
        <v>187</v>
      </c>
      <c r="C30" s="74" t="s">
        <v>47</v>
      </c>
      <c r="D30" s="74">
        <v>2</v>
      </c>
      <c r="E30" s="44">
        <v>2</v>
      </c>
      <c r="F30" s="44">
        <f>Būvniecības_koptame!$L$27</f>
        <v>5.12</v>
      </c>
      <c r="G30" s="44">
        <f t="shared" si="0"/>
        <v>10.24</v>
      </c>
      <c r="H30" s="45">
        <v>64.27</v>
      </c>
      <c r="I30" s="44">
        <f>ROUND(G30*Būvniecības_koptame!$L$28,2)</f>
        <v>0.41</v>
      </c>
      <c r="J30" s="46">
        <f t="shared" si="1"/>
        <v>74.92</v>
      </c>
      <c r="K30" s="44">
        <f t="shared" si="2"/>
        <v>4</v>
      </c>
      <c r="L30" s="47">
        <f t="shared" si="3"/>
        <v>20.48</v>
      </c>
      <c r="M30" s="47">
        <f t="shared" si="4"/>
        <v>128.54</v>
      </c>
      <c r="N30" s="47">
        <f t="shared" si="5"/>
        <v>0.82</v>
      </c>
      <c r="O30" s="47">
        <f t="shared" si="6"/>
        <v>149.84</v>
      </c>
    </row>
    <row r="31" spans="1:15" ht="15">
      <c r="A31" s="74">
        <v>16</v>
      </c>
      <c r="B31" s="75" t="s">
        <v>188</v>
      </c>
      <c r="C31" s="74" t="s">
        <v>47</v>
      </c>
      <c r="D31" s="74">
        <v>1</v>
      </c>
      <c r="E31" s="44">
        <v>2</v>
      </c>
      <c r="F31" s="44">
        <f>Būvniecības_koptame!$L$27</f>
        <v>5.12</v>
      </c>
      <c r="G31" s="44">
        <f t="shared" si="0"/>
        <v>10.24</v>
      </c>
      <c r="H31" s="45">
        <v>30</v>
      </c>
      <c r="I31" s="44">
        <f>ROUND(G31*Būvniecības_koptame!$L$28,2)</f>
        <v>0.41</v>
      </c>
      <c r="J31" s="46">
        <f t="shared" si="1"/>
        <v>40.65</v>
      </c>
      <c r="K31" s="44">
        <f t="shared" si="2"/>
        <v>2</v>
      </c>
      <c r="L31" s="47">
        <f t="shared" si="3"/>
        <v>10.24</v>
      </c>
      <c r="M31" s="47">
        <f t="shared" si="4"/>
        <v>30</v>
      </c>
      <c r="N31" s="47">
        <f t="shared" si="5"/>
        <v>0.41</v>
      </c>
      <c r="O31" s="47">
        <f t="shared" si="6"/>
        <v>40.65</v>
      </c>
    </row>
    <row r="32" spans="1:15" ht="15">
      <c r="A32" s="76"/>
      <c r="B32" s="77" t="s">
        <v>189</v>
      </c>
      <c r="C32" s="78"/>
      <c r="D32" s="78"/>
      <c r="E32" s="44"/>
      <c r="F32" s="44"/>
      <c r="G32" s="44"/>
      <c r="H32" s="45"/>
      <c r="I32" s="44"/>
      <c r="J32" s="46"/>
      <c r="K32" s="44"/>
      <c r="L32" s="47"/>
      <c r="M32" s="47"/>
      <c r="N32" s="47"/>
      <c r="O32" s="47"/>
    </row>
    <row r="33" spans="1:15" ht="39">
      <c r="A33" s="74">
        <v>1</v>
      </c>
      <c r="B33" s="75" t="s">
        <v>190</v>
      </c>
      <c r="C33" s="74" t="s">
        <v>34</v>
      </c>
      <c r="D33" s="74">
        <v>22</v>
      </c>
      <c r="E33" s="44">
        <v>0.4</v>
      </c>
      <c r="F33" s="44">
        <f>Būvniecības_koptame!$L$27</f>
        <v>5.12</v>
      </c>
      <c r="G33" s="44">
        <f aca="true" t="shared" si="7" ref="G33:G43">ROUND(F33*E33,2)</f>
        <v>2.05</v>
      </c>
      <c r="H33" s="45">
        <v>2.4</v>
      </c>
      <c r="I33" s="44">
        <f>ROUND(G33*Būvniecības_koptame!$L$28,2)</f>
        <v>0.08</v>
      </c>
      <c r="J33" s="46">
        <f aca="true" t="shared" si="8" ref="J33:J43">ROUND(I33+H33+G33,2)</f>
        <v>4.53</v>
      </c>
      <c r="K33" s="44">
        <f aca="true" t="shared" si="9" ref="K33:K43">ROUND(E33*D33,2)</f>
        <v>8.8</v>
      </c>
      <c r="L33" s="47">
        <f aca="true" t="shared" si="10" ref="L33:L43">ROUND(G33*D33,2)</f>
        <v>45.1</v>
      </c>
      <c r="M33" s="47">
        <f aca="true" t="shared" si="11" ref="M33:M43">ROUND(H33*D33,2)</f>
        <v>52.8</v>
      </c>
      <c r="N33" s="47">
        <f aca="true" t="shared" si="12" ref="N33:N43">ROUND(I33*D33,2)</f>
        <v>1.76</v>
      </c>
      <c r="O33" s="47">
        <f aca="true" t="shared" si="13" ref="O33:O43">ROUND(N33+M33+L33,2)</f>
        <v>99.66</v>
      </c>
    </row>
    <row r="34" spans="1:15" ht="39">
      <c r="A34" s="74">
        <v>2</v>
      </c>
      <c r="B34" s="75" t="s">
        <v>191</v>
      </c>
      <c r="C34" s="74" t="s">
        <v>34</v>
      </c>
      <c r="D34" s="74">
        <v>16</v>
      </c>
      <c r="E34" s="44">
        <v>0.4</v>
      </c>
      <c r="F34" s="44">
        <f>Būvniecības_koptame!$L$27</f>
        <v>5.12</v>
      </c>
      <c r="G34" s="44">
        <f t="shared" si="7"/>
        <v>2.05</v>
      </c>
      <c r="H34" s="45">
        <v>3.12</v>
      </c>
      <c r="I34" s="44">
        <f>ROUND(G34*Būvniecības_koptame!$L$28,2)</f>
        <v>0.08</v>
      </c>
      <c r="J34" s="46">
        <f t="shared" si="8"/>
        <v>5.25</v>
      </c>
      <c r="K34" s="44">
        <f t="shared" si="9"/>
        <v>6.4</v>
      </c>
      <c r="L34" s="47">
        <f t="shared" si="10"/>
        <v>32.8</v>
      </c>
      <c r="M34" s="47">
        <f t="shared" si="11"/>
        <v>49.92</v>
      </c>
      <c r="N34" s="47">
        <f t="shared" si="12"/>
        <v>1.28</v>
      </c>
      <c r="O34" s="47">
        <f t="shared" si="13"/>
        <v>84</v>
      </c>
    </row>
    <row r="35" spans="1:15" ht="26.25">
      <c r="A35" s="74">
        <v>3</v>
      </c>
      <c r="B35" s="75" t="s">
        <v>192</v>
      </c>
      <c r="C35" s="74" t="s">
        <v>34</v>
      </c>
      <c r="D35" s="74">
        <v>2</v>
      </c>
      <c r="E35" s="44">
        <v>0.7</v>
      </c>
      <c r="F35" s="44">
        <f>Būvniecības_koptame!$L$27</f>
        <v>5.12</v>
      </c>
      <c r="G35" s="44">
        <f t="shared" si="7"/>
        <v>3.58</v>
      </c>
      <c r="H35" s="45">
        <v>6</v>
      </c>
      <c r="I35" s="44">
        <f>ROUND(G35*Būvniecības_koptame!$L$28,2)</f>
        <v>0.14</v>
      </c>
      <c r="J35" s="46">
        <f t="shared" si="8"/>
        <v>9.72</v>
      </c>
      <c r="K35" s="44">
        <f t="shared" si="9"/>
        <v>1.4</v>
      </c>
      <c r="L35" s="47">
        <f t="shared" si="10"/>
        <v>7.16</v>
      </c>
      <c r="M35" s="47">
        <f t="shared" si="11"/>
        <v>12</v>
      </c>
      <c r="N35" s="47">
        <f t="shared" si="12"/>
        <v>0.28</v>
      </c>
      <c r="O35" s="47">
        <f t="shared" si="13"/>
        <v>19.44</v>
      </c>
    </row>
    <row r="36" spans="1:15" ht="15">
      <c r="A36" s="74">
        <v>4</v>
      </c>
      <c r="B36" s="75" t="s">
        <v>193</v>
      </c>
      <c r="C36" s="74" t="s">
        <v>38</v>
      </c>
      <c r="D36" s="74">
        <v>1</v>
      </c>
      <c r="E36" s="44">
        <v>0.5</v>
      </c>
      <c r="F36" s="44">
        <f>Būvniecības_koptame!$L$27</f>
        <v>5.12</v>
      </c>
      <c r="G36" s="44">
        <f t="shared" si="7"/>
        <v>2.56</v>
      </c>
      <c r="H36" s="45">
        <v>11.62</v>
      </c>
      <c r="I36" s="44">
        <f>ROUND(G36*Būvniecības_koptame!$L$28,2)</f>
        <v>0.1</v>
      </c>
      <c r="J36" s="46">
        <f t="shared" si="8"/>
        <v>14.28</v>
      </c>
      <c r="K36" s="44">
        <f t="shared" si="9"/>
        <v>0.5</v>
      </c>
      <c r="L36" s="47">
        <f t="shared" si="10"/>
        <v>2.56</v>
      </c>
      <c r="M36" s="47">
        <f t="shared" si="11"/>
        <v>11.62</v>
      </c>
      <c r="N36" s="47">
        <f t="shared" si="12"/>
        <v>0.1</v>
      </c>
      <c r="O36" s="47">
        <f t="shared" si="13"/>
        <v>14.28</v>
      </c>
    </row>
    <row r="37" spans="1:15" ht="15">
      <c r="A37" s="74">
        <v>5</v>
      </c>
      <c r="B37" s="75" t="s">
        <v>194</v>
      </c>
      <c r="C37" s="74" t="s">
        <v>38</v>
      </c>
      <c r="D37" s="74">
        <v>1</v>
      </c>
      <c r="E37" s="44">
        <v>0.5</v>
      </c>
      <c r="F37" s="44">
        <f>Būvniecības_koptame!$L$27</f>
        <v>5.12</v>
      </c>
      <c r="G37" s="44">
        <f t="shared" si="7"/>
        <v>2.56</v>
      </c>
      <c r="H37" s="45">
        <v>6.42</v>
      </c>
      <c r="I37" s="44">
        <f>ROUND(G37*Būvniecības_koptame!$L$28,2)</f>
        <v>0.1</v>
      </c>
      <c r="J37" s="46">
        <f t="shared" si="8"/>
        <v>9.08</v>
      </c>
      <c r="K37" s="44">
        <f t="shared" si="9"/>
        <v>0.5</v>
      </c>
      <c r="L37" s="47">
        <f t="shared" si="10"/>
        <v>2.56</v>
      </c>
      <c r="M37" s="47">
        <f t="shared" si="11"/>
        <v>6.42</v>
      </c>
      <c r="N37" s="47">
        <f t="shared" si="12"/>
        <v>0.1</v>
      </c>
      <c r="O37" s="47">
        <f t="shared" si="13"/>
        <v>9.08</v>
      </c>
    </row>
    <row r="38" spans="1:15" ht="15">
      <c r="A38" s="74">
        <v>6</v>
      </c>
      <c r="B38" s="75" t="s">
        <v>195</v>
      </c>
      <c r="C38" s="74" t="s">
        <v>38</v>
      </c>
      <c r="D38" s="74">
        <v>1</v>
      </c>
      <c r="E38" s="44">
        <v>0.5</v>
      </c>
      <c r="F38" s="44">
        <f>Būvniecības_koptame!$L$27</f>
        <v>5.12</v>
      </c>
      <c r="G38" s="44">
        <f t="shared" si="7"/>
        <v>2.56</v>
      </c>
      <c r="H38" s="45">
        <v>4.89</v>
      </c>
      <c r="I38" s="44">
        <f>ROUND(G38*Būvniecības_koptame!$L$28,2)</f>
        <v>0.1</v>
      </c>
      <c r="J38" s="46">
        <f t="shared" si="8"/>
        <v>7.55</v>
      </c>
      <c r="K38" s="44">
        <f t="shared" si="9"/>
        <v>0.5</v>
      </c>
      <c r="L38" s="47">
        <f t="shared" si="10"/>
        <v>2.56</v>
      </c>
      <c r="M38" s="47">
        <f t="shared" si="11"/>
        <v>4.89</v>
      </c>
      <c r="N38" s="47">
        <f t="shared" si="12"/>
        <v>0.1</v>
      </c>
      <c r="O38" s="47">
        <f t="shared" si="13"/>
        <v>7.55</v>
      </c>
    </row>
    <row r="39" spans="1:15" ht="15">
      <c r="A39" s="74">
        <v>7</v>
      </c>
      <c r="B39" s="75" t="s">
        <v>196</v>
      </c>
      <c r="C39" s="74" t="s">
        <v>38</v>
      </c>
      <c r="D39" s="74">
        <v>1</v>
      </c>
      <c r="E39" s="44">
        <v>0.5</v>
      </c>
      <c r="F39" s="44">
        <f>Būvniecības_koptame!$L$27</f>
        <v>5.12</v>
      </c>
      <c r="G39" s="44">
        <f t="shared" si="7"/>
        <v>2.56</v>
      </c>
      <c r="H39" s="45">
        <v>6.13</v>
      </c>
      <c r="I39" s="44">
        <f>ROUND(G39*Būvniecības_koptame!$L$28,2)</f>
        <v>0.1</v>
      </c>
      <c r="J39" s="46">
        <f t="shared" si="8"/>
        <v>8.79</v>
      </c>
      <c r="K39" s="44">
        <f t="shared" si="9"/>
        <v>0.5</v>
      </c>
      <c r="L39" s="47">
        <f t="shared" si="10"/>
        <v>2.56</v>
      </c>
      <c r="M39" s="47">
        <f t="shared" si="11"/>
        <v>6.13</v>
      </c>
      <c r="N39" s="47">
        <f t="shared" si="12"/>
        <v>0.1</v>
      </c>
      <c r="O39" s="47">
        <f t="shared" si="13"/>
        <v>8.79</v>
      </c>
    </row>
    <row r="40" spans="1:15" ht="15">
      <c r="A40" s="74">
        <v>8</v>
      </c>
      <c r="B40" s="75" t="s">
        <v>197</v>
      </c>
      <c r="C40" s="74" t="s">
        <v>38</v>
      </c>
      <c r="D40" s="74">
        <v>1</v>
      </c>
      <c r="E40" s="44">
        <v>0.5</v>
      </c>
      <c r="F40" s="44">
        <f>Būvniecības_koptame!$L$27</f>
        <v>5.12</v>
      </c>
      <c r="G40" s="44">
        <f t="shared" si="7"/>
        <v>2.56</v>
      </c>
      <c r="H40" s="45">
        <v>4.2</v>
      </c>
      <c r="I40" s="44">
        <f>ROUND(G40*Būvniecības_koptame!$L$28,2)</f>
        <v>0.1</v>
      </c>
      <c r="J40" s="46">
        <f t="shared" si="8"/>
        <v>6.86</v>
      </c>
      <c r="K40" s="44">
        <f t="shared" si="9"/>
        <v>0.5</v>
      </c>
      <c r="L40" s="47">
        <f t="shared" si="10"/>
        <v>2.56</v>
      </c>
      <c r="M40" s="47">
        <f t="shared" si="11"/>
        <v>4.2</v>
      </c>
      <c r="N40" s="47">
        <f t="shared" si="12"/>
        <v>0.1</v>
      </c>
      <c r="O40" s="47">
        <f t="shared" si="13"/>
        <v>6.86</v>
      </c>
    </row>
    <row r="41" spans="1:15" ht="39">
      <c r="A41" s="74">
        <v>9</v>
      </c>
      <c r="B41" s="75" t="s">
        <v>198</v>
      </c>
      <c r="C41" s="74" t="s">
        <v>47</v>
      </c>
      <c r="D41" s="74">
        <v>2</v>
      </c>
      <c r="E41" s="44">
        <v>2</v>
      </c>
      <c r="F41" s="44">
        <f>Būvniecības_koptame!$L$27</f>
        <v>5.12</v>
      </c>
      <c r="G41" s="44">
        <f t="shared" si="7"/>
        <v>10.24</v>
      </c>
      <c r="H41" s="45">
        <v>24.52</v>
      </c>
      <c r="I41" s="44">
        <f>ROUND(G41*Būvniecības_koptame!$L$28,2)</f>
        <v>0.41</v>
      </c>
      <c r="J41" s="46">
        <f t="shared" si="8"/>
        <v>35.17</v>
      </c>
      <c r="K41" s="44">
        <f t="shared" si="9"/>
        <v>4</v>
      </c>
      <c r="L41" s="47">
        <f t="shared" si="10"/>
        <v>20.48</v>
      </c>
      <c r="M41" s="47">
        <f t="shared" si="11"/>
        <v>49.04</v>
      </c>
      <c r="N41" s="47">
        <f t="shared" si="12"/>
        <v>0.82</v>
      </c>
      <c r="O41" s="47">
        <f t="shared" si="13"/>
        <v>70.34</v>
      </c>
    </row>
    <row r="42" spans="1:15" ht="15">
      <c r="A42" s="74">
        <v>10</v>
      </c>
      <c r="B42" s="75" t="s">
        <v>199</v>
      </c>
      <c r="C42" s="74" t="s">
        <v>47</v>
      </c>
      <c r="D42" s="74">
        <v>1</v>
      </c>
      <c r="E42" s="44">
        <v>2</v>
      </c>
      <c r="F42" s="44">
        <f>Būvniecības_koptame!$L$27</f>
        <v>5.12</v>
      </c>
      <c r="G42" s="44">
        <f t="shared" si="7"/>
        <v>10.24</v>
      </c>
      <c r="H42" s="45">
        <v>28.84</v>
      </c>
      <c r="I42" s="44">
        <f>ROUND(G42*Būvniecības_koptame!$L$28,2)</f>
        <v>0.41</v>
      </c>
      <c r="J42" s="46">
        <f t="shared" si="8"/>
        <v>39.49</v>
      </c>
      <c r="K42" s="44">
        <f t="shared" si="9"/>
        <v>2</v>
      </c>
      <c r="L42" s="47">
        <f t="shared" si="10"/>
        <v>10.24</v>
      </c>
      <c r="M42" s="47">
        <f t="shared" si="11"/>
        <v>28.84</v>
      </c>
      <c r="N42" s="47">
        <f t="shared" si="12"/>
        <v>0.41</v>
      </c>
      <c r="O42" s="47">
        <f t="shared" si="13"/>
        <v>39.49</v>
      </c>
    </row>
    <row r="43" spans="1:15" ht="15">
      <c r="A43" s="74">
        <v>11</v>
      </c>
      <c r="B43" s="75" t="s">
        <v>200</v>
      </c>
      <c r="C43" s="74" t="s">
        <v>201</v>
      </c>
      <c r="D43" s="74">
        <v>1</v>
      </c>
      <c r="E43" s="44">
        <v>2</v>
      </c>
      <c r="F43" s="44">
        <f>Būvniecības_koptame!$L$27</f>
        <v>5.12</v>
      </c>
      <c r="G43" s="44">
        <f t="shared" si="7"/>
        <v>10.24</v>
      </c>
      <c r="H43" s="45">
        <v>15</v>
      </c>
      <c r="I43" s="44">
        <f>ROUND(G43*Būvniecības_koptame!$L$28,2)</f>
        <v>0.41</v>
      </c>
      <c r="J43" s="46">
        <f t="shared" si="8"/>
        <v>25.65</v>
      </c>
      <c r="K43" s="44">
        <f t="shared" si="9"/>
        <v>2</v>
      </c>
      <c r="L43" s="47">
        <f t="shared" si="10"/>
        <v>10.24</v>
      </c>
      <c r="M43" s="47">
        <f t="shared" si="11"/>
        <v>15</v>
      </c>
      <c r="N43" s="47">
        <f t="shared" si="12"/>
        <v>0.41</v>
      </c>
      <c r="O43" s="47">
        <f t="shared" si="13"/>
        <v>25.65</v>
      </c>
    </row>
    <row r="44" spans="1:15" ht="15">
      <c r="A44" s="76"/>
      <c r="B44" s="77" t="s">
        <v>202</v>
      </c>
      <c r="C44" s="78"/>
      <c r="D44" s="78"/>
      <c r="E44" s="44"/>
      <c r="F44" s="44"/>
      <c r="G44" s="44"/>
      <c r="H44" s="45"/>
      <c r="I44" s="44"/>
      <c r="J44" s="46"/>
      <c r="K44" s="44"/>
      <c r="L44" s="47"/>
      <c r="M44" s="47"/>
      <c r="N44" s="47"/>
      <c r="O44" s="47"/>
    </row>
    <row r="45" spans="1:15" ht="26.25">
      <c r="A45" s="74">
        <v>1</v>
      </c>
      <c r="B45" s="75" t="s">
        <v>203</v>
      </c>
      <c r="C45" s="74" t="s">
        <v>47</v>
      </c>
      <c r="D45" s="74">
        <v>1</v>
      </c>
      <c r="E45" s="44">
        <v>2.5</v>
      </c>
      <c r="F45" s="44">
        <f>Būvniecības_koptame!$L$27</f>
        <v>5.12</v>
      </c>
      <c r="G45" s="44">
        <f aca="true" t="shared" si="14" ref="G45:G50">ROUND(F45*E45,2)</f>
        <v>12.8</v>
      </c>
      <c r="H45" s="45">
        <f>34/1.21</f>
        <v>28.09917355371901</v>
      </c>
      <c r="I45" s="44">
        <f>ROUND(G45*Būvniecības_koptame!$L$28,2)</f>
        <v>0.51</v>
      </c>
      <c r="J45" s="46">
        <f aca="true" t="shared" si="15" ref="J45:J50">ROUND(I45+H45+G45,2)</f>
        <v>41.41</v>
      </c>
      <c r="K45" s="44">
        <f aca="true" t="shared" si="16" ref="K45:K50">ROUND(E45*D45,2)</f>
        <v>2.5</v>
      </c>
      <c r="L45" s="47">
        <f aca="true" t="shared" si="17" ref="L45:L50">ROUND(G45*D45,2)</f>
        <v>12.8</v>
      </c>
      <c r="M45" s="47">
        <f aca="true" t="shared" si="18" ref="M45:M50">ROUND(H45*D45,2)</f>
        <v>28.1</v>
      </c>
      <c r="N45" s="47">
        <f aca="true" t="shared" si="19" ref="N45:N50">ROUND(I45*D45,2)</f>
        <v>0.51</v>
      </c>
      <c r="O45" s="47">
        <f aca="true" t="shared" si="20" ref="O45:O50">ROUND(N45+M45+L45,2)</f>
        <v>41.41</v>
      </c>
    </row>
    <row r="46" spans="1:15" ht="15">
      <c r="A46" s="74">
        <v>2</v>
      </c>
      <c r="B46" s="75" t="s">
        <v>204</v>
      </c>
      <c r="C46" s="74" t="s">
        <v>47</v>
      </c>
      <c r="D46" s="74">
        <v>1</v>
      </c>
      <c r="E46" s="44">
        <v>0.5</v>
      </c>
      <c r="F46" s="44">
        <f>Būvniecības_koptame!$L$27</f>
        <v>5.12</v>
      </c>
      <c r="G46" s="44">
        <f t="shared" si="14"/>
        <v>2.56</v>
      </c>
      <c r="H46" s="45">
        <v>17.32</v>
      </c>
      <c r="I46" s="44">
        <f>ROUND(G46*Būvniecības_koptame!$L$28,2)</f>
        <v>0.1</v>
      </c>
      <c r="J46" s="46">
        <f t="shared" si="15"/>
        <v>19.98</v>
      </c>
      <c r="K46" s="44">
        <f t="shared" si="16"/>
        <v>0.5</v>
      </c>
      <c r="L46" s="47">
        <f t="shared" si="17"/>
        <v>2.56</v>
      </c>
      <c r="M46" s="47">
        <f t="shared" si="18"/>
        <v>17.32</v>
      </c>
      <c r="N46" s="47">
        <f t="shared" si="19"/>
        <v>0.1</v>
      </c>
      <c r="O46" s="47">
        <f t="shared" si="20"/>
        <v>19.98</v>
      </c>
    </row>
    <row r="47" spans="1:15" ht="40.5" customHeight="1">
      <c r="A47" s="74">
        <v>3</v>
      </c>
      <c r="B47" s="75" t="s">
        <v>205</v>
      </c>
      <c r="C47" s="74" t="s">
        <v>47</v>
      </c>
      <c r="D47" s="74">
        <v>1</v>
      </c>
      <c r="E47" s="44">
        <v>2.5</v>
      </c>
      <c r="F47" s="44">
        <f>Būvniecības_koptame!$L$27</f>
        <v>5.12</v>
      </c>
      <c r="G47" s="44">
        <f t="shared" si="14"/>
        <v>12.8</v>
      </c>
      <c r="H47" s="45">
        <f>70/1.21</f>
        <v>57.85123966942149</v>
      </c>
      <c r="I47" s="44">
        <f>ROUND(G47*Būvniecības_koptame!$L$28,2)</f>
        <v>0.51</v>
      </c>
      <c r="J47" s="46">
        <f t="shared" si="15"/>
        <v>71.16</v>
      </c>
      <c r="K47" s="44">
        <f t="shared" si="16"/>
        <v>2.5</v>
      </c>
      <c r="L47" s="47">
        <f t="shared" si="17"/>
        <v>12.8</v>
      </c>
      <c r="M47" s="47">
        <f t="shared" si="18"/>
        <v>57.85</v>
      </c>
      <c r="N47" s="47">
        <f t="shared" si="19"/>
        <v>0.51</v>
      </c>
      <c r="O47" s="47">
        <f t="shared" si="20"/>
        <v>71.16</v>
      </c>
    </row>
    <row r="48" spans="1:15" ht="26.25">
      <c r="A48" s="74">
        <v>4</v>
      </c>
      <c r="B48" s="75" t="s">
        <v>206</v>
      </c>
      <c r="C48" s="74" t="s">
        <v>47</v>
      </c>
      <c r="D48" s="74">
        <v>1</v>
      </c>
      <c r="E48" s="44">
        <v>0.5</v>
      </c>
      <c r="F48" s="44">
        <f>Būvniecības_koptame!$L$27</f>
        <v>5.12</v>
      </c>
      <c r="G48" s="44">
        <f t="shared" si="14"/>
        <v>2.56</v>
      </c>
      <c r="H48" s="45">
        <v>26.92</v>
      </c>
      <c r="I48" s="44">
        <f>ROUND(G48*Būvniecības_koptame!$L$28,2)</f>
        <v>0.1</v>
      </c>
      <c r="J48" s="46">
        <f t="shared" si="15"/>
        <v>29.58</v>
      </c>
      <c r="K48" s="44">
        <f t="shared" si="16"/>
        <v>0.5</v>
      </c>
      <c r="L48" s="47">
        <f t="shared" si="17"/>
        <v>2.56</v>
      </c>
      <c r="M48" s="47">
        <f t="shared" si="18"/>
        <v>26.92</v>
      </c>
      <c r="N48" s="47">
        <f t="shared" si="19"/>
        <v>0.1</v>
      </c>
      <c r="O48" s="47">
        <f t="shared" si="20"/>
        <v>29.58</v>
      </c>
    </row>
    <row r="49" spans="1:15" ht="51.75">
      <c r="A49" s="74">
        <v>5</v>
      </c>
      <c r="B49" s="75" t="s">
        <v>207</v>
      </c>
      <c r="C49" s="74" t="s">
        <v>47</v>
      </c>
      <c r="D49" s="74">
        <v>1</v>
      </c>
      <c r="E49" s="44">
        <v>3</v>
      </c>
      <c r="F49" s="44">
        <f>Būvniecības_koptame!$L$27</f>
        <v>5.12</v>
      </c>
      <c r="G49" s="44">
        <f t="shared" si="14"/>
        <v>15.36</v>
      </c>
      <c r="H49" s="45">
        <v>144.3</v>
      </c>
      <c r="I49" s="44">
        <f>ROUND(G49*Būvniecības_koptame!$L$28,2)</f>
        <v>0.61</v>
      </c>
      <c r="J49" s="46">
        <f t="shared" si="15"/>
        <v>160.27</v>
      </c>
      <c r="K49" s="44">
        <f t="shared" si="16"/>
        <v>3</v>
      </c>
      <c r="L49" s="47">
        <f t="shared" si="17"/>
        <v>15.36</v>
      </c>
      <c r="M49" s="47">
        <f t="shared" si="18"/>
        <v>144.3</v>
      </c>
      <c r="N49" s="47">
        <f t="shared" si="19"/>
        <v>0.61</v>
      </c>
      <c r="O49" s="47">
        <f t="shared" si="20"/>
        <v>160.27</v>
      </c>
    </row>
    <row r="50" spans="1:15" ht="15">
      <c r="A50" s="74">
        <v>6</v>
      </c>
      <c r="B50" s="75" t="s">
        <v>188</v>
      </c>
      <c r="C50" s="74" t="s">
        <v>47</v>
      </c>
      <c r="D50" s="74">
        <v>1</v>
      </c>
      <c r="E50" s="44">
        <v>1</v>
      </c>
      <c r="F50" s="44">
        <f>Būvniecības_koptame!$L$27</f>
        <v>5.12</v>
      </c>
      <c r="G50" s="44">
        <f t="shared" si="14"/>
        <v>5.12</v>
      </c>
      <c r="H50" s="45">
        <v>20</v>
      </c>
      <c r="I50" s="44">
        <f>ROUND(G50*Būvniecības_koptame!$L$28,2)</f>
        <v>0.2</v>
      </c>
      <c r="J50" s="46">
        <f t="shared" si="15"/>
        <v>25.32</v>
      </c>
      <c r="K50" s="44">
        <f t="shared" si="16"/>
        <v>1</v>
      </c>
      <c r="L50" s="47">
        <f t="shared" si="17"/>
        <v>5.12</v>
      </c>
      <c r="M50" s="47">
        <f t="shared" si="18"/>
        <v>20</v>
      </c>
      <c r="N50" s="47">
        <f t="shared" si="19"/>
        <v>0.2</v>
      </c>
      <c r="O50" s="47">
        <f t="shared" si="20"/>
        <v>25.32</v>
      </c>
    </row>
    <row r="51" spans="1:15" ht="15">
      <c r="A51" s="40"/>
      <c r="B51" s="41"/>
      <c r="C51" s="42"/>
      <c r="D51" s="43"/>
      <c r="E51" s="44"/>
      <c r="F51" s="44"/>
      <c r="G51" s="44"/>
      <c r="H51" s="45"/>
      <c r="I51" s="44"/>
      <c r="J51" s="46"/>
      <c r="K51" s="44"/>
      <c r="L51" s="47"/>
      <c r="M51" s="47"/>
      <c r="N51" s="47"/>
      <c r="O51" s="47"/>
    </row>
    <row r="52" spans="1:15" ht="15">
      <c r="A52" s="48"/>
      <c r="B52" s="49" t="s">
        <v>53</v>
      </c>
      <c r="C52" s="50"/>
      <c r="D52" s="50"/>
      <c r="E52" s="50"/>
      <c r="F52" s="50"/>
      <c r="G52" s="50"/>
      <c r="H52" s="50"/>
      <c r="I52" s="50"/>
      <c r="J52" s="50"/>
      <c r="K52" s="51">
        <f>SUM(K16:K51)</f>
        <v>64.53</v>
      </c>
      <c r="L52" s="51">
        <f>SUM(L16:L51)</f>
        <v>330.39000000000004</v>
      </c>
      <c r="M52" s="51">
        <f>SUM(M16:M51)</f>
        <v>1125.4099999999999</v>
      </c>
      <c r="N52" s="51">
        <f>SUM(N16:N51)</f>
        <v>13.039999999999996</v>
      </c>
      <c r="O52" s="51">
        <f>SUM(O16:O51)</f>
        <v>1468.8400000000001</v>
      </c>
    </row>
    <row r="53" spans="1:15" ht="15">
      <c r="A53" s="52"/>
      <c r="B53" s="8"/>
      <c r="C53" s="53"/>
      <c r="D53" s="54">
        <v>0.06</v>
      </c>
      <c r="E53" s="171" t="s">
        <v>54</v>
      </c>
      <c r="F53" s="171"/>
      <c r="G53" s="171"/>
      <c r="H53" s="171"/>
      <c r="I53" s="171"/>
      <c r="J53" s="171"/>
      <c r="K53" s="55"/>
      <c r="L53" s="56"/>
      <c r="M53" s="57">
        <f>ROUND(M52*D53,2)</f>
        <v>67.52</v>
      </c>
      <c r="N53" s="56"/>
      <c r="O53" s="58">
        <f>M53</f>
        <v>67.52</v>
      </c>
    </row>
    <row r="54" spans="1:15" ht="15">
      <c r="A54" s="52"/>
      <c r="B54" s="8"/>
      <c r="C54" s="53"/>
      <c r="D54" s="53"/>
      <c r="E54" s="171" t="s">
        <v>55</v>
      </c>
      <c r="F54" s="171"/>
      <c r="G54" s="171"/>
      <c r="H54" s="171"/>
      <c r="I54" s="171"/>
      <c r="J54" s="171"/>
      <c r="K54" s="59"/>
      <c r="L54" s="56">
        <f>ROUND(L53+L52,2)</f>
        <v>330.39</v>
      </c>
      <c r="M54" s="56">
        <f>ROUND(M53+M52,2)</f>
        <v>1192.93</v>
      </c>
      <c r="N54" s="56">
        <f>ROUND(N53+N52,2)</f>
        <v>13.04</v>
      </c>
      <c r="O54" s="56">
        <f>ROUND(N54+M54+L54,2)</f>
        <v>1536.36</v>
      </c>
    </row>
    <row r="55" spans="1:15" ht="15" hidden="1">
      <c r="A55" s="52"/>
      <c r="B55" s="8"/>
      <c r="C55" s="8"/>
      <c r="D55" s="8"/>
      <c r="E55" s="8"/>
      <c r="F55" s="8"/>
      <c r="G55" s="172" t="s">
        <v>56</v>
      </c>
      <c r="H55" s="172"/>
      <c r="I55" s="172"/>
      <c r="J55" s="172"/>
      <c r="K55" s="60">
        <f>Būvniecības_koptame!$L$29</f>
        <v>0.08</v>
      </c>
      <c r="L55" s="61"/>
      <c r="M55" s="61"/>
      <c r="N55" s="61"/>
      <c r="O55" s="62">
        <f>ROUND(O54*K55,2)</f>
        <v>122.91</v>
      </c>
    </row>
    <row r="56" spans="1:15" ht="15" hidden="1">
      <c r="A56" s="52"/>
      <c r="B56" s="8"/>
      <c r="C56" s="8"/>
      <c r="D56" s="8"/>
      <c r="E56" s="8"/>
      <c r="F56" s="8"/>
      <c r="G56" s="171" t="s">
        <v>57</v>
      </c>
      <c r="H56" s="171"/>
      <c r="I56" s="171"/>
      <c r="J56" s="171"/>
      <c r="K56" s="55"/>
      <c r="L56" s="61"/>
      <c r="M56" s="61"/>
      <c r="N56" s="61"/>
      <c r="O56" s="62">
        <f>O55/5</f>
        <v>24.582</v>
      </c>
    </row>
    <row r="57" spans="1:15" ht="15" hidden="1">
      <c r="A57" s="52"/>
      <c r="B57" s="8"/>
      <c r="C57" s="8"/>
      <c r="D57" s="8"/>
      <c r="E57" s="8"/>
      <c r="F57" s="8"/>
      <c r="G57" s="172" t="s">
        <v>58</v>
      </c>
      <c r="H57" s="172"/>
      <c r="I57" s="172"/>
      <c r="J57" s="172"/>
      <c r="K57" s="60">
        <f>Būvniecības_koptame!$L$30</f>
        <v>0.06</v>
      </c>
      <c r="L57" s="61"/>
      <c r="M57" s="61"/>
      <c r="N57" s="61"/>
      <c r="O57" s="62">
        <f>ROUND(O54*K57,2)</f>
        <v>92.18</v>
      </c>
    </row>
    <row r="58" spans="1:15" ht="15" hidden="1">
      <c r="A58" s="52"/>
      <c r="B58" s="8"/>
      <c r="C58" s="8"/>
      <c r="D58" s="8"/>
      <c r="E58" s="8"/>
      <c r="F58" s="8"/>
      <c r="G58" s="172" t="s">
        <v>59</v>
      </c>
      <c r="H58" s="172"/>
      <c r="I58" s="172"/>
      <c r="J58" s="172"/>
      <c r="K58" s="60">
        <v>0.2359</v>
      </c>
      <c r="L58" s="61"/>
      <c r="M58" s="61"/>
      <c r="N58" s="61"/>
      <c r="O58" s="62">
        <f>ROUND(L54*K58,2)</f>
        <v>77.94</v>
      </c>
    </row>
    <row r="59" spans="1:15" ht="15" hidden="1">
      <c r="A59" s="52"/>
      <c r="B59" s="8"/>
      <c r="C59" s="8"/>
      <c r="D59" s="8"/>
      <c r="E59" s="8"/>
      <c r="F59" s="8"/>
      <c r="G59" s="172" t="s">
        <v>60</v>
      </c>
      <c r="H59" s="172"/>
      <c r="I59" s="172"/>
      <c r="J59" s="172"/>
      <c r="K59" s="60"/>
      <c r="L59" s="61"/>
      <c r="M59" s="61"/>
      <c r="N59" s="61"/>
      <c r="O59" s="63">
        <f>ROUND(SUM(O54:O58),2)</f>
        <v>1853.97</v>
      </c>
    </row>
    <row r="60" spans="1:15" ht="15" hidden="1">
      <c r="A60" s="64"/>
      <c r="B60" s="65"/>
      <c r="C60" s="65"/>
      <c r="D60" s="65"/>
      <c r="E60" s="65"/>
      <c r="F60" s="8"/>
      <c r="G60" s="172" t="s">
        <v>61</v>
      </c>
      <c r="H60" s="172"/>
      <c r="I60" s="172"/>
      <c r="J60" s="172"/>
      <c r="K60" s="66">
        <v>0.21</v>
      </c>
      <c r="L60" s="67"/>
      <c r="M60" s="67"/>
      <c r="N60" s="67"/>
      <c r="O60" s="68">
        <f>ROUND(O59*K60,2)</f>
        <v>389.33</v>
      </c>
    </row>
    <row r="61" spans="1:15" ht="15" hidden="1">
      <c r="A61" s="52"/>
      <c r="B61" s="65"/>
      <c r="C61" s="65"/>
      <c r="D61" s="65"/>
      <c r="E61" s="65"/>
      <c r="F61" s="8"/>
      <c r="G61" s="173" t="s">
        <v>62</v>
      </c>
      <c r="H61" s="173"/>
      <c r="I61" s="173"/>
      <c r="J61" s="173"/>
      <c r="K61" s="53"/>
      <c r="L61" s="67"/>
      <c r="M61" s="67"/>
      <c r="N61" s="67"/>
      <c r="O61" s="68">
        <f>ROUND(SUM(O59:O60),2)</f>
        <v>2243.3</v>
      </c>
    </row>
    <row r="64" spans="1:15" ht="15">
      <c r="A64" s="69"/>
      <c r="B64" s="28" t="s">
        <v>259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ht="15">
      <c r="B65" s="71" t="s">
        <v>260</v>
      </c>
    </row>
    <row r="66" ht="15">
      <c r="B66" s="72" t="s">
        <v>257</v>
      </c>
    </row>
    <row r="67" ht="15">
      <c r="B67" s="72" t="s">
        <v>258</v>
      </c>
    </row>
    <row r="68" ht="15">
      <c r="B68" s="72" t="s">
        <v>256</v>
      </c>
    </row>
    <row r="69" ht="15">
      <c r="B69" s="72" t="s">
        <v>261</v>
      </c>
    </row>
    <row r="70" ht="15">
      <c r="B70" s="73" t="s">
        <v>262</v>
      </c>
    </row>
  </sheetData>
  <sheetProtection selectLockedCells="1" selectUnlockedCells="1"/>
  <mergeCells count="14">
    <mergeCell ref="G60:J60"/>
    <mergeCell ref="G61:J61"/>
    <mergeCell ref="E54:J54"/>
    <mergeCell ref="G55:J55"/>
    <mergeCell ref="G56:J56"/>
    <mergeCell ref="G57:J57"/>
    <mergeCell ref="G58:J58"/>
    <mergeCell ref="G59:J59"/>
    <mergeCell ref="A3:O3"/>
    <mergeCell ref="A5:O5"/>
    <mergeCell ref="A6:O6"/>
    <mergeCell ref="E12:J12"/>
    <mergeCell ref="K12:O12"/>
    <mergeCell ref="E53:J53"/>
  </mergeCells>
  <hyperlinks>
    <hyperlink ref="B70" r:id="rId1" display="martins.ziverts@daba.gov.lv"/>
  </hyperlinks>
  <printOptions horizontalCentered="1"/>
  <pageMargins left="0.7086614173228347" right="0.7086614173228347" top="0.7480314960629921" bottom="0.31496062992125984" header="0.5118110236220472" footer="0.5118110236220472"/>
  <pageSetup horizontalDpi="300" verticalDpi="300" orientation="landscape" paperSize="9" scale="72" r:id="rId2"/>
  <rowBreaks count="1" manualBreakCount="1">
    <brk id="2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110" zoomScaleNormal="110" zoomScaleSheetLayoutView="100" workbookViewId="0" topLeftCell="A1">
      <selection activeCell="B34" sqref="B34"/>
    </sheetView>
  </sheetViews>
  <sheetFormatPr defaultColWidth="11.57421875" defaultRowHeight="12.75"/>
  <cols>
    <col min="1" max="1" width="5.00390625" style="27" customWidth="1"/>
    <col min="2" max="2" width="46.00390625" style="27" customWidth="1"/>
    <col min="3" max="11" width="8.7109375" style="27" customWidth="1"/>
    <col min="12" max="12" width="9.7109375" style="27" customWidth="1"/>
    <col min="13" max="13" width="10.140625" style="27" customWidth="1"/>
    <col min="14" max="14" width="8.7109375" style="27" customWidth="1"/>
    <col min="15" max="15" width="9.7109375" style="27" customWidth="1"/>
    <col min="16" max="255" width="8.7109375" style="27" customWidth="1"/>
  </cols>
  <sheetData>
    <row r="1" ht="15">
      <c r="N1" s="27" t="s">
        <v>266</v>
      </c>
    </row>
    <row r="3" spans="1:15" ht="15">
      <c r="A3" s="167" t="s">
        <v>208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68" t="str">
        <f>B15</f>
        <v>Elektroapgāde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">
      <c r="A8" s="8" t="s">
        <v>252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 t="s">
        <v>1</v>
      </c>
      <c r="B9" s="8"/>
      <c r="C9" s="8"/>
      <c r="D9" s="8"/>
      <c r="E9" s="8"/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</row>
    <row r="10" spans="1:15" ht="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 t="s">
        <v>253</v>
      </c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30"/>
      <c r="B12" s="30"/>
      <c r="C12" s="30"/>
      <c r="D12" s="30"/>
      <c r="E12" s="170" t="s">
        <v>16</v>
      </c>
      <c r="F12" s="170"/>
      <c r="G12" s="170"/>
      <c r="H12" s="170"/>
      <c r="I12" s="170"/>
      <c r="J12" s="170"/>
      <c r="K12" s="170" t="s">
        <v>17</v>
      </c>
      <c r="L12" s="170"/>
      <c r="M12" s="170"/>
      <c r="N12" s="170"/>
      <c r="O12" s="170"/>
    </row>
    <row r="13" spans="1:15" ht="56.25" customHeight="1">
      <c r="A13" s="32" t="s">
        <v>3</v>
      </c>
      <c r="B13" s="33" t="s">
        <v>18</v>
      </c>
      <c r="C13" s="32" t="s">
        <v>19</v>
      </c>
      <c r="D13" s="32" t="s">
        <v>20</v>
      </c>
      <c r="E13" s="34" t="s">
        <v>21</v>
      </c>
      <c r="F13" s="34" t="s">
        <v>22</v>
      </c>
      <c r="G13" s="34" t="s">
        <v>23</v>
      </c>
      <c r="H13" s="34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4" t="s">
        <v>29</v>
      </c>
      <c r="N13" s="34" t="s">
        <v>30</v>
      </c>
      <c r="O13" s="34" t="s">
        <v>31</v>
      </c>
    </row>
    <row r="14" spans="1:15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</row>
    <row r="15" spans="1:15" ht="15">
      <c r="A15" s="35"/>
      <c r="B15" s="36" t="s">
        <v>209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26.25">
      <c r="A16" s="74">
        <v>1</v>
      </c>
      <c r="B16" s="75" t="s">
        <v>210</v>
      </c>
      <c r="C16" s="74" t="s">
        <v>34</v>
      </c>
      <c r="D16" s="74">
        <v>164</v>
      </c>
      <c r="E16" s="44">
        <v>0.07</v>
      </c>
      <c r="F16" s="44">
        <f>Būvniecības_koptame!$L$27</f>
        <v>5.12</v>
      </c>
      <c r="G16" s="44">
        <f aca="true" t="shared" si="0" ref="G16:G41">ROUND(F16*E16,2)</f>
        <v>0.36</v>
      </c>
      <c r="H16" s="45">
        <f>0.41/1.21</f>
        <v>0.3388429752066116</v>
      </c>
      <c r="I16" s="44">
        <f>ROUND(G16*Būvniecības_koptame!$L$28,2)</f>
        <v>0.01</v>
      </c>
      <c r="J16" s="46">
        <f aca="true" t="shared" si="1" ref="J16:J41">ROUND(I16+H16+G16,2)</f>
        <v>0.71</v>
      </c>
      <c r="K16" s="44">
        <f aca="true" t="shared" si="2" ref="K16:K41">ROUND(E16*D16,2)</f>
        <v>11.48</v>
      </c>
      <c r="L16" s="47">
        <f aca="true" t="shared" si="3" ref="L16:L41">ROUND(G16*D16,2)</f>
        <v>59.04</v>
      </c>
      <c r="M16" s="47">
        <f aca="true" t="shared" si="4" ref="M16:M41">ROUND(H16*D16,2)</f>
        <v>55.57</v>
      </c>
      <c r="N16" s="47">
        <f aca="true" t="shared" si="5" ref="N16:N41">ROUND(I16*D16,2)</f>
        <v>1.64</v>
      </c>
      <c r="O16" s="47">
        <f aca="true" t="shared" si="6" ref="O16:O41">ROUND(N16+M16+L16,2)</f>
        <v>116.25</v>
      </c>
    </row>
    <row r="17" spans="1:15" ht="26.25">
      <c r="A17" s="74">
        <v>2</v>
      </c>
      <c r="B17" s="75" t="s">
        <v>211</v>
      </c>
      <c r="C17" s="74" t="s">
        <v>34</v>
      </c>
      <c r="D17" s="74">
        <v>40</v>
      </c>
      <c r="E17" s="44">
        <v>0.07</v>
      </c>
      <c r="F17" s="44">
        <f>Būvniecības_koptame!$L$27</f>
        <v>5.12</v>
      </c>
      <c r="G17" s="44">
        <f t="shared" si="0"/>
        <v>0.36</v>
      </c>
      <c r="H17" s="45">
        <f>0.61/1.21</f>
        <v>0.5041322314049587</v>
      </c>
      <c r="I17" s="44">
        <f>ROUND(G17*Būvniecības_koptame!$L$28,2)</f>
        <v>0.01</v>
      </c>
      <c r="J17" s="46">
        <f t="shared" si="1"/>
        <v>0.87</v>
      </c>
      <c r="K17" s="44">
        <f t="shared" si="2"/>
        <v>2.8</v>
      </c>
      <c r="L17" s="47">
        <f t="shared" si="3"/>
        <v>14.4</v>
      </c>
      <c r="M17" s="47">
        <f t="shared" si="4"/>
        <v>20.17</v>
      </c>
      <c r="N17" s="47">
        <f t="shared" si="5"/>
        <v>0.4</v>
      </c>
      <c r="O17" s="47">
        <f t="shared" si="6"/>
        <v>34.97</v>
      </c>
    </row>
    <row r="18" spans="1:15" ht="26.25">
      <c r="A18" s="74">
        <v>3</v>
      </c>
      <c r="B18" s="75" t="s">
        <v>212</v>
      </c>
      <c r="C18" s="74" t="s">
        <v>34</v>
      </c>
      <c r="D18" s="74">
        <v>70</v>
      </c>
      <c r="E18" s="44">
        <v>0.07</v>
      </c>
      <c r="F18" s="44">
        <f>Būvniecības_koptame!$L$27</f>
        <v>5.12</v>
      </c>
      <c r="G18" s="44">
        <f t="shared" si="0"/>
        <v>0.36</v>
      </c>
      <c r="H18" s="45">
        <f>1.19/1.21</f>
        <v>0.9834710743801652</v>
      </c>
      <c r="I18" s="44">
        <f>ROUND(G18*Būvniecības_koptame!$L$28,2)</f>
        <v>0.01</v>
      </c>
      <c r="J18" s="46">
        <f t="shared" si="1"/>
        <v>1.35</v>
      </c>
      <c r="K18" s="44">
        <f t="shared" si="2"/>
        <v>4.9</v>
      </c>
      <c r="L18" s="47">
        <f t="shared" si="3"/>
        <v>25.2</v>
      </c>
      <c r="M18" s="47">
        <f t="shared" si="4"/>
        <v>68.84</v>
      </c>
      <c r="N18" s="47">
        <f t="shared" si="5"/>
        <v>0.7</v>
      </c>
      <c r="O18" s="47">
        <f t="shared" si="6"/>
        <v>94.74</v>
      </c>
    </row>
    <row r="19" spans="1:15" ht="26.25">
      <c r="A19" s="74">
        <v>4</v>
      </c>
      <c r="B19" s="75" t="s">
        <v>213</v>
      </c>
      <c r="C19" s="74" t="s">
        <v>34</v>
      </c>
      <c r="D19" s="74">
        <v>8</v>
      </c>
      <c r="E19" s="44">
        <v>0.07</v>
      </c>
      <c r="F19" s="44">
        <f>Būvniecības_koptame!$L$27</f>
        <v>5.12</v>
      </c>
      <c r="G19" s="44">
        <f t="shared" si="0"/>
        <v>0.36</v>
      </c>
      <c r="H19" s="45">
        <f>5.9/1.21</f>
        <v>4.87603305785124</v>
      </c>
      <c r="I19" s="44">
        <f>ROUND(G19*Būvniecības_koptame!$L$28,2)</f>
        <v>0.01</v>
      </c>
      <c r="J19" s="46">
        <f t="shared" si="1"/>
        <v>5.25</v>
      </c>
      <c r="K19" s="44">
        <f t="shared" si="2"/>
        <v>0.56</v>
      </c>
      <c r="L19" s="47">
        <f t="shared" si="3"/>
        <v>2.88</v>
      </c>
      <c r="M19" s="47">
        <f t="shared" si="4"/>
        <v>39.01</v>
      </c>
      <c r="N19" s="47">
        <f t="shared" si="5"/>
        <v>0.08</v>
      </c>
      <c r="O19" s="47">
        <f t="shared" si="6"/>
        <v>41.97</v>
      </c>
    </row>
    <row r="20" spans="1:15" ht="26.25">
      <c r="A20" s="74">
        <v>5</v>
      </c>
      <c r="B20" s="75" t="s">
        <v>214</v>
      </c>
      <c r="C20" s="74" t="s">
        <v>34</v>
      </c>
      <c r="D20" s="74">
        <v>6</v>
      </c>
      <c r="E20" s="44">
        <v>0.07</v>
      </c>
      <c r="F20" s="44">
        <f>Būvniecības_koptame!$L$27</f>
        <v>5.12</v>
      </c>
      <c r="G20" s="44">
        <f t="shared" si="0"/>
        <v>0.36</v>
      </c>
      <c r="H20" s="45">
        <v>0.7</v>
      </c>
      <c r="I20" s="44">
        <f>ROUND(G20*Būvniecības_koptame!$L$28,2)</f>
        <v>0.01</v>
      </c>
      <c r="J20" s="46">
        <f t="shared" si="1"/>
        <v>1.07</v>
      </c>
      <c r="K20" s="44">
        <f t="shared" si="2"/>
        <v>0.42</v>
      </c>
      <c r="L20" s="47">
        <f t="shared" si="3"/>
        <v>2.16</v>
      </c>
      <c r="M20" s="47">
        <f t="shared" si="4"/>
        <v>4.2</v>
      </c>
      <c r="N20" s="47">
        <f t="shared" si="5"/>
        <v>0.06</v>
      </c>
      <c r="O20" s="47">
        <f t="shared" si="6"/>
        <v>6.42</v>
      </c>
    </row>
    <row r="21" spans="1:15" ht="26.25">
      <c r="A21" s="74">
        <v>6</v>
      </c>
      <c r="B21" s="75" t="s">
        <v>215</v>
      </c>
      <c r="C21" s="74" t="s">
        <v>34</v>
      </c>
      <c r="D21" s="74">
        <v>5</v>
      </c>
      <c r="E21" s="44">
        <v>0.07</v>
      </c>
      <c r="F21" s="44">
        <f>Būvniecības_koptame!$L$27</f>
        <v>5.12</v>
      </c>
      <c r="G21" s="44">
        <f t="shared" si="0"/>
        <v>0.36</v>
      </c>
      <c r="H21" s="45">
        <v>1.65</v>
      </c>
      <c r="I21" s="44">
        <f>ROUND(G21*Būvniecības_koptame!$L$28,2)</f>
        <v>0.01</v>
      </c>
      <c r="J21" s="46">
        <f t="shared" si="1"/>
        <v>2.02</v>
      </c>
      <c r="K21" s="44">
        <f t="shared" si="2"/>
        <v>0.35</v>
      </c>
      <c r="L21" s="47">
        <f t="shared" si="3"/>
        <v>1.8</v>
      </c>
      <c r="M21" s="47">
        <f t="shared" si="4"/>
        <v>8.25</v>
      </c>
      <c r="N21" s="47">
        <f t="shared" si="5"/>
        <v>0.05</v>
      </c>
      <c r="O21" s="47">
        <f t="shared" si="6"/>
        <v>10.1</v>
      </c>
    </row>
    <row r="22" spans="1:15" ht="15">
      <c r="A22" s="74">
        <v>8</v>
      </c>
      <c r="B22" s="75" t="s">
        <v>286</v>
      </c>
      <c r="C22" s="74" t="s">
        <v>34</v>
      </c>
      <c r="D22" s="74">
        <v>243</v>
      </c>
      <c r="E22" s="44">
        <v>0.07</v>
      </c>
      <c r="F22" s="44">
        <f>Būvniecības_koptame!$L$27</f>
        <v>5.12</v>
      </c>
      <c r="G22" s="44">
        <f t="shared" si="0"/>
        <v>0.36</v>
      </c>
      <c r="H22" s="45">
        <v>0.22</v>
      </c>
      <c r="I22" s="44">
        <f>ROUND(G22*Būvniecības_koptame!$L$28,2)</f>
        <v>0.01</v>
      </c>
      <c r="J22" s="46">
        <f t="shared" si="1"/>
        <v>0.59</v>
      </c>
      <c r="K22" s="44">
        <f t="shared" si="2"/>
        <v>17.01</v>
      </c>
      <c r="L22" s="47">
        <f t="shared" si="3"/>
        <v>87.48</v>
      </c>
      <c r="M22" s="47">
        <f t="shared" si="4"/>
        <v>53.46</v>
      </c>
      <c r="N22" s="47">
        <f t="shared" si="5"/>
        <v>2.43</v>
      </c>
      <c r="O22" s="47">
        <f t="shared" si="6"/>
        <v>143.37</v>
      </c>
    </row>
    <row r="23" spans="1:15" ht="15">
      <c r="A23" s="74">
        <v>9</v>
      </c>
      <c r="B23" s="75" t="s">
        <v>216</v>
      </c>
      <c r="C23" s="74" t="s">
        <v>38</v>
      </c>
      <c r="D23" s="74">
        <v>2</v>
      </c>
      <c r="E23" s="44">
        <v>1</v>
      </c>
      <c r="F23" s="44">
        <f>Būvniecības_koptame!$L$27</f>
        <v>5.12</v>
      </c>
      <c r="G23" s="44">
        <f t="shared" si="0"/>
        <v>5.12</v>
      </c>
      <c r="H23" s="45">
        <v>34.6</v>
      </c>
      <c r="I23" s="44">
        <f>ROUND(G23*Būvniecības_koptame!$L$28,2)</f>
        <v>0.2</v>
      </c>
      <c r="J23" s="46">
        <f t="shared" si="1"/>
        <v>39.92</v>
      </c>
      <c r="K23" s="44">
        <f t="shared" si="2"/>
        <v>2</v>
      </c>
      <c r="L23" s="47">
        <f t="shared" si="3"/>
        <v>10.24</v>
      </c>
      <c r="M23" s="47">
        <f t="shared" si="4"/>
        <v>69.2</v>
      </c>
      <c r="N23" s="47">
        <f t="shared" si="5"/>
        <v>0.4</v>
      </c>
      <c r="O23" s="47">
        <f t="shared" si="6"/>
        <v>79.84</v>
      </c>
    </row>
    <row r="24" spans="1:15" ht="15">
      <c r="A24" s="74">
        <v>10</v>
      </c>
      <c r="B24" s="75" t="s">
        <v>217</v>
      </c>
      <c r="C24" s="74" t="s">
        <v>38</v>
      </c>
      <c r="D24" s="74">
        <v>2</v>
      </c>
      <c r="E24" s="44">
        <v>1</v>
      </c>
      <c r="F24" s="44">
        <f>Būvniecības_koptame!$L$27</f>
        <v>5.12</v>
      </c>
      <c r="G24" s="44">
        <f t="shared" si="0"/>
        <v>5.12</v>
      </c>
      <c r="H24" s="45">
        <v>26.5</v>
      </c>
      <c r="I24" s="44">
        <f>ROUND(G24*Būvniecības_koptame!$L$28,2)</f>
        <v>0.2</v>
      </c>
      <c r="J24" s="46">
        <f t="shared" si="1"/>
        <v>31.82</v>
      </c>
      <c r="K24" s="44">
        <f t="shared" si="2"/>
        <v>2</v>
      </c>
      <c r="L24" s="47">
        <f t="shared" si="3"/>
        <v>10.24</v>
      </c>
      <c r="M24" s="47">
        <f t="shared" si="4"/>
        <v>53</v>
      </c>
      <c r="N24" s="47">
        <f t="shared" si="5"/>
        <v>0.4</v>
      </c>
      <c r="O24" s="47">
        <f t="shared" si="6"/>
        <v>63.64</v>
      </c>
    </row>
    <row r="25" spans="1:15" ht="15">
      <c r="A25" s="74">
        <v>11</v>
      </c>
      <c r="B25" s="75" t="s">
        <v>218</v>
      </c>
      <c r="C25" s="74" t="s">
        <v>38</v>
      </c>
      <c r="D25" s="74">
        <v>3</v>
      </c>
      <c r="E25" s="44">
        <v>1</v>
      </c>
      <c r="F25" s="44">
        <f>Būvniecības_koptame!$L$27</f>
        <v>5.12</v>
      </c>
      <c r="G25" s="44">
        <f t="shared" si="0"/>
        <v>5.12</v>
      </c>
      <c r="H25" s="45">
        <v>20.43</v>
      </c>
      <c r="I25" s="44">
        <f>ROUND(G25*Būvniecības_koptame!$L$28,2)</f>
        <v>0.2</v>
      </c>
      <c r="J25" s="46">
        <f t="shared" si="1"/>
        <v>25.75</v>
      </c>
      <c r="K25" s="44">
        <f t="shared" si="2"/>
        <v>3</v>
      </c>
      <c r="L25" s="47">
        <f t="shared" si="3"/>
        <v>15.36</v>
      </c>
      <c r="M25" s="47">
        <f t="shared" si="4"/>
        <v>61.29</v>
      </c>
      <c r="N25" s="47">
        <f t="shared" si="5"/>
        <v>0.6</v>
      </c>
      <c r="O25" s="47">
        <f t="shared" si="6"/>
        <v>77.25</v>
      </c>
    </row>
    <row r="26" spans="1:15" ht="15">
      <c r="A26" s="74">
        <v>12</v>
      </c>
      <c r="B26" s="75" t="s">
        <v>219</v>
      </c>
      <c r="C26" s="74" t="s">
        <v>38</v>
      </c>
      <c r="D26" s="74">
        <v>5</v>
      </c>
      <c r="E26" s="44">
        <v>1</v>
      </c>
      <c r="F26" s="44">
        <f>Būvniecības_koptame!$L$27</f>
        <v>5.12</v>
      </c>
      <c r="G26" s="44">
        <f t="shared" si="0"/>
        <v>5.12</v>
      </c>
      <c r="H26" s="45">
        <v>12.43</v>
      </c>
      <c r="I26" s="44">
        <f>ROUND(G26*Būvniecības_koptame!$L$28,2)</f>
        <v>0.2</v>
      </c>
      <c r="J26" s="46">
        <f t="shared" si="1"/>
        <v>17.75</v>
      </c>
      <c r="K26" s="44">
        <f t="shared" si="2"/>
        <v>5</v>
      </c>
      <c r="L26" s="47">
        <f t="shared" si="3"/>
        <v>25.6</v>
      </c>
      <c r="M26" s="47">
        <f t="shared" si="4"/>
        <v>62.15</v>
      </c>
      <c r="N26" s="47">
        <f t="shared" si="5"/>
        <v>1</v>
      </c>
      <c r="O26" s="47">
        <f t="shared" si="6"/>
        <v>88.75</v>
      </c>
    </row>
    <row r="27" spans="1:15" ht="15">
      <c r="A27" s="74">
        <v>13</v>
      </c>
      <c r="B27" s="75" t="s">
        <v>220</v>
      </c>
      <c r="C27" s="74" t="s">
        <v>38</v>
      </c>
      <c r="D27" s="74">
        <v>4</v>
      </c>
      <c r="E27" s="44">
        <v>1</v>
      </c>
      <c r="F27" s="44">
        <f>Būvniecības_koptame!$L$27</f>
        <v>5.12</v>
      </c>
      <c r="G27" s="44">
        <f t="shared" si="0"/>
        <v>5.12</v>
      </c>
      <c r="H27" s="45">
        <v>16.2</v>
      </c>
      <c r="I27" s="44">
        <f>ROUND(G27*Būvniecības_koptame!$L$28,2)</f>
        <v>0.2</v>
      </c>
      <c r="J27" s="46">
        <f t="shared" si="1"/>
        <v>21.52</v>
      </c>
      <c r="K27" s="44">
        <f t="shared" si="2"/>
        <v>4</v>
      </c>
      <c r="L27" s="47">
        <f t="shared" si="3"/>
        <v>20.48</v>
      </c>
      <c r="M27" s="47">
        <f t="shared" si="4"/>
        <v>64.8</v>
      </c>
      <c r="N27" s="47">
        <f t="shared" si="5"/>
        <v>0.8</v>
      </c>
      <c r="O27" s="47">
        <f t="shared" si="6"/>
        <v>86.08</v>
      </c>
    </row>
    <row r="28" spans="1:15" ht="26.25">
      <c r="A28" s="74">
        <v>14</v>
      </c>
      <c r="B28" s="75" t="s">
        <v>221</v>
      </c>
      <c r="C28" s="74" t="s">
        <v>38</v>
      </c>
      <c r="D28" s="74">
        <v>2</v>
      </c>
      <c r="E28" s="44">
        <v>1</v>
      </c>
      <c r="F28" s="44">
        <f>Būvniecības_koptame!$L$27</f>
        <v>5.12</v>
      </c>
      <c r="G28" s="44">
        <f t="shared" si="0"/>
        <v>5.12</v>
      </c>
      <c r="H28" s="45">
        <v>19.32</v>
      </c>
      <c r="I28" s="44">
        <f>ROUND(G28*Būvniecības_koptame!$L$28,2)</f>
        <v>0.2</v>
      </c>
      <c r="J28" s="46">
        <f t="shared" si="1"/>
        <v>24.64</v>
      </c>
      <c r="K28" s="44">
        <f t="shared" si="2"/>
        <v>2</v>
      </c>
      <c r="L28" s="47">
        <f t="shared" si="3"/>
        <v>10.24</v>
      </c>
      <c r="M28" s="47">
        <f t="shared" si="4"/>
        <v>38.64</v>
      </c>
      <c r="N28" s="47">
        <f t="shared" si="5"/>
        <v>0.4</v>
      </c>
      <c r="O28" s="47">
        <f t="shared" si="6"/>
        <v>49.28</v>
      </c>
    </row>
    <row r="29" spans="1:15" ht="15">
      <c r="A29" s="74">
        <v>15</v>
      </c>
      <c r="B29" s="75" t="s">
        <v>222</v>
      </c>
      <c r="C29" s="74" t="s">
        <v>38</v>
      </c>
      <c r="D29" s="74">
        <v>2</v>
      </c>
      <c r="E29" s="44">
        <v>1</v>
      </c>
      <c r="F29" s="44">
        <f>Būvniecības_koptame!$L$27</f>
        <v>5.12</v>
      </c>
      <c r="G29" s="44">
        <f t="shared" si="0"/>
        <v>5.12</v>
      </c>
      <c r="H29" s="45">
        <v>17.46</v>
      </c>
      <c r="I29" s="44">
        <f>ROUND(G29*Būvniecības_koptame!$L$28,2)</f>
        <v>0.2</v>
      </c>
      <c r="J29" s="46">
        <f t="shared" si="1"/>
        <v>22.78</v>
      </c>
      <c r="K29" s="44">
        <f t="shared" si="2"/>
        <v>2</v>
      </c>
      <c r="L29" s="47">
        <f t="shared" si="3"/>
        <v>10.24</v>
      </c>
      <c r="M29" s="47">
        <f t="shared" si="4"/>
        <v>34.92</v>
      </c>
      <c r="N29" s="47">
        <f t="shared" si="5"/>
        <v>0.4</v>
      </c>
      <c r="O29" s="47">
        <f t="shared" si="6"/>
        <v>45.56</v>
      </c>
    </row>
    <row r="30" spans="1:15" ht="15">
      <c r="A30" s="74">
        <v>16</v>
      </c>
      <c r="B30" s="75" t="s">
        <v>287</v>
      </c>
      <c r="C30" s="74" t="s">
        <v>38</v>
      </c>
      <c r="D30" s="74">
        <v>13</v>
      </c>
      <c r="E30" s="44">
        <v>1</v>
      </c>
      <c r="F30" s="44">
        <f>Būvniecības_koptame!$L$27</f>
        <v>5.12</v>
      </c>
      <c r="G30" s="44">
        <f t="shared" si="0"/>
        <v>5.12</v>
      </c>
      <c r="H30" s="45">
        <v>2.56</v>
      </c>
      <c r="I30" s="44">
        <f>ROUND(G30*Būvniecības_koptame!$L$28,2)</f>
        <v>0.2</v>
      </c>
      <c r="J30" s="46">
        <f t="shared" si="1"/>
        <v>7.88</v>
      </c>
      <c r="K30" s="44">
        <f t="shared" si="2"/>
        <v>13</v>
      </c>
      <c r="L30" s="47">
        <f t="shared" si="3"/>
        <v>66.56</v>
      </c>
      <c r="M30" s="47">
        <f t="shared" si="4"/>
        <v>33.28</v>
      </c>
      <c r="N30" s="47">
        <f t="shared" si="5"/>
        <v>2.6</v>
      </c>
      <c r="O30" s="47">
        <f t="shared" si="6"/>
        <v>102.44</v>
      </c>
    </row>
    <row r="31" spans="1:15" ht="15">
      <c r="A31" s="74">
        <v>17</v>
      </c>
      <c r="B31" s="75" t="s">
        <v>223</v>
      </c>
      <c r="C31" s="74" t="s">
        <v>38</v>
      </c>
      <c r="D31" s="74">
        <v>2</v>
      </c>
      <c r="E31" s="44">
        <v>1</v>
      </c>
      <c r="F31" s="44">
        <f>Būvniecības_koptame!$L$27</f>
        <v>5.12</v>
      </c>
      <c r="G31" s="44">
        <f t="shared" si="0"/>
        <v>5.12</v>
      </c>
      <c r="H31" s="45">
        <v>26.3</v>
      </c>
      <c r="I31" s="44">
        <f>ROUND(G31*Būvniecības_koptame!$L$28,2)</f>
        <v>0.2</v>
      </c>
      <c r="J31" s="46">
        <f t="shared" si="1"/>
        <v>31.62</v>
      </c>
      <c r="K31" s="44">
        <f t="shared" si="2"/>
        <v>2</v>
      </c>
      <c r="L31" s="47">
        <f t="shared" si="3"/>
        <v>10.24</v>
      </c>
      <c r="M31" s="47">
        <f t="shared" si="4"/>
        <v>52.6</v>
      </c>
      <c r="N31" s="47">
        <f t="shared" si="5"/>
        <v>0.4</v>
      </c>
      <c r="O31" s="47">
        <f t="shared" si="6"/>
        <v>63.24</v>
      </c>
    </row>
    <row r="32" spans="1:15" ht="15">
      <c r="A32" s="74">
        <v>18</v>
      </c>
      <c r="B32" s="75" t="s">
        <v>224</v>
      </c>
      <c r="C32" s="74" t="s">
        <v>38</v>
      </c>
      <c r="D32" s="74">
        <v>1</v>
      </c>
      <c r="E32" s="44">
        <v>8</v>
      </c>
      <c r="F32" s="44">
        <f>Būvniecības_koptame!$L$27</f>
        <v>5.12</v>
      </c>
      <c r="G32" s="44">
        <f t="shared" si="0"/>
        <v>40.96</v>
      </c>
      <c r="H32" s="45">
        <v>80</v>
      </c>
      <c r="I32" s="44">
        <f>ROUND(G32*Būvniecības_koptame!$L$28,2)</f>
        <v>1.64</v>
      </c>
      <c r="J32" s="46">
        <f t="shared" si="1"/>
        <v>122.6</v>
      </c>
      <c r="K32" s="44">
        <f t="shared" si="2"/>
        <v>8</v>
      </c>
      <c r="L32" s="47">
        <f t="shared" si="3"/>
        <v>40.96</v>
      </c>
      <c r="M32" s="47">
        <f t="shared" si="4"/>
        <v>80</v>
      </c>
      <c r="N32" s="47">
        <f t="shared" si="5"/>
        <v>1.64</v>
      </c>
      <c r="O32" s="47">
        <f t="shared" si="6"/>
        <v>122.6</v>
      </c>
    </row>
    <row r="33" spans="1:15" ht="15">
      <c r="A33" s="74">
        <v>19</v>
      </c>
      <c r="B33" s="75" t="s">
        <v>224</v>
      </c>
      <c r="C33" s="74" t="s">
        <v>38</v>
      </c>
      <c r="D33" s="74">
        <v>2</v>
      </c>
      <c r="E33" s="44">
        <v>4</v>
      </c>
      <c r="F33" s="44">
        <f>Būvniecības_koptame!$L$27</f>
        <v>5.12</v>
      </c>
      <c r="G33" s="44">
        <f t="shared" si="0"/>
        <v>20.48</v>
      </c>
      <c r="H33" s="45">
        <v>35</v>
      </c>
      <c r="I33" s="44">
        <f>ROUND(G33*Būvniecības_koptame!$L$28,2)</f>
        <v>0.82</v>
      </c>
      <c r="J33" s="46">
        <f t="shared" si="1"/>
        <v>56.3</v>
      </c>
      <c r="K33" s="44">
        <f t="shared" si="2"/>
        <v>8</v>
      </c>
      <c r="L33" s="47">
        <f t="shared" si="3"/>
        <v>40.96</v>
      </c>
      <c r="M33" s="47">
        <f t="shared" si="4"/>
        <v>70</v>
      </c>
      <c r="N33" s="47">
        <f t="shared" si="5"/>
        <v>1.64</v>
      </c>
      <c r="O33" s="47">
        <f t="shared" si="6"/>
        <v>112.6</v>
      </c>
    </row>
    <row r="34" spans="1:15" ht="15">
      <c r="A34" s="74">
        <v>20</v>
      </c>
      <c r="B34" s="75" t="s">
        <v>288</v>
      </c>
      <c r="C34" s="74" t="s">
        <v>38</v>
      </c>
      <c r="D34" s="74">
        <v>1</v>
      </c>
      <c r="E34" s="44">
        <v>1</v>
      </c>
      <c r="F34" s="44">
        <f>Būvniecības_koptame!$L$27</f>
        <v>5.12</v>
      </c>
      <c r="G34" s="44">
        <f t="shared" si="0"/>
        <v>5.12</v>
      </c>
      <c r="H34" s="45">
        <v>12.63</v>
      </c>
      <c r="I34" s="44">
        <f>ROUND(G34*Būvniecības_koptame!$L$28,2)</f>
        <v>0.2</v>
      </c>
      <c r="J34" s="46">
        <f t="shared" si="1"/>
        <v>17.95</v>
      </c>
      <c r="K34" s="44">
        <f t="shared" si="2"/>
        <v>1</v>
      </c>
      <c r="L34" s="47">
        <f t="shared" si="3"/>
        <v>5.12</v>
      </c>
      <c r="M34" s="47">
        <f t="shared" si="4"/>
        <v>12.63</v>
      </c>
      <c r="N34" s="47">
        <f t="shared" si="5"/>
        <v>0.2</v>
      </c>
      <c r="O34" s="47">
        <f t="shared" si="6"/>
        <v>17.95</v>
      </c>
    </row>
    <row r="35" spans="1:15" ht="15">
      <c r="A35" s="74">
        <v>21</v>
      </c>
      <c r="B35" s="75" t="s">
        <v>225</v>
      </c>
      <c r="C35" s="74" t="s">
        <v>38</v>
      </c>
      <c r="D35" s="74">
        <v>20</v>
      </c>
      <c r="E35" s="44">
        <v>1</v>
      </c>
      <c r="F35" s="44">
        <f>Būvniecības_koptame!$L$27</f>
        <v>5.12</v>
      </c>
      <c r="G35" s="44">
        <f t="shared" si="0"/>
        <v>5.12</v>
      </c>
      <c r="H35" s="45">
        <v>2.56</v>
      </c>
      <c r="I35" s="44">
        <f>ROUND(G35*Būvniecības_koptame!$L$28,2)</f>
        <v>0.2</v>
      </c>
      <c r="J35" s="46">
        <f t="shared" si="1"/>
        <v>7.88</v>
      </c>
      <c r="K35" s="44">
        <f t="shared" si="2"/>
        <v>20</v>
      </c>
      <c r="L35" s="47">
        <f t="shared" si="3"/>
        <v>102.4</v>
      </c>
      <c r="M35" s="47">
        <f t="shared" si="4"/>
        <v>51.2</v>
      </c>
      <c r="N35" s="47">
        <f t="shared" si="5"/>
        <v>4</v>
      </c>
      <c r="O35" s="47">
        <f t="shared" si="6"/>
        <v>157.6</v>
      </c>
    </row>
    <row r="36" spans="1:15" ht="15">
      <c r="A36" s="74">
        <v>22</v>
      </c>
      <c r="B36" s="75" t="s">
        <v>226</v>
      </c>
      <c r="C36" s="74" t="s">
        <v>47</v>
      </c>
      <c r="D36" s="74">
        <v>3</v>
      </c>
      <c r="E36" s="44">
        <v>1</v>
      </c>
      <c r="F36" s="44">
        <f>Būvniecības_koptame!$L$27</f>
        <v>5.12</v>
      </c>
      <c r="G36" s="44">
        <f t="shared" si="0"/>
        <v>5.12</v>
      </c>
      <c r="H36" s="45">
        <v>15.63</v>
      </c>
      <c r="I36" s="44">
        <f>ROUND(G36*Būvniecības_koptame!$L$28,2)</f>
        <v>0.2</v>
      </c>
      <c r="J36" s="46">
        <f t="shared" si="1"/>
        <v>20.95</v>
      </c>
      <c r="K36" s="44">
        <f t="shared" si="2"/>
        <v>3</v>
      </c>
      <c r="L36" s="47">
        <f t="shared" si="3"/>
        <v>15.36</v>
      </c>
      <c r="M36" s="47">
        <f t="shared" si="4"/>
        <v>46.89</v>
      </c>
      <c r="N36" s="47">
        <f t="shared" si="5"/>
        <v>0.6</v>
      </c>
      <c r="O36" s="47">
        <f t="shared" si="6"/>
        <v>62.85</v>
      </c>
    </row>
    <row r="37" spans="1:15" ht="15">
      <c r="A37" s="74">
        <v>23</v>
      </c>
      <c r="B37" s="75" t="s">
        <v>227</v>
      </c>
      <c r="C37" s="74" t="s">
        <v>47</v>
      </c>
      <c r="D37" s="74">
        <v>1</v>
      </c>
      <c r="E37" s="44">
        <v>2</v>
      </c>
      <c r="F37" s="44">
        <f>Būvniecības_koptame!$L$27</f>
        <v>5.12</v>
      </c>
      <c r="G37" s="44">
        <f t="shared" si="0"/>
        <v>10.24</v>
      </c>
      <c r="H37" s="45">
        <f>50/1.21</f>
        <v>41.32231404958678</v>
      </c>
      <c r="I37" s="44">
        <f>ROUND(G37*Būvniecības_koptame!$L$28,2)</f>
        <v>0.41</v>
      </c>
      <c r="J37" s="46">
        <f t="shared" si="1"/>
        <v>51.97</v>
      </c>
      <c r="K37" s="44">
        <f t="shared" si="2"/>
        <v>2</v>
      </c>
      <c r="L37" s="47">
        <f t="shared" si="3"/>
        <v>10.24</v>
      </c>
      <c r="M37" s="47">
        <f t="shared" si="4"/>
        <v>41.32</v>
      </c>
      <c r="N37" s="47">
        <f t="shared" si="5"/>
        <v>0.41</v>
      </c>
      <c r="O37" s="47">
        <f t="shared" si="6"/>
        <v>51.97</v>
      </c>
    </row>
    <row r="38" spans="1:15" ht="15">
      <c r="A38" s="74">
        <v>24</v>
      </c>
      <c r="B38" s="75" t="s">
        <v>228</v>
      </c>
      <c r="C38" s="74" t="s">
        <v>47</v>
      </c>
      <c r="D38" s="74">
        <v>1</v>
      </c>
      <c r="E38" s="44">
        <v>2</v>
      </c>
      <c r="F38" s="44">
        <f>Būvniecības_koptame!$L$27</f>
        <v>5.12</v>
      </c>
      <c r="G38" s="44">
        <f t="shared" si="0"/>
        <v>10.24</v>
      </c>
      <c r="H38" s="45">
        <f>49/1.21</f>
        <v>40.49586776859504</v>
      </c>
      <c r="I38" s="44">
        <f>ROUND(G38*Būvniecības_koptame!$L$28,2)</f>
        <v>0.41</v>
      </c>
      <c r="J38" s="46">
        <f t="shared" si="1"/>
        <v>51.15</v>
      </c>
      <c r="K38" s="44">
        <f t="shared" si="2"/>
        <v>2</v>
      </c>
      <c r="L38" s="47">
        <f t="shared" si="3"/>
        <v>10.24</v>
      </c>
      <c r="M38" s="47">
        <f t="shared" si="4"/>
        <v>40.5</v>
      </c>
      <c r="N38" s="47">
        <f t="shared" si="5"/>
        <v>0.41</v>
      </c>
      <c r="O38" s="47">
        <f t="shared" si="6"/>
        <v>51.15</v>
      </c>
    </row>
    <row r="39" spans="1:15" ht="15">
      <c r="A39" s="74">
        <v>25</v>
      </c>
      <c r="B39" s="75" t="s">
        <v>229</v>
      </c>
      <c r="C39" s="74" t="s">
        <v>47</v>
      </c>
      <c r="D39" s="74">
        <v>1</v>
      </c>
      <c r="E39" s="44">
        <v>2</v>
      </c>
      <c r="F39" s="44">
        <f>Būvniecības_koptame!$L$27</f>
        <v>5.12</v>
      </c>
      <c r="G39" s="44">
        <f t="shared" si="0"/>
        <v>10.24</v>
      </c>
      <c r="H39" s="45">
        <f>47/1.21</f>
        <v>38.84297520661157</v>
      </c>
      <c r="I39" s="44">
        <f>ROUND(G39*Būvniecības_koptame!$L$28,2)</f>
        <v>0.41</v>
      </c>
      <c r="J39" s="46">
        <f t="shared" si="1"/>
        <v>49.49</v>
      </c>
      <c r="K39" s="44">
        <f t="shared" si="2"/>
        <v>2</v>
      </c>
      <c r="L39" s="47">
        <f t="shared" si="3"/>
        <v>10.24</v>
      </c>
      <c r="M39" s="47">
        <f t="shared" si="4"/>
        <v>38.84</v>
      </c>
      <c r="N39" s="47">
        <f t="shared" si="5"/>
        <v>0.41</v>
      </c>
      <c r="O39" s="47">
        <f t="shared" si="6"/>
        <v>49.49</v>
      </c>
    </row>
    <row r="40" spans="1:15" ht="15">
      <c r="A40" s="74">
        <v>26</v>
      </c>
      <c r="B40" s="75" t="s">
        <v>230</v>
      </c>
      <c r="C40" s="74" t="s">
        <v>47</v>
      </c>
      <c r="D40" s="74">
        <v>1</v>
      </c>
      <c r="E40" s="44">
        <v>12</v>
      </c>
      <c r="F40" s="44">
        <f>Būvniecības_koptame!$L$27</f>
        <v>5.12</v>
      </c>
      <c r="G40" s="44">
        <f t="shared" si="0"/>
        <v>61.44</v>
      </c>
      <c r="H40" s="45">
        <v>10</v>
      </c>
      <c r="I40" s="44">
        <f>ROUND(G40*Būvniecības_koptame!$L$28,2)</f>
        <v>2.46</v>
      </c>
      <c r="J40" s="46">
        <f t="shared" si="1"/>
        <v>73.9</v>
      </c>
      <c r="K40" s="44">
        <f t="shared" si="2"/>
        <v>12</v>
      </c>
      <c r="L40" s="47">
        <f t="shared" si="3"/>
        <v>61.44</v>
      </c>
      <c r="M40" s="47">
        <f t="shared" si="4"/>
        <v>10</v>
      </c>
      <c r="N40" s="47">
        <f t="shared" si="5"/>
        <v>2.46</v>
      </c>
      <c r="O40" s="47">
        <f t="shared" si="6"/>
        <v>73.9</v>
      </c>
    </row>
    <row r="41" spans="1:15" ht="15">
      <c r="A41" s="74">
        <v>27</v>
      </c>
      <c r="B41" s="75" t="s">
        <v>231</v>
      </c>
      <c r="C41" s="74" t="s">
        <v>47</v>
      </c>
      <c r="D41" s="74">
        <v>1</v>
      </c>
      <c r="E41" s="44">
        <v>1</v>
      </c>
      <c r="F41" s="44">
        <f>Būvniecības_koptame!$L$27</f>
        <v>5.12</v>
      </c>
      <c r="G41" s="44">
        <f t="shared" si="0"/>
        <v>5.12</v>
      </c>
      <c r="H41" s="45">
        <v>60</v>
      </c>
      <c r="I41" s="44">
        <f>ROUND(G41*Būvniecības_koptame!$L$28,2)</f>
        <v>0.2</v>
      </c>
      <c r="J41" s="46">
        <f t="shared" si="1"/>
        <v>65.32</v>
      </c>
      <c r="K41" s="44">
        <f t="shared" si="2"/>
        <v>1</v>
      </c>
      <c r="L41" s="47">
        <f t="shared" si="3"/>
        <v>5.12</v>
      </c>
      <c r="M41" s="47">
        <f t="shared" si="4"/>
        <v>60</v>
      </c>
      <c r="N41" s="47">
        <f t="shared" si="5"/>
        <v>0.2</v>
      </c>
      <c r="O41" s="47">
        <f t="shared" si="6"/>
        <v>65.32</v>
      </c>
    </row>
    <row r="42" spans="1:15" ht="15">
      <c r="A42" s="40"/>
      <c r="B42" s="41"/>
      <c r="C42" s="42"/>
      <c r="D42" s="43"/>
      <c r="E42" s="44"/>
      <c r="F42" s="44"/>
      <c r="G42" s="44"/>
      <c r="H42" s="45"/>
      <c r="I42" s="44"/>
      <c r="J42" s="46"/>
      <c r="K42" s="44"/>
      <c r="L42" s="47"/>
      <c r="M42" s="47"/>
      <c r="N42" s="47"/>
      <c r="O42" s="47"/>
    </row>
    <row r="43" spans="1:15" ht="15">
      <c r="A43" s="48"/>
      <c r="B43" s="49" t="s">
        <v>53</v>
      </c>
      <c r="C43" s="50"/>
      <c r="D43" s="50"/>
      <c r="E43" s="50"/>
      <c r="F43" s="50"/>
      <c r="G43" s="50"/>
      <c r="H43" s="50"/>
      <c r="I43" s="50"/>
      <c r="J43" s="50"/>
      <c r="K43" s="51">
        <f>SUM(K16:K42)</f>
        <v>131.52</v>
      </c>
      <c r="L43" s="51">
        <f>SUM(L16:L42)</f>
        <v>674.2400000000001</v>
      </c>
      <c r="M43" s="51">
        <f>SUM(M16:M42)</f>
        <v>1170.76</v>
      </c>
      <c r="N43" s="51">
        <f>SUM(N16:N42)</f>
        <v>24.330000000000005</v>
      </c>
      <c r="O43" s="51">
        <f>SUM(O16:O42)</f>
        <v>1869.33</v>
      </c>
    </row>
    <row r="44" spans="1:15" ht="15">
      <c r="A44" s="52"/>
      <c r="B44" s="8"/>
      <c r="C44" s="53"/>
      <c r="D44" s="54">
        <v>0.06</v>
      </c>
      <c r="E44" s="171" t="s">
        <v>54</v>
      </c>
      <c r="F44" s="171"/>
      <c r="G44" s="171"/>
      <c r="H44" s="171"/>
      <c r="I44" s="171"/>
      <c r="J44" s="171"/>
      <c r="K44" s="55"/>
      <c r="L44" s="56"/>
      <c r="M44" s="57">
        <f>ROUND(M43*D44,2)</f>
        <v>70.25</v>
      </c>
      <c r="N44" s="56"/>
      <c r="O44" s="58">
        <f>M44</f>
        <v>70.25</v>
      </c>
    </row>
    <row r="45" spans="1:15" ht="15">
      <c r="A45" s="52"/>
      <c r="B45" s="8"/>
      <c r="C45" s="53"/>
      <c r="D45" s="53"/>
      <c r="E45" s="171" t="s">
        <v>55</v>
      </c>
      <c r="F45" s="171"/>
      <c r="G45" s="171"/>
      <c r="H45" s="171"/>
      <c r="I45" s="171"/>
      <c r="J45" s="171"/>
      <c r="K45" s="59"/>
      <c r="L45" s="56">
        <f>ROUND(L44+L43,2)</f>
        <v>674.24</v>
      </c>
      <c r="M45" s="56">
        <f>ROUND(M44+M43,2)</f>
        <v>1241.01</v>
      </c>
      <c r="N45" s="56">
        <f>ROUND(N44+N43,2)</f>
        <v>24.33</v>
      </c>
      <c r="O45" s="56">
        <f>ROUND(N45+M45+L45,2)</f>
        <v>1939.58</v>
      </c>
    </row>
    <row r="46" spans="1:15" ht="15" hidden="1">
      <c r="A46" s="52"/>
      <c r="B46" s="8"/>
      <c r="C46" s="8"/>
      <c r="D46" s="8"/>
      <c r="E46" s="8"/>
      <c r="F46" s="8"/>
      <c r="G46" s="172" t="s">
        <v>56</v>
      </c>
      <c r="H46" s="172"/>
      <c r="I46" s="172"/>
      <c r="J46" s="172"/>
      <c r="K46" s="60">
        <f>Būvniecības_koptame!$L$29</f>
        <v>0.08</v>
      </c>
      <c r="L46" s="61"/>
      <c r="M46" s="61"/>
      <c r="N46" s="61"/>
      <c r="O46" s="62">
        <f>ROUND(O45*K46,2)</f>
        <v>155.17</v>
      </c>
    </row>
    <row r="47" spans="1:15" ht="15" hidden="1">
      <c r="A47" s="52"/>
      <c r="B47" s="8"/>
      <c r="C47" s="8"/>
      <c r="D47" s="8"/>
      <c r="E47" s="8"/>
      <c r="F47" s="8"/>
      <c r="G47" s="171" t="s">
        <v>57</v>
      </c>
      <c r="H47" s="171"/>
      <c r="I47" s="171"/>
      <c r="J47" s="171"/>
      <c r="K47" s="55"/>
      <c r="L47" s="61"/>
      <c r="M47" s="61"/>
      <c r="N47" s="61"/>
      <c r="O47" s="62">
        <f>O46/5</f>
        <v>31.034</v>
      </c>
    </row>
    <row r="48" spans="1:15" ht="15" hidden="1">
      <c r="A48" s="52"/>
      <c r="B48" s="8"/>
      <c r="C48" s="8"/>
      <c r="D48" s="8"/>
      <c r="E48" s="8"/>
      <c r="F48" s="8"/>
      <c r="G48" s="172" t="s">
        <v>58</v>
      </c>
      <c r="H48" s="172"/>
      <c r="I48" s="172"/>
      <c r="J48" s="172"/>
      <c r="K48" s="60">
        <f>Būvniecības_koptame!$L$30</f>
        <v>0.06</v>
      </c>
      <c r="L48" s="61"/>
      <c r="M48" s="61"/>
      <c r="N48" s="61"/>
      <c r="O48" s="62">
        <f>ROUND(O45*K48,2)</f>
        <v>116.37</v>
      </c>
    </row>
    <row r="49" spans="1:15" ht="15" hidden="1">
      <c r="A49" s="52"/>
      <c r="B49" s="8"/>
      <c r="C49" s="8"/>
      <c r="D49" s="8"/>
      <c r="E49" s="8"/>
      <c r="F49" s="8"/>
      <c r="G49" s="172" t="s">
        <v>59</v>
      </c>
      <c r="H49" s="172"/>
      <c r="I49" s="172"/>
      <c r="J49" s="172"/>
      <c r="K49" s="60">
        <v>0.2359</v>
      </c>
      <c r="L49" s="61"/>
      <c r="M49" s="61"/>
      <c r="N49" s="61"/>
      <c r="O49" s="62">
        <f>ROUND(L45*K49,2)</f>
        <v>159.05</v>
      </c>
    </row>
    <row r="50" spans="1:15" ht="15" hidden="1">
      <c r="A50" s="52"/>
      <c r="B50" s="8"/>
      <c r="C50" s="8"/>
      <c r="D50" s="8"/>
      <c r="E50" s="8"/>
      <c r="F50" s="8"/>
      <c r="G50" s="172" t="s">
        <v>60</v>
      </c>
      <c r="H50" s="172"/>
      <c r="I50" s="172"/>
      <c r="J50" s="172"/>
      <c r="K50" s="60"/>
      <c r="L50" s="61"/>
      <c r="M50" s="61"/>
      <c r="N50" s="61"/>
      <c r="O50" s="63">
        <f>ROUND(SUM(O45:O49),2)</f>
        <v>2401.2</v>
      </c>
    </row>
    <row r="51" spans="1:15" ht="15" hidden="1">
      <c r="A51" s="64"/>
      <c r="B51" s="65"/>
      <c r="C51" s="65"/>
      <c r="D51" s="65"/>
      <c r="E51" s="65"/>
      <c r="F51" s="8"/>
      <c r="G51" s="172" t="s">
        <v>61</v>
      </c>
      <c r="H51" s="172"/>
      <c r="I51" s="172"/>
      <c r="J51" s="172"/>
      <c r="K51" s="66">
        <v>0.21</v>
      </c>
      <c r="L51" s="67"/>
      <c r="M51" s="67"/>
      <c r="N51" s="67"/>
      <c r="O51" s="68">
        <f>ROUND(O50*K51,2)</f>
        <v>504.25</v>
      </c>
    </row>
    <row r="52" spans="1:15" ht="15" hidden="1">
      <c r="A52" s="52"/>
      <c r="B52" s="65"/>
      <c r="C52" s="65"/>
      <c r="D52" s="65"/>
      <c r="E52" s="65"/>
      <c r="F52" s="8"/>
      <c r="G52" s="173" t="s">
        <v>62</v>
      </c>
      <c r="H52" s="173"/>
      <c r="I52" s="173"/>
      <c r="J52" s="173"/>
      <c r="K52" s="53"/>
      <c r="L52" s="67"/>
      <c r="M52" s="67"/>
      <c r="N52" s="67"/>
      <c r="O52" s="68">
        <f>ROUND(SUM(O50:O51),2)</f>
        <v>2905.45</v>
      </c>
    </row>
    <row r="54" ht="15">
      <c r="B54" s="28" t="s">
        <v>259</v>
      </c>
    </row>
    <row r="55" spans="1:15" ht="15">
      <c r="A55" s="69"/>
      <c r="B55" s="71" t="s">
        <v>260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ht="15">
      <c r="B56" s="72" t="s">
        <v>257</v>
      </c>
    </row>
    <row r="57" ht="15">
      <c r="B57" s="72" t="s">
        <v>258</v>
      </c>
    </row>
    <row r="58" ht="15">
      <c r="B58" s="72" t="s">
        <v>256</v>
      </c>
    </row>
    <row r="59" ht="15">
      <c r="B59" s="72" t="s">
        <v>261</v>
      </c>
    </row>
    <row r="60" ht="15">
      <c r="B60" s="73" t="s">
        <v>262</v>
      </c>
    </row>
  </sheetData>
  <sheetProtection selectLockedCells="1" selectUnlockedCells="1"/>
  <mergeCells count="14">
    <mergeCell ref="G51:J51"/>
    <mergeCell ref="G52:J52"/>
    <mergeCell ref="E45:J45"/>
    <mergeCell ref="G46:J46"/>
    <mergeCell ref="G47:J47"/>
    <mergeCell ref="G48:J48"/>
    <mergeCell ref="G49:J49"/>
    <mergeCell ref="G50:J50"/>
    <mergeCell ref="A3:O3"/>
    <mergeCell ref="A5:O5"/>
    <mergeCell ref="A6:O6"/>
    <mergeCell ref="E12:J12"/>
    <mergeCell ref="K12:O12"/>
    <mergeCell ref="E44:J44"/>
  </mergeCells>
  <hyperlinks>
    <hyperlink ref="B60" r:id="rId1" display="martins.ziverts@daba.gov.lv"/>
  </hyperlinks>
  <printOptions horizontalCentered="1"/>
  <pageMargins left="0.7086614173228347" right="0.7086614173228347" top="0.7480314960629921" bottom="0.31496062992125984" header="0.5118110236220472" footer="0.5118110236220472"/>
  <pageSetup horizontalDpi="300" verticalDpi="300" orientation="landscape" paperSize="9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00" zoomScalePageLayoutView="0" workbookViewId="0" topLeftCell="A13">
      <selection activeCell="E17" sqref="E17"/>
    </sheetView>
  </sheetViews>
  <sheetFormatPr defaultColWidth="11.57421875" defaultRowHeight="12.75"/>
  <cols>
    <col min="1" max="1" width="5.00390625" style="27" customWidth="1"/>
    <col min="2" max="2" width="46.00390625" style="27" customWidth="1"/>
    <col min="3" max="11" width="8.7109375" style="27" customWidth="1"/>
    <col min="12" max="12" width="9.7109375" style="27" customWidth="1"/>
    <col min="13" max="13" width="10.140625" style="27" customWidth="1"/>
    <col min="14" max="14" width="8.7109375" style="27" customWidth="1"/>
    <col min="15" max="15" width="9.7109375" style="27" customWidth="1"/>
    <col min="16" max="255" width="8.7109375" style="27" customWidth="1"/>
  </cols>
  <sheetData>
    <row r="1" ht="15">
      <c r="N1" s="27" t="s">
        <v>267</v>
      </c>
    </row>
    <row r="3" spans="1:15" ht="15">
      <c r="A3" s="167" t="s">
        <v>232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68" t="str">
        <f>B15</f>
        <v>Zibensaizsardzības izbūve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">
      <c r="A8" s="8" t="s">
        <v>252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 t="s">
        <v>1</v>
      </c>
      <c r="B9" s="8"/>
      <c r="C9" s="8"/>
      <c r="D9" s="8"/>
      <c r="E9" s="8"/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</row>
    <row r="10" spans="1:15" ht="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 t="s">
        <v>253</v>
      </c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30"/>
      <c r="B12" s="30"/>
      <c r="C12" s="30"/>
      <c r="D12" s="30"/>
      <c r="E12" s="170" t="s">
        <v>16</v>
      </c>
      <c r="F12" s="170"/>
      <c r="G12" s="170"/>
      <c r="H12" s="170"/>
      <c r="I12" s="170"/>
      <c r="J12" s="170"/>
      <c r="K12" s="170" t="s">
        <v>17</v>
      </c>
      <c r="L12" s="170"/>
      <c r="M12" s="170"/>
      <c r="N12" s="170"/>
      <c r="O12" s="170"/>
    </row>
    <row r="13" spans="1:15" ht="57" customHeight="1">
      <c r="A13" s="32" t="s">
        <v>3</v>
      </c>
      <c r="B13" s="33" t="s">
        <v>18</v>
      </c>
      <c r="C13" s="32" t="s">
        <v>19</v>
      </c>
      <c r="D13" s="32" t="s">
        <v>20</v>
      </c>
      <c r="E13" s="34" t="s">
        <v>21</v>
      </c>
      <c r="F13" s="34" t="s">
        <v>22</v>
      </c>
      <c r="G13" s="34" t="s">
        <v>23</v>
      </c>
      <c r="H13" s="34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4" t="s">
        <v>29</v>
      </c>
      <c r="N13" s="34" t="s">
        <v>30</v>
      </c>
      <c r="O13" s="34" t="s">
        <v>31</v>
      </c>
    </row>
    <row r="14" spans="1:15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</row>
    <row r="15" spans="1:15" ht="15">
      <c r="A15" s="35"/>
      <c r="B15" s="36" t="s">
        <v>233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>
      <c r="A16" s="74">
        <v>1</v>
      </c>
      <c r="B16" s="75" t="s">
        <v>234</v>
      </c>
      <c r="C16" s="74" t="s">
        <v>47</v>
      </c>
      <c r="D16" s="74">
        <v>2</v>
      </c>
      <c r="E16" s="44">
        <v>3</v>
      </c>
      <c r="F16" s="44">
        <f>Būvniecības_koptame!$L$27</f>
        <v>5.12</v>
      </c>
      <c r="G16" s="44">
        <f aca="true" t="shared" si="0" ref="G16:G25">ROUND(F16*E16,2)</f>
        <v>15.36</v>
      </c>
      <c r="H16" s="45">
        <v>24.14</v>
      </c>
      <c r="I16" s="44">
        <f>ROUND(G16*Būvniecības_koptame!$L$28,2)</f>
        <v>0.61</v>
      </c>
      <c r="J16" s="46">
        <f aca="true" t="shared" si="1" ref="J16:J25">ROUND(I16+H16+G16,2)</f>
        <v>40.11</v>
      </c>
      <c r="K16" s="44">
        <f aca="true" t="shared" si="2" ref="K16:K25">ROUND(E16*D16,2)</f>
        <v>6</v>
      </c>
      <c r="L16" s="47">
        <f aca="true" t="shared" si="3" ref="L16:L25">ROUND(G16*D16,2)</f>
        <v>30.72</v>
      </c>
      <c r="M16" s="47">
        <f aca="true" t="shared" si="4" ref="M16:M25">ROUND(H16*D16,2)</f>
        <v>48.28</v>
      </c>
      <c r="N16" s="47">
        <f aca="true" t="shared" si="5" ref="N16:N25">ROUND(I16*D16,2)</f>
        <v>1.22</v>
      </c>
      <c r="O16" s="47">
        <f aca="true" t="shared" si="6" ref="O16:O25">ROUND(N16+M16+L16,2)</f>
        <v>80.22</v>
      </c>
    </row>
    <row r="17" spans="1:15" ht="26.25">
      <c r="A17" s="74">
        <v>2</v>
      </c>
      <c r="B17" s="75" t="s">
        <v>235</v>
      </c>
      <c r="C17" s="74" t="s">
        <v>34</v>
      </c>
      <c r="D17" s="74">
        <v>26.32</v>
      </c>
      <c r="E17" s="44">
        <v>0.5</v>
      </c>
      <c r="F17" s="44">
        <f>Būvniecības_koptame!$L$27</f>
        <v>5.12</v>
      </c>
      <c r="G17" s="44">
        <f t="shared" si="0"/>
        <v>2.56</v>
      </c>
      <c r="H17" s="45">
        <v>3.01</v>
      </c>
      <c r="I17" s="44">
        <f>ROUND(G17*Būvniecības_koptame!$L$28,2)</f>
        <v>0.1</v>
      </c>
      <c r="J17" s="46">
        <f t="shared" si="1"/>
        <v>5.67</v>
      </c>
      <c r="K17" s="44">
        <f t="shared" si="2"/>
        <v>13.16</v>
      </c>
      <c r="L17" s="47">
        <f t="shared" si="3"/>
        <v>67.38</v>
      </c>
      <c r="M17" s="47">
        <f t="shared" si="4"/>
        <v>79.22</v>
      </c>
      <c r="N17" s="47">
        <f t="shared" si="5"/>
        <v>2.63</v>
      </c>
      <c r="O17" s="47">
        <f t="shared" si="6"/>
        <v>149.23</v>
      </c>
    </row>
    <row r="18" spans="1:15" ht="39">
      <c r="A18" s="74">
        <v>3</v>
      </c>
      <c r="B18" s="75" t="s">
        <v>236</v>
      </c>
      <c r="C18" s="74" t="s">
        <v>34</v>
      </c>
      <c r="D18" s="74">
        <v>7.14</v>
      </c>
      <c r="E18" s="44">
        <v>0.5</v>
      </c>
      <c r="F18" s="44">
        <f>Būvniecības_koptame!$L$27</f>
        <v>5.12</v>
      </c>
      <c r="G18" s="44">
        <f t="shared" si="0"/>
        <v>2.56</v>
      </c>
      <c r="H18" s="45">
        <v>5.32</v>
      </c>
      <c r="I18" s="44">
        <f>ROUND(G18*Būvniecības_koptame!$L$28,2)</f>
        <v>0.1</v>
      </c>
      <c r="J18" s="46">
        <f t="shared" si="1"/>
        <v>7.98</v>
      </c>
      <c r="K18" s="44">
        <f t="shared" si="2"/>
        <v>3.57</v>
      </c>
      <c r="L18" s="47">
        <f t="shared" si="3"/>
        <v>18.28</v>
      </c>
      <c r="M18" s="47">
        <f t="shared" si="4"/>
        <v>37.98</v>
      </c>
      <c r="N18" s="47">
        <f t="shared" si="5"/>
        <v>0.71</v>
      </c>
      <c r="O18" s="47">
        <f t="shared" si="6"/>
        <v>56.97</v>
      </c>
    </row>
    <row r="19" spans="1:15" ht="26.25">
      <c r="A19" s="74">
        <v>4</v>
      </c>
      <c r="B19" s="75" t="s">
        <v>237</v>
      </c>
      <c r="C19" s="74" t="s">
        <v>34</v>
      </c>
      <c r="D19" s="74">
        <v>30</v>
      </c>
      <c r="E19" s="44">
        <v>0.7</v>
      </c>
      <c r="F19" s="44">
        <f>Būvniecības_koptame!$L$27</f>
        <v>5.12</v>
      </c>
      <c r="G19" s="44">
        <f t="shared" si="0"/>
        <v>3.58</v>
      </c>
      <c r="H19" s="45">
        <v>2.62</v>
      </c>
      <c r="I19" s="44">
        <f>ROUND(G19*Būvniecības_koptame!$L$28,2)</f>
        <v>0.14</v>
      </c>
      <c r="J19" s="46">
        <f t="shared" si="1"/>
        <v>6.34</v>
      </c>
      <c r="K19" s="44">
        <f t="shared" si="2"/>
        <v>21</v>
      </c>
      <c r="L19" s="47">
        <f t="shared" si="3"/>
        <v>107.4</v>
      </c>
      <c r="M19" s="47">
        <f t="shared" si="4"/>
        <v>78.6</v>
      </c>
      <c r="N19" s="47">
        <f t="shared" si="5"/>
        <v>4.2</v>
      </c>
      <c r="O19" s="47">
        <f t="shared" si="6"/>
        <v>190.2</v>
      </c>
    </row>
    <row r="20" spans="1:15" ht="26.25">
      <c r="A20" s="74">
        <v>5</v>
      </c>
      <c r="B20" s="75" t="s">
        <v>238</v>
      </c>
      <c r="C20" s="74" t="s">
        <v>34</v>
      </c>
      <c r="D20" s="74">
        <v>55</v>
      </c>
      <c r="E20" s="44">
        <v>0.7</v>
      </c>
      <c r="F20" s="44">
        <f>Būvniecības_koptame!$L$27</f>
        <v>5.12</v>
      </c>
      <c r="G20" s="44">
        <f t="shared" si="0"/>
        <v>3.58</v>
      </c>
      <c r="H20" s="45">
        <v>2.93</v>
      </c>
      <c r="I20" s="44">
        <f>ROUND(G20*Būvniecības_koptame!$L$28,2)</f>
        <v>0.14</v>
      </c>
      <c r="J20" s="46">
        <f t="shared" si="1"/>
        <v>6.65</v>
      </c>
      <c r="K20" s="44">
        <f t="shared" si="2"/>
        <v>38.5</v>
      </c>
      <c r="L20" s="47">
        <f t="shared" si="3"/>
        <v>196.9</v>
      </c>
      <c r="M20" s="47">
        <f t="shared" si="4"/>
        <v>161.15</v>
      </c>
      <c r="N20" s="47">
        <f t="shared" si="5"/>
        <v>7.7</v>
      </c>
      <c r="O20" s="47">
        <f t="shared" si="6"/>
        <v>365.75</v>
      </c>
    </row>
    <row r="21" spans="1:15" ht="26.25">
      <c r="A21" s="74">
        <v>6</v>
      </c>
      <c r="B21" s="75" t="s">
        <v>239</v>
      </c>
      <c r="C21" s="74" t="s">
        <v>47</v>
      </c>
      <c r="D21" s="74">
        <v>2</v>
      </c>
      <c r="E21" s="44">
        <v>1</v>
      </c>
      <c r="F21" s="44">
        <f>Būvniecības_koptame!$L$27</f>
        <v>5.12</v>
      </c>
      <c r="G21" s="44">
        <f t="shared" si="0"/>
        <v>5.12</v>
      </c>
      <c r="H21" s="45">
        <v>6.87</v>
      </c>
      <c r="I21" s="44">
        <f>ROUND(G21*Būvniecības_koptame!$L$28,2)</f>
        <v>0.2</v>
      </c>
      <c r="J21" s="46">
        <f t="shared" si="1"/>
        <v>12.19</v>
      </c>
      <c r="K21" s="44">
        <f t="shared" si="2"/>
        <v>2</v>
      </c>
      <c r="L21" s="47">
        <f t="shared" si="3"/>
        <v>10.24</v>
      </c>
      <c r="M21" s="47">
        <f t="shared" si="4"/>
        <v>13.74</v>
      </c>
      <c r="N21" s="47">
        <f t="shared" si="5"/>
        <v>0.4</v>
      </c>
      <c r="O21" s="47">
        <f t="shared" si="6"/>
        <v>24.38</v>
      </c>
    </row>
    <row r="22" spans="1:15" ht="15">
      <c r="A22" s="74">
        <v>7</v>
      </c>
      <c r="B22" s="75" t="s">
        <v>240</v>
      </c>
      <c r="C22" s="74" t="s">
        <v>47</v>
      </c>
      <c r="D22" s="74">
        <v>1</v>
      </c>
      <c r="E22" s="44">
        <v>2</v>
      </c>
      <c r="F22" s="44">
        <f>Būvniecības_koptame!$L$27</f>
        <v>5.12</v>
      </c>
      <c r="G22" s="44">
        <f t="shared" si="0"/>
        <v>10.24</v>
      </c>
      <c r="H22" s="45">
        <v>23.6</v>
      </c>
      <c r="I22" s="44">
        <f>ROUND(G22*Būvniecības_koptame!$L$28,2)</f>
        <v>0.41</v>
      </c>
      <c r="J22" s="46">
        <f t="shared" si="1"/>
        <v>34.25</v>
      </c>
      <c r="K22" s="44">
        <f t="shared" si="2"/>
        <v>2</v>
      </c>
      <c r="L22" s="47">
        <f t="shared" si="3"/>
        <v>10.24</v>
      </c>
      <c r="M22" s="47">
        <f t="shared" si="4"/>
        <v>23.6</v>
      </c>
      <c r="N22" s="47">
        <f t="shared" si="5"/>
        <v>0.41</v>
      </c>
      <c r="O22" s="47">
        <f t="shared" si="6"/>
        <v>34.25</v>
      </c>
    </row>
    <row r="23" spans="1:15" ht="39">
      <c r="A23" s="74">
        <v>8</v>
      </c>
      <c r="B23" s="75" t="s">
        <v>241</v>
      </c>
      <c r="C23" s="74" t="s">
        <v>43</v>
      </c>
      <c r="D23" s="74">
        <v>1</v>
      </c>
      <c r="E23" s="44">
        <v>1</v>
      </c>
      <c r="F23" s="44">
        <f>Būvniecības_koptame!$L$27</f>
        <v>5.12</v>
      </c>
      <c r="G23" s="44">
        <f t="shared" si="0"/>
        <v>5.12</v>
      </c>
      <c r="H23" s="45">
        <v>10</v>
      </c>
      <c r="I23" s="44">
        <f>ROUND(G23*Būvniecības_koptame!$L$28,2)</f>
        <v>0.2</v>
      </c>
      <c r="J23" s="46">
        <f t="shared" si="1"/>
        <v>15.32</v>
      </c>
      <c r="K23" s="44">
        <f t="shared" si="2"/>
        <v>1</v>
      </c>
      <c r="L23" s="47">
        <f t="shared" si="3"/>
        <v>5.12</v>
      </c>
      <c r="M23" s="47">
        <f t="shared" si="4"/>
        <v>10</v>
      </c>
      <c r="N23" s="47">
        <f t="shared" si="5"/>
        <v>0.2</v>
      </c>
      <c r="O23" s="47">
        <f t="shared" si="6"/>
        <v>15.32</v>
      </c>
    </row>
    <row r="24" spans="1:15" ht="15">
      <c r="A24" s="74">
        <v>9</v>
      </c>
      <c r="B24" s="75" t="s">
        <v>242</v>
      </c>
      <c r="C24" s="74" t="s">
        <v>34</v>
      </c>
      <c r="D24" s="74">
        <v>22</v>
      </c>
      <c r="E24" s="44">
        <v>0.7</v>
      </c>
      <c r="F24" s="44">
        <f>Būvniecības_koptame!$L$27</f>
        <v>5.12</v>
      </c>
      <c r="G24" s="44">
        <f t="shared" si="0"/>
        <v>3.58</v>
      </c>
      <c r="H24" s="45">
        <v>2</v>
      </c>
      <c r="I24" s="44">
        <f>ROUND(G24*Būvniecības_koptame!$L$28,2)</f>
        <v>0.14</v>
      </c>
      <c r="J24" s="46">
        <f t="shared" si="1"/>
        <v>5.72</v>
      </c>
      <c r="K24" s="44">
        <f t="shared" si="2"/>
        <v>15.4</v>
      </c>
      <c r="L24" s="47">
        <f t="shared" si="3"/>
        <v>78.76</v>
      </c>
      <c r="M24" s="47">
        <f t="shared" si="4"/>
        <v>44</v>
      </c>
      <c r="N24" s="47">
        <f t="shared" si="5"/>
        <v>3.08</v>
      </c>
      <c r="O24" s="47">
        <f t="shared" si="6"/>
        <v>125.84</v>
      </c>
    </row>
    <row r="25" spans="1:15" ht="26.25">
      <c r="A25" s="74">
        <v>10</v>
      </c>
      <c r="B25" s="75" t="s">
        <v>243</v>
      </c>
      <c r="C25" s="74" t="s">
        <v>47</v>
      </c>
      <c r="D25" s="74">
        <v>1</v>
      </c>
      <c r="E25" s="44">
        <v>3</v>
      </c>
      <c r="F25" s="44">
        <f>Būvniecības_koptame!$L$27</f>
        <v>5.12</v>
      </c>
      <c r="G25" s="44">
        <f t="shared" si="0"/>
        <v>15.36</v>
      </c>
      <c r="H25" s="45">
        <v>50</v>
      </c>
      <c r="I25" s="44">
        <f>ROUND(G25*Būvniecības_koptame!$L$28,2)</f>
        <v>0.61</v>
      </c>
      <c r="J25" s="46">
        <f t="shared" si="1"/>
        <v>65.97</v>
      </c>
      <c r="K25" s="44">
        <f t="shared" si="2"/>
        <v>3</v>
      </c>
      <c r="L25" s="47">
        <f t="shared" si="3"/>
        <v>15.36</v>
      </c>
      <c r="M25" s="47">
        <f t="shared" si="4"/>
        <v>50</v>
      </c>
      <c r="N25" s="47">
        <f t="shared" si="5"/>
        <v>0.61</v>
      </c>
      <c r="O25" s="47">
        <f t="shared" si="6"/>
        <v>65.97</v>
      </c>
    </row>
    <row r="26" spans="1:15" ht="15">
      <c r="A26" s="40"/>
      <c r="B26" s="41"/>
      <c r="C26" s="42"/>
      <c r="D26" s="43"/>
      <c r="E26" s="44"/>
      <c r="F26" s="44"/>
      <c r="G26" s="44"/>
      <c r="H26" s="45"/>
      <c r="I26" s="44"/>
      <c r="J26" s="46"/>
      <c r="K26" s="44"/>
      <c r="L26" s="47"/>
      <c r="M26" s="47"/>
      <c r="N26" s="47"/>
      <c r="O26" s="47"/>
    </row>
    <row r="27" spans="1:15" ht="15">
      <c r="A27" s="48"/>
      <c r="B27" s="49" t="s">
        <v>53</v>
      </c>
      <c r="C27" s="50"/>
      <c r="D27" s="50"/>
      <c r="E27" s="50"/>
      <c r="F27" s="50"/>
      <c r="G27" s="50"/>
      <c r="H27" s="50"/>
      <c r="I27" s="50"/>
      <c r="J27" s="50"/>
      <c r="K27" s="51">
        <f>SUM(K16:K26)</f>
        <v>105.63000000000001</v>
      </c>
      <c r="L27" s="51">
        <f>SUM(L16:L26)</f>
        <v>540.4000000000001</v>
      </c>
      <c r="M27" s="51">
        <f>SUM(M16:M26)</f>
        <v>546.57</v>
      </c>
      <c r="N27" s="51">
        <f>SUM(N16:N26)</f>
        <v>21.159999999999997</v>
      </c>
      <c r="O27" s="51">
        <f>SUM(O16:O26)</f>
        <v>1108.1299999999999</v>
      </c>
    </row>
    <row r="28" spans="1:15" ht="15">
      <c r="A28" s="52"/>
      <c r="B28" s="8"/>
      <c r="C28" s="53"/>
      <c r="D28" s="54">
        <v>0.06</v>
      </c>
      <c r="E28" s="171" t="s">
        <v>54</v>
      </c>
      <c r="F28" s="171"/>
      <c r="G28" s="171"/>
      <c r="H28" s="171"/>
      <c r="I28" s="171"/>
      <c r="J28" s="171"/>
      <c r="K28" s="55"/>
      <c r="L28" s="56"/>
      <c r="M28" s="57">
        <f>ROUND(M27*D28,2)</f>
        <v>32.79</v>
      </c>
      <c r="N28" s="56"/>
      <c r="O28" s="58">
        <f>M28</f>
        <v>32.79</v>
      </c>
    </row>
    <row r="29" spans="1:15" ht="15">
      <c r="A29" s="52"/>
      <c r="B29" s="8"/>
      <c r="C29" s="53"/>
      <c r="D29" s="53"/>
      <c r="E29" s="171" t="s">
        <v>55</v>
      </c>
      <c r="F29" s="171"/>
      <c r="G29" s="171"/>
      <c r="H29" s="171"/>
      <c r="I29" s="171"/>
      <c r="J29" s="171"/>
      <c r="K29" s="59"/>
      <c r="L29" s="56">
        <f>ROUND(L28+L27,2)</f>
        <v>540.4</v>
      </c>
      <c r="M29" s="56">
        <f>ROUND(M28+M27,2)</f>
        <v>579.36</v>
      </c>
      <c r="N29" s="56">
        <f>ROUND(N28+N27,2)</f>
        <v>21.16</v>
      </c>
      <c r="O29" s="56">
        <f>ROUND(N29+M29+L29,2)</f>
        <v>1140.92</v>
      </c>
    </row>
    <row r="30" spans="1:15" ht="15" hidden="1">
      <c r="A30" s="52"/>
      <c r="B30" s="8"/>
      <c r="C30" s="8"/>
      <c r="D30" s="8"/>
      <c r="E30" s="8"/>
      <c r="F30" s="8"/>
      <c r="G30" s="172" t="s">
        <v>56</v>
      </c>
      <c r="H30" s="172"/>
      <c r="I30" s="172"/>
      <c r="J30" s="172"/>
      <c r="K30" s="60">
        <f>Būvniecības_koptame!$L$29</f>
        <v>0.08</v>
      </c>
      <c r="L30" s="61"/>
      <c r="M30" s="61"/>
      <c r="N30" s="61"/>
      <c r="O30" s="62">
        <f>ROUND(O29*K30,2)</f>
        <v>91.27</v>
      </c>
    </row>
    <row r="31" spans="1:15" ht="15" hidden="1">
      <c r="A31" s="52"/>
      <c r="B31" s="8"/>
      <c r="C31" s="8"/>
      <c r="D31" s="8"/>
      <c r="E31" s="8"/>
      <c r="F31" s="8"/>
      <c r="G31" s="171" t="s">
        <v>57</v>
      </c>
      <c r="H31" s="171"/>
      <c r="I31" s="171"/>
      <c r="J31" s="171"/>
      <c r="K31" s="55"/>
      <c r="L31" s="61"/>
      <c r="M31" s="61"/>
      <c r="N31" s="61"/>
      <c r="O31" s="62">
        <f>O30/5</f>
        <v>18.253999999999998</v>
      </c>
    </row>
    <row r="32" spans="1:15" ht="15" hidden="1">
      <c r="A32" s="52"/>
      <c r="B32" s="8"/>
      <c r="C32" s="8"/>
      <c r="D32" s="8"/>
      <c r="E32" s="8"/>
      <c r="F32" s="8"/>
      <c r="G32" s="172" t="s">
        <v>58</v>
      </c>
      <c r="H32" s="172"/>
      <c r="I32" s="172"/>
      <c r="J32" s="172"/>
      <c r="K32" s="60">
        <f>Būvniecības_koptame!$L$30</f>
        <v>0.06</v>
      </c>
      <c r="L32" s="61"/>
      <c r="M32" s="61"/>
      <c r="N32" s="61"/>
      <c r="O32" s="62">
        <f>ROUND(O29*K32,2)</f>
        <v>68.46</v>
      </c>
    </row>
    <row r="33" spans="1:15" ht="15" hidden="1">
      <c r="A33" s="52"/>
      <c r="B33" s="8"/>
      <c r="C33" s="8"/>
      <c r="D33" s="8"/>
      <c r="E33" s="8"/>
      <c r="F33" s="8"/>
      <c r="G33" s="172" t="s">
        <v>59</v>
      </c>
      <c r="H33" s="172"/>
      <c r="I33" s="172"/>
      <c r="J33" s="172"/>
      <c r="K33" s="60">
        <v>0.2359</v>
      </c>
      <c r="L33" s="61"/>
      <c r="M33" s="61"/>
      <c r="N33" s="61"/>
      <c r="O33" s="62">
        <f>ROUND(L29*K33,2)</f>
        <v>127.48</v>
      </c>
    </row>
    <row r="34" spans="1:15" ht="15" hidden="1">
      <c r="A34" s="52"/>
      <c r="B34" s="8"/>
      <c r="C34" s="8"/>
      <c r="D34" s="8"/>
      <c r="E34" s="8"/>
      <c r="F34" s="8"/>
      <c r="G34" s="172" t="s">
        <v>60</v>
      </c>
      <c r="H34" s="172"/>
      <c r="I34" s="172"/>
      <c r="J34" s="172"/>
      <c r="K34" s="60"/>
      <c r="L34" s="61"/>
      <c r="M34" s="61"/>
      <c r="N34" s="61"/>
      <c r="O34" s="63">
        <f>ROUND(SUM(O29:O33),2)</f>
        <v>1446.38</v>
      </c>
    </row>
    <row r="35" spans="1:15" ht="15" hidden="1">
      <c r="A35" s="64"/>
      <c r="B35" s="65"/>
      <c r="C35" s="65"/>
      <c r="D35" s="65"/>
      <c r="E35" s="65"/>
      <c r="F35" s="8"/>
      <c r="G35" s="172" t="s">
        <v>61</v>
      </c>
      <c r="H35" s="172"/>
      <c r="I35" s="172"/>
      <c r="J35" s="172"/>
      <c r="K35" s="66">
        <v>0.21</v>
      </c>
      <c r="L35" s="67"/>
      <c r="M35" s="67"/>
      <c r="N35" s="67"/>
      <c r="O35" s="68">
        <f>ROUND(O34*K35,2)</f>
        <v>303.74</v>
      </c>
    </row>
    <row r="36" spans="1:15" ht="15" hidden="1">
      <c r="A36" s="52"/>
      <c r="B36" s="65"/>
      <c r="C36" s="65"/>
      <c r="D36" s="65"/>
      <c r="E36" s="65"/>
      <c r="F36" s="8"/>
      <c r="G36" s="173" t="s">
        <v>62</v>
      </c>
      <c r="H36" s="173"/>
      <c r="I36" s="173"/>
      <c r="J36" s="173"/>
      <c r="K36" s="53"/>
      <c r="L36" s="67"/>
      <c r="M36" s="67"/>
      <c r="N36" s="67"/>
      <c r="O36" s="68">
        <f>ROUND(SUM(O34:O35),2)</f>
        <v>1750.12</v>
      </c>
    </row>
    <row r="39" spans="1:15" ht="15">
      <c r="A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3" ht="15">
      <c r="B43" s="28" t="s">
        <v>259</v>
      </c>
    </row>
    <row r="44" ht="15">
      <c r="B44" s="71" t="s">
        <v>260</v>
      </c>
    </row>
    <row r="45" ht="15">
      <c r="B45" s="72" t="s">
        <v>257</v>
      </c>
    </row>
    <row r="46" ht="15">
      <c r="B46" s="72" t="s">
        <v>258</v>
      </c>
    </row>
    <row r="47" ht="15">
      <c r="B47" s="72" t="s">
        <v>256</v>
      </c>
    </row>
    <row r="48" ht="15">
      <c r="B48" s="72" t="s">
        <v>261</v>
      </c>
    </row>
    <row r="49" ht="15">
      <c r="B49" s="73" t="s">
        <v>262</v>
      </c>
    </row>
  </sheetData>
  <sheetProtection selectLockedCells="1" selectUnlockedCells="1"/>
  <mergeCells count="14">
    <mergeCell ref="G35:J35"/>
    <mergeCell ref="G36:J36"/>
    <mergeCell ref="E29:J29"/>
    <mergeCell ref="G30:J30"/>
    <mergeCell ref="G31:J31"/>
    <mergeCell ref="G32:J32"/>
    <mergeCell ref="G33:J33"/>
    <mergeCell ref="G34:J34"/>
    <mergeCell ref="A3:O3"/>
    <mergeCell ref="A5:O5"/>
    <mergeCell ref="A6:O6"/>
    <mergeCell ref="E12:J12"/>
    <mergeCell ref="K12:O12"/>
    <mergeCell ref="E28:J28"/>
  </mergeCells>
  <hyperlinks>
    <hyperlink ref="B49" r:id="rId1" display="martins.ziverts@daba.gov.lv"/>
  </hyperlinks>
  <printOptions horizontalCentered="1"/>
  <pageMargins left="0.7086614173228347" right="0.7086614173228347" top="0.7480314960629921" bottom="0.31496062992125984" header="0.5118110236220472" footer="0.5118110236220472"/>
  <pageSetup horizontalDpi="300" verticalDpi="300" orientation="landscape" paperSize="9" scale="7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zoomScalePageLayoutView="0" workbookViewId="0" topLeftCell="A1">
      <selection activeCell="J20" sqref="J20"/>
    </sheetView>
  </sheetViews>
  <sheetFormatPr defaultColWidth="11.57421875" defaultRowHeight="12.75"/>
  <cols>
    <col min="1" max="1" width="5.00390625" style="27" customWidth="1"/>
    <col min="2" max="2" width="46.00390625" style="27" customWidth="1"/>
    <col min="3" max="11" width="8.7109375" style="27" customWidth="1"/>
    <col min="12" max="12" width="9.7109375" style="27" customWidth="1"/>
    <col min="13" max="13" width="10.140625" style="27" customWidth="1"/>
    <col min="14" max="14" width="8.7109375" style="27" customWidth="1"/>
    <col min="15" max="15" width="9.7109375" style="27" customWidth="1"/>
    <col min="16" max="255" width="8.7109375" style="27" customWidth="1"/>
  </cols>
  <sheetData>
    <row r="1" ht="15">
      <c r="N1" s="27" t="s">
        <v>277</v>
      </c>
    </row>
    <row r="3" spans="1:15" ht="15">
      <c r="A3" s="167" t="s">
        <v>244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68" t="str">
        <f>B15</f>
        <v>Teritoriju labiekārtošana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">
      <c r="A7" s="8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">
      <c r="A8" s="8" t="s">
        <v>252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 t="s">
        <v>1</v>
      </c>
      <c r="B9" s="8"/>
      <c r="C9" s="8"/>
      <c r="D9" s="8"/>
      <c r="E9" s="8"/>
      <c r="F9" s="8"/>
      <c r="G9" s="8"/>
      <c r="H9" s="8"/>
      <c r="I9" s="8"/>
      <c r="J9" s="8" t="s">
        <v>15</v>
      </c>
      <c r="K9" s="8"/>
      <c r="L9" s="8"/>
      <c r="M9" s="8"/>
      <c r="N9" s="8"/>
      <c r="O9" s="8"/>
    </row>
    <row r="10" spans="1:15" ht="1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 t="s">
        <v>253</v>
      </c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30"/>
      <c r="B12" s="30"/>
      <c r="C12" s="30"/>
      <c r="D12" s="30"/>
      <c r="E12" s="170" t="s">
        <v>16</v>
      </c>
      <c r="F12" s="170"/>
      <c r="G12" s="170"/>
      <c r="H12" s="170"/>
      <c r="I12" s="170"/>
      <c r="J12" s="170"/>
      <c r="K12" s="170" t="s">
        <v>17</v>
      </c>
      <c r="L12" s="170"/>
      <c r="M12" s="170"/>
      <c r="N12" s="170"/>
      <c r="O12" s="170"/>
    </row>
    <row r="13" spans="1:15" ht="64.5" customHeight="1">
      <c r="A13" s="32" t="s">
        <v>3</v>
      </c>
      <c r="B13" s="33" t="s">
        <v>18</v>
      </c>
      <c r="C13" s="32" t="s">
        <v>19</v>
      </c>
      <c r="D13" s="32" t="s">
        <v>20</v>
      </c>
      <c r="E13" s="34" t="s">
        <v>21</v>
      </c>
      <c r="F13" s="34" t="s">
        <v>22</v>
      </c>
      <c r="G13" s="34" t="s">
        <v>23</v>
      </c>
      <c r="H13" s="34" t="s">
        <v>24</v>
      </c>
      <c r="I13" s="34" t="s">
        <v>25</v>
      </c>
      <c r="J13" s="34" t="s">
        <v>26</v>
      </c>
      <c r="K13" s="34" t="s">
        <v>27</v>
      </c>
      <c r="L13" s="34" t="s">
        <v>28</v>
      </c>
      <c r="M13" s="34" t="s">
        <v>29</v>
      </c>
      <c r="N13" s="34" t="s">
        <v>30</v>
      </c>
      <c r="O13" s="34" t="s">
        <v>31</v>
      </c>
    </row>
    <row r="14" spans="1:15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</row>
    <row r="15" spans="1:15" ht="15">
      <c r="A15" s="35"/>
      <c r="B15" s="36" t="s">
        <v>245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>
      <c r="A16" s="74">
        <v>1</v>
      </c>
      <c r="B16" s="75" t="s">
        <v>246</v>
      </c>
      <c r="C16" s="74" t="s">
        <v>47</v>
      </c>
      <c r="D16" s="74">
        <v>1</v>
      </c>
      <c r="E16" s="44">
        <v>4</v>
      </c>
      <c r="F16" s="44">
        <f>Būvniecības_koptame!$L$27</f>
        <v>5.12</v>
      </c>
      <c r="G16" s="44">
        <f>ROUND(F16*E16,2)</f>
        <v>20.48</v>
      </c>
      <c r="H16" s="45">
        <v>100</v>
      </c>
      <c r="I16" s="44">
        <f>ROUND(G16*Būvniecības_koptame!$L$28,2)</f>
        <v>0.82</v>
      </c>
      <c r="J16" s="46">
        <f>ROUND(I16+H16+G16,2)</f>
        <v>121.3</v>
      </c>
      <c r="K16" s="44">
        <f>ROUND(E16*D16,2)</f>
        <v>4</v>
      </c>
      <c r="L16" s="47">
        <f>ROUND(G16*D16,2)</f>
        <v>20.48</v>
      </c>
      <c r="M16" s="47">
        <f>ROUND(H16*D16,2)</f>
        <v>100</v>
      </c>
      <c r="N16" s="47">
        <f>ROUND(I16*D16,2)</f>
        <v>0.82</v>
      </c>
      <c r="O16" s="47">
        <f>ROUND(N16+M16+L16,2)</f>
        <v>121.3</v>
      </c>
    </row>
    <row r="17" spans="1:15" ht="26.25">
      <c r="A17" s="74">
        <v>2</v>
      </c>
      <c r="B17" s="75" t="s">
        <v>247</v>
      </c>
      <c r="C17" s="74" t="s">
        <v>43</v>
      </c>
      <c r="D17" s="74">
        <v>20</v>
      </c>
      <c r="E17" s="44">
        <v>0.1</v>
      </c>
      <c r="F17" s="44">
        <f>Būvniecības_koptame!$L$27</f>
        <v>5.12</v>
      </c>
      <c r="G17" s="44">
        <f>ROUND(F17*E17,2)</f>
        <v>0.51</v>
      </c>
      <c r="H17" s="45">
        <f>8*0.1/0.7</f>
        <v>1.1428571428571428</v>
      </c>
      <c r="I17" s="44">
        <f>ROUND(G17*Būvniecības_koptame!$L$28,2)</f>
        <v>0.02</v>
      </c>
      <c r="J17" s="46">
        <f>ROUND(I17+H17+G17,2)</f>
        <v>1.67</v>
      </c>
      <c r="K17" s="44">
        <f>ROUND(E17*D17,2)</f>
        <v>2</v>
      </c>
      <c r="L17" s="47">
        <f>ROUND(G17*D17,2)</f>
        <v>10.2</v>
      </c>
      <c r="M17" s="47">
        <f>ROUND(H17*D17,2)</f>
        <v>22.86</v>
      </c>
      <c r="N17" s="47">
        <f>ROUND(I17*D17,2)</f>
        <v>0.4</v>
      </c>
      <c r="O17" s="47">
        <f>ROUND(N17+M17+L17,2)</f>
        <v>33.46</v>
      </c>
    </row>
    <row r="18" spans="1:15" ht="64.5">
      <c r="A18" s="74">
        <v>3</v>
      </c>
      <c r="B18" s="75" t="s">
        <v>248</v>
      </c>
      <c r="C18" s="74" t="s">
        <v>67</v>
      </c>
      <c r="D18" s="74">
        <v>3.8</v>
      </c>
      <c r="E18" s="44">
        <v>2</v>
      </c>
      <c r="F18" s="44">
        <f>Būvniecības_koptame!$L$27</f>
        <v>5.12</v>
      </c>
      <c r="G18" s="44">
        <f>ROUND(F18*E18,2)</f>
        <v>10.24</v>
      </c>
      <c r="H18" s="45">
        <v>2.68</v>
      </c>
      <c r="I18" s="44">
        <f>ROUND(G18*Būvniecības_koptame!$L$28,2)</f>
        <v>0.41</v>
      </c>
      <c r="J18" s="46">
        <f>ROUND(I18+H18+G18,2)</f>
        <v>13.33</v>
      </c>
      <c r="K18" s="44">
        <f>ROUND(E18*D18,2)</f>
        <v>7.6</v>
      </c>
      <c r="L18" s="47">
        <f>ROUND(G18*D18,2)</f>
        <v>38.91</v>
      </c>
      <c r="M18" s="47">
        <f>ROUND(H18*D18,2)</f>
        <v>10.18</v>
      </c>
      <c r="N18" s="47">
        <f>ROUND(I18*D18,2)</f>
        <v>1.56</v>
      </c>
      <c r="O18" s="47">
        <f>ROUND(N18+M18+L18,2)</f>
        <v>50.65</v>
      </c>
    </row>
    <row r="19" spans="1:15" ht="26.25">
      <c r="A19" s="74">
        <v>4</v>
      </c>
      <c r="B19" s="75" t="s">
        <v>249</v>
      </c>
      <c r="C19" s="74" t="s">
        <v>150</v>
      </c>
      <c r="D19" s="74">
        <v>3.33</v>
      </c>
      <c r="E19" s="44">
        <v>1</v>
      </c>
      <c r="F19" s="44">
        <f>Būvniecības_koptame!$L$27</f>
        <v>5.12</v>
      </c>
      <c r="G19" s="44">
        <f>ROUND(F19*E19,2)</f>
        <v>5.12</v>
      </c>
      <c r="H19" s="45">
        <v>14.37</v>
      </c>
      <c r="I19" s="44">
        <f>ROUND(G19*Būvniecības_koptame!$L$28,2)</f>
        <v>0.2</v>
      </c>
      <c r="J19" s="46">
        <f>ROUND(I19+H19+G19,2)</f>
        <v>19.69</v>
      </c>
      <c r="K19" s="44">
        <f>ROUND(E19*D19,2)</f>
        <v>3.33</v>
      </c>
      <c r="L19" s="47">
        <f>ROUND(G19*D19,2)</f>
        <v>17.05</v>
      </c>
      <c r="M19" s="47">
        <f>ROUND(H19*D19,2)</f>
        <v>47.85</v>
      </c>
      <c r="N19" s="47">
        <f>ROUND(I19*D19,2)</f>
        <v>0.67</v>
      </c>
      <c r="O19" s="47">
        <f>ROUND(N19+M19+L19,2)</f>
        <v>65.57</v>
      </c>
    </row>
    <row r="20" spans="1:15" ht="51.75">
      <c r="A20" s="74">
        <v>5</v>
      </c>
      <c r="B20" s="75" t="s">
        <v>250</v>
      </c>
      <c r="C20" s="74" t="s">
        <v>150</v>
      </c>
      <c r="D20" s="74">
        <v>2.79</v>
      </c>
      <c r="E20" s="44">
        <v>1</v>
      </c>
      <c r="F20" s="44">
        <f>Būvniecības_koptame!$L$27</f>
        <v>5.12</v>
      </c>
      <c r="G20" s="44">
        <f>ROUND(F20*E20,2)</f>
        <v>5.12</v>
      </c>
      <c r="H20" s="45">
        <v>6.48</v>
      </c>
      <c r="I20" s="44">
        <f>ROUND(G20*Būvniecības_koptame!$L$28,2)</f>
        <v>0.2</v>
      </c>
      <c r="J20" s="46">
        <f>ROUND(I20+H20+G20,2)</f>
        <v>11.8</v>
      </c>
      <c r="K20" s="44">
        <f>ROUND(E20*D20,2)</f>
        <v>2.79</v>
      </c>
      <c r="L20" s="47">
        <f>ROUND(G20*D20,2)</f>
        <v>14.28</v>
      </c>
      <c r="M20" s="47">
        <f>ROUND(H20*D20,2)</f>
        <v>18.08</v>
      </c>
      <c r="N20" s="47">
        <f>ROUND(I20*D20,2)</f>
        <v>0.56</v>
      </c>
      <c r="O20" s="47">
        <f>ROUND(N20+M20+L20,2)</f>
        <v>32.92</v>
      </c>
    </row>
    <row r="21" spans="1:15" ht="15">
      <c r="A21" s="40"/>
      <c r="B21" s="41"/>
      <c r="C21" s="42"/>
      <c r="D21" s="43"/>
      <c r="E21" s="44"/>
      <c r="F21" s="44"/>
      <c r="G21" s="44"/>
      <c r="H21" s="45"/>
      <c r="I21" s="44"/>
      <c r="J21" s="46"/>
      <c r="K21" s="44"/>
      <c r="L21" s="47"/>
      <c r="M21" s="47"/>
      <c r="N21" s="47"/>
      <c r="O21" s="47"/>
    </row>
    <row r="22" spans="1:15" ht="15">
      <c r="A22" s="48"/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1">
        <f>SUM(K16:K21)</f>
        <v>19.72</v>
      </c>
      <c r="L22" s="51">
        <f>SUM(L16:L21)</f>
        <v>100.92</v>
      </c>
      <c r="M22" s="51">
        <f>SUM(M16:M21)</f>
        <v>198.96999999999997</v>
      </c>
      <c r="N22" s="51">
        <f>SUM(N16:N21)</f>
        <v>4.01</v>
      </c>
      <c r="O22" s="51">
        <f>SUM(O16:O21)</f>
        <v>303.90000000000003</v>
      </c>
    </row>
    <row r="23" spans="1:15" ht="15">
      <c r="A23" s="52"/>
      <c r="B23" s="8"/>
      <c r="C23" s="53"/>
      <c r="D23" s="54">
        <v>0.06</v>
      </c>
      <c r="E23" s="171" t="s">
        <v>54</v>
      </c>
      <c r="F23" s="171"/>
      <c r="G23" s="171"/>
      <c r="H23" s="171"/>
      <c r="I23" s="171"/>
      <c r="J23" s="171"/>
      <c r="K23" s="55"/>
      <c r="L23" s="56"/>
      <c r="M23" s="57">
        <f>ROUND(M22*D23,2)</f>
        <v>11.94</v>
      </c>
      <c r="N23" s="56"/>
      <c r="O23" s="58">
        <f>M23</f>
        <v>11.94</v>
      </c>
    </row>
    <row r="24" spans="1:15" ht="15">
      <c r="A24" s="52"/>
      <c r="B24" s="8"/>
      <c r="C24" s="53"/>
      <c r="D24" s="53"/>
      <c r="E24" s="171" t="s">
        <v>55</v>
      </c>
      <c r="F24" s="171"/>
      <c r="G24" s="171"/>
      <c r="H24" s="171"/>
      <c r="I24" s="171"/>
      <c r="J24" s="171"/>
      <c r="K24" s="59"/>
      <c r="L24" s="56">
        <f>ROUND(L23+L22,2)</f>
        <v>100.92</v>
      </c>
      <c r="M24" s="56">
        <f>ROUND(M23+M22,2)</f>
        <v>210.91</v>
      </c>
      <c r="N24" s="56">
        <f>ROUND(N23+N22,2)</f>
        <v>4.01</v>
      </c>
      <c r="O24" s="56">
        <f>ROUND(N24+M24+L24,2)</f>
        <v>315.84</v>
      </c>
    </row>
    <row r="25" spans="1:15" ht="15" hidden="1">
      <c r="A25" s="52"/>
      <c r="B25" s="8"/>
      <c r="C25" s="8"/>
      <c r="D25" s="8"/>
      <c r="E25" s="8"/>
      <c r="F25" s="8"/>
      <c r="G25" s="172" t="s">
        <v>56</v>
      </c>
      <c r="H25" s="172"/>
      <c r="I25" s="172"/>
      <c r="J25" s="172"/>
      <c r="K25" s="60">
        <f>Būvniecības_koptame!$L$29</f>
        <v>0.08</v>
      </c>
      <c r="L25" s="61"/>
      <c r="M25" s="61"/>
      <c r="N25" s="61"/>
      <c r="O25" s="62">
        <f>ROUND(O24*K25,2)</f>
        <v>25.27</v>
      </c>
    </row>
    <row r="26" spans="1:15" ht="15" hidden="1">
      <c r="A26" s="52"/>
      <c r="B26" s="8"/>
      <c r="C26" s="8"/>
      <c r="D26" s="8"/>
      <c r="E26" s="8"/>
      <c r="F26" s="8"/>
      <c r="G26" s="171" t="s">
        <v>57</v>
      </c>
      <c r="H26" s="171"/>
      <c r="I26" s="171"/>
      <c r="J26" s="171"/>
      <c r="K26" s="55"/>
      <c r="L26" s="61"/>
      <c r="M26" s="61"/>
      <c r="N26" s="61"/>
      <c r="O26" s="62">
        <f>O25/5</f>
        <v>5.054</v>
      </c>
    </row>
    <row r="27" spans="1:15" ht="15" hidden="1">
      <c r="A27" s="52"/>
      <c r="B27" s="8"/>
      <c r="C27" s="8"/>
      <c r="D27" s="8"/>
      <c r="E27" s="8"/>
      <c r="F27" s="8"/>
      <c r="G27" s="172" t="s">
        <v>58</v>
      </c>
      <c r="H27" s="172"/>
      <c r="I27" s="172"/>
      <c r="J27" s="172"/>
      <c r="K27" s="60">
        <f>Būvniecības_koptame!$L$30</f>
        <v>0.06</v>
      </c>
      <c r="L27" s="61"/>
      <c r="M27" s="61"/>
      <c r="N27" s="61"/>
      <c r="O27" s="62">
        <f>ROUND(O24*K27,2)</f>
        <v>18.95</v>
      </c>
    </row>
    <row r="28" spans="1:15" ht="15" hidden="1">
      <c r="A28" s="52"/>
      <c r="B28" s="8"/>
      <c r="C28" s="8"/>
      <c r="D28" s="8"/>
      <c r="E28" s="8"/>
      <c r="F28" s="8"/>
      <c r="G28" s="172" t="s">
        <v>59</v>
      </c>
      <c r="H28" s="172"/>
      <c r="I28" s="172"/>
      <c r="J28" s="172"/>
      <c r="K28" s="60">
        <v>0.2359</v>
      </c>
      <c r="L28" s="61"/>
      <c r="M28" s="61"/>
      <c r="N28" s="61"/>
      <c r="O28" s="62">
        <f>ROUND(L24*K28,2)</f>
        <v>23.81</v>
      </c>
    </row>
    <row r="29" spans="1:15" ht="15" hidden="1">
      <c r="A29" s="52"/>
      <c r="B29" s="8"/>
      <c r="C29" s="8"/>
      <c r="D29" s="8"/>
      <c r="E29" s="8"/>
      <c r="F29" s="8"/>
      <c r="G29" s="172" t="s">
        <v>60</v>
      </c>
      <c r="H29" s="172"/>
      <c r="I29" s="172"/>
      <c r="J29" s="172"/>
      <c r="K29" s="60"/>
      <c r="L29" s="61"/>
      <c r="M29" s="61"/>
      <c r="N29" s="61"/>
      <c r="O29" s="63">
        <f>ROUND(SUM(O24:O28),2)</f>
        <v>388.92</v>
      </c>
    </row>
    <row r="30" spans="1:15" ht="15" hidden="1">
      <c r="A30" s="64"/>
      <c r="B30" s="65"/>
      <c r="C30" s="65"/>
      <c r="D30" s="65"/>
      <c r="E30" s="65"/>
      <c r="F30" s="8"/>
      <c r="G30" s="172" t="s">
        <v>61</v>
      </c>
      <c r="H30" s="172"/>
      <c r="I30" s="172"/>
      <c r="J30" s="172"/>
      <c r="K30" s="66">
        <v>0.21</v>
      </c>
      <c r="L30" s="67"/>
      <c r="M30" s="67"/>
      <c r="N30" s="67"/>
      <c r="O30" s="68">
        <f>ROUND(O29*K30,2)</f>
        <v>81.67</v>
      </c>
    </row>
    <row r="31" spans="1:15" ht="15" hidden="1">
      <c r="A31" s="52"/>
      <c r="B31" s="65"/>
      <c r="C31" s="65"/>
      <c r="D31" s="65"/>
      <c r="E31" s="65"/>
      <c r="F31" s="8"/>
      <c r="G31" s="173" t="s">
        <v>62</v>
      </c>
      <c r="H31" s="173"/>
      <c r="I31" s="173"/>
      <c r="J31" s="173"/>
      <c r="K31" s="53"/>
      <c r="L31" s="67"/>
      <c r="M31" s="67"/>
      <c r="N31" s="67"/>
      <c r="O31" s="68">
        <f>ROUND(SUM(O29:O30),2)</f>
        <v>470.59</v>
      </c>
    </row>
    <row r="34" spans="1:15" ht="15">
      <c r="A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41" ht="15">
      <c r="B41" s="28" t="s">
        <v>259</v>
      </c>
    </row>
    <row r="42" ht="15">
      <c r="B42" s="71" t="s">
        <v>260</v>
      </c>
    </row>
    <row r="43" ht="15">
      <c r="B43" s="72" t="s">
        <v>257</v>
      </c>
    </row>
    <row r="44" ht="15">
      <c r="B44" s="72" t="s">
        <v>258</v>
      </c>
    </row>
    <row r="45" ht="15">
      <c r="B45" s="72" t="s">
        <v>256</v>
      </c>
    </row>
    <row r="46" ht="15">
      <c r="B46" s="72" t="s">
        <v>261</v>
      </c>
    </row>
    <row r="47" ht="15">
      <c r="B47" s="73" t="s">
        <v>262</v>
      </c>
    </row>
  </sheetData>
  <sheetProtection selectLockedCells="1" selectUnlockedCells="1"/>
  <mergeCells count="14">
    <mergeCell ref="G30:J30"/>
    <mergeCell ref="G31:J31"/>
    <mergeCell ref="E24:J24"/>
    <mergeCell ref="G25:J25"/>
    <mergeCell ref="G26:J26"/>
    <mergeCell ref="G27:J27"/>
    <mergeCell ref="G28:J28"/>
    <mergeCell ref="G29:J29"/>
    <mergeCell ref="A3:O3"/>
    <mergeCell ref="A5:O5"/>
    <mergeCell ref="A6:O6"/>
    <mergeCell ref="E12:J12"/>
    <mergeCell ref="K12:O12"/>
    <mergeCell ref="E23:J23"/>
  </mergeCells>
  <hyperlinks>
    <hyperlink ref="B47" r:id="rId1" display="martins.ziverts@daba.gov.lv"/>
  </hyperlinks>
  <printOptions horizontalCentered="1"/>
  <pageMargins left="0.7086614173228347" right="0.7086614173228347" top="0.7480314960629921" bottom="0.31496062992125984" header="0.5118110236220472" footer="0.5118110236220472"/>
  <pageSetup horizontalDpi="300" verticalDpi="300" orientation="landscape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 Auzins</dc:creator>
  <cp:keywords/>
  <dc:description/>
  <cp:lastModifiedBy>Dagnija Daudzvārde</cp:lastModifiedBy>
  <cp:lastPrinted>2015-04-10T13:54:52Z</cp:lastPrinted>
  <dcterms:created xsi:type="dcterms:W3CDTF">2015-03-18T10:42:52Z</dcterms:created>
  <dcterms:modified xsi:type="dcterms:W3CDTF">2015-04-13T10:32:10Z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