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LAF\Padome_2015\Informativais_zinojums\Uz_MK_250615\"/>
    </mc:Choice>
  </mc:AlternateContent>
  <bookViews>
    <workbookView xWindow="0" yWindow="0" windowWidth="20700" windowHeight="7905"/>
  </bookViews>
  <sheets>
    <sheet name="4.pieliku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X35" i="1"/>
  <c r="AG55" i="1" l="1"/>
  <c r="AF55" i="1"/>
  <c r="AE55" i="1"/>
  <c r="AD55" i="1"/>
  <c r="AC55" i="1"/>
  <c r="AB55" i="1"/>
  <c r="AA55" i="1"/>
  <c r="Z55" i="1"/>
  <c r="Y55" i="1"/>
  <c r="X55" i="1"/>
  <c r="W55" i="1"/>
  <c r="V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L54" i="1"/>
  <c r="AK54" i="1"/>
  <c r="AI54" i="1"/>
  <c r="AH54" i="1"/>
  <c r="AL53" i="1"/>
  <c r="AK53" i="1"/>
  <c r="AI53" i="1"/>
  <c r="AH53" i="1"/>
  <c r="AL52" i="1"/>
  <c r="AK52" i="1"/>
  <c r="AI52" i="1"/>
  <c r="AH52" i="1"/>
  <c r="AI51" i="1"/>
  <c r="AH51" i="1"/>
  <c r="AL50" i="1"/>
  <c r="AK50" i="1"/>
  <c r="AI50" i="1"/>
  <c r="AH50" i="1"/>
  <c r="AL49" i="1"/>
  <c r="AK49" i="1"/>
  <c r="AI49" i="1"/>
  <c r="AH49" i="1"/>
  <c r="AL48" i="1"/>
  <c r="AL55" i="1" s="1"/>
  <c r="AK48" i="1"/>
  <c r="AI48" i="1"/>
  <c r="AH48" i="1"/>
  <c r="U48" i="1"/>
  <c r="U55" i="1" s="1"/>
  <c r="T48" i="1"/>
  <c r="T55" i="1" s="1"/>
  <c r="AG46" i="1"/>
  <c r="AF46" i="1"/>
  <c r="AE46" i="1"/>
  <c r="AD46" i="1"/>
  <c r="AC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I45" i="1"/>
  <c r="AH45" i="1"/>
  <c r="AI44" i="1"/>
  <c r="AH44" i="1"/>
  <c r="AI43" i="1"/>
  <c r="AH43" i="1"/>
  <c r="AI42" i="1"/>
  <c r="AH42" i="1"/>
  <c r="AI41" i="1"/>
  <c r="AH41" i="1"/>
  <c r="AL40" i="1"/>
  <c r="AK40" i="1"/>
  <c r="AI40" i="1"/>
  <c r="AH40" i="1"/>
  <c r="AL39" i="1"/>
  <c r="AK39" i="1"/>
  <c r="AI39" i="1"/>
  <c r="AH39" i="1"/>
  <c r="AL38" i="1"/>
  <c r="AK38" i="1"/>
  <c r="AI38" i="1"/>
  <c r="AH38" i="1"/>
  <c r="AK37" i="1"/>
  <c r="AI37" i="1"/>
  <c r="AH37" i="1"/>
  <c r="AL36" i="1"/>
  <c r="AK36" i="1"/>
  <c r="AH36" i="1"/>
  <c r="U36" i="1"/>
  <c r="T36" i="1"/>
  <c r="AL35" i="1"/>
  <c r="AL46" i="1" s="1"/>
  <c r="AK35" i="1"/>
  <c r="AI35" i="1"/>
  <c r="AH35" i="1"/>
  <c r="AL34" i="1"/>
  <c r="AK34" i="1"/>
  <c r="AI34" i="1"/>
  <c r="AH34" i="1"/>
  <c r="AI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H32" i="1" s="1"/>
  <c r="AJ20" i="1" s="1"/>
  <c r="AL30" i="1"/>
  <c r="AK30" i="1"/>
  <c r="AI30" i="1"/>
  <c r="AH30" i="1"/>
  <c r="AJ30" i="1" s="1"/>
  <c r="AI29" i="1"/>
  <c r="AH29" i="1"/>
  <c r="AJ29" i="1" s="1"/>
  <c r="AI28" i="1"/>
  <c r="AH28" i="1"/>
  <c r="AJ28" i="1" s="1"/>
  <c r="AI27" i="1"/>
  <c r="AH27" i="1"/>
  <c r="AJ27" i="1" s="1"/>
  <c r="AI26" i="1"/>
  <c r="AH26" i="1"/>
  <c r="AJ26" i="1" s="1"/>
  <c r="AI25" i="1"/>
  <c r="AH25" i="1"/>
  <c r="AJ25" i="1" s="1"/>
  <c r="AI24" i="1"/>
  <c r="AH24" i="1"/>
  <c r="AJ24" i="1" s="1"/>
  <c r="AI23" i="1"/>
  <c r="AH23" i="1"/>
  <c r="AJ23" i="1" s="1"/>
  <c r="AI22" i="1"/>
  <c r="AH22" i="1"/>
  <c r="AJ22" i="1" s="1"/>
  <c r="AI21" i="1"/>
  <c r="AH21" i="1"/>
  <c r="AJ21" i="1" s="1"/>
  <c r="AL20" i="1"/>
  <c r="AK20" i="1"/>
  <c r="AI20" i="1"/>
  <c r="AH20" i="1"/>
  <c r="AL19" i="1"/>
  <c r="AK19" i="1"/>
  <c r="AI19" i="1"/>
  <c r="AH19" i="1"/>
  <c r="AJ19" i="1" s="1"/>
  <c r="AI18" i="1"/>
  <c r="AH18" i="1"/>
  <c r="AL17" i="1"/>
  <c r="AK17" i="1"/>
  <c r="AJ17" i="1"/>
  <c r="AI17" i="1"/>
  <c r="AH17" i="1"/>
  <c r="AJ16" i="1"/>
  <c r="AI16" i="1"/>
  <c r="AH16" i="1"/>
  <c r="AL15" i="1"/>
  <c r="AK15" i="1"/>
  <c r="AI15" i="1"/>
  <c r="AH15" i="1"/>
  <c r="AL14" i="1"/>
  <c r="AK14" i="1"/>
  <c r="AJ14" i="1"/>
  <c r="AI14" i="1"/>
  <c r="AH14" i="1"/>
  <c r="AJ13" i="1"/>
  <c r="AI13" i="1"/>
  <c r="AH13" i="1"/>
  <c r="AJ12" i="1"/>
  <c r="AI12" i="1"/>
  <c r="AH12" i="1"/>
  <c r="AL11" i="1"/>
  <c r="AK11" i="1"/>
  <c r="AI11" i="1"/>
  <c r="AH11" i="1"/>
  <c r="AJ11" i="1" s="1"/>
  <c r="AL10" i="1"/>
  <c r="AK10" i="1"/>
  <c r="AJ10" i="1"/>
  <c r="AI10" i="1"/>
  <c r="AH10" i="1"/>
  <c r="AI55" i="1" l="1"/>
  <c r="AK46" i="1"/>
  <c r="AM52" i="1"/>
  <c r="AM54" i="1"/>
  <c r="AM36" i="1"/>
  <c r="AM49" i="1"/>
  <c r="AL32" i="1"/>
  <c r="AJ15" i="1"/>
  <c r="AJ18" i="1"/>
  <c r="AI36" i="1"/>
  <c r="AI46" i="1" s="1"/>
  <c r="U46" i="1"/>
  <c r="AH55" i="1"/>
  <c r="AJ53" i="1" s="1"/>
  <c r="AK32" i="1"/>
  <c r="AM20" i="1" s="1"/>
  <c r="AH46" i="1"/>
  <c r="AJ36" i="1" s="1"/>
  <c r="AK55" i="1"/>
  <c r="AJ54" i="1" l="1"/>
  <c r="AJ52" i="1"/>
  <c r="AJ51" i="1"/>
  <c r="AJ49" i="1"/>
  <c r="AM45" i="1"/>
  <c r="AM44" i="1"/>
  <c r="AM43" i="1"/>
  <c r="AM42" i="1"/>
  <c r="AM41" i="1"/>
  <c r="AM40" i="1"/>
  <c r="AM38" i="1"/>
  <c r="AM34" i="1"/>
  <c r="AJ37" i="1"/>
  <c r="AJ34" i="1"/>
  <c r="AJ45" i="1"/>
  <c r="AJ44" i="1"/>
  <c r="AJ43" i="1"/>
  <c r="AJ42" i="1"/>
  <c r="AJ39" i="1"/>
  <c r="AJ41" i="1"/>
  <c r="AJ35" i="1"/>
  <c r="AM14" i="1"/>
  <c r="AJ48" i="1"/>
  <c r="AM29" i="1"/>
  <c r="AM28" i="1"/>
  <c r="AM27" i="1"/>
  <c r="AM26" i="1"/>
  <c r="AM25" i="1"/>
  <c r="AM24" i="1"/>
  <c r="AM23" i="1"/>
  <c r="AM22" i="1"/>
  <c r="AM21" i="1"/>
  <c r="AM18" i="1"/>
  <c r="AM31" i="1"/>
  <c r="AM30" i="1"/>
  <c r="AM19" i="1"/>
  <c r="AM16" i="1"/>
  <c r="AM15" i="1"/>
  <c r="AM13" i="1"/>
  <c r="AM12" i="1"/>
  <c r="AM11" i="1"/>
  <c r="AM10" i="1"/>
  <c r="AM39" i="1"/>
  <c r="AM53" i="1"/>
  <c r="AM51" i="1"/>
  <c r="AM50" i="1"/>
  <c r="AM48" i="1"/>
  <c r="AJ40" i="1"/>
  <c r="AJ38" i="1"/>
  <c r="AM17" i="1"/>
  <c r="AJ50" i="1"/>
  <c r="AM35" i="1"/>
  <c r="AM37" i="1"/>
</calcChain>
</file>

<file path=xl/comments1.xml><?xml version="1.0" encoding="utf-8"?>
<comments xmlns="http://schemas.openxmlformats.org/spreadsheetml/2006/main">
  <authors>
    <author>Aiva Avota</author>
  </authors>
  <commentList>
    <comment ref="AK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(progresa ziņojumus)</t>
        </r>
      </text>
    </comment>
    <comment ref="AL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IeM+VI+ZM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IeM+VI+ZM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AK1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IeM+VARAM+VI</t>
        </r>
      </text>
    </comment>
    <comment ref="AL1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IeM+VARAM+VI</t>
        </r>
      </text>
    </comment>
    <comment ref="AK12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AK1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varam+ZM</t>
        </r>
      </text>
    </comment>
    <comment ref="AK15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VI+ZM</t>
        </r>
      </text>
    </comment>
    <comment ref="AK17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VI+ZM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AK1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IeM+VARAM</t>
        </r>
      </text>
    </comment>
    <comment ref="AK2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KM+VARAM+VI</t>
        </r>
      </text>
    </comment>
    <comment ref="AK2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</t>
        </r>
      </text>
    </comment>
    <comment ref="AK2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</t>
        </r>
      </text>
    </comment>
    <comment ref="AK26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</t>
        </r>
      </text>
    </comment>
    <comment ref="AK27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AK2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AK2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</t>
        </r>
      </text>
    </comment>
    <comment ref="AK3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KM+VI</t>
        </r>
      </text>
    </comment>
    <comment ref="AK3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AK3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IeM+VARAM+VI+ZM</t>
        </r>
      </text>
    </comment>
    <comment ref="AL3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IeM+VARAM</t>
        </r>
      </text>
    </comment>
    <comment ref="AK35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VARAM+VI+ZM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K36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KM+IeM+VARAM+VI+ZM</t>
        </r>
      </text>
    </comment>
    <comment ref="AK37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AK3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IeM+VARAM+ZM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</t>
        </r>
      </text>
    </comment>
    <comment ref="AK3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KM+VARAM+VI</t>
        </r>
      </text>
    </comment>
    <comment ref="AK4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VI+ZM</t>
        </r>
      </text>
    </comment>
    <comment ref="AK4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</t>
        </r>
      </text>
    </comment>
    <comment ref="T4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K48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KM+IeM+VARAM+VI+ZM</t>
        </r>
      </text>
    </comment>
    <comment ref="AK49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VARAM+VI+ZM</t>
        </r>
      </text>
    </comment>
    <comment ref="AK50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IeM+VARAM+VI+ZM</t>
        </r>
      </text>
    </comment>
    <comment ref="AK51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ZM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</t>
        </r>
      </text>
    </comment>
    <comment ref="AK52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KM+IeM+VARAM
+VI+ZM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</t>
        </r>
      </text>
    </comment>
    <comment ref="AK53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KM+IeM</t>
        </r>
      </text>
    </comment>
    <comment ref="AK54" authorId="0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VARAM+VI+ZM</t>
        </r>
      </text>
    </comment>
  </commentList>
</comments>
</file>

<file path=xl/sharedStrings.xml><?xml version="1.0" encoding="utf-8"?>
<sst xmlns="http://schemas.openxmlformats.org/spreadsheetml/2006/main" count="127" uniqueCount="86">
  <si>
    <t>2014.gadā un kopā 2007.-2013.gada plānošanas periodā līdz 2014.gada 31.decembrim konstatēto neatbilstību gadījumu skaits un ar tiem saistītās summas pēc to atklāšanas veida, pēc neatbilstības veida un pa finansējuma saņēmējiem</t>
  </si>
  <si>
    <t>2014.gadā kopā</t>
  </si>
  <si>
    <t xml:space="preserve">2007.- 2013.gada plānošanas periodā līdz 31.12.2014. </t>
  </si>
  <si>
    <t>ES struktūrfondi 2004.-2006.gada plānošanas periods</t>
  </si>
  <si>
    <t>ES Kohēzijas fonds 2004.-2006.gada plānošanas periods</t>
  </si>
  <si>
    <t>ES struktūrfondi 2007.-2013.gada plānošanas periods</t>
  </si>
  <si>
    <t>ES Kohēzijas fonds 2007.-2013.gada plānošanas periods</t>
  </si>
  <si>
    <t>Vispārīgā programma „Solidaritāte un migrācijas plūsmu pārvaldība”</t>
  </si>
  <si>
    <t>Eiropas Lauksaimniecības un lauku attīstības fondi 2007.-2013.gada plānošanas periods</t>
  </si>
  <si>
    <t>Eiropas Savienības struktūrfondu 3.mērķa „Eiropas teritoriālā sadarbība” programmas</t>
  </si>
  <si>
    <t>Citi ES finanšu palīdzības instrumenti</t>
  </si>
  <si>
    <t>Neatbilstību apjoms</t>
  </si>
  <si>
    <t xml:space="preserve">Neatbilstību skaits </t>
  </si>
  <si>
    <t>Attiecīgās pozīcijas neatbilstību apjoma īpatsvars kopējā  2014.gadā konstatētā neatbilstību apjomā, %</t>
  </si>
  <si>
    <t>Neatbilstību apjoms kopā
(kumulatīvi)</t>
  </si>
  <si>
    <t>Neatbilstību skaits kopā (kumulatīvi)</t>
  </si>
  <si>
    <t>Attiecīgās pozīcijas neatbilstību apjoma īpatsvars kopējā konstatētā neatbilstību apjomā, %</t>
  </si>
  <si>
    <t>ERAF</t>
  </si>
  <si>
    <t>ESF</t>
  </si>
  <si>
    <t>ELGF</t>
  </si>
  <si>
    <t>ELFLA</t>
  </si>
  <si>
    <t>EZF</t>
  </si>
  <si>
    <t>TEN-T programma</t>
  </si>
  <si>
    <t>TEN-E programma</t>
  </si>
  <si>
    <t>EUR</t>
  </si>
  <si>
    <t>skaits</t>
  </si>
  <si>
    <t>2DP</t>
  </si>
  <si>
    <t>3DP</t>
  </si>
  <si>
    <t>TP ERAF</t>
  </si>
  <si>
    <t>1DP</t>
  </si>
  <si>
    <t>TP ESF</t>
  </si>
  <si>
    <t>TP KF</t>
  </si>
  <si>
    <t>Pēc neatbilstību atklāšanas veida</t>
  </si>
  <si>
    <t>Pārbaude projekta īstenošanas vietā</t>
  </si>
  <si>
    <t>Revīzijas iestādes sertificēto izdevumu izlases pārbaude</t>
  </si>
  <si>
    <t>ES fondu vadības un kontroles sistēmas audits</t>
  </si>
  <si>
    <t>Eiropas Komisijas audits</t>
  </si>
  <si>
    <t>Administratīvā pārbaude un sākotnējo pārbaužu ietvaros</t>
  </si>
  <si>
    <t>Maksājumu pieprasījumu pārbaude</t>
  </si>
  <si>
    <t>Projekta noslēguma izdevumu deklarācijas pārbaude</t>
  </si>
  <si>
    <t>Iepirkumu pirmspārbaudes</t>
  </si>
  <si>
    <t>Iepirkumu pārbaude</t>
  </si>
  <si>
    <t>Finanšu kontrole (attaisnojuma dokumentu 100% pārbaude)</t>
  </si>
  <si>
    <t>Cits veids</t>
  </si>
  <si>
    <t>Informācija saņemta no finansējuma saņēmēja</t>
  </si>
  <si>
    <t>Eksperta slēdziens</t>
  </si>
  <si>
    <t>KNAB vēstule</t>
  </si>
  <si>
    <t>Starpposma/noslēguma pārskata izvērtēšana</t>
  </si>
  <si>
    <t>Pirmsmaksājumu pārbaude</t>
  </si>
  <si>
    <t>Platību maksājumiem - neiesniegts pieteikums, samazināta saistību platība, gala aprēķina korekcija pēc pārdeklarācijas piemērošanas; Projektveidīgajiem pasākumiem - pretendents atsakās turpināt projektu, trūkstoši dokumenti.</t>
  </si>
  <si>
    <t>Atbilstoši IUB atzinumam</t>
  </si>
  <si>
    <t>Vadošās iestādes deleģēto funkciju pārbaudes</t>
  </si>
  <si>
    <t>Vadošās iestādes konstatējums uzraudzības un kontroles pasākumu ietvaros</t>
  </si>
  <si>
    <t>Sertifikācijas iestādes pārbaudes</t>
  </si>
  <si>
    <t>Nav norādīts</t>
  </si>
  <si>
    <t>Kopā</t>
  </si>
  <si>
    <t>X</t>
  </si>
  <si>
    <t>Kļūda (ar finansiālu ietekmi)</t>
  </si>
  <si>
    <t>Aizdomas par krāpšanu un organizēto noziedzību</t>
  </si>
  <si>
    <t>Iepirkumu vai konkureces normu pārkāpums</t>
  </si>
  <si>
    <t>Iespējams interešu konflikts</t>
  </si>
  <si>
    <t xml:space="preserve"> Klienta tīša vai netīša vaina</t>
  </si>
  <si>
    <t>Cita neatbilstība</t>
  </si>
  <si>
    <t>Nespēja pildīt līguma/vienošanās nosacījumus</t>
  </si>
  <si>
    <t>Noteikto ieviešanas nosacījumu pārkāpšana</t>
  </si>
  <si>
    <t>Komercdarbības atbalsta normu pārkāpums</t>
  </si>
  <si>
    <t>Flat rate korekcija</t>
  </si>
  <si>
    <t>Maksātnespēja</t>
  </si>
  <si>
    <t>Bankrots</t>
  </si>
  <si>
    <t>Sadalījumā pa finansējuma saņēmējiem</t>
  </si>
  <si>
    <t>Valsts iestāde (V)</t>
  </si>
  <si>
    <t>Pašvaldības iestāde     (PA)</t>
  </si>
  <si>
    <t>Privāto tiesību juridiska persona (PR)</t>
  </si>
  <si>
    <t>Fiziskas personas (FP)</t>
  </si>
  <si>
    <t>NVO</t>
  </si>
  <si>
    <t>Starptautiskā organizācija</t>
  </si>
  <si>
    <t>Izglītības iestādes</t>
  </si>
  <si>
    <t>*Klasifikators atbilstoši ES SF KF VIS</t>
  </si>
  <si>
    <t>Pēs neatbilstības veida*</t>
  </si>
  <si>
    <t>5.pielikums</t>
  </si>
  <si>
    <t>finanšu ministrs</t>
  </si>
  <si>
    <t>J.Reirs</t>
  </si>
  <si>
    <t>A.Avota</t>
  </si>
  <si>
    <t>67083954, aiva.avota@fm.gov.lv</t>
  </si>
  <si>
    <t>2014.gadā</t>
  </si>
  <si>
    <t>26.06.2015.  09:22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</si>
</sst>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5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i/>
      <sz val="8"/>
      <color rgb="FF000000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6"/>
      <color theme="1"/>
      <name val="Times New Roman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11" fillId="5" borderId="48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3" fillId="5" borderId="49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4" fontId="9" fillId="0" borderId="52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4" fontId="9" fillId="6" borderId="55" xfId="0" applyNumberFormat="1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4" fontId="9" fillId="6" borderId="52" xfId="0" applyNumberFormat="1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4" fontId="9" fillId="6" borderId="53" xfId="0" applyNumberFormat="1" applyFont="1" applyFill="1" applyBorder="1" applyAlignment="1">
      <alignment horizontal="center" vertical="center" wrapText="1"/>
    </xf>
    <xf numFmtId="164" fontId="16" fillId="4" borderId="56" xfId="1" applyNumberFormat="1" applyFont="1" applyFill="1" applyBorder="1" applyAlignment="1">
      <alignment horizontal="center" vertical="center"/>
    </xf>
    <xf numFmtId="4" fontId="16" fillId="3" borderId="53" xfId="0" applyNumberFormat="1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10" fontId="16" fillId="3" borderId="20" xfId="1" applyNumberFormat="1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4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4" fontId="9" fillId="6" borderId="20" xfId="0" applyNumberFormat="1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4" fontId="9" fillId="6" borderId="27" xfId="0" applyNumberFormat="1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164" fontId="16" fillId="4" borderId="25" xfId="1" applyNumberFormat="1" applyFont="1" applyFill="1" applyBorder="1" applyAlignment="1">
      <alignment horizontal="center" vertical="center"/>
    </xf>
    <xf numFmtId="4" fontId="16" fillId="3" borderId="27" xfId="0" applyNumberFormat="1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3" fontId="16" fillId="3" borderId="20" xfId="0" applyNumberFormat="1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4" fontId="9" fillId="6" borderId="32" xfId="0" applyNumberFormat="1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4" fontId="9" fillId="6" borderId="33" xfId="0" applyNumberFormat="1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4" fontId="9" fillId="6" borderId="34" xfId="0" applyNumberFormat="1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164" fontId="16" fillId="4" borderId="36" xfId="1" applyNumberFormat="1" applyFont="1" applyFill="1" applyBorder="1" applyAlignment="1">
      <alignment horizontal="center" vertical="center"/>
    </xf>
    <xf numFmtId="4" fontId="16" fillId="3" borderId="34" xfId="0" applyNumberFormat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4" fontId="9" fillId="6" borderId="59" xfId="0" applyNumberFormat="1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4" fontId="9" fillId="6" borderId="49" xfId="0" applyNumberFormat="1" applyFont="1" applyFill="1" applyBorder="1" applyAlignment="1">
      <alignment horizontal="center" vertical="center" wrapText="1"/>
    </xf>
    <xf numFmtId="0" fontId="9" fillId="6" borderId="60" xfId="0" applyFont="1" applyFill="1" applyBorder="1" applyAlignment="1">
      <alignment horizontal="center" vertical="center" wrapText="1"/>
    </xf>
    <xf numFmtId="4" fontId="9" fillId="6" borderId="48" xfId="0" applyNumberFormat="1" applyFont="1" applyFill="1" applyBorder="1" applyAlignment="1">
      <alignment horizontal="center" vertical="center" wrapText="1"/>
    </xf>
    <xf numFmtId="164" fontId="16" fillId="4" borderId="60" xfId="1" applyNumberFormat="1" applyFont="1" applyFill="1" applyBorder="1" applyAlignment="1">
      <alignment horizontal="center" vertical="center"/>
    </xf>
    <xf numFmtId="4" fontId="16" fillId="3" borderId="48" xfId="0" applyNumberFormat="1" applyFont="1" applyFill="1" applyBorder="1" applyAlignment="1">
      <alignment horizontal="center" vertical="center"/>
    </xf>
    <xf numFmtId="3" fontId="16" fillId="3" borderId="49" xfId="0" applyNumberFormat="1" applyFont="1" applyFill="1" applyBorder="1" applyAlignment="1">
      <alignment horizontal="center" vertical="center"/>
    </xf>
    <xf numFmtId="10" fontId="16" fillId="3" borderId="49" xfId="1" applyNumberFormat="1" applyFont="1" applyFill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4" fontId="9" fillId="6" borderId="46" xfId="0" applyNumberFormat="1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4" fontId="9" fillId="6" borderId="43" xfId="0" applyNumberFormat="1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4" fontId="9" fillId="6" borderId="42" xfId="0" applyNumberFormat="1" applyFont="1" applyFill="1" applyBorder="1" applyAlignment="1">
      <alignment horizontal="center" vertical="center" wrapText="1"/>
    </xf>
    <xf numFmtId="164" fontId="16" fillId="4" borderId="47" xfId="1" applyNumberFormat="1" applyFont="1" applyFill="1" applyBorder="1" applyAlignment="1">
      <alignment horizontal="center" vertical="center"/>
    </xf>
    <xf numFmtId="4" fontId="16" fillId="3" borderId="42" xfId="0" applyNumberFormat="1" applyFont="1" applyFill="1" applyBorder="1" applyAlignment="1">
      <alignment horizontal="center" vertical="center"/>
    </xf>
    <xf numFmtId="3" fontId="16" fillId="3" borderId="43" xfId="0" applyNumberFormat="1" applyFont="1" applyFill="1" applyBorder="1" applyAlignment="1">
      <alignment horizontal="center" vertical="center"/>
    </xf>
    <xf numFmtId="10" fontId="16" fillId="3" borderId="43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4" fontId="17" fillId="3" borderId="62" xfId="0" applyNumberFormat="1" applyFont="1" applyFill="1" applyBorder="1" applyAlignment="1">
      <alignment horizontal="center" vertical="center" wrapText="1"/>
    </xf>
    <xf numFmtId="0" fontId="17" fillId="3" borderId="62" xfId="0" applyFont="1" applyFill="1" applyBorder="1" applyAlignment="1">
      <alignment horizontal="center" vertical="center" wrapText="1"/>
    </xf>
    <xf numFmtId="0" fontId="17" fillId="3" borderId="63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4" fontId="17" fillId="3" borderId="64" xfId="0" applyNumberFormat="1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4" fontId="17" fillId="3" borderId="63" xfId="0" applyNumberFormat="1" applyFont="1" applyFill="1" applyBorder="1" applyAlignment="1">
      <alignment horizontal="center" vertical="center" wrapText="1"/>
    </xf>
    <xf numFmtId="3" fontId="17" fillId="3" borderId="62" xfId="0" applyNumberFormat="1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/>
    </xf>
    <xf numFmtId="165" fontId="2" fillId="3" borderId="66" xfId="0" applyNumberFormat="1" applyFont="1" applyFill="1" applyBorder="1" applyAlignment="1">
      <alignment horizontal="center" vertical="center"/>
    </xf>
    <xf numFmtId="3" fontId="2" fillId="3" borderId="67" xfId="0" applyNumberFormat="1" applyFont="1" applyFill="1" applyBorder="1" applyAlignment="1">
      <alignment horizontal="center" vertical="center"/>
    </xf>
    <xf numFmtId="10" fontId="2" fillId="3" borderId="68" xfId="1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4" fontId="9" fillId="0" borderId="53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10" fontId="16" fillId="4" borderId="21" xfId="1" applyNumberFormat="1" applyFont="1" applyFill="1" applyBorder="1" applyAlignment="1">
      <alignment horizontal="center" vertical="center"/>
    </xf>
    <xf numFmtId="3" fontId="16" fillId="3" borderId="52" xfId="0" applyNumberFormat="1" applyFont="1" applyFill="1" applyBorder="1" applyAlignment="1">
      <alignment horizontal="center" vertical="center"/>
    </xf>
    <xf numFmtId="10" fontId="16" fillId="3" borderId="52" xfId="1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4" fontId="16" fillId="4" borderId="23" xfId="1" applyNumberFormat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3" fontId="16" fillId="3" borderId="33" xfId="0" applyNumberFormat="1" applyFont="1" applyFill="1" applyBorder="1" applyAlignment="1">
      <alignment horizontal="center" vertical="center"/>
    </xf>
    <xf numFmtId="10" fontId="16" fillId="3" borderId="33" xfId="1" applyNumberFormat="1" applyFont="1" applyFill="1" applyBorder="1" applyAlignment="1">
      <alignment horizontal="center" vertical="center"/>
    </xf>
    <xf numFmtId="0" fontId="20" fillId="3" borderId="69" xfId="2" applyFont="1" applyFill="1" applyBorder="1" applyAlignment="1">
      <alignment horizontal="right" vertical="center" wrapText="1"/>
    </xf>
    <xf numFmtId="1" fontId="17" fillId="3" borderId="62" xfId="0" applyNumberFormat="1" applyFont="1" applyFill="1" applyBorder="1" applyAlignment="1">
      <alignment horizontal="center" vertical="center" wrapText="1"/>
    </xf>
    <xf numFmtId="2" fontId="17" fillId="3" borderId="63" xfId="0" applyNumberFormat="1" applyFont="1" applyFill="1" applyBorder="1" applyAlignment="1">
      <alignment horizontal="center" vertical="center" wrapText="1"/>
    </xf>
    <xf numFmtId="1" fontId="17" fillId="3" borderId="18" xfId="0" applyNumberFormat="1" applyFont="1" applyFill="1" applyBorder="1" applyAlignment="1">
      <alignment horizontal="center" vertical="center" wrapText="1"/>
    </xf>
    <xf numFmtId="4" fontId="17" fillId="3" borderId="59" xfId="0" applyNumberFormat="1" applyFont="1" applyFill="1" applyBorder="1" applyAlignment="1">
      <alignment horizontal="center" vertical="center" wrapText="1"/>
    </xf>
    <xf numFmtId="1" fontId="17" fillId="3" borderId="49" xfId="0" applyNumberFormat="1" applyFont="1" applyFill="1" applyBorder="1" applyAlignment="1">
      <alignment horizontal="center" vertical="center" wrapText="1"/>
    </xf>
    <xf numFmtId="4" fontId="17" fillId="3" borderId="49" xfId="0" applyNumberFormat="1" applyFont="1" applyFill="1" applyBorder="1" applyAlignment="1">
      <alignment horizontal="center" vertical="center" wrapText="1"/>
    </xf>
    <xf numFmtId="3" fontId="17" fillId="3" borderId="49" xfId="0" applyNumberFormat="1" applyFont="1" applyFill="1" applyBorder="1" applyAlignment="1">
      <alignment horizontal="center" vertical="center" wrapText="1"/>
    </xf>
    <xf numFmtId="2" fontId="17" fillId="3" borderId="62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/>
    </xf>
    <xf numFmtId="2" fontId="2" fillId="3" borderId="68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 wrapText="1"/>
    </xf>
    <xf numFmtId="4" fontId="9" fillId="0" borderId="55" xfId="0" applyNumberFormat="1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1" fontId="9" fillId="0" borderId="52" xfId="0" applyNumberFormat="1" applyFont="1" applyBorder="1" applyAlignment="1">
      <alignment horizontal="center" vertical="center" wrapText="1"/>
    </xf>
    <xf numFmtId="4" fontId="15" fillId="4" borderId="51" xfId="0" applyNumberFormat="1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164" fontId="15" fillId="4" borderId="21" xfId="0" applyNumberFormat="1" applyFont="1" applyFill="1" applyBorder="1" applyAlignment="1">
      <alignment horizontal="center" vertical="center" wrapText="1"/>
    </xf>
    <xf numFmtId="4" fontId="16" fillId="3" borderId="13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10" fontId="16" fillId="3" borderId="14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64" fontId="15" fillId="4" borderId="23" xfId="0" applyNumberFormat="1" applyFont="1" applyFill="1" applyBorder="1" applyAlignment="1">
      <alignment horizontal="center" vertical="center" wrapText="1"/>
    </xf>
    <xf numFmtId="10" fontId="16" fillId="3" borderId="20" xfId="0" applyNumberFormat="1" applyFont="1" applyFill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1" fontId="9" fillId="0" borderId="33" xfId="0" applyNumberFormat="1" applyFont="1" applyBorder="1" applyAlignment="1">
      <alignment horizontal="center" vertical="center" wrapText="1"/>
    </xf>
    <xf numFmtId="164" fontId="15" fillId="4" borderId="70" xfId="0" applyNumberFormat="1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/>
    </xf>
    <xf numFmtId="10" fontId="16" fillId="3" borderId="43" xfId="0" applyNumberFormat="1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right" vertical="center" wrapText="1"/>
    </xf>
    <xf numFmtId="4" fontId="17" fillId="3" borderId="67" xfId="0" applyNumberFormat="1" applyFont="1" applyFill="1" applyBorder="1" applyAlignment="1">
      <alignment horizontal="center" vertical="center" wrapText="1"/>
    </xf>
    <xf numFmtId="3" fontId="17" fillId="3" borderId="67" xfId="0" applyNumberFormat="1" applyFont="1" applyFill="1" applyBorder="1" applyAlignment="1">
      <alignment horizontal="center" vertical="center" wrapText="1"/>
    </xf>
    <xf numFmtId="4" fontId="17" fillId="3" borderId="71" xfId="0" applyNumberFormat="1" applyFont="1" applyFill="1" applyBorder="1" applyAlignment="1">
      <alignment horizontal="center" vertical="center" wrapText="1"/>
    </xf>
    <xf numFmtId="3" fontId="17" fillId="3" borderId="68" xfId="0" applyNumberFormat="1" applyFont="1" applyFill="1" applyBorder="1" applyAlignment="1">
      <alignment horizontal="center" vertical="center" wrapText="1"/>
    </xf>
    <xf numFmtId="3" fontId="17" fillId="3" borderId="72" xfId="0" applyNumberFormat="1" applyFont="1" applyFill="1" applyBorder="1" applyAlignment="1">
      <alignment horizontal="center" vertical="center" wrapText="1"/>
    </xf>
    <xf numFmtId="4" fontId="17" fillId="3" borderId="66" xfId="0" applyNumberFormat="1" applyFont="1" applyFill="1" applyBorder="1" applyAlignment="1">
      <alignment horizontal="center" vertical="center" wrapText="1"/>
    </xf>
    <xf numFmtId="4" fontId="2" fillId="4" borderId="69" xfId="0" applyNumberFormat="1" applyFont="1" applyFill="1" applyBorder="1" applyAlignment="1">
      <alignment horizontal="center" vertical="center"/>
    </xf>
    <xf numFmtId="165" fontId="2" fillId="3" borderId="40" xfId="0" applyNumberFormat="1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4" fontId="2" fillId="3" borderId="39" xfId="0" applyNumberFormat="1" applyFont="1" applyFill="1" applyBorder="1" applyAlignment="1">
      <alignment horizontal="center"/>
    </xf>
    <xf numFmtId="0" fontId="0" fillId="0" borderId="0" xfId="0" applyBorder="1"/>
    <xf numFmtId="0" fontId="21" fillId="0" borderId="0" xfId="2" applyFont="1" applyBorder="1" applyAlignment="1">
      <alignment vertical="center" wrapText="1"/>
    </xf>
    <xf numFmtId="0" fontId="0" fillId="5" borderId="0" xfId="0" applyFill="1" applyAlignment="1"/>
    <xf numFmtId="0" fontId="15" fillId="5" borderId="7" xfId="0" applyFont="1" applyFill="1" applyBorder="1" applyAlignment="1">
      <alignment horizontal="center" vertical="center" wrapText="1"/>
    </xf>
    <xf numFmtId="0" fontId="15" fillId="5" borderId="61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/>
    </xf>
    <xf numFmtId="0" fontId="0" fillId="5" borderId="0" xfId="0" applyFill="1"/>
    <xf numFmtId="0" fontId="20" fillId="4" borderId="37" xfId="0" applyFont="1" applyFill="1" applyBorder="1" applyAlignment="1">
      <alignment horizontal="center" vertical="center" wrapText="1"/>
    </xf>
    <xf numFmtId="4" fontId="15" fillId="4" borderId="53" xfId="0" applyNumberFormat="1" applyFont="1" applyFill="1" applyBorder="1" applyAlignment="1">
      <alignment horizontal="center" vertical="center" wrapText="1"/>
    </xf>
    <xf numFmtId="3" fontId="15" fillId="4" borderId="52" xfId="0" applyNumberFormat="1" applyFont="1" applyFill="1" applyBorder="1" applyAlignment="1">
      <alignment horizontal="center" vertical="center" wrapText="1"/>
    </xf>
    <xf numFmtId="4" fontId="15" fillId="4" borderId="27" xfId="0" applyNumberFormat="1" applyFont="1" applyFill="1" applyBorder="1" applyAlignment="1">
      <alignment horizontal="center" vertical="center" wrapText="1"/>
    </xf>
    <xf numFmtId="3" fontId="15" fillId="4" borderId="20" xfId="0" applyNumberFormat="1" applyFont="1" applyFill="1" applyBorder="1" applyAlignment="1">
      <alignment horizontal="center" vertical="center" wrapText="1"/>
    </xf>
    <xf numFmtId="4" fontId="15" fillId="4" borderId="34" xfId="0" applyNumberFormat="1" applyFont="1" applyFill="1" applyBorder="1" applyAlignment="1">
      <alignment horizontal="center" vertical="center" wrapText="1"/>
    </xf>
    <xf numFmtId="3" fontId="15" fillId="4" borderId="33" xfId="0" applyNumberFormat="1" applyFont="1" applyFill="1" applyBorder="1" applyAlignment="1">
      <alignment horizontal="center" vertical="center" wrapText="1"/>
    </xf>
    <xf numFmtId="4" fontId="15" fillId="4" borderId="42" xfId="0" applyNumberFormat="1" applyFont="1" applyFill="1" applyBorder="1" applyAlignment="1">
      <alignment horizontal="center" vertical="center" wrapText="1"/>
    </xf>
    <xf numFmtId="3" fontId="15" fillId="4" borderId="43" xfId="0" applyNumberFormat="1" applyFont="1" applyFill="1" applyBorder="1" applyAlignment="1">
      <alignment horizontal="center" vertical="center" wrapText="1"/>
    </xf>
    <xf numFmtId="4" fontId="17" fillId="4" borderId="63" xfId="0" applyNumberFormat="1" applyFont="1" applyFill="1" applyBorder="1" applyAlignment="1">
      <alignment horizontal="center" vertical="center" wrapText="1"/>
    </xf>
    <xf numFmtId="3" fontId="17" fillId="4" borderId="62" xfId="0" applyNumberFormat="1" applyFont="1" applyFill="1" applyBorder="1" applyAlignment="1">
      <alignment horizontal="center" vertical="center" wrapText="1"/>
    </xf>
    <xf numFmtId="4" fontId="15" fillId="4" borderId="21" xfId="0" applyNumberFormat="1" applyFont="1" applyFill="1" applyBorder="1" applyAlignment="1">
      <alignment horizontal="center" vertical="center" wrapText="1"/>
    </xf>
    <xf numFmtId="3" fontId="15" fillId="4" borderId="51" xfId="0" applyNumberFormat="1" applyFont="1" applyFill="1" applyBorder="1" applyAlignment="1">
      <alignment horizontal="center" vertical="center" wrapText="1"/>
    </xf>
    <xf numFmtId="4" fontId="15" fillId="4" borderId="23" xfId="0" applyNumberFormat="1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center" vertical="center" wrapText="1"/>
    </xf>
    <xf numFmtId="3" fontId="17" fillId="4" borderId="2" xfId="0" applyNumberFormat="1" applyFont="1" applyFill="1" applyBorder="1" applyAlignment="1">
      <alignment horizontal="center" vertical="center" wrapText="1"/>
    </xf>
    <xf numFmtId="4" fontId="17" fillId="4" borderId="69" xfId="0" applyNumberFormat="1" applyFont="1" applyFill="1" applyBorder="1" applyAlignment="1">
      <alignment horizontal="center" vertical="center" wrapText="1"/>
    </xf>
    <xf numFmtId="3" fontId="17" fillId="4" borderId="69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1" fillId="0" borderId="0" xfId="2" applyFont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tabSelected="1" zoomScale="70" zoomScaleNormal="7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A67" sqref="A67"/>
    </sheetView>
  </sheetViews>
  <sheetFormatPr defaultRowHeight="15.75" x14ac:dyDescent="0.25"/>
  <cols>
    <col min="1" max="1" width="33.25" customWidth="1"/>
    <col min="2" max="2" width="4.875" bestFit="1" customWidth="1"/>
    <col min="3" max="3" width="8.625" customWidth="1"/>
    <col min="4" max="4" width="4.875" bestFit="1" customWidth="1"/>
    <col min="5" max="5" width="5.125" bestFit="1" customWidth="1"/>
    <col min="6" max="6" width="13.625" bestFit="1" customWidth="1"/>
    <col min="7" max="7" width="4.625" bestFit="1" customWidth="1"/>
    <col min="8" max="8" width="12.5" bestFit="1" customWidth="1"/>
    <col min="9" max="9" width="4.625" bestFit="1" customWidth="1"/>
    <col min="10" max="10" width="10.75" bestFit="1" customWidth="1"/>
    <col min="11" max="11" width="4.625" bestFit="1" customWidth="1"/>
    <col min="12" max="12" width="10.75" bestFit="1" customWidth="1"/>
    <col min="13" max="13" width="4.625" bestFit="1" customWidth="1"/>
    <col min="14" max="14" width="9.625" bestFit="1" customWidth="1"/>
    <col min="15" max="15" width="4.625" bestFit="1" customWidth="1"/>
    <col min="16" max="16" width="12.5" bestFit="1" customWidth="1"/>
    <col min="17" max="17" width="4.625" bestFit="1" customWidth="1"/>
    <col min="18" max="18" width="9.625" bestFit="1" customWidth="1"/>
    <col min="19" max="19" width="4.625" bestFit="1" customWidth="1"/>
    <col min="20" max="20" width="9.75" customWidth="1"/>
    <col min="21" max="21" width="4.625" bestFit="1" customWidth="1"/>
    <col min="22" max="22" width="10.875" bestFit="1" customWidth="1"/>
    <col min="23" max="23" width="6" bestFit="1" customWidth="1"/>
    <col min="24" max="24" width="12.5" bestFit="1" customWidth="1"/>
    <col min="25" max="25" width="6.875" bestFit="1" customWidth="1"/>
    <col min="26" max="26" width="4.875" bestFit="1" customWidth="1"/>
    <col min="27" max="27" width="4.625" customWidth="1"/>
    <col min="28" max="28" width="10.75" bestFit="1" customWidth="1"/>
    <col min="29" max="29" width="7.125" customWidth="1"/>
    <col min="30" max="30" width="4.875" bestFit="1" customWidth="1"/>
    <col min="31" max="31" width="4.625" bestFit="1" customWidth="1"/>
    <col min="32" max="32" width="4.875" bestFit="1" customWidth="1"/>
    <col min="33" max="33" width="4.625" bestFit="1" customWidth="1"/>
    <col min="34" max="34" width="13.625" bestFit="1" customWidth="1"/>
    <col min="35" max="35" width="11.375" customWidth="1"/>
    <col min="36" max="36" width="18.125" customWidth="1"/>
    <col min="37" max="37" width="16.875" bestFit="1" customWidth="1"/>
    <col min="38" max="38" width="12.375" customWidth="1"/>
    <col min="39" max="39" width="11.25" customWidth="1"/>
  </cols>
  <sheetData>
    <row r="1" spans="1:39" ht="16.149999999999999" customHeight="1" thickBot="1" x14ac:dyDescent="0.3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7"/>
      <c r="AL1" s="1" t="s">
        <v>79</v>
      </c>
    </row>
    <row r="2" spans="1:39" ht="16.899999999999999" customHeight="1" x14ac:dyDescent="0.25">
      <c r="A2" s="208"/>
      <c r="B2" s="200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2"/>
      <c r="AH2" s="211" t="s">
        <v>1</v>
      </c>
      <c r="AI2" s="212"/>
      <c r="AJ2" s="212"/>
      <c r="AK2" s="215" t="s">
        <v>2</v>
      </c>
      <c r="AL2" s="216"/>
      <c r="AM2" s="217"/>
    </row>
    <row r="3" spans="1:39" ht="16.149999999999999" customHeight="1" thickBot="1" x14ac:dyDescent="0.3">
      <c r="A3" s="209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5"/>
      <c r="AH3" s="213"/>
      <c r="AI3" s="214"/>
      <c r="AJ3" s="214"/>
      <c r="AK3" s="218"/>
      <c r="AL3" s="219"/>
      <c r="AM3" s="220"/>
    </row>
    <row r="4" spans="1:39" ht="64.900000000000006" customHeight="1" x14ac:dyDescent="0.25">
      <c r="A4" s="209"/>
      <c r="B4" s="221" t="s">
        <v>3</v>
      </c>
      <c r="C4" s="221"/>
      <c r="D4" s="222" t="s">
        <v>4</v>
      </c>
      <c r="E4" s="223"/>
      <c r="F4" s="226" t="s">
        <v>5</v>
      </c>
      <c r="G4" s="221"/>
      <c r="H4" s="221"/>
      <c r="I4" s="221"/>
      <c r="J4" s="221"/>
      <c r="K4" s="221"/>
      <c r="L4" s="221"/>
      <c r="M4" s="221"/>
      <c r="N4" s="221"/>
      <c r="O4" s="227"/>
      <c r="P4" s="228" t="s">
        <v>6</v>
      </c>
      <c r="Q4" s="229"/>
      <c r="R4" s="229"/>
      <c r="S4" s="230"/>
      <c r="T4" s="191" t="s">
        <v>7</v>
      </c>
      <c r="U4" s="192"/>
      <c r="V4" s="253" t="s">
        <v>8</v>
      </c>
      <c r="W4" s="254"/>
      <c r="X4" s="254"/>
      <c r="Y4" s="254"/>
      <c r="Z4" s="254"/>
      <c r="AA4" s="255"/>
      <c r="AB4" s="244" t="s">
        <v>9</v>
      </c>
      <c r="AC4" s="245"/>
      <c r="AD4" s="228" t="s">
        <v>10</v>
      </c>
      <c r="AE4" s="229"/>
      <c r="AF4" s="229"/>
      <c r="AG4" s="230"/>
      <c r="AH4" s="211" t="s">
        <v>11</v>
      </c>
      <c r="AI4" s="250" t="s">
        <v>12</v>
      </c>
      <c r="AJ4" s="250" t="s">
        <v>13</v>
      </c>
      <c r="AK4" s="215" t="s">
        <v>14</v>
      </c>
      <c r="AL4" s="258" t="s">
        <v>15</v>
      </c>
      <c r="AM4" s="240" t="s">
        <v>16</v>
      </c>
    </row>
    <row r="5" spans="1:39" ht="33.6" customHeight="1" x14ac:dyDescent="0.25">
      <c r="A5" s="209"/>
      <c r="B5" s="234" t="s">
        <v>17</v>
      </c>
      <c r="C5" s="195"/>
      <c r="D5" s="224"/>
      <c r="E5" s="225"/>
      <c r="F5" s="235" t="s">
        <v>17</v>
      </c>
      <c r="G5" s="236"/>
      <c r="H5" s="236"/>
      <c r="I5" s="236"/>
      <c r="J5" s="236"/>
      <c r="K5" s="234"/>
      <c r="L5" s="237" t="s">
        <v>18</v>
      </c>
      <c r="M5" s="236"/>
      <c r="N5" s="236"/>
      <c r="O5" s="238"/>
      <c r="P5" s="231"/>
      <c r="Q5" s="232"/>
      <c r="R5" s="232"/>
      <c r="S5" s="233"/>
      <c r="T5" s="193"/>
      <c r="U5" s="194"/>
      <c r="V5" s="239" t="s">
        <v>19</v>
      </c>
      <c r="W5" s="195"/>
      <c r="X5" s="195" t="s">
        <v>20</v>
      </c>
      <c r="Y5" s="195"/>
      <c r="Z5" s="195" t="s">
        <v>21</v>
      </c>
      <c r="AA5" s="243"/>
      <c r="AB5" s="246"/>
      <c r="AC5" s="247"/>
      <c r="AD5" s="239" t="s">
        <v>22</v>
      </c>
      <c r="AE5" s="195"/>
      <c r="AF5" s="195" t="s">
        <v>23</v>
      </c>
      <c r="AG5" s="243"/>
      <c r="AH5" s="248"/>
      <c r="AI5" s="251"/>
      <c r="AJ5" s="251"/>
      <c r="AK5" s="256"/>
      <c r="AL5" s="259"/>
      <c r="AM5" s="241"/>
    </row>
    <row r="6" spans="1:39" ht="25.15" customHeight="1" x14ac:dyDescent="0.25">
      <c r="A6" s="209"/>
      <c r="B6" s="261" t="s">
        <v>24</v>
      </c>
      <c r="C6" s="263" t="s">
        <v>25</v>
      </c>
      <c r="D6" s="265" t="s">
        <v>24</v>
      </c>
      <c r="E6" s="267" t="s">
        <v>25</v>
      </c>
      <c r="F6" s="239" t="s">
        <v>26</v>
      </c>
      <c r="G6" s="195"/>
      <c r="H6" s="195" t="s">
        <v>27</v>
      </c>
      <c r="I6" s="195"/>
      <c r="J6" s="195" t="s">
        <v>28</v>
      </c>
      <c r="K6" s="195"/>
      <c r="L6" s="195" t="s">
        <v>29</v>
      </c>
      <c r="M6" s="195"/>
      <c r="N6" s="195" t="s">
        <v>30</v>
      </c>
      <c r="O6" s="243"/>
      <c r="P6" s="239" t="s">
        <v>27</v>
      </c>
      <c r="Q6" s="195"/>
      <c r="R6" s="195" t="s">
        <v>31</v>
      </c>
      <c r="S6" s="243"/>
      <c r="T6" s="281" t="s">
        <v>24</v>
      </c>
      <c r="U6" s="196" t="s">
        <v>25</v>
      </c>
      <c r="V6" s="198" t="s">
        <v>24</v>
      </c>
      <c r="W6" s="274" t="s">
        <v>25</v>
      </c>
      <c r="X6" s="274" t="s">
        <v>24</v>
      </c>
      <c r="Y6" s="274" t="s">
        <v>25</v>
      </c>
      <c r="Z6" s="274" t="s">
        <v>24</v>
      </c>
      <c r="AA6" s="276" t="s">
        <v>25</v>
      </c>
      <c r="AB6" s="246"/>
      <c r="AC6" s="247"/>
      <c r="AD6" s="239"/>
      <c r="AE6" s="195"/>
      <c r="AF6" s="195"/>
      <c r="AG6" s="243"/>
      <c r="AH6" s="249"/>
      <c r="AI6" s="251"/>
      <c r="AJ6" s="251"/>
      <c r="AK6" s="257"/>
      <c r="AL6" s="259"/>
      <c r="AM6" s="241"/>
    </row>
    <row r="7" spans="1:39" ht="24.6" customHeight="1" thickBot="1" x14ac:dyDescent="0.3">
      <c r="A7" s="210"/>
      <c r="B7" s="262"/>
      <c r="C7" s="264"/>
      <c r="D7" s="266"/>
      <c r="E7" s="268"/>
      <c r="F7" s="2" t="s">
        <v>24</v>
      </c>
      <c r="G7" s="3" t="s">
        <v>25</v>
      </c>
      <c r="H7" s="3" t="s">
        <v>24</v>
      </c>
      <c r="I7" s="3" t="s">
        <v>25</v>
      </c>
      <c r="J7" s="3" t="s">
        <v>24</v>
      </c>
      <c r="K7" s="3" t="s">
        <v>25</v>
      </c>
      <c r="L7" s="3" t="s">
        <v>24</v>
      </c>
      <c r="M7" s="3" t="s">
        <v>25</v>
      </c>
      <c r="N7" s="3" t="s">
        <v>24</v>
      </c>
      <c r="O7" s="4" t="s">
        <v>25</v>
      </c>
      <c r="P7" s="5" t="s">
        <v>24</v>
      </c>
      <c r="Q7" s="6" t="s">
        <v>25</v>
      </c>
      <c r="R7" s="6" t="s">
        <v>24</v>
      </c>
      <c r="S7" s="7" t="s">
        <v>25</v>
      </c>
      <c r="T7" s="282"/>
      <c r="U7" s="197"/>
      <c r="V7" s="199"/>
      <c r="W7" s="275"/>
      <c r="X7" s="275"/>
      <c r="Y7" s="275"/>
      <c r="Z7" s="275"/>
      <c r="AA7" s="277"/>
      <c r="AB7" s="8" t="s">
        <v>24</v>
      </c>
      <c r="AC7" s="9" t="s">
        <v>25</v>
      </c>
      <c r="AD7" s="5" t="s">
        <v>24</v>
      </c>
      <c r="AE7" s="6" t="s">
        <v>25</v>
      </c>
      <c r="AF7" s="6" t="s">
        <v>24</v>
      </c>
      <c r="AG7" s="7" t="s">
        <v>25</v>
      </c>
      <c r="AH7" s="172" t="s">
        <v>24</v>
      </c>
      <c r="AI7" s="252"/>
      <c r="AJ7" s="252"/>
      <c r="AK7" s="10" t="s">
        <v>24</v>
      </c>
      <c r="AL7" s="260"/>
      <c r="AM7" s="242"/>
    </row>
    <row r="8" spans="1:39" ht="16.5" thickBot="1" x14ac:dyDescent="0.3">
      <c r="A8" s="11"/>
      <c r="B8" s="12">
        <v>7</v>
      </c>
      <c r="C8" s="12">
        <v>9</v>
      </c>
      <c r="D8" s="12">
        <v>14</v>
      </c>
      <c r="E8" s="12">
        <v>15</v>
      </c>
      <c r="F8" s="12">
        <v>16</v>
      </c>
      <c r="G8" s="12">
        <v>18</v>
      </c>
      <c r="H8" s="12">
        <v>19</v>
      </c>
      <c r="I8" s="12">
        <v>21</v>
      </c>
      <c r="J8" s="12">
        <v>22</v>
      </c>
      <c r="K8" s="12">
        <v>24</v>
      </c>
      <c r="L8" s="12">
        <v>25</v>
      </c>
      <c r="M8" s="12">
        <v>27</v>
      </c>
      <c r="N8" s="12">
        <v>28</v>
      </c>
      <c r="O8" s="12">
        <v>30</v>
      </c>
      <c r="P8" s="12">
        <v>31</v>
      </c>
      <c r="Q8" s="12">
        <v>33</v>
      </c>
      <c r="R8" s="12">
        <v>34</v>
      </c>
      <c r="S8" s="12">
        <v>36</v>
      </c>
      <c r="T8" s="12">
        <v>37</v>
      </c>
      <c r="U8" s="12">
        <v>39</v>
      </c>
      <c r="V8" s="12">
        <v>40</v>
      </c>
      <c r="W8" s="12">
        <v>42</v>
      </c>
      <c r="X8" s="12">
        <v>43</v>
      </c>
      <c r="Y8" s="12">
        <v>45</v>
      </c>
      <c r="Z8" s="12">
        <v>46</v>
      </c>
      <c r="AA8" s="12">
        <v>48</v>
      </c>
      <c r="AB8" s="12">
        <v>57</v>
      </c>
      <c r="AC8" s="12">
        <v>59</v>
      </c>
      <c r="AD8" s="12">
        <v>60</v>
      </c>
      <c r="AE8" s="12">
        <v>61</v>
      </c>
      <c r="AF8" s="12">
        <v>62</v>
      </c>
      <c r="AG8" s="12">
        <v>63</v>
      </c>
      <c r="AH8" s="13">
        <v>64</v>
      </c>
      <c r="AI8" s="13">
        <v>66</v>
      </c>
      <c r="AJ8" s="14">
        <v>67</v>
      </c>
      <c r="AK8" s="14">
        <v>69</v>
      </c>
      <c r="AL8" s="14">
        <v>71</v>
      </c>
      <c r="AM8" s="15">
        <v>71</v>
      </c>
    </row>
    <row r="9" spans="1:39" ht="16.5" thickBot="1" x14ac:dyDescent="0.3">
      <c r="A9" s="278" t="s">
        <v>32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80"/>
    </row>
    <row r="10" spans="1:39" x14ac:dyDescent="0.25">
      <c r="A10" s="16" t="s">
        <v>33</v>
      </c>
      <c r="B10" s="17"/>
      <c r="C10" s="18"/>
      <c r="D10" s="19"/>
      <c r="E10" s="20"/>
      <c r="F10" s="21">
        <v>207801.88000000003</v>
      </c>
      <c r="G10" s="22">
        <v>11</v>
      </c>
      <c r="H10" s="23">
        <v>1323325.8500000001</v>
      </c>
      <c r="I10" s="22">
        <v>118</v>
      </c>
      <c r="J10" s="23"/>
      <c r="K10" s="22"/>
      <c r="L10" s="23">
        <v>14476.91</v>
      </c>
      <c r="M10" s="22">
        <v>15</v>
      </c>
      <c r="N10" s="23"/>
      <c r="O10" s="24"/>
      <c r="P10" s="25">
        <v>20405.93</v>
      </c>
      <c r="Q10" s="22">
        <v>1</v>
      </c>
      <c r="R10" s="23"/>
      <c r="S10" s="20"/>
      <c r="T10" s="21">
        <v>14505.2</v>
      </c>
      <c r="U10" s="24">
        <v>2</v>
      </c>
      <c r="V10" s="19"/>
      <c r="W10" s="22"/>
      <c r="X10" s="22">
        <v>1879841.31</v>
      </c>
      <c r="Y10" s="22">
        <v>69</v>
      </c>
      <c r="Z10" s="22"/>
      <c r="AA10" s="22"/>
      <c r="AB10" s="25"/>
      <c r="AC10" s="20"/>
      <c r="AD10" s="19"/>
      <c r="AE10" s="22"/>
      <c r="AF10" s="22"/>
      <c r="AG10" s="24"/>
      <c r="AH10" s="173">
        <f>B10+D10+F10+H10+J10+L10+N10+P10+R10+T10+V10+X10+Z10+AB10+AD10+AF10</f>
        <v>3460357.08</v>
      </c>
      <c r="AI10" s="174">
        <f>C10+E10+G10+I10+K10+M10+O10+Q10+S10+U10+W10+Y10+AA10+AC10+AE10+AG10</f>
        <v>216</v>
      </c>
      <c r="AJ10" s="26">
        <f t="shared" ref="AJ10:AJ30" si="0">AH10/$AH$32*100%</f>
        <v>0.1301991921128722</v>
      </c>
      <c r="AK10" s="27">
        <f>(8572.89+14505.2)+8496921.79+2695935</f>
        <v>11215934.879999999</v>
      </c>
      <c r="AL10" s="28">
        <f>(11+2)+534+140</f>
        <v>687</v>
      </c>
      <c r="AM10" s="29">
        <f t="shared" ref="AM10:AM31" si="1">AK10/$AK$32*100%</f>
        <v>9.3606817621071939E-2</v>
      </c>
    </row>
    <row r="11" spans="1:39" ht="30" x14ac:dyDescent="0.25">
      <c r="A11" s="30" t="s">
        <v>34</v>
      </c>
      <c r="B11" s="31"/>
      <c r="C11" s="32"/>
      <c r="D11" s="33"/>
      <c r="E11" s="34"/>
      <c r="F11" s="35">
        <v>848.79</v>
      </c>
      <c r="G11" s="36">
        <v>1</v>
      </c>
      <c r="H11" s="37">
        <v>3631425.81</v>
      </c>
      <c r="I11" s="36">
        <v>60</v>
      </c>
      <c r="J11" s="37">
        <v>487574.56</v>
      </c>
      <c r="K11" s="36">
        <v>22</v>
      </c>
      <c r="L11" s="37"/>
      <c r="M11" s="36"/>
      <c r="N11" s="37">
        <v>93709.93</v>
      </c>
      <c r="O11" s="38">
        <v>10</v>
      </c>
      <c r="P11" s="39">
        <v>581840.31000000006</v>
      </c>
      <c r="Q11" s="36">
        <v>13</v>
      </c>
      <c r="R11" s="37">
        <v>90324.21</v>
      </c>
      <c r="S11" s="34">
        <v>11</v>
      </c>
      <c r="T11" s="40">
        <v>284.57</v>
      </c>
      <c r="U11" s="38">
        <v>1</v>
      </c>
      <c r="V11" s="33"/>
      <c r="W11" s="36"/>
      <c r="X11" s="36"/>
      <c r="Y11" s="36"/>
      <c r="Z11" s="36"/>
      <c r="AA11" s="36"/>
      <c r="AB11" s="39">
        <v>17753</v>
      </c>
      <c r="AC11" s="34">
        <v>6</v>
      </c>
      <c r="AD11" s="33"/>
      <c r="AE11" s="36"/>
      <c r="AF11" s="36"/>
      <c r="AG11" s="38"/>
      <c r="AH11" s="175">
        <f>B11+D11+F11+H11+J11+L11+N11+P11+R11+T11+V11+X11+Z11+AB11+AD11+AF11</f>
        <v>4903761.1800000006</v>
      </c>
      <c r="AI11" s="176">
        <f>C11+E11+G11+I11+K11+M11+O11+Q11+S11+U11+W11+Y11+AA11+AC11+AE11+AG11</f>
        <v>124</v>
      </c>
      <c r="AJ11" s="41">
        <f t="shared" si="0"/>
        <v>0.18450862994476422</v>
      </c>
      <c r="AK11" s="42">
        <f>(0.3+284.57)+(1471.25+2248.86+17753)+12114301.22</f>
        <v>12136059.200000001</v>
      </c>
      <c r="AL11" s="43">
        <f>(1+1)+(6+1+1)+280</f>
        <v>290</v>
      </c>
      <c r="AM11" s="29">
        <f t="shared" si="1"/>
        <v>0.10128606240382634</v>
      </c>
    </row>
    <row r="12" spans="1:39" ht="30" x14ac:dyDescent="0.25">
      <c r="A12" s="30" t="s">
        <v>35</v>
      </c>
      <c r="B12" s="31"/>
      <c r="C12" s="32"/>
      <c r="D12" s="33"/>
      <c r="E12" s="34"/>
      <c r="F12" s="35">
        <v>66.97</v>
      </c>
      <c r="G12" s="36">
        <v>1</v>
      </c>
      <c r="H12" s="37"/>
      <c r="I12" s="36"/>
      <c r="J12" s="37"/>
      <c r="K12" s="36"/>
      <c r="L12" s="37"/>
      <c r="M12" s="36"/>
      <c r="N12" s="37"/>
      <c r="O12" s="38"/>
      <c r="P12" s="39"/>
      <c r="Q12" s="36"/>
      <c r="R12" s="37"/>
      <c r="S12" s="34"/>
      <c r="T12" s="40"/>
      <c r="U12" s="38"/>
      <c r="V12" s="33"/>
      <c r="W12" s="36"/>
      <c r="X12" s="36"/>
      <c r="Y12" s="36"/>
      <c r="Z12" s="36"/>
      <c r="AA12" s="36"/>
      <c r="AB12" s="39"/>
      <c r="AC12" s="34"/>
      <c r="AD12" s="33"/>
      <c r="AE12" s="36"/>
      <c r="AF12" s="36"/>
      <c r="AG12" s="38"/>
      <c r="AH12" s="175">
        <f t="shared" ref="AH12:AI27" si="2">B12+D12+F12+H12+J12+L12+N12+P12+R12+T12+V12+X12+Z12+AB12+AD12+AF12</f>
        <v>66.97</v>
      </c>
      <c r="AI12" s="176">
        <f t="shared" si="2"/>
        <v>1</v>
      </c>
      <c r="AJ12" s="41">
        <f t="shared" si="0"/>
        <v>2.5198092839017211E-6</v>
      </c>
      <c r="AK12" s="42">
        <v>179194.47</v>
      </c>
      <c r="AL12" s="43">
        <v>13</v>
      </c>
      <c r="AM12" s="29">
        <f t="shared" si="1"/>
        <v>1.4955350803529852E-3</v>
      </c>
    </row>
    <row r="13" spans="1:39" x14ac:dyDescent="0.25">
      <c r="A13" s="30" t="s">
        <v>36</v>
      </c>
      <c r="B13" s="31"/>
      <c r="C13" s="32"/>
      <c r="D13" s="33"/>
      <c r="E13" s="34"/>
      <c r="F13" s="35">
        <v>0</v>
      </c>
      <c r="G13" s="36">
        <v>0</v>
      </c>
      <c r="H13" s="37">
        <v>4035.86</v>
      </c>
      <c r="I13" s="36">
        <v>1</v>
      </c>
      <c r="J13" s="37"/>
      <c r="K13" s="36"/>
      <c r="L13" s="37"/>
      <c r="M13" s="36"/>
      <c r="N13" s="37"/>
      <c r="O13" s="38"/>
      <c r="P13" s="39"/>
      <c r="Q13" s="36"/>
      <c r="R13" s="37"/>
      <c r="S13" s="34"/>
      <c r="T13" s="40"/>
      <c r="U13" s="38"/>
      <c r="V13" s="33"/>
      <c r="W13" s="36"/>
      <c r="X13" s="36"/>
      <c r="Y13" s="36"/>
      <c r="Z13" s="36"/>
      <c r="AA13" s="36"/>
      <c r="AB13" s="39"/>
      <c r="AC13" s="34"/>
      <c r="AD13" s="33"/>
      <c r="AE13" s="36"/>
      <c r="AF13" s="36"/>
      <c r="AG13" s="38"/>
      <c r="AH13" s="175">
        <f t="shared" si="2"/>
        <v>4035.86</v>
      </c>
      <c r="AI13" s="176">
        <f t="shared" si="2"/>
        <v>1</v>
      </c>
      <c r="AJ13" s="41">
        <f t="shared" si="0"/>
        <v>1.518530311561535E-4</v>
      </c>
      <c r="AK13" s="42">
        <v>24145743.620000001</v>
      </c>
      <c r="AL13" s="43">
        <v>15</v>
      </c>
      <c r="AM13" s="29">
        <f t="shared" si="1"/>
        <v>0.20151741638522261</v>
      </c>
    </row>
    <row r="14" spans="1:39" ht="30" x14ac:dyDescent="0.25">
      <c r="A14" s="30" t="s">
        <v>37</v>
      </c>
      <c r="B14" s="31"/>
      <c r="C14" s="32"/>
      <c r="D14" s="33"/>
      <c r="E14" s="34"/>
      <c r="F14" s="35">
        <v>0</v>
      </c>
      <c r="G14" s="36">
        <v>0</v>
      </c>
      <c r="H14" s="37"/>
      <c r="I14" s="36"/>
      <c r="J14" s="37"/>
      <c r="K14" s="36"/>
      <c r="L14" s="37"/>
      <c r="M14" s="36"/>
      <c r="N14" s="37"/>
      <c r="O14" s="38"/>
      <c r="P14" s="39"/>
      <c r="Q14" s="36"/>
      <c r="R14" s="37"/>
      <c r="S14" s="34"/>
      <c r="T14" s="40"/>
      <c r="U14" s="38"/>
      <c r="V14" s="33"/>
      <c r="W14" s="36"/>
      <c r="X14" s="36">
        <v>22373</v>
      </c>
      <c r="Y14" s="36">
        <v>52</v>
      </c>
      <c r="Z14" s="36"/>
      <c r="AA14" s="36"/>
      <c r="AB14" s="39"/>
      <c r="AC14" s="34"/>
      <c r="AD14" s="33"/>
      <c r="AE14" s="36"/>
      <c r="AF14" s="36"/>
      <c r="AG14" s="38"/>
      <c r="AH14" s="175">
        <f t="shared" si="2"/>
        <v>22373</v>
      </c>
      <c r="AI14" s="176">
        <f t="shared" si="2"/>
        <v>52</v>
      </c>
      <c r="AJ14" s="41">
        <f t="shared" si="0"/>
        <v>8.4180518304812911E-4</v>
      </c>
      <c r="AK14" s="42">
        <f>749.95+1246371</f>
        <v>1247120.95</v>
      </c>
      <c r="AL14" s="43">
        <f>1+1949</f>
        <v>1950</v>
      </c>
      <c r="AM14" s="29">
        <f t="shared" si="1"/>
        <v>1.0408318572376375E-2</v>
      </c>
    </row>
    <row r="15" spans="1:39" x14ac:dyDescent="0.25">
      <c r="A15" s="30" t="s">
        <v>38</v>
      </c>
      <c r="B15" s="31"/>
      <c r="C15" s="32"/>
      <c r="D15" s="33"/>
      <c r="E15" s="34"/>
      <c r="F15" s="35">
        <v>1432368.9100000004</v>
      </c>
      <c r="G15" s="36">
        <v>279</v>
      </c>
      <c r="H15" s="37">
        <v>2265665.6599999997</v>
      </c>
      <c r="I15" s="36">
        <v>204</v>
      </c>
      <c r="J15" s="37">
        <v>13101.2</v>
      </c>
      <c r="K15" s="36">
        <v>25</v>
      </c>
      <c r="L15" s="37">
        <v>110751.93000000001</v>
      </c>
      <c r="M15" s="36">
        <v>148</v>
      </c>
      <c r="N15" s="37">
        <v>1256.67</v>
      </c>
      <c r="O15" s="38">
        <v>17</v>
      </c>
      <c r="P15" s="39">
        <v>538729.8600000001</v>
      </c>
      <c r="Q15" s="36">
        <v>48</v>
      </c>
      <c r="R15" s="37">
        <v>208.99</v>
      </c>
      <c r="S15" s="34">
        <v>9</v>
      </c>
      <c r="T15" s="40"/>
      <c r="U15" s="38"/>
      <c r="V15" s="33"/>
      <c r="W15" s="36"/>
      <c r="X15" s="36">
        <v>578048.73</v>
      </c>
      <c r="Y15" s="36">
        <v>23</v>
      </c>
      <c r="Z15" s="36"/>
      <c r="AA15" s="36"/>
      <c r="AB15" s="39"/>
      <c r="AC15" s="34"/>
      <c r="AD15" s="33"/>
      <c r="AE15" s="36"/>
      <c r="AF15" s="36"/>
      <c r="AG15" s="38"/>
      <c r="AH15" s="175">
        <f t="shared" si="2"/>
        <v>4940131.9500000011</v>
      </c>
      <c r="AI15" s="176">
        <f t="shared" si="2"/>
        <v>753</v>
      </c>
      <c r="AJ15" s="41">
        <f t="shared" si="0"/>
        <v>0.18587711439912671</v>
      </c>
      <c r="AK15" s="42">
        <f>24615081.49+969493.73</f>
        <v>25584575.219999999</v>
      </c>
      <c r="AL15" s="44">
        <f>4278+672</f>
        <v>4950</v>
      </c>
      <c r="AM15" s="29">
        <f t="shared" si="1"/>
        <v>0.21352572854195609</v>
      </c>
    </row>
    <row r="16" spans="1:39" ht="30" x14ac:dyDescent="0.25">
      <c r="A16" s="30" t="s">
        <v>39</v>
      </c>
      <c r="B16" s="31"/>
      <c r="C16" s="32"/>
      <c r="D16" s="33"/>
      <c r="E16" s="34"/>
      <c r="F16" s="35">
        <v>0</v>
      </c>
      <c r="G16" s="36">
        <v>0</v>
      </c>
      <c r="H16" s="37"/>
      <c r="I16" s="36"/>
      <c r="J16" s="37"/>
      <c r="K16" s="36"/>
      <c r="L16" s="37"/>
      <c r="M16" s="36"/>
      <c r="N16" s="37"/>
      <c r="O16" s="38"/>
      <c r="P16" s="39"/>
      <c r="Q16" s="36"/>
      <c r="R16" s="37"/>
      <c r="S16" s="34"/>
      <c r="T16" s="40"/>
      <c r="U16" s="38"/>
      <c r="V16" s="33"/>
      <c r="W16" s="36"/>
      <c r="X16" s="36"/>
      <c r="Y16" s="36"/>
      <c r="Z16" s="36"/>
      <c r="AA16" s="36"/>
      <c r="AB16" s="39"/>
      <c r="AC16" s="34"/>
      <c r="AD16" s="33"/>
      <c r="AE16" s="36"/>
      <c r="AF16" s="36"/>
      <c r="AG16" s="38"/>
      <c r="AH16" s="175">
        <f t="shared" si="2"/>
        <v>0</v>
      </c>
      <c r="AI16" s="176">
        <f t="shared" si="2"/>
        <v>0</v>
      </c>
      <c r="AJ16" s="41">
        <f t="shared" si="0"/>
        <v>0</v>
      </c>
      <c r="AK16" s="42"/>
      <c r="AL16" s="43"/>
      <c r="AM16" s="29">
        <f t="shared" si="1"/>
        <v>0</v>
      </c>
    </row>
    <row r="17" spans="1:39" x14ac:dyDescent="0.25">
      <c r="A17" s="30" t="s">
        <v>40</v>
      </c>
      <c r="B17" s="31"/>
      <c r="C17" s="32"/>
      <c r="D17" s="33"/>
      <c r="E17" s="34"/>
      <c r="F17" s="35">
        <v>0</v>
      </c>
      <c r="G17" s="36">
        <v>0</v>
      </c>
      <c r="H17" s="37">
        <v>310996.78000000003</v>
      </c>
      <c r="I17" s="36">
        <v>13</v>
      </c>
      <c r="J17" s="37"/>
      <c r="K17" s="36"/>
      <c r="L17" s="37">
        <v>2619.38</v>
      </c>
      <c r="M17" s="36">
        <v>2</v>
      </c>
      <c r="N17" s="37"/>
      <c r="O17" s="38"/>
      <c r="P17" s="39"/>
      <c r="Q17" s="36"/>
      <c r="R17" s="37"/>
      <c r="S17" s="34"/>
      <c r="T17" s="40"/>
      <c r="U17" s="38"/>
      <c r="V17" s="33"/>
      <c r="W17" s="36"/>
      <c r="X17" s="36"/>
      <c r="Y17" s="36"/>
      <c r="Z17" s="36"/>
      <c r="AA17" s="36"/>
      <c r="AB17" s="39"/>
      <c r="AC17" s="34"/>
      <c r="AD17" s="33"/>
      <c r="AE17" s="36"/>
      <c r="AF17" s="36"/>
      <c r="AG17" s="38"/>
      <c r="AH17" s="175">
        <f t="shared" si="2"/>
        <v>313616.16000000003</v>
      </c>
      <c r="AI17" s="176">
        <f t="shared" si="2"/>
        <v>15</v>
      </c>
      <c r="AJ17" s="41">
        <f t="shared" si="0"/>
        <v>1.1800103203667428E-2</v>
      </c>
      <c r="AK17" s="42">
        <f>732472.91+174350</f>
        <v>906822.91</v>
      </c>
      <c r="AL17" s="43">
        <f>62+1</f>
        <v>63</v>
      </c>
      <c r="AM17" s="29">
        <f t="shared" si="1"/>
        <v>7.5682328454264123E-3</v>
      </c>
    </row>
    <row r="18" spans="1:39" x14ac:dyDescent="0.25">
      <c r="A18" s="45" t="s">
        <v>41</v>
      </c>
      <c r="B18" s="46"/>
      <c r="C18" s="47"/>
      <c r="D18" s="48"/>
      <c r="E18" s="49"/>
      <c r="F18" s="50">
        <v>0</v>
      </c>
      <c r="G18" s="51">
        <v>0</v>
      </c>
      <c r="H18" s="52"/>
      <c r="I18" s="51"/>
      <c r="J18" s="52"/>
      <c r="K18" s="51"/>
      <c r="L18" s="52"/>
      <c r="M18" s="51"/>
      <c r="N18" s="52"/>
      <c r="O18" s="53"/>
      <c r="P18" s="54"/>
      <c r="Q18" s="51"/>
      <c r="R18" s="52"/>
      <c r="S18" s="49"/>
      <c r="T18" s="55"/>
      <c r="U18" s="53"/>
      <c r="V18" s="48"/>
      <c r="W18" s="51"/>
      <c r="X18" s="51"/>
      <c r="Y18" s="51"/>
      <c r="Z18" s="51"/>
      <c r="AA18" s="51"/>
      <c r="AB18" s="54"/>
      <c r="AC18" s="49"/>
      <c r="AD18" s="48"/>
      <c r="AE18" s="51"/>
      <c r="AF18" s="51"/>
      <c r="AG18" s="53"/>
      <c r="AH18" s="175">
        <f t="shared" si="2"/>
        <v>0</v>
      </c>
      <c r="AI18" s="176">
        <f t="shared" si="2"/>
        <v>0</v>
      </c>
      <c r="AJ18" s="56">
        <f t="shared" si="0"/>
        <v>0</v>
      </c>
      <c r="AK18" s="57"/>
      <c r="AL18" s="58"/>
      <c r="AM18" s="29">
        <f t="shared" si="1"/>
        <v>0</v>
      </c>
    </row>
    <row r="19" spans="1:39" ht="30" x14ac:dyDescent="0.25">
      <c r="A19" s="45" t="s">
        <v>42</v>
      </c>
      <c r="B19" s="46"/>
      <c r="C19" s="47"/>
      <c r="D19" s="48"/>
      <c r="E19" s="49"/>
      <c r="F19" s="50">
        <v>0</v>
      </c>
      <c r="G19" s="51">
        <v>0</v>
      </c>
      <c r="H19" s="52"/>
      <c r="I19" s="51"/>
      <c r="J19" s="52"/>
      <c r="K19" s="51"/>
      <c r="L19" s="52"/>
      <c r="M19" s="51"/>
      <c r="N19" s="52"/>
      <c r="O19" s="53"/>
      <c r="P19" s="54"/>
      <c r="Q19" s="51"/>
      <c r="R19" s="52"/>
      <c r="S19" s="49"/>
      <c r="T19" s="55">
        <v>58.77</v>
      </c>
      <c r="U19" s="53">
        <v>3</v>
      </c>
      <c r="V19" s="48"/>
      <c r="W19" s="51"/>
      <c r="X19" s="51"/>
      <c r="Y19" s="51"/>
      <c r="Z19" s="51"/>
      <c r="AA19" s="51"/>
      <c r="AB19" s="54">
        <v>524345.18000000005</v>
      </c>
      <c r="AC19" s="49">
        <v>1</v>
      </c>
      <c r="AD19" s="48"/>
      <c r="AE19" s="51"/>
      <c r="AF19" s="51"/>
      <c r="AG19" s="53"/>
      <c r="AH19" s="175">
        <f t="shared" si="2"/>
        <v>524403.95000000007</v>
      </c>
      <c r="AI19" s="176">
        <f t="shared" si="2"/>
        <v>4</v>
      </c>
      <c r="AJ19" s="56">
        <f t="shared" si="0"/>
        <v>1.9731192201354848E-2</v>
      </c>
      <c r="AK19" s="57">
        <f>(25749.94+58.77)+524345.18</f>
        <v>550153.89</v>
      </c>
      <c r="AL19" s="58">
        <f>(75+3)+1</f>
        <v>79</v>
      </c>
      <c r="AM19" s="29">
        <f t="shared" si="1"/>
        <v>4.5915169262068043E-3</v>
      </c>
    </row>
    <row r="20" spans="1:39" x14ac:dyDescent="0.25">
      <c r="A20" s="45" t="s">
        <v>43</v>
      </c>
      <c r="B20" s="46"/>
      <c r="C20" s="47"/>
      <c r="D20" s="48"/>
      <c r="E20" s="49"/>
      <c r="F20" s="50">
        <v>392101.98000000004</v>
      </c>
      <c r="G20" s="51">
        <v>15</v>
      </c>
      <c r="H20" s="52">
        <v>297926.48</v>
      </c>
      <c r="I20" s="51">
        <v>130</v>
      </c>
      <c r="J20" s="52">
        <v>4877.25</v>
      </c>
      <c r="K20" s="51">
        <v>2</v>
      </c>
      <c r="L20" s="52">
        <v>15008.26</v>
      </c>
      <c r="M20" s="51">
        <v>9</v>
      </c>
      <c r="N20" s="52">
        <v>245.09</v>
      </c>
      <c r="O20" s="53">
        <v>2</v>
      </c>
      <c r="P20" s="54">
        <v>249556.62</v>
      </c>
      <c r="Q20" s="51">
        <v>2</v>
      </c>
      <c r="R20" s="52"/>
      <c r="S20" s="49"/>
      <c r="T20" s="55"/>
      <c r="U20" s="53"/>
      <c r="V20" s="48"/>
      <c r="W20" s="51"/>
      <c r="X20" s="51"/>
      <c r="Y20" s="51"/>
      <c r="Z20" s="51"/>
      <c r="AA20" s="51"/>
      <c r="AB20" s="54"/>
      <c r="AC20" s="49"/>
      <c r="AD20" s="48"/>
      <c r="AE20" s="51"/>
      <c r="AF20" s="51"/>
      <c r="AG20" s="53"/>
      <c r="AH20" s="175">
        <f t="shared" si="2"/>
        <v>959715.67999999993</v>
      </c>
      <c r="AI20" s="176">
        <f t="shared" si="2"/>
        <v>160</v>
      </c>
      <c r="AJ20" s="56">
        <f t="shared" si="0"/>
        <v>3.6110205769300477E-2</v>
      </c>
      <c r="AK20" s="57">
        <f>48722.25+38388.65+19180970.18</f>
        <v>19268081.079999998</v>
      </c>
      <c r="AL20" s="58">
        <f>109+8+565</f>
        <v>682</v>
      </c>
      <c r="AM20" s="29">
        <f t="shared" si="1"/>
        <v>0.16080904274683047</v>
      </c>
    </row>
    <row r="21" spans="1:39" ht="30" x14ac:dyDescent="0.25">
      <c r="A21" s="45" t="s">
        <v>44</v>
      </c>
      <c r="B21" s="46"/>
      <c r="C21" s="47"/>
      <c r="D21" s="48"/>
      <c r="E21" s="49"/>
      <c r="F21" s="50">
        <v>3930694.5999999996</v>
      </c>
      <c r="G21" s="51">
        <v>3</v>
      </c>
      <c r="H21" s="52">
        <v>423301.55</v>
      </c>
      <c r="I21" s="51">
        <v>5</v>
      </c>
      <c r="J21" s="52"/>
      <c r="K21" s="51"/>
      <c r="L21" s="52">
        <v>13769.95</v>
      </c>
      <c r="M21" s="51">
        <v>15</v>
      </c>
      <c r="N21" s="52"/>
      <c r="O21" s="53"/>
      <c r="P21" s="54">
        <v>6221537.5199999996</v>
      </c>
      <c r="Q21" s="51">
        <v>2</v>
      </c>
      <c r="R21" s="52"/>
      <c r="S21" s="49"/>
      <c r="T21" s="55"/>
      <c r="U21" s="53"/>
      <c r="V21" s="48"/>
      <c r="W21" s="51"/>
      <c r="X21" s="51"/>
      <c r="Y21" s="51"/>
      <c r="Z21" s="51"/>
      <c r="AA21" s="51"/>
      <c r="AB21" s="54"/>
      <c r="AC21" s="49"/>
      <c r="AD21" s="48"/>
      <c r="AE21" s="51"/>
      <c r="AF21" s="51"/>
      <c r="AG21" s="53"/>
      <c r="AH21" s="175">
        <f t="shared" si="2"/>
        <v>10589303.619999999</v>
      </c>
      <c r="AI21" s="176">
        <f t="shared" si="2"/>
        <v>25</v>
      </c>
      <c r="AJ21" s="56">
        <f t="shared" si="0"/>
        <v>0.39843251562983578</v>
      </c>
      <c r="AK21" s="57">
        <v>13881017.65</v>
      </c>
      <c r="AL21" s="58">
        <v>85</v>
      </c>
      <c r="AM21" s="29">
        <f t="shared" si="1"/>
        <v>0.11584927172459036</v>
      </c>
    </row>
    <row r="22" spans="1:39" x14ac:dyDescent="0.25">
      <c r="A22" s="59" t="s">
        <v>45</v>
      </c>
      <c r="B22" s="46"/>
      <c r="C22" s="47"/>
      <c r="D22" s="48"/>
      <c r="E22" s="49"/>
      <c r="F22" s="50"/>
      <c r="G22" s="51"/>
      <c r="H22" s="52"/>
      <c r="I22" s="51"/>
      <c r="J22" s="52"/>
      <c r="K22" s="51"/>
      <c r="L22" s="52"/>
      <c r="M22" s="51"/>
      <c r="N22" s="52"/>
      <c r="O22" s="53"/>
      <c r="P22" s="54"/>
      <c r="Q22" s="51"/>
      <c r="R22" s="52"/>
      <c r="S22" s="49"/>
      <c r="T22" s="55"/>
      <c r="U22" s="53"/>
      <c r="V22" s="48"/>
      <c r="W22" s="51"/>
      <c r="X22" s="51"/>
      <c r="Y22" s="51"/>
      <c r="Z22" s="51"/>
      <c r="AA22" s="51"/>
      <c r="AB22" s="54"/>
      <c r="AC22" s="49"/>
      <c r="AD22" s="48"/>
      <c r="AE22" s="51"/>
      <c r="AF22" s="51"/>
      <c r="AG22" s="53"/>
      <c r="AH22" s="175">
        <f t="shared" si="2"/>
        <v>0</v>
      </c>
      <c r="AI22" s="176">
        <f t="shared" si="2"/>
        <v>0</v>
      </c>
      <c r="AJ22" s="56">
        <f t="shared" si="0"/>
        <v>0</v>
      </c>
      <c r="AK22" s="57"/>
      <c r="AL22" s="58"/>
      <c r="AM22" s="29">
        <f t="shared" si="1"/>
        <v>0</v>
      </c>
    </row>
    <row r="23" spans="1:39" x14ac:dyDescent="0.25">
      <c r="A23" s="59" t="s">
        <v>46</v>
      </c>
      <c r="B23" s="46"/>
      <c r="C23" s="47"/>
      <c r="D23" s="48"/>
      <c r="E23" s="49"/>
      <c r="F23" s="50"/>
      <c r="G23" s="51"/>
      <c r="H23" s="52"/>
      <c r="I23" s="51"/>
      <c r="J23" s="52"/>
      <c r="K23" s="51"/>
      <c r="L23" s="52"/>
      <c r="M23" s="51"/>
      <c r="N23" s="52"/>
      <c r="O23" s="53"/>
      <c r="P23" s="54"/>
      <c r="Q23" s="51"/>
      <c r="R23" s="52"/>
      <c r="S23" s="49"/>
      <c r="T23" s="55"/>
      <c r="U23" s="53"/>
      <c r="V23" s="48"/>
      <c r="W23" s="51"/>
      <c r="X23" s="51"/>
      <c r="Y23" s="51"/>
      <c r="Z23" s="51"/>
      <c r="AA23" s="51"/>
      <c r="AB23" s="54"/>
      <c r="AC23" s="49"/>
      <c r="AD23" s="48"/>
      <c r="AE23" s="51"/>
      <c r="AF23" s="51"/>
      <c r="AG23" s="53"/>
      <c r="AH23" s="175">
        <f t="shared" si="2"/>
        <v>0</v>
      </c>
      <c r="AI23" s="176">
        <f t="shared" si="2"/>
        <v>0</v>
      </c>
      <c r="AJ23" s="56">
        <f t="shared" si="0"/>
        <v>0</v>
      </c>
      <c r="AK23" s="57"/>
      <c r="AL23" s="58"/>
      <c r="AM23" s="29">
        <f t="shared" si="1"/>
        <v>0</v>
      </c>
    </row>
    <row r="24" spans="1:39" ht="15.6" customHeight="1" x14ac:dyDescent="0.25">
      <c r="A24" s="59" t="s">
        <v>47</v>
      </c>
      <c r="B24" s="46"/>
      <c r="C24" s="47"/>
      <c r="D24" s="48"/>
      <c r="E24" s="49"/>
      <c r="F24" s="50"/>
      <c r="G24" s="51"/>
      <c r="H24" s="52"/>
      <c r="I24" s="51"/>
      <c r="J24" s="52"/>
      <c r="K24" s="51"/>
      <c r="L24" s="52"/>
      <c r="M24" s="51"/>
      <c r="N24" s="52"/>
      <c r="O24" s="53"/>
      <c r="P24" s="54"/>
      <c r="Q24" s="51"/>
      <c r="R24" s="52"/>
      <c r="S24" s="49"/>
      <c r="T24" s="50">
        <v>4077.55</v>
      </c>
      <c r="U24" s="53">
        <v>14</v>
      </c>
      <c r="V24" s="48"/>
      <c r="W24" s="51"/>
      <c r="X24" s="51"/>
      <c r="Y24" s="51"/>
      <c r="Z24" s="51"/>
      <c r="AA24" s="51"/>
      <c r="AB24" s="54"/>
      <c r="AC24" s="49"/>
      <c r="AD24" s="48"/>
      <c r="AE24" s="51"/>
      <c r="AF24" s="51"/>
      <c r="AG24" s="53"/>
      <c r="AH24" s="175">
        <f t="shared" si="2"/>
        <v>4077.55</v>
      </c>
      <c r="AI24" s="176">
        <f t="shared" si="2"/>
        <v>14</v>
      </c>
      <c r="AJ24" s="56">
        <f t="shared" si="0"/>
        <v>1.5342165664586327E-4</v>
      </c>
      <c r="AK24" s="57">
        <v>4077.55</v>
      </c>
      <c r="AL24" s="58">
        <v>14</v>
      </c>
      <c r="AM24" s="29">
        <f t="shared" si="1"/>
        <v>3.4030732460065959E-5</v>
      </c>
    </row>
    <row r="25" spans="1:39" x14ac:dyDescent="0.25">
      <c r="A25" s="59" t="s">
        <v>48</v>
      </c>
      <c r="B25" s="46"/>
      <c r="C25" s="47"/>
      <c r="D25" s="48"/>
      <c r="E25" s="49"/>
      <c r="F25" s="50"/>
      <c r="G25" s="51"/>
      <c r="H25" s="52"/>
      <c r="I25" s="51"/>
      <c r="J25" s="52"/>
      <c r="K25" s="51"/>
      <c r="L25" s="52"/>
      <c r="M25" s="51"/>
      <c r="N25" s="52"/>
      <c r="O25" s="53"/>
      <c r="P25" s="54"/>
      <c r="Q25" s="51"/>
      <c r="R25" s="52"/>
      <c r="S25" s="49"/>
      <c r="T25" s="55"/>
      <c r="U25" s="53"/>
      <c r="V25" s="48"/>
      <c r="W25" s="51"/>
      <c r="X25" s="51"/>
      <c r="Y25" s="51"/>
      <c r="Z25" s="51"/>
      <c r="AA25" s="51"/>
      <c r="AB25" s="54"/>
      <c r="AC25" s="49"/>
      <c r="AD25" s="48"/>
      <c r="AE25" s="51"/>
      <c r="AF25" s="51"/>
      <c r="AG25" s="53"/>
      <c r="AH25" s="175">
        <f t="shared" si="2"/>
        <v>0</v>
      </c>
      <c r="AI25" s="176">
        <f t="shared" si="2"/>
        <v>0</v>
      </c>
      <c r="AJ25" s="56">
        <f t="shared" si="0"/>
        <v>0</v>
      </c>
      <c r="AK25" s="57"/>
      <c r="AL25" s="58"/>
      <c r="AM25" s="29">
        <f t="shared" si="1"/>
        <v>0</v>
      </c>
    </row>
    <row r="26" spans="1:39" ht="87.75" customHeight="1" x14ac:dyDescent="0.25">
      <c r="A26" s="60" t="s">
        <v>49</v>
      </c>
      <c r="B26" s="31"/>
      <c r="C26" s="32"/>
      <c r="D26" s="33"/>
      <c r="E26" s="34"/>
      <c r="F26" s="35"/>
      <c r="G26" s="36"/>
      <c r="H26" s="37"/>
      <c r="I26" s="36"/>
      <c r="J26" s="37"/>
      <c r="K26" s="36"/>
      <c r="L26" s="37"/>
      <c r="M26" s="36"/>
      <c r="N26" s="37"/>
      <c r="O26" s="38"/>
      <c r="P26" s="39"/>
      <c r="Q26" s="36"/>
      <c r="R26" s="37"/>
      <c r="S26" s="34"/>
      <c r="T26" s="40"/>
      <c r="U26" s="38"/>
      <c r="V26" s="33">
        <v>342425.41</v>
      </c>
      <c r="W26" s="36">
        <v>404</v>
      </c>
      <c r="X26" s="36">
        <v>490390.52</v>
      </c>
      <c r="Y26" s="36">
        <v>363</v>
      </c>
      <c r="Z26" s="36"/>
      <c r="AA26" s="36"/>
      <c r="AB26" s="39"/>
      <c r="AC26" s="34"/>
      <c r="AD26" s="33"/>
      <c r="AE26" s="36"/>
      <c r="AF26" s="36"/>
      <c r="AG26" s="38"/>
      <c r="AH26" s="175">
        <f t="shared" si="2"/>
        <v>832815.92999999993</v>
      </c>
      <c r="AI26" s="176">
        <f t="shared" si="2"/>
        <v>767</v>
      </c>
      <c r="AJ26" s="41">
        <f t="shared" si="0"/>
        <v>3.1335483234213014E-2</v>
      </c>
      <c r="AK26" s="42">
        <v>5947935.0099999998</v>
      </c>
      <c r="AL26" s="44">
        <v>8912</v>
      </c>
      <c r="AM26" s="29">
        <f t="shared" si="1"/>
        <v>4.9640736475376077E-2</v>
      </c>
    </row>
    <row r="27" spans="1:39" x14ac:dyDescent="0.25">
      <c r="A27" s="30" t="s">
        <v>50</v>
      </c>
      <c r="B27" s="31"/>
      <c r="C27" s="32"/>
      <c r="D27" s="33"/>
      <c r="E27" s="34"/>
      <c r="F27" s="35"/>
      <c r="G27" s="36"/>
      <c r="H27" s="37"/>
      <c r="I27" s="36"/>
      <c r="J27" s="37"/>
      <c r="K27" s="36"/>
      <c r="L27" s="37"/>
      <c r="M27" s="36"/>
      <c r="N27" s="37"/>
      <c r="O27" s="38"/>
      <c r="P27" s="39"/>
      <c r="Q27" s="36"/>
      <c r="R27" s="37"/>
      <c r="S27" s="34"/>
      <c r="T27" s="40"/>
      <c r="U27" s="38"/>
      <c r="V27" s="33"/>
      <c r="W27" s="36"/>
      <c r="X27" s="36"/>
      <c r="Y27" s="36"/>
      <c r="Z27" s="36"/>
      <c r="AA27" s="36"/>
      <c r="AB27" s="39"/>
      <c r="AC27" s="34"/>
      <c r="AD27" s="33"/>
      <c r="AE27" s="36"/>
      <c r="AF27" s="36"/>
      <c r="AG27" s="38"/>
      <c r="AH27" s="175">
        <f t="shared" si="2"/>
        <v>0</v>
      </c>
      <c r="AI27" s="176">
        <f t="shared" si="2"/>
        <v>0</v>
      </c>
      <c r="AJ27" s="41">
        <f t="shared" si="0"/>
        <v>0</v>
      </c>
      <c r="AK27" s="42">
        <v>46401.02</v>
      </c>
      <c r="AL27" s="44">
        <v>3</v>
      </c>
      <c r="AM27" s="29">
        <f t="shared" si="1"/>
        <v>3.8725722492530306E-4</v>
      </c>
    </row>
    <row r="28" spans="1:39" ht="30" x14ac:dyDescent="0.25">
      <c r="A28" s="30" t="s">
        <v>51</v>
      </c>
      <c r="B28" s="31"/>
      <c r="C28" s="32"/>
      <c r="D28" s="33"/>
      <c r="E28" s="34"/>
      <c r="F28" s="35"/>
      <c r="G28" s="36"/>
      <c r="H28" s="37">
        <v>0</v>
      </c>
      <c r="I28" s="36">
        <v>2</v>
      </c>
      <c r="J28" s="37"/>
      <c r="K28" s="36"/>
      <c r="L28" s="37"/>
      <c r="M28" s="36"/>
      <c r="N28" s="37"/>
      <c r="O28" s="38"/>
      <c r="P28" s="39"/>
      <c r="Q28" s="36"/>
      <c r="R28" s="37"/>
      <c r="S28" s="34"/>
      <c r="T28" s="40"/>
      <c r="U28" s="38"/>
      <c r="V28" s="33"/>
      <c r="W28" s="36"/>
      <c r="X28" s="36"/>
      <c r="Y28" s="36"/>
      <c r="Z28" s="36"/>
      <c r="AA28" s="36"/>
      <c r="AB28" s="39"/>
      <c r="AC28" s="34"/>
      <c r="AD28" s="33"/>
      <c r="AE28" s="36"/>
      <c r="AF28" s="36"/>
      <c r="AG28" s="38"/>
      <c r="AH28" s="175">
        <f t="shared" ref="AH28:AI32" si="3">B28+D28+F28+H28+J28+L28+N28+P28+R28+T28+V28+X28+Z28+AB28+AD28+AF28</f>
        <v>0</v>
      </c>
      <c r="AI28" s="176">
        <f t="shared" si="3"/>
        <v>2</v>
      </c>
      <c r="AJ28" s="41">
        <f t="shared" si="0"/>
        <v>0</v>
      </c>
      <c r="AK28" s="42">
        <v>5779.43</v>
      </c>
      <c r="AL28" s="44">
        <v>1</v>
      </c>
      <c r="AM28" s="29">
        <f t="shared" si="1"/>
        <v>4.8234414317832768E-5</v>
      </c>
    </row>
    <row r="29" spans="1:39" ht="45" x14ac:dyDescent="0.25">
      <c r="A29" s="30" t="s">
        <v>52</v>
      </c>
      <c r="B29" s="31"/>
      <c r="C29" s="32"/>
      <c r="D29" s="33"/>
      <c r="E29" s="34"/>
      <c r="F29" s="35"/>
      <c r="G29" s="36"/>
      <c r="H29" s="37"/>
      <c r="I29" s="36"/>
      <c r="J29" s="37"/>
      <c r="K29" s="36"/>
      <c r="L29" s="37"/>
      <c r="M29" s="36"/>
      <c r="N29" s="37"/>
      <c r="O29" s="38"/>
      <c r="P29" s="39"/>
      <c r="Q29" s="36"/>
      <c r="R29" s="37"/>
      <c r="S29" s="34"/>
      <c r="T29" s="40"/>
      <c r="U29" s="38"/>
      <c r="V29" s="33"/>
      <c r="W29" s="36"/>
      <c r="X29" s="36"/>
      <c r="Y29" s="36"/>
      <c r="Z29" s="36"/>
      <c r="AA29" s="36"/>
      <c r="AB29" s="39"/>
      <c r="AC29" s="34"/>
      <c r="AD29" s="33"/>
      <c r="AE29" s="36"/>
      <c r="AF29" s="36"/>
      <c r="AG29" s="38"/>
      <c r="AH29" s="175">
        <f>B29+D29+F29+H29+J29+L29+N29+P29+R29+T29+V29+X29+Z29+AB29+AD29+AF29</f>
        <v>0</v>
      </c>
      <c r="AI29" s="176">
        <f t="shared" si="3"/>
        <v>0</v>
      </c>
      <c r="AJ29" s="41">
        <f t="shared" si="0"/>
        <v>0</v>
      </c>
      <c r="AK29" s="42">
        <v>2320.71</v>
      </c>
      <c r="AL29" s="44">
        <v>3</v>
      </c>
      <c r="AM29" s="29">
        <f t="shared" si="1"/>
        <v>1.9368361179482696E-5</v>
      </c>
    </row>
    <row r="30" spans="1:39" x14ac:dyDescent="0.25">
      <c r="A30" s="168" t="s">
        <v>53</v>
      </c>
      <c r="B30" s="61"/>
      <c r="C30" s="62"/>
      <c r="D30" s="63"/>
      <c r="E30" s="64"/>
      <c r="F30" s="65">
        <v>2991.64</v>
      </c>
      <c r="G30" s="66">
        <v>1</v>
      </c>
      <c r="H30" s="67"/>
      <c r="I30" s="66"/>
      <c r="J30" s="67"/>
      <c r="K30" s="66"/>
      <c r="L30" s="67">
        <v>7506.7999999999993</v>
      </c>
      <c r="M30" s="66">
        <v>5</v>
      </c>
      <c r="N30" s="67"/>
      <c r="O30" s="68"/>
      <c r="P30" s="69"/>
      <c r="Q30" s="66"/>
      <c r="R30" s="67"/>
      <c r="S30" s="64"/>
      <c r="T30" s="65">
        <v>12250.86</v>
      </c>
      <c r="U30" s="68">
        <v>7</v>
      </c>
      <c r="V30" s="63"/>
      <c r="W30" s="66"/>
      <c r="X30" s="66"/>
      <c r="Y30" s="66"/>
      <c r="Z30" s="66"/>
      <c r="AA30" s="66"/>
      <c r="AB30" s="69"/>
      <c r="AC30" s="64"/>
      <c r="AD30" s="63"/>
      <c r="AE30" s="66"/>
      <c r="AF30" s="66"/>
      <c r="AG30" s="68"/>
      <c r="AH30" s="177">
        <f t="shared" si="3"/>
        <v>22749.3</v>
      </c>
      <c r="AI30" s="178">
        <f t="shared" si="3"/>
        <v>13</v>
      </c>
      <c r="AJ30" s="70">
        <f t="shared" si="0"/>
        <v>8.5596382473145322E-4</v>
      </c>
      <c r="AK30" s="71">
        <f>12250.86+16439.22</f>
        <v>28690.080000000002</v>
      </c>
      <c r="AL30" s="72">
        <f>7+14</f>
        <v>21</v>
      </c>
      <c r="AM30" s="73">
        <f t="shared" si="1"/>
        <v>2.3944389075250801E-4</v>
      </c>
    </row>
    <row r="31" spans="1:39" ht="16.5" thickBot="1" x14ac:dyDescent="0.3">
      <c r="A31" s="169" t="s">
        <v>54</v>
      </c>
      <c r="B31" s="74"/>
      <c r="C31" s="75"/>
      <c r="D31" s="76"/>
      <c r="E31" s="77"/>
      <c r="F31" s="78"/>
      <c r="G31" s="79"/>
      <c r="H31" s="80"/>
      <c r="I31" s="79"/>
      <c r="J31" s="80"/>
      <c r="K31" s="79"/>
      <c r="L31" s="80"/>
      <c r="M31" s="79"/>
      <c r="N31" s="80"/>
      <c r="O31" s="81"/>
      <c r="P31" s="82"/>
      <c r="Q31" s="79"/>
      <c r="R31" s="80"/>
      <c r="S31" s="77"/>
      <c r="T31" s="78"/>
      <c r="U31" s="81"/>
      <c r="V31" s="76"/>
      <c r="W31" s="79"/>
      <c r="X31" s="79"/>
      <c r="Y31" s="79"/>
      <c r="Z31" s="79"/>
      <c r="AA31" s="79"/>
      <c r="AB31" s="82"/>
      <c r="AC31" s="77"/>
      <c r="AD31" s="76"/>
      <c r="AE31" s="79"/>
      <c r="AF31" s="79"/>
      <c r="AG31" s="81"/>
      <c r="AH31" s="179"/>
      <c r="AI31" s="180"/>
      <c r="AJ31" s="83"/>
      <c r="AK31" s="84">
        <v>4669729.03</v>
      </c>
      <c r="AL31" s="85">
        <v>390</v>
      </c>
      <c r="AM31" s="86">
        <f t="shared" si="1"/>
        <v>3.8972986053128301E-2</v>
      </c>
    </row>
    <row r="32" spans="1:39" ht="16.5" thickBot="1" x14ac:dyDescent="0.3">
      <c r="A32" s="87" t="s">
        <v>55</v>
      </c>
      <c r="B32" s="88">
        <f>SUM(B10:B26)</f>
        <v>0</v>
      </c>
      <c r="C32" s="89">
        <f t="shared" ref="C32:E32" si="4">SUM(C10:C26)</f>
        <v>0</v>
      </c>
      <c r="D32" s="90">
        <f t="shared" si="4"/>
        <v>0</v>
      </c>
      <c r="E32" s="91">
        <f t="shared" si="4"/>
        <v>0</v>
      </c>
      <c r="F32" s="92">
        <f t="shared" ref="F32:R32" si="5">SUM(F10:F31)</f>
        <v>5966874.7699999996</v>
      </c>
      <c r="G32" s="89">
        <f t="shared" si="5"/>
        <v>311</v>
      </c>
      <c r="H32" s="88">
        <f t="shared" si="5"/>
        <v>8256677.9899999993</v>
      </c>
      <c r="I32" s="89">
        <f t="shared" si="5"/>
        <v>533</v>
      </c>
      <c r="J32" s="88">
        <f t="shared" si="5"/>
        <v>505553.01</v>
      </c>
      <c r="K32" s="89">
        <f t="shared" si="5"/>
        <v>49</v>
      </c>
      <c r="L32" s="88">
        <f t="shared" si="5"/>
        <v>164133.23000000001</v>
      </c>
      <c r="M32" s="89">
        <f t="shared" si="5"/>
        <v>194</v>
      </c>
      <c r="N32" s="88">
        <f t="shared" si="5"/>
        <v>95211.689999999988</v>
      </c>
      <c r="O32" s="93">
        <f t="shared" si="5"/>
        <v>29</v>
      </c>
      <c r="P32" s="94">
        <f t="shared" si="5"/>
        <v>7612070.2400000002</v>
      </c>
      <c r="Q32" s="89">
        <f t="shared" si="5"/>
        <v>66</v>
      </c>
      <c r="R32" s="88">
        <f t="shared" si="5"/>
        <v>90533.200000000012</v>
      </c>
      <c r="S32" s="91">
        <f t="shared" ref="S32" si="6">SUM(S10:S26)</f>
        <v>20</v>
      </c>
      <c r="T32" s="92">
        <f t="shared" ref="T32:AA32" si="7">SUM(T10:T31)</f>
        <v>31176.95</v>
      </c>
      <c r="U32" s="93">
        <f t="shared" si="7"/>
        <v>27</v>
      </c>
      <c r="V32" s="94">
        <f t="shared" si="7"/>
        <v>342425.41</v>
      </c>
      <c r="W32" s="89">
        <f t="shared" si="7"/>
        <v>404</v>
      </c>
      <c r="X32" s="88">
        <f t="shared" si="7"/>
        <v>2970653.56</v>
      </c>
      <c r="Y32" s="95">
        <f t="shared" si="7"/>
        <v>507</v>
      </c>
      <c r="Z32" s="88">
        <f t="shared" si="7"/>
        <v>0</v>
      </c>
      <c r="AA32" s="89">
        <f t="shared" si="7"/>
        <v>0</v>
      </c>
      <c r="AB32" s="94">
        <f t="shared" ref="AB32" si="8">SUM(AB10:AB26)</f>
        <v>542098.18000000005</v>
      </c>
      <c r="AC32" s="91">
        <f>SUM(AC10:AC26)</f>
        <v>7</v>
      </c>
      <c r="AD32" s="90">
        <f>SUM(AD10:AD26)</f>
        <v>0</v>
      </c>
      <c r="AE32" s="89">
        <f>SUM(AE10:AE26)</f>
        <v>0</v>
      </c>
      <c r="AF32" s="89">
        <f>SUM(AF10:AF26)</f>
        <v>0</v>
      </c>
      <c r="AG32" s="93">
        <f>SUM(AG10:AG26)</f>
        <v>0</v>
      </c>
      <c r="AH32" s="181">
        <f t="shared" si="3"/>
        <v>26577408.229999997</v>
      </c>
      <c r="AI32" s="182">
        <f>SUM(AI10:AI30)</f>
        <v>2147</v>
      </c>
      <c r="AJ32" s="96" t="s">
        <v>56</v>
      </c>
      <c r="AK32" s="97">
        <f>SUM(AK10:AK31)</f>
        <v>119819636.7</v>
      </c>
      <c r="AL32" s="98">
        <f>SUM(AL10:AL31)</f>
        <v>18158</v>
      </c>
      <c r="AM32" s="99" t="s">
        <v>56</v>
      </c>
    </row>
    <row r="33" spans="1:39" ht="16.5" thickBot="1" x14ac:dyDescent="0.3">
      <c r="A33" s="269" t="s">
        <v>78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</row>
    <row r="34" spans="1:39" x14ac:dyDescent="0.25">
      <c r="A34" s="16" t="s">
        <v>57</v>
      </c>
      <c r="B34" s="17"/>
      <c r="C34" s="18"/>
      <c r="D34" s="100"/>
      <c r="E34" s="101"/>
      <c r="F34" s="102">
        <v>48.66</v>
      </c>
      <c r="G34" s="18">
        <v>1</v>
      </c>
      <c r="H34" s="17"/>
      <c r="I34" s="18"/>
      <c r="J34" s="17"/>
      <c r="K34" s="18"/>
      <c r="L34" s="17"/>
      <c r="M34" s="18"/>
      <c r="N34" s="17"/>
      <c r="O34" s="101"/>
      <c r="P34" s="102"/>
      <c r="Q34" s="18"/>
      <c r="R34" s="17"/>
      <c r="S34" s="101"/>
      <c r="T34" s="102">
        <v>58.77</v>
      </c>
      <c r="U34" s="103">
        <v>3</v>
      </c>
      <c r="V34" s="102">
        <v>8506.14</v>
      </c>
      <c r="W34" s="18">
        <v>5</v>
      </c>
      <c r="X34" s="17">
        <v>1.76</v>
      </c>
      <c r="Y34" s="18">
        <v>2</v>
      </c>
      <c r="Z34" s="18"/>
      <c r="AA34" s="18"/>
      <c r="AB34" s="102">
        <v>4478.78</v>
      </c>
      <c r="AC34" s="101">
        <v>3</v>
      </c>
      <c r="AD34" s="100"/>
      <c r="AE34" s="18"/>
      <c r="AF34" s="18"/>
      <c r="AG34" s="101"/>
      <c r="AH34" s="183">
        <f>B34+D34+F34+H34+J34+L34+N34+P34+R34+T34+V34+X34+Z34+AB34+AD34+AF34</f>
        <v>13094.11</v>
      </c>
      <c r="AI34" s="184">
        <f t="shared" ref="AI34:AI45" si="9">C34+E34+G34+I34+K34+M34+O34+Q34+S34+U34+W34+Y34+AA34+AC34+AE34+AG34</f>
        <v>14</v>
      </c>
      <c r="AJ34" s="104">
        <f t="shared" ref="AJ34:AJ45" si="10">AH34/$AH$46*100%</f>
        <v>4.9267821326609465E-4</v>
      </c>
      <c r="AK34" s="27">
        <f>(24312.28+58.77)+(1471.25+4478.78)+322540.94+1406036.36</f>
        <v>1758898.3800000001</v>
      </c>
      <c r="AL34" s="105">
        <f>(48+3)+(3+1)+179+3579</f>
        <v>3813</v>
      </c>
      <c r="AM34" s="106">
        <f t="shared" ref="AM34:AM45" si="11">AK34/$AK$46*100%</f>
        <v>1.4679550265289772E-2</v>
      </c>
    </row>
    <row r="35" spans="1:39" ht="30" x14ac:dyDescent="0.25">
      <c r="A35" s="30" t="s">
        <v>58</v>
      </c>
      <c r="B35" s="31"/>
      <c r="C35" s="32"/>
      <c r="D35" s="107"/>
      <c r="E35" s="108"/>
      <c r="F35" s="109">
        <v>95754.27999999997</v>
      </c>
      <c r="G35" s="32">
        <v>2</v>
      </c>
      <c r="H35" s="31">
        <v>465390</v>
      </c>
      <c r="I35" s="32">
        <v>114</v>
      </c>
      <c r="J35" s="31">
        <v>477789.99</v>
      </c>
      <c r="K35" s="32">
        <v>18</v>
      </c>
      <c r="L35" s="31">
        <v>1751.15</v>
      </c>
      <c r="M35" s="32">
        <v>1</v>
      </c>
      <c r="N35" s="31">
        <v>91595.31</v>
      </c>
      <c r="O35" s="108">
        <v>9</v>
      </c>
      <c r="P35" s="109"/>
      <c r="Q35" s="32"/>
      <c r="R35" s="31">
        <v>88833.69</v>
      </c>
      <c r="S35" s="108">
        <v>9</v>
      </c>
      <c r="T35" s="107"/>
      <c r="U35" s="110"/>
      <c r="V35" s="109"/>
      <c r="W35" s="32"/>
      <c r="X35" s="31">
        <f>239041.06-49799.05</f>
        <v>189242.01</v>
      </c>
      <c r="Y35" s="32">
        <f>3-1</f>
        <v>2</v>
      </c>
      <c r="Z35" s="32"/>
      <c r="AA35" s="32"/>
      <c r="AB35" s="109">
        <v>524345.18000000005</v>
      </c>
      <c r="AC35" s="108">
        <v>1</v>
      </c>
      <c r="AD35" s="107"/>
      <c r="AE35" s="32"/>
      <c r="AF35" s="32"/>
      <c r="AG35" s="108"/>
      <c r="AH35" s="185">
        <f>B35+D35+F35+H35+J35+L35+N35+P35+R35+T35+V35+X35+Z35+AB35+AD35+AF35</f>
        <v>1934701.6099999999</v>
      </c>
      <c r="AI35" s="184">
        <f t="shared" si="9"/>
        <v>156</v>
      </c>
      <c r="AJ35" s="111">
        <f t="shared" si="10"/>
        <v>7.2794969067606477E-2</v>
      </c>
      <c r="AK35" s="42">
        <f>524345.18+8970225.57+336802.03</f>
        <v>9831372.7799999993</v>
      </c>
      <c r="AL35" s="44">
        <f>1+193+4</f>
        <v>198</v>
      </c>
      <c r="AM35" s="29">
        <f t="shared" si="11"/>
        <v>8.2051432045102929E-2</v>
      </c>
    </row>
    <row r="36" spans="1:39" ht="30" x14ac:dyDescent="0.25">
      <c r="A36" s="30" t="s">
        <v>59</v>
      </c>
      <c r="B36" s="31"/>
      <c r="C36" s="32"/>
      <c r="D36" s="107"/>
      <c r="E36" s="108"/>
      <c r="F36" s="109">
        <v>876490.44000000041</v>
      </c>
      <c r="G36" s="32">
        <v>104</v>
      </c>
      <c r="H36" s="31">
        <v>6066410.9900000002</v>
      </c>
      <c r="I36" s="32">
        <v>248</v>
      </c>
      <c r="J36" s="31">
        <v>17365.64</v>
      </c>
      <c r="K36" s="32">
        <v>22</v>
      </c>
      <c r="L36" s="31">
        <v>48787.81</v>
      </c>
      <c r="M36" s="32">
        <v>48</v>
      </c>
      <c r="N36" s="31">
        <v>1382.29</v>
      </c>
      <c r="O36" s="108">
        <v>14</v>
      </c>
      <c r="P36" s="109">
        <v>1067450.9200000002</v>
      </c>
      <c r="Q36" s="32">
        <v>34</v>
      </c>
      <c r="R36" s="31">
        <v>200.37</v>
      </c>
      <c r="S36" s="108">
        <v>7</v>
      </c>
      <c r="T36" s="107">
        <f>12250.86+14505.2</f>
        <v>26756.06</v>
      </c>
      <c r="U36" s="110">
        <f>7+2</f>
        <v>9</v>
      </c>
      <c r="V36" s="109"/>
      <c r="W36" s="32"/>
      <c r="X36" s="31"/>
      <c r="Y36" s="32"/>
      <c r="Z36" s="32"/>
      <c r="AA36" s="32"/>
      <c r="AB36" s="109">
        <v>13274.22</v>
      </c>
      <c r="AC36" s="108">
        <v>3</v>
      </c>
      <c r="AD36" s="107"/>
      <c r="AE36" s="32"/>
      <c r="AF36" s="32"/>
      <c r="AG36" s="108"/>
      <c r="AH36" s="185">
        <f t="shared" ref="AH36:AH45" si="12">B36+D36+F36+H36+J36+L36+N36+P36+R36+T36+V36+X36+Z36+AB36+AD36+AF36</f>
        <v>8118118.7399999993</v>
      </c>
      <c r="AI36" s="184">
        <f t="shared" si="9"/>
        <v>489</v>
      </c>
      <c r="AJ36" s="111">
        <f t="shared" si="10"/>
        <v>0.30545185857650498</v>
      </c>
      <c r="AK36" s="42">
        <f>12250.86+14505.2+(36784.98+13274.22)+29494313.91+112101</f>
        <v>29683230.170000002</v>
      </c>
      <c r="AL36" s="44">
        <f>7+2+(1+3)+2134+1</f>
        <v>2148</v>
      </c>
      <c r="AM36" s="29">
        <f t="shared" si="11"/>
        <v>0.24773260028625466</v>
      </c>
    </row>
    <row r="37" spans="1:39" x14ac:dyDescent="0.25">
      <c r="A37" s="30" t="s">
        <v>60</v>
      </c>
      <c r="B37" s="31"/>
      <c r="C37" s="32"/>
      <c r="D37" s="107"/>
      <c r="E37" s="108"/>
      <c r="F37" s="109"/>
      <c r="G37" s="32"/>
      <c r="H37" s="31">
        <v>14602.65</v>
      </c>
      <c r="I37" s="32">
        <v>2</v>
      </c>
      <c r="J37" s="31"/>
      <c r="K37" s="32"/>
      <c r="L37" s="31">
        <v>4860.0199999999995</v>
      </c>
      <c r="M37" s="32">
        <v>3</v>
      </c>
      <c r="N37" s="31"/>
      <c r="O37" s="108"/>
      <c r="P37" s="109"/>
      <c r="Q37" s="32"/>
      <c r="R37" s="31"/>
      <c r="S37" s="108"/>
      <c r="T37" s="107"/>
      <c r="U37" s="110"/>
      <c r="V37" s="109"/>
      <c r="W37" s="32"/>
      <c r="X37" s="31"/>
      <c r="Y37" s="32"/>
      <c r="Z37" s="32"/>
      <c r="AA37" s="32"/>
      <c r="AB37" s="109"/>
      <c r="AC37" s="108"/>
      <c r="AD37" s="107"/>
      <c r="AE37" s="32"/>
      <c r="AF37" s="32"/>
      <c r="AG37" s="108"/>
      <c r="AH37" s="185">
        <f t="shared" si="12"/>
        <v>19462.669999999998</v>
      </c>
      <c r="AI37" s="184">
        <f t="shared" si="9"/>
        <v>5</v>
      </c>
      <c r="AJ37" s="111">
        <f t="shared" si="10"/>
        <v>7.3230127752001639E-4</v>
      </c>
      <c r="AK37" s="42">
        <f>76994.66</f>
        <v>76994.66</v>
      </c>
      <c r="AL37" s="44">
        <v>41</v>
      </c>
      <c r="AM37" s="29">
        <f t="shared" si="11"/>
        <v>6.42587993985699E-4</v>
      </c>
    </row>
    <row r="38" spans="1:39" x14ac:dyDescent="0.25">
      <c r="A38" s="30" t="s">
        <v>61</v>
      </c>
      <c r="B38" s="46"/>
      <c r="C38" s="47"/>
      <c r="D38" s="112"/>
      <c r="E38" s="113"/>
      <c r="F38" s="114"/>
      <c r="G38" s="47"/>
      <c r="H38" s="46"/>
      <c r="I38" s="47"/>
      <c r="J38" s="46"/>
      <c r="K38" s="47"/>
      <c r="L38" s="46"/>
      <c r="M38" s="47"/>
      <c r="N38" s="46"/>
      <c r="O38" s="113"/>
      <c r="P38" s="114"/>
      <c r="Q38" s="47"/>
      <c r="R38" s="46"/>
      <c r="S38" s="113"/>
      <c r="T38" s="112">
        <v>284.57</v>
      </c>
      <c r="U38" s="115">
        <v>1</v>
      </c>
      <c r="V38" s="114">
        <v>333919.27</v>
      </c>
      <c r="W38" s="47">
        <v>399</v>
      </c>
      <c r="X38" s="46">
        <v>677800.06</v>
      </c>
      <c r="Y38" s="47">
        <v>415</v>
      </c>
      <c r="Z38" s="47"/>
      <c r="AA38" s="47"/>
      <c r="AB38" s="114"/>
      <c r="AC38" s="113"/>
      <c r="AD38" s="112"/>
      <c r="AE38" s="47"/>
      <c r="AF38" s="47"/>
      <c r="AG38" s="113"/>
      <c r="AH38" s="185">
        <f t="shared" si="12"/>
        <v>1012003.9000000001</v>
      </c>
      <c r="AI38" s="184">
        <f t="shared" si="9"/>
        <v>815</v>
      </c>
      <c r="AJ38" s="111">
        <f t="shared" si="10"/>
        <v>3.8077599261829909E-2</v>
      </c>
      <c r="AK38" s="42">
        <f>(10010.84+284.57)+2998.83+7075535.62</f>
        <v>7088829.8600000003</v>
      </c>
      <c r="AL38" s="44">
        <f>(39+1)+2+8002</f>
        <v>8044</v>
      </c>
      <c r="AM38" s="29">
        <f t="shared" si="11"/>
        <v>5.9162505028833474E-2</v>
      </c>
    </row>
    <row r="39" spans="1:39" x14ac:dyDescent="0.25">
      <c r="A39" s="30" t="s">
        <v>62</v>
      </c>
      <c r="B39" s="46"/>
      <c r="C39" s="47"/>
      <c r="D39" s="112"/>
      <c r="E39" s="113"/>
      <c r="F39" s="114">
        <v>481652.05000000005</v>
      </c>
      <c r="G39" s="47">
        <v>161</v>
      </c>
      <c r="H39" s="46">
        <v>1279661.7</v>
      </c>
      <c r="I39" s="47">
        <v>103</v>
      </c>
      <c r="J39" s="46">
        <v>525.73</v>
      </c>
      <c r="K39" s="47">
        <v>5</v>
      </c>
      <c r="L39" s="46">
        <v>29000.089999999997</v>
      </c>
      <c r="M39" s="47">
        <v>43</v>
      </c>
      <c r="N39" s="46">
        <v>118.6</v>
      </c>
      <c r="O39" s="113">
        <v>4</v>
      </c>
      <c r="P39" s="114">
        <v>67230.31</v>
      </c>
      <c r="Q39" s="47">
        <v>4</v>
      </c>
      <c r="R39" s="46">
        <v>8.19</v>
      </c>
      <c r="S39" s="113">
        <v>2</v>
      </c>
      <c r="T39" s="112">
        <v>4077.55</v>
      </c>
      <c r="U39" s="115">
        <v>14</v>
      </c>
      <c r="V39" s="114"/>
      <c r="W39" s="47"/>
      <c r="X39" s="46"/>
      <c r="Y39" s="47"/>
      <c r="Z39" s="47"/>
      <c r="AA39" s="47"/>
      <c r="AB39" s="114"/>
      <c r="AC39" s="113"/>
      <c r="AD39" s="112"/>
      <c r="AE39" s="47"/>
      <c r="AF39" s="47"/>
      <c r="AG39" s="113"/>
      <c r="AH39" s="185">
        <f t="shared" si="12"/>
        <v>1862274.2200000002</v>
      </c>
      <c r="AI39" s="184">
        <f t="shared" si="9"/>
        <v>336</v>
      </c>
      <c r="AJ39" s="111">
        <f t="shared" si="10"/>
        <v>7.0069820348317699E-2</v>
      </c>
      <c r="AK39" s="42">
        <f>52799.8+1603.68+52912456.28</f>
        <v>52966859.759999998</v>
      </c>
      <c r="AL39" s="44">
        <f>123+7+3293</f>
        <v>3423</v>
      </c>
      <c r="AM39" s="29">
        <f t="shared" si="11"/>
        <v>0.44205491862552859</v>
      </c>
    </row>
    <row r="40" spans="1:39" ht="30" x14ac:dyDescent="0.25">
      <c r="A40" s="30" t="s">
        <v>63</v>
      </c>
      <c r="B40" s="46"/>
      <c r="C40" s="47"/>
      <c r="D40" s="112"/>
      <c r="E40" s="113"/>
      <c r="F40" s="114">
        <v>550260.16999999993</v>
      </c>
      <c r="G40" s="47">
        <v>8</v>
      </c>
      <c r="H40" s="46">
        <v>181998.93</v>
      </c>
      <c r="I40" s="47">
        <v>7</v>
      </c>
      <c r="J40" s="46"/>
      <c r="K40" s="47"/>
      <c r="L40" s="46"/>
      <c r="M40" s="47"/>
      <c r="N40" s="46"/>
      <c r="O40" s="113"/>
      <c r="P40" s="114">
        <v>6414808.8599999994</v>
      </c>
      <c r="Q40" s="47">
        <v>4</v>
      </c>
      <c r="R40" s="46"/>
      <c r="S40" s="113"/>
      <c r="T40" s="112"/>
      <c r="U40" s="115"/>
      <c r="V40" s="114"/>
      <c r="W40" s="47"/>
      <c r="X40" s="46">
        <v>2103609.73</v>
      </c>
      <c r="Y40" s="47">
        <v>88</v>
      </c>
      <c r="Z40" s="47"/>
      <c r="AA40" s="47"/>
      <c r="AB40" s="114"/>
      <c r="AC40" s="113"/>
      <c r="AD40" s="112"/>
      <c r="AE40" s="47"/>
      <c r="AF40" s="47"/>
      <c r="AG40" s="113"/>
      <c r="AH40" s="185">
        <f t="shared" si="12"/>
        <v>9250677.6899999995</v>
      </c>
      <c r="AI40" s="184">
        <f t="shared" si="9"/>
        <v>107</v>
      </c>
      <c r="AJ40" s="111">
        <f t="shared" si="10"/>
        <v>0.34806545506412606</v>
      </c>
      <c r="AK40" s="42">
        <f>10422990.48+2103609.73</f>
        <v>12526600.210000001</v>
      </c>
      <c r="AL40" s="44">
        <f>49+88</f>
        <v>137</v>
      </c>
      <c r="AM40" s="29">
        <f t="shared" si="11"/>
        <v>0.10454546978199185</v>
      </c>
    </row>
    <row r="41" spans="1:39" ht="30" x14ac:dyDescent="0.25">
      <c r="A41" s="30" t="s">
        <v>64</v>
      </c>
      <c r="B41" s="46"/>
      <c r="C41" s="47"/>
      <c r="D41" s="112"/>
      <c r="E41" s="113"/>
      <c r="F41" s="114">
        <v>3962669.1700000004</v>
      </c>
      <c r="G41" s="47">
        <v>35</v>
      </c>
      <c r="H41" s="46">
        <v>248613.72</v>
      </c>
      <c r="I41" s="47">
        <v>59</v>
      </c>
      <c r="J41" s="46">
        <v>9871.65</v>
      </c>
      <c r="K41" s="47">
        <v>4</v>
      </c>
      <c r="L41" s="46">
        <v>79734.159999999989</v>
      </c>
      <c r="M41" s="47">
        <v>99</v>
      </c>
      <c r="N41" s="46">
        <v>2115.4899999999998</v>
      </c>
      <c r="O41" s="113">
        <v>2</v>
      </c>
      <c r="P41" s="114">
        <v>62580.15</v>
      </c>
      <c r="Q41" s="47">
        <v>24</v>
      </c>
      <c r="R41" s="46">
        <v>1490.95</v>
      </c>
      <c r="S41" s="113">
        <v>2</v>
      </c>
      <c r="T41" s="112"/>
      <c r="U41" s="115"/>
      <c r="V41" s="114"/>
      <c r="W41" s="47"/>
      <c r="X41" s="46"/>
      <c r="Y41" s="47"/>
      <c r="Z41" s="46"/>
      <c r="AA41" s="47"/>
      <c r="AB41" s="114"/>
      <c r="AC41" s="113"/>
      <c r="AD41" s="112"/>
      <c r="AE41" s="47"/>
      <c r="AF41" s="47"/>
      <c r="AG41" s="113"/>
      <c r="AH41" s="185">
        <f t="shared" si="12"/>
        <v>4367075.2900000019</v>
      </c>
      <c r="AI41" s="184">
        <f t="shared" si="9"/>
        <v>225</v>
      </c>
      <c r="AJ41" s="111">
        <f t="shared" si="10"/>
        <v>0.16431531819082879</v>
      </c>
      <c r="AK41" s="42">
        <v>5886850.9000000004</v>
      </c>
      <c r="AL41" s="44">
        <v>354</v>
      </c>
      <c r="AM41" s="29">
        <f t="shared" si="11"/>
        <v>4.9130935973013025E-2</v>
      </c>
    </row>
    <row r="42" spans="1:39" ht="30" x14ac:dyDescent="0.25">
      <c r="A42" s="30" t="s">
        <v>65</v>
      </c>
      <c r="B42" s="46"/>
      <c r="C42" s="47"/>
      <c r="D42" s="112"/>
      <c r="E42" s="113"/>
      <c r="F42" s="114"/>
      <c r="G42" s="47"/>
      <c r="H42" s="46"/>
      <c r="I42" s="47"/>
      <c r="J42" s="46"/>
      <c r="K42" s="47"/>
      <c r="L42" s="46"/>
      <c r="M42" s="47"/>
      <c r="N42" s="46"/>
      <c r="O42" s="113"/>
      <c r="P42" s="114"/>
      <c r="Q42" s="47"/>
      <c r="R42" s="46"/>
      <c r="S42" s="113"/>
      <c r="T42" s="112"/>
      <c r="U42" s="115"/>
      <c r="V42" s="114"/>
      <c r="W42" s="47"/>
      <c r="X42" s="46"/>
      <c r="Y42" s="47"/>
      <c r="Z42" s="46"/>
      <c r="AA42" s="47"/>
      <c r="AB42" s="114"/>
      <c r="AC42" s="113"/>
      <c r="AD42" s="112"/>
      <c r="AE42" s="47"/>
      <c r="AF42" s="47"/>
      <c r="AG42" s="113"/>
      <c r="AH42" s="185">
        <f t="shared" si="12"/>
        <v>0</v>
      </c>
      <c r="AI42" s="184">
        <f t="shared" si="9"/>
        <v>0</v>
      </c>
      <c r="AJ42" s="111">
        <f t="shared" si="10"/>
        <v>0</v>
      </c>
      <c r="AK42" s="42"/>
      <c r="AL42" s="44"/>
      <c r="AM42" s="29">
        <f t="shared" si="11"/>
        <v>0</v>
      </c>
    </row>
    <row r="43" spans="1:39" x14ac:dyDescent="0.25">
      <c r="A43" s="30" t="s">
        <v>66</v>
      </c>
      <c r="B43" s="46"/>
      <c r="C43" s="47"/>
      <c r="D43" s="112"/>
      <c r="E43" s="113"/>
      <c r="F43" s="114"/>
      <c r="G43" s="47"/>
      <c r="H43" s="46"/>
      <c r="I43" s="47"/>
      <c r="J43" s="46"/>
      <c r="K43" s="47"/>
      <c r="L43" s="46"/>
      <c r="M43" s="47"/>
      <c r="N43" s="46"/>
      <c r="O43" s="113"/>
      <c r="P43" s="114"/>
      <c r="Q43" s="47"/>
      <c r="R43" s="46"/>
      <c r="S43" s="113"/>
      <c r="T43" s="112"/>
      <c r="U43" s="115"/>
      <c r="V43" s="114"/>
      <c r="W43" s="47"/>
      <c r="X43" s="46"/>
      <c r="Y43" s="47"/>
      <c r="Z43" s="46"/>
      <c r="AA43" s="47"/>
      <c r="AB43" s="114"/>
      <c r="AC43" s="113"/>
      <c r="AD43" s="112"/>
      <c r="AE43" s="47"/>
      <c r="AF43" s="47"/>
      <c r="AG43" s="113"/>
      <c r="AH43" s="185">
        <f t="shared" si="12"/>
        <v>0</v>
      </c>
      <c r="AI43" s="184">
        <f t="shared" si="9"/>
        <v>0</v>
      </c>
      <c r="AJ43" s="111">
        <f t="shared" si="10"/>
        <v>0</v>
      </c>
      <c r="AK43" s="42"/>
      <c r="AL43" s="44"/>
      <c r="AM43" s="29">
        <f t="shared" si="11"/>
        <v>0</v>
      </c>
    </row>
    <row r="44" spans="1:39" x14ac:dyDescent="0.25">
      <c r="A44" s="30" t="s">
        <v>67</v>
      </c>
      <c r="B44" s="46"/>
      <c r="C44" s="47"/>
      <c r="D44" s="112"/>
      <c r="E44" s="113"/>
      <c r="F44" s="114"/>
      <c r="G44" s="47"/>
      <c r="H44" s="46"/>
      <c r="I44" s="47"/>
      <c r="J44" s="46"/>
      <c r="K44" s="47"/>
      <c r="L44" s="46"/>
      <c r="M44" s="47"/>
      <c r="N44" s="46"/>
      <c r="O44" s="113"/>
      <c r="P44" s="114"/>
      <c r="Q44" s="47"/>
      <c r="R44" s="46"/>
      <c r="S44" s="113"/>
      <c r="T44" s="112"/>
      <c r="U44" s="115"/>
      <c r="V44" s="114"/>
      <c r="W44" s="47"/>
      <c r="X44" s="46"/>
      <c r="Y44" s="47"/>
      <c r="Z44" s="46"/>
      <c r="AA44" s="47"/>
      <c r="AB44" s="114"/>
      <c r="AC44" s="113"/>
      <c r="AD44" s="112"/>
      <c r="AE44" s="47"/>
      <c r="AF44" s="47"/>
      <c r="AG44" s="113"/>
      <c r="AH44" s="185">
        <f t="shared" si="12"/>
        <v>0</v>
      </c>
      <c r="AI44" s="184">
        <f t="shared" si="9"/>
        <v>0</v>
      </c>
      <c r="AJ44" s="111">
        <f t="shared" si="10"/>
        <v>0</v>
      </c>
      <c r="AK44" s="42"/>
      <c r="AL44" s="44"/>
      <c r="AM44" s="29">
        <f t="shared" si="11"/>
        <v>0</v>
      </c>
    </row>
    <row r="45" spans="1:39" ht="16.5" thickBot="1" x14ac:dyDescent="0.3">
      <c r="A45" s="170" t="s">
        <v>68</v>
      </c>
      <c r="B45" s="46"/>
      <c r="C45" s="47"/>
      <c r="D45" s="112"/>
      <c r="E45" s="113"/>
      <c r="F45" s="114"/>
      <c r="G45" s="47"/>
      <c r="H45" s="46"/>
      <c r="I45" s="47"/>
      <c r="J45" s="46"/>
      <c r="K45" s="47"/>
      <c r="L45" s="46"/>
      <c r="M45" s="47"/>
      <c r="N45" s="46"/>
      <c r="O45" s="113"/>
      <c r="P45" s="114"/>
      <c r="Q45" s="47"/>
      <c r="R45" s="46"/>
      <c r="S45" s="113"/>
      <c r="T45" s="116"/>
      <c r="U45" s="117"/>
      <c r="V45" s="118"/>
      <c r="W45" s="119"/>
      <c r="X45" s="119"/>
      <c r="Y45" s="119"/>
      <c r="Z45" s="119"/>
      <c r="AA45" s="119"/>
      <c r="AB45" s="114"/>
      <c r="AC45" s="113"/>
      <c r="AD45" s="112"/>
      <c r="AE45" s="47"/>
      <c r="AF45" s="47"/>
      <c r="AG45" s="113"/>
      <c r="AH45" s="185">
        <f t="shared" si="12"/>
        <v>0</v>
      </c>
      <c r="AI45" s="184">
        <f t="shared" si="9"/>
        <v>0</v>
      </c>
      <c r="AJ45" s="111">
        <f t="shared" si="10"/>
        <v>0</v>
      </c>
      <c r="AK45" s="57"/>
      <c r="AL45" s="120"/>
      <c r="AM45" s="121">
        <f t="shared" si="11"/>
        <v>0</v>
      </c>
    </row>
    <row r="46" spans="1:39" ht="16.5" thickBot="1" x14ac:dyDescent="0.3">
      <c r="A46" s="122" t="s">
        <v>55</v>
      </c>
      <c r="B46" s="88">
        <f>SUM(B34:B45)</f>
        <v>0</v>
      </c>
      <c r="C46" s="123">
        <f t="shared" ref="C46:E46" si="13">SUM(C34:C45)</f>
        <v>0</v>
      </c>
      <c r="D46" s="124">
        <f t="shared" si="13"/>
        <v>0</v>
      </c>
      <c r="E46" s="125">
        <f t="shared" si="13"/>
        <v>0</v>
      </c>
      <c r="F46" s="94">
        <f>SUM(F34:F45)</f>
        <v>5966874.7700000005</v>
      </c>
      <c r="G46" s="123">
        <f t="shared" ref="G46:U46" si="14">SUM(G34:G45)</f>
        <v>311</v>
      </c>
      <c r="H46" s="88">
        <f t="shared" si="14"/>
        <v>8256677.9900000002</v>
      </c>
      <c r="I46" s="123">
        <f t="shared" si="14"/>
        <v>533</v>
      </c>
      <c r="J46" s="88">
        <f t="shared" si="14"/>
        <v>505553.01</v>
      </c>
      <c r="K46" s="123">
        <f t="shared" si="14"/>
        <v>49</v>
      </c>
      <c r="L46" s="88">
        <f t="shared" si="14"/>
        <v>164133.22999999998</v>
      </c>
      <c r="M46" s="123">
        <f t="shared" si="14"/>
        <v>194</v>
      </c>
      <c r="N46" s="88">
        <f t="shared" si="14"/>
        <v>95211.69</v>
      </c>
      <c r="O46" s="125">
        <f t="shared" si="14"/>
        <v>29</v>
      </c>
      <c r="P46" s="94">
        <f t="shared" si="14"/>
        <v>7612070.2400000002</v>
      </c>
      <c r="Q46" s="123">
        <f t="shared" si="14"/>
        <v>66</v>
      </c>
      <c r="R46" s="88">
        <f t="shared" si="14"/>
        <v>90533.2</v>
      </c>
      <c r="S46" s="125">
        <f t="shared" si="14"/>
        <v>20</v>
      </c>
      <c r="T46" s="94">
        <f t="shared" si="14"/>
        <v>31176.95</v>
      </c>
      <c r="U46" s="125">
        <f t="shared" si="14"/>
        <v>27</v>
      </c>
      <c r="V46" s="126">
        <f>SUM(V34:V41)</f>
        <v>342425.41000000003</v>
      </c>
      <c r="W46" s="127">
        <f>SUM(W34:W45)</f>
        <v>404</v>
      </c>
      <c r="X46" s="128">
        <f>SUM(X34:X41)</f>
        <v>2970653.56</v>
      </c>
      <c r="Y46" s="129">
        <f>SUM(Y34:Y41)</f>
        <v>507</v>
      </c>
      <c r="Z46" s="128">
        <f>SUM(Z34:Z41)</f>
        <v>0</v>
      </c>
      <c r="AA46" s="127">
        <f>SUM(AA34:AA41)</f>
        <v>0</v>
      </c>
      <c r="AB46" s="94">
        <f t="shared" ref="AB46:AH46" si="15">SUM(AB34:AB45)</f>
        <v>542098.18000000005</v>
      </c>
      <c r="AC46" s="125">
        <f t="shared" si="15"/>
        <v>7</v>
      </c>
      <c r="AD46" s="124">
        <f t="shared" si="15"/>
        <v>0</v>
      </c>
      <c r="AE46" s="123">
        <f t="shared" si="15"/>
        <v>0</v>
      </c>
      <c r="AF46" s="130">
        <f t="shared" si="15"/>
        <v>0</v>
      </c>
      <c r="AG46" s="125">
        <f t="shared" si="15"/>
        <v>0</v>
      </c>
      <c r="AH46" s="186">
        <f t="shared" si="15"/>
        <v>26577408.23</v>
      </c>
      <c r="AI46" s="187">
        <f>SUM(AI34:AI45)</f>
        <v>2147</v>
      </c>
      <c r="AJ46" s="131" t="s">
        <v>56</v>
      </c>
      <c r="AK46" s="97">
        <f>SUM(AK34:AK45)</f>
        <v>119819636.72</v>
      </c>
      <c r="AL46" s="98">
        <f>SUM(AL34:AL45)</f>
        <v>18158</v>
      </c>
      <c r="AM46" s="132" t="s">
        <v>56</v>
      </c>
    </row>
    <row r="47" spans="1:39" ht="16.899999999999999" customHeight="1" thickBot="1" x14ac:dyDescent="0.3">
      <c r="A47" s="269" t="s">
        <v>69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1"/>
      <c r="AL47" s="271"/>
      <c r="AM47" s="271"/>
    </row>
    <row r="48" spans="1:39" x14ac:dyDescent="0.25">
      <c r="A48" s="133" t="s">
        <v>70</v>
      </c>
      <c r="B48" s="17"/>
      <c r="C48" s="18"/>
      <c r="D48" s="100"/>
      <c r="E48" s="101"/>
      <c r="F48" s="134">
        <v>16548.04</v>
      </c>
      <c r="G48" s="18">
        <v>4</v>
      </c>
      <c r="H48" s="17">
        <v>1007080.27</v>
      </c>
      <c r="I48" s="18">
        <v>25</v>
      </c>
      <c r="J48" s="17">
        <v>505553.01</v>
      </c>
      <c r="K48" s="18">
        <v>49</v>
      </c>
      <c r="L48" s="17">
        <v>15485.379999999996</v>
      </c>
      <c r="M48" s="18">
        <v>32</v>
      </c>
      <c r="N48" s="17">
        <v>95211.69</v>
      </c>
      <c r="O48" s="103">
        <v>29</v>
      </c>
      <c r="P48" s="102">
        <v>12789.64</v>
      </c>
      <c r="Q48" s="18">
        <v>1</v>
      </c>
      <c r="R48" s="17">
        <v>90533.2</v>
      </c>
      <c r="S48" s="101">
        <v>20</v>
      </c>
      <c r="T48" s="135">
        <f>12962.3+14848.54</f>
        <v>27810.84</v>
      </c>
      <c r="U48" s="101">
        <f>8+6</f>
        <v>14</v>
      </c>
      <c r="V48" s="100">
        <v>0</v>
      </c>
      <c r="W48" s="136">
        <v>0</v>
      </c>
      <c r="X48" s="18">
        <v>2235.0500000000002</v>
      </c>
      <c r="Y48" s="136">
        <v>1</v>
      </c>
      <c r="Z48" s="18"/>
      <c r="AA48" s="18"/>
      <c r="AB48" s="102">
        <v>7626.2</v>
      </c>
      <c r="AC48" s="18">
        <v>3</v>
      </c>
      <c r="AD48" s="18"/>
      <c r="AE48" s="18"/>
      <c r="AF48" s="18"/>
      <c r="AG48" s="101"/>
      <c r="AH48" s="137">
        <f t="shared" ref="AH48:AI54" si="16">B48+D48+F48+H48+J48+L48+N48+P48+R48+T48+V48+X48+Z48+AB48+AD48+AF48</f>
        <v>1780873.3199999998</v>
      </c>
      <c r="AI48" s="138">
        <f t="shared" si="16"/>
        <v>178</v>
      </c>
      <c r="AJ48" s="139">
        <f t="shared" ref="AJ48:AJ54" si="17">AH48/$AH$55*100%</f>
        <v>6.7007034869178445E-2</v>
      </c>
      <c r="AK48" s="140">
        <f>24680.05+(11400.647+14848.54)+(445.46+7626.2)+8228969.5+154930.05</f>
        <v>8442900.4470000006</v>
      </c>
      <c r="AL48" s="141">
        <f>16+(62+6)+(1+3)+1273+5</f>
        <v>1366</v>
      </c>
      <c r="AM48" s="142">
        <f t="shared" ref="AM48:AM54" si="18">AK48/$AK$55*100%</f>
        <v>7.0463412174765677E-2</v>
      </c>
    </row>
    <row r="49" spans="1:39" x14ac:dyDescent="0.25">
      <c r="A49" s="60" t="s">
        <v>71</v>
      </c>
      <c r="B49" s="31"/>
      <c r="C49" s="32"/>
      <c r="D49" s="107"/>
      <c r="E49" s="108"/>
      <c r="F49" s="143">
        <v>152207.15</v>
      </c>
      <c r="G49" s="32">
        <v>18</v>
      </c>
      <c r="H49" s="31">
        <v>4619441.84</v>
      </c>
      <c r="I49" s="32">
        <v>200</v>
      </c>
      <c r="J49" s="31"/>
      <c r="K49" s="32"/>
      <c r="L49" s="31">
        <v>24482.400000000001</v>
      </c>
      <c r="M49" s="32">
        <v>20</v>
      </c>
      <c r="N49" s="31"/>
      <c r="O49" s="110"/>
      <c r="P49" s="109">
        <v>414259.57</v>
      </c>
      <c r="Q49" s="32">
        <v>15</v>
      </c>
      <c r="R49" s="31"/>
      <c r="S49" s="108"/>
      <c r="T49" s="144"/>
      <c r="U49" s="108"/>
      <c r="V49" s="109">
        <v>0</v>
      </c>
      <c r="W49" s="145">
        <v>0</v>
      </c>
      <c r="X49" s="31">
        <v>62.42</v>
      </c>
      <c r="Y49" s="145">
        <v>1</v>
      </c>
      <c r="Z49" s="31"/>
      <c r="AA49" s="31"/>
      <c r="AB49" s="109">
        <v>534471.98</v>
      </c>
      <c r="AC49" s="32">
        <v>4</v>
      </c>
      <c r="AD49" s="32"/>
      <c r="AE49" s="32"/>
      <c r="AF49" s="32"/>
      <c r="AG49" s="108"/>
      <c r="AH49" s="137">
        <f t="shared" si="16"/>
        <v>5744925.3600000013</v>
      </c>
      <c r="AI49" s="138">
        <f t="shared" si="16"/>
        <v>258</v>
      </c>
      <c r="AJ49" s="146">
        <f t="shared" si="17"/>
        <v>0.21615822394281678</v>
      </c>
      <c r="AK49" s="42">
        <f>(37765.49+534471.98)+22859533.79+185633.42</f>
        <v>23617404.68</v>
      </c>
      <c r="AL49" s="43">
        <f>(4+4)+1386+16</f>
        <v>1410</v>
      </c>
      <c r="AM49" s="147">
        <f t="shared" si="18"/>
        <v>0.19710796436743533</v>
      </c>
    </row>
    <row r="50" spans="1:39" x14ac:dyDescent="0.25">
      <c r="A50" s="60" t="s">
        <v>72</v>
      </c>
      <c r="B50" s="31"/>
      <c r="C50" s="32"/>
      <c r="D50" s="107"/>
      <c r="E50" s="108"/>
      <c r="F50" s="143">
        <v>4974006.6999999993</v>
      </c>
      <c r="G50" s="32">
        <v>64</v>
      </c>
      <c r="H50" s="31">
        <v>1869863.34</v>
      </c>
      <c r="I50" s="32">
        <v>262</v>
      </c>
      <c r="J50" s="31"/>
      <c r="K50" s="32"/>
      <c r="L50" s="31">
        <v>3978.7500000000005</v>
      </c>
      <c r="M50" s="32">
        <v>11</v>
      </c>
      <c r="N50" s="31"/>
      <c r="O50" s="110"/>
      <c r="P50" s="109">
        <v>963483.50999999989</v>
      </c>
      <c r="Q50" s="32">
        <v>48</v>
      </c>
      <c r="R50" s="31"/>
      <c r="S50" s="108"/>
      <c r="T50" s="144"/>
      <c r="U50" s="108"/>
      <c r="V50" s="109">
        <v>202831.99</v>
      </c>
      <c r="W50" s="145">
        <v>114</v>
      </c>
      <c r="X50" s="31">
        <v>2573799.58</v>
      </c>
      <c r="Y50" s="145">
        <v>225</v>
      </c>
      <c r="Z50" s="31"/>
      <c r="AA50" s="31"/>
      <c r="AB50" s="109"/>
      <c r="AC50" s="32"/>
      <c r="AD50" s="32"/>
      <c r="AE50" s="32"/>
      <c r="AF50" s="32"/>
      <c r="AG50" s="108"/>
      <c r="AH50" s="137">
        <f t="shared" si="16"/>
        <v>10587963.869999999</v>
      </c>
      <c r="AI50" s="138">
        <f t="shared" si="16"/>
        <v>724</v>
      </c>
      <c r="AJ50" s="146">
        <f t="shared" si="17"/>
        <v>0.39838210627507831</v>
      </c>
      <c r="AK50" s="42">
        <f>293.61+4.1+59398742.24+7365161.26</f>
        <v>66764201.210000001</v>
      </c>
      <c r="AL50" s="43">
        <f>4+1+1670+3369</f>
        <v>5044</v>
      </c>
      <c r="AM50" s="147">
        <f t="shared" si="18"/>
        <v>0.55720583914392086</v>
      </c>
    </row>
    <row r="51" spans="1:39" x14ac:dyDescent="0.25">
      <c r="A51" s="60" t="s">
        <v>73</v>
      </c>
      <c r="B51" s="31"/>
      <c r="C51" s="32"/>
      <c r="D51" s="107"/>
      <c r="E51" s="108"/>
      <c r="F51" s="143"/>
      <c r="G51" s="32"/>
      <c r="H51" s="31"/>
      <c r="I51" s="32"/>
      <c r="J51" s="31"/>
      <c r="K51" s="32"/>
      <c r="L51" s="31"/>
      <c r="M51" s="32"/>
      <c r="N51" s="31"/>
      <c r="O51" s="110"/>
      <c r="P51" s="109"/>
      <c r="Q51" s="32"/>
      <c r="R51" s="31"/>
      <c r="S51" s="108"/>
      <c r="T51" s="144"/>
      <c r="U51" s="108"/>
      <c r="V51" s="109">
        <v>81595.399999999994</v>
      </c>
      <c r="W51" s="145">
        <v>289</v>
      </c>
      <c r="X51" s="31">
        <v>394550.25</v>
      </c>
      <c r="Y51" s="145">
        <v>279</v>
      </c>
      <c r="Z51" s="31"/>
      <c r="AA51" s="31"/>
      <c r="AB51" s="109"/>
      <c r="AC51" s="32"/>
      <c r="AD51" s="32"/>
      <c r="AE51" s="32"/>
      <c r="AF51" s="32"/>
      <c r="AG51" s="108"/>
      <c r="AH51" s="137">
        <f t="shared" si="16"/>
        <v>476145.65</v>
      </c>
      <c r="AI51" s="138">
        <f t="shared" si="16"/>
        <v>568</v>
      </c>
      <c r="AJ51" s="146">
        <f t="shared" si="17"/>
        <v>1.7915428241890692E-2</v>
      </c>
      <c r="AK51" s="42">
        <v>3196719.73</v>
      </c>
      <c r="AL51" s="43">
        <v>8247</v>
      </c>
      <c r="AM51" s="147">
        <f t="shared" si="18"/>
        <v>2.667943100314939E-2</v>
      </c>
    </row>
    <row r="52" spans="1:39" x14ac:dyDescent="0.25">
      <c r="A52" s="60" t="s">
        <v>74</v>
      </c>
      <c r="B52" s="31"/>
      <c r="C52" s="32"/>
      <c r="D52" s="107"/>
      <c r="E52" s="108"/>
      <c r="F52" s="143">
        <v>162919.41999999998</v>
      </c>
      <c r="G52" s="32">
        <v>21</v>
      </c>
      <c r="H52" s="31">
        <v>108774.65</v>
      </c>
      <c r="I52" s="32">
        <v>31</v>
      </c>
      <c r="J52" s="31"/>
      <c r="K52" s="32"/>
      <c r="L52" s="31">
        <v>77885.990000000034</v>
      </c>
      <c r="M52" s="32">
        <v>76</v>
      </c>
      <c r="N52" s="31"/>
      <c r="O52" s="110"/>
      <c r="P52" s="109"/>
      <c r="Q52" s="32"/>
      <c r="R52" s="31"/>
      <c r="S52" s="108"/>
      <c r="T52" s="144">
        <v>2944</v>
      </c>
      <c r="U52" s="108">
        <v>9</v>
      </c>
      <c r="V52" s="109">
        <v>57998.02</v>
      </c>
      <c r="W52" s="145">
        <v>1</v>
      </c>
      <c r="X52" s="31">
        <v>6.26</v>
      </c>
      <c r="Y52" s="145">
        <v>1</v>
      </c>
      <c r="Z52" s="31"/>
      <c r="AA52" s="31"/>
      <c r="AB52" s="109"/>
      <c r="AC52" s="32"/>
      <c r="AD52" s="32"/>
      <c r="AE52" s="32"/>
      <c r="AF52" s="32"/>
      <c r="AG52" s="108"/>
      <c r="AH52" s="137">
        <f t="shared" si="16"/>
        <v>410528.34</v>
      </c>
      <c r="AI52" s="138">
        <f t="shared" si="16"/>
        <v>139</v>
      </c>
      <c r="AJ52" s="146">
        <f t="shared" si="17"/>
        <v>1.5446515192425897E-2</v>
      </c>
      <c r="AK52" s="42">
        <f>(39120.03+4400.388)+(1471.25+2248.864)+827415.65+130819.28</f>
        <v>1005475.4620000001</v>
      </c>
      <c r="AL52" s="43">
        <f>103+9+(1+1)+500+33</f>
        <v>647</v>
      </c>
      <c r="AM52" s="147">
        <f t="shared" si="18"/>
        <v>8.3915749516735895E-3</v>
      </c>
    </row>
    <row r="53" spans="1:39" x14ac:dyDescent="0.25">
      <c r="A53" s="59" t="s">
        <v>75</v>
      </c>
      <c r="B53" s="46"/>
      <c r="C53" s="47"/>
      <c r="D53" s="112"/>
      <c r="E53" s="113"/>
      <c r="F53" s="148"/>
      <c r="G53" s="47"/>
      <c r="H53" s="46"/>
      <c r="I53" s="47"/>
      <c r="J53" s="46"/>
      <c r="K53" s="47"/>
      <c r="L53" s="46"/>
      <c r="M53" s="47"/>
      <c r="N53" s="46"/>
      <c r="O53" s="115"/>
      <c r="P53" s="114"/>
      <c r="Q53" s="47"/>
      <c r="R53" s="46"/>
      <c r="S53" s="113"/>
      <c r="T53" s="149">
        <v>422.11</v>
      </c>
      <c r="U53" s="113">
        <v>4</v>
      </c>
      <c r="V53" s="114">
        <v>0</v>
      </c>
      <c r="W53" s="150">
        <v>0</v>
      </c>
      <c r="X53" s="46">
        <v>0</v>
      </c>
      <c r="Y53" s="150">
        <v>0</v>
      </c>
      <c r="Z53" s="46"/>
      <c r="AA53" s="46"/>
      <c r="AB53" s="114"/>
      <c r="AC53" s="47"/>
      <c r="AD53" s="47"/>
      <c r="AE53" s="47"/>
      <c r="AF53" s="47"/>
      <c r="AG53" s="113"/>
      <c r="AH53" s="137">
        <f t="shared" si="16"/>
        <v>422.11</v>
      </c>
      <c r="AI53" s="138">
        <f t="shared" si="16"/>
        <v>4</v>
      </c>
      <c r="AJ53" s="151">
        <f t="shared" si="17"/>
        <v>1.5882286050884807E-5</v>
      </c>
      <c r="AK53" s="42">
        <f>1250.58+18228.482</f>
        <v>19479.061999999998</v>
      </c>
      <c r="AL53" s="43">
        <f>11+12</f>
        <v>23</v>
      </c>
      <c r="AM53" s="147">
        <f t="shared" si="18"/>
        <v>1.6256986365053314E-4</v>
      </c>
    </row>
    <row r="54" spans="1:39" ht="16.5" thickBot="1" x14ac:dyDescent="0.3">
      <c r="A54" s="59" t="s">
        <v>76</v>
      </c>
      <c r="B54" s="46"/>
      <c r="C54" s="47"/>
      <c r="D54" s="112"/>
      <c r="E54" s="113"/>
      <c r="F54" s="148">
        <v>661193.4600000002</v>
      </c>
      <c r="G54" s="47">
        <v>204</v>
      </c>
      <c r="H54" s="46">
        <v>651517.89</v>
      </c>
      <c r="I54" s="47">
        <v>15</v>
      </c>
      <c r="J54" s="46"/>
      <c r="K54" s="47"/>
      <c r="L54" s="46">
        <v>42300.71</v>
      </c>
      <c r="M54" s="47">
        <v>55</v>
      </c>
      <c r="N54" s="46"/>
      <c r="O54" s="115"/>
      <c r="P54" s="114">
        <v>6221537.5199999996</v>
      </c>
      <c r="Q54" s="47">
        <v>2</v>
      </c>
      <c r="R54" s="46"/>
      <c r="S54" s="113"/>
      <c r="T54" s="149"/>
      <c r="U54" s="113"/>
      <c r="V54" s="114">
        <v>0</v>
      </c>
      <c r="W54" s="150">
        <v>0</v>
      </c>
      <c r="X54" s="46">
        <v>0</v>
      </c>
      <c r="Y54" s="150">
        <v>0</v>
      </c>
      <c r="Z54" s="46"/>
      <c r="AA54" s="46"/>
      <c r="AB54" s="114"/>
      <c r="AC54" s="47"/>
      <c r="AD54" s="47"/>
      <c r="AE54" s="47"/>
      <c r="AF54" s="47"/>
      <c r="AG54" s="113"/>
      <c r="AH54" s="137">
        <f t="shared" si="16"/>
        <v>7576549.5800000001</v>
      </c>
      <c r="AI54" s="138">
        <f t="shared" si="16"/>
        <v>276</v>
      </c>
      <c r="AJ54" s="151">
        <f t="shared" si="17"/>
        <v>0.28507480919255912</v>
      </c>
      <c r="AK54" s="84">
        <f>(173.59+749.953)+16771711.56+821</f>
        <v>16773456.103</v>
      </c>
      <c r="AL54" s="152">
        <f>2+1+1414+4</f>
        <v>1421</v>
      </c>
      <c r="AM54" s="153">
        <f t="shared" si="18"/>
        <v>0.13998920849540461</v>
      </c>
    </row>
    <row r="55" spans="1:39" ht="16.5" thickBot="1" x14ac:dyDescent="0.3">
      <c r="A55" s="154" t="s">
        <v>55</v>
      </c>
      <c r="B55" s="155">
        <f t="shared" ref="B55:AG55" si="19">SUM(B48:B54)</f>
        <v>0</v>
      </c>
      <c r="C55" s="156">
        <f t="shared" si="19"/>
        <v>0</v>
      </c>
      <c r="D55" s="157">
        <f t="shared" si="19"/>
        <v>0</v>
      </c>
      <c r="E55" s="158">
        <f t="shared" si="19"/>
        <v>0</v>
      </c>
      <c r="F55" s="157">
        <f t="shared" si="19"/>
        <v>5966874.7699999996</v>
      </c>
      <c r="G55" s="156">
        <f t="shared" si="19"/>
        <v>311</v>
      </c>
      <c r="H55" s="155">
        <f t="shared" si="19"/>
        <v>8256677.9899999993</v>
      </c>
      <c r="I55" s="156">
        <f t="shared" si="19"/>
        <v>533</v>
      </c>
      <c r="J55" s="155">
        <f t="shared" si="19"/>
        <v>505553.01</v>
      </c>
      <c r="K55" s="156">
        <f t="shared" si="19"/>
        <v>49</v>
      </c>
      <c r="L55" s="155">
        <f t="shared" si="19"/>
        <v>164133.23000000004</v>
      </c>
      <c r="M55" s="156">
        <f t="shared" si="19"/>
        <v>194</v>
      </c>
      <c r="N55" s="155">
        <f t="shared" si="19"/>
        <v>95211.69</v>
      </c>
      <c r="O55" s="159">
        <f t="shared" si="19"/>
        <v>29</v>
      </c>
      <c r="P55" s="160">
        <f t="shared" si="19"/>
        <v>7612070.2399999993</v>
      </c>
      <c r="Q55" s="156">
        <f t="shared" si="19"/>
        <v>66</v>
      </c>
      <c r="R55" s="155">
        <f t="shared" si="19"/>
        <v>90533.2</v>
      </c>
      <c r="S55" s="158">
        <f t="shared" si="19"/>
        <v>20</v>
      </c>
      <c r="T55" s="160">
        <f t="shared" si="19"/>
        <v>31176.95</v>
      </c>
      <c r="U55" s="158">
        <f t="shared" si="19"/>
        <v>27</v>
      </c>
      <c r="V55" s="160">
        <f t="shared" si="19"/>
        <v>342425.41000000003</v>
      </c>
      <c r="W55" s="156">
        <f t="shared" si="19"/>
        <v>404</v>
      </c>
      <c r="X55" s="155">
        <f t="shared" si="19"/>
        <v>2970653.56</v>
      </c>
      <c r="Y55" s="156">
        <f>SUM(Y48:Y54)</f>
        <v>507</v>
      </c>
      <c r="Z55" s="155">
        <f t="shared" si="19"/>
        <v>0</v>
      </c>
      <c r="AA55" s="156">
        <f t="shared" si="19"/>
        <v>0</v>
      </c>
      <c r="AB55" s="157">
        <f t="shared" si="19"/>
        <v>542098.17999999993</v>
      </c>
      <c r="AC55" s="156">
        <f t="shared" si="19"/>
        <v>7</v>
      </c>
      <c r="AD55" s="155">
        <f t="shared" si="19"/>
        <v>0</v>
      </c>
      <c r="AE55" s="156">
        <f t="shared" si="19"/>
        <v>0</v>
      </c>
      <c r="AF55" s="155">
        <f t="shared" si="19"/>
        <v>0</v>
      </c>
      <c r="AG55" s="156">
        <f t="shared" si="19"/>
        <v>0</v>
      </c>
      <c r="AH55" s="188">
        <f>SUM(AH48:AH54)</f>
        <v>26577408.229999997</v>
      </c>
      <c r="AI55" s="189">
        <f>SUM(AI48:AI54)</f>
        <v>2147</v>
      </c>
      <c r="AJ55" s="161" t="s">
        <v>56</v>
      </c>
      <c r="AK55" s="162">
        <f>SUM(AK48:AK54)</f>
        <v>119819636.69400001</v>
      </c>
      <c r="AL55" s="163">
        <f>SUM(AL48:AL54)</f>
        <v>18158</v>
      </c>
      <c r="AM55" s="164" t="s">
        <v>56</v>
      </c>
    </row>
    <row r="56" spans="1:39" x14ac:dyDescent="0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</row>
    <row r="57" spans="1:39" ht="15.6" customHeight="1" x14ac:dyDescent="0.2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166"/>
      <c r="AM57" s="166"/>
    </row>
    <row r="58" spans="1:39" x14ac:dyDescent="0.2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166"/>
      <c r="AM58" s="166"/>
    </row>
    <row r="60" spans="1:39" s="171" customFormat="1" x14ac:dyDescent="0.25">
      <c r="A60" s="273" t="s">
        <v>77</v>
      </c>
      <c r="B60" s="273"/>
      <c r="C60" s="273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</row>
    <row r="63" spans="1:39" ht="20.25" x14ac:dyDescent="0.3">
      <c r="A63" s="190" t="s">
        <v>80</v>
      </c>
      <c r="B63" s="190"/>
      <c r="C63" s="190"/>
      <c r="D63" s="190"/>
      <c r="H63" s="190" t="s">
        <v>81</v>
      </c>
    </row>
    <row r="64" spans="1:39" ht="20.25" x14ac:dyDescent="0.3">
      <c r="A64" s="190"/>
      <c r="B64" s="190"/>
      <c r="C64" s="190"/>
      <c r="D64" s="190"/>
      <c r="E64" s="190"/>
    </row>
    <row r="65" spans="1:5" ht="20.25" x14ac:dyDescent="0.3">
      <c r="A65" s="190"/>
      <c r="B65" s="190"/>
      <c r="C65" s="190"/>
      <c r="D65" s="190"/>
      <c r="E65" s="190"/>
    </row>
    <row r="66" spans="1:5" ht="20.25" x14ac:dyDescent="0.3">
      <c r="A66" s="190" t="s">
        <v>85</v>
      </c>
      <c r="B66" s="190"/>
      <c r="C66" s="190"/>
      <c r="D66" s="190"/>
      <c r="E66" s="190"/>
    </row>
    <row r="67" spans="1:5" ht="20.25" x14ac:dyDescent="0.3">
      <c r="A67" s="190" t="s">
        <v>82</v>
      </c>
      <c r="B67" s="190"/>
      <c r="C67" s="190"/>
      <c r="D67" s="190"/>
      <c r="E67" s="190"/>
    </row>
    <row r="68" spans="1:5" ht="20.25" x14ac:dyDescent="0.3">
      <c r="A68" s="190" t="s">
        <v>83</v>
      </c>
      <c r="B68" s="190"/>
      <c r="C68" s="190"/>
      <c r="D68" s="190"/>
      <c r="E68" s="190"/>
    </row>
    <row r="69" spans="1:5" ht="20.25" x14ac:dyDescent="0.3">
      <c r="A69" s="190"/>
      <c r="B69" s="190"/>
      <c r="C69" s="190"/>
      <c r="D69" s="190"/>
      <c r="E69" s="190"/>
    </row>
  </sheetData>
  <mergeCells count="51">
    <mergeCell ref="A33:AM33"/>
    <mergeCell ref="A47:AM47"/>
    <mergeCell ref="A57:AK58"/>
    <mergeCell ref="A60:C60"/>
    <mergeCell ref="W6:W7"/>
    <mergeCell ref="X6:X7"/>
    <mergeCell ref="Y6:Y7"/>
    <mergeCell ref="Z6:Z7"/>
    <mergeCell ref="AA6:AA7"/>
    <mergeCell ref="A9:AM9"/>
    <mergeCell ref="J6:K6"/>
    <mergeCell ref="L6:M6"/>
    <mergeCell ref="N6:O6"/>
    <mergeCell ref="P6:Q6"/>
    <mergeCell ref="R6:S6"/>
    <mergeCell ref="T6:T7"/>
    <mergeCell ref="AJ4:AJ7"/>
    <mergeCell ref="AK4:AK6"/>
    <mergeCell ref="AL4:AL7"/>
    <mergeCell ref="B6:B7"/>
    <mergeCell ref="C6:C7"/>
    <mergeCell ref="D6:D7"/>
    <mergeCell ref="E6:E7"/>
    <mergeCell ref="F6:G6"/>
    <mergeCell ref="AH4:AH6"/>
    <mergeCell ref="AI4:AI7"/>
    <mergeCell ref="AD5:AE6"/>
    <mergeCell ref="AF5:AG6"/>
    <mergeCell ref="V4:AA4"/>
    <mergeCell ref="A1:AK1"/>
    <mergeCell ref="A2:A7"/>
    <mergeCell ref="AH2:AJ3"/>
    <mergeCell ref="AK2:AM3"/>
    <mergeCell ref="B4:C4"/>
    <mergeCell ref="D4:E5"/>
    <mergeCell ref="F4:O4"/>
    <mergeCell ref="P4:S5"/>
    <mergeCell ref="B5:C5"/>
    <mergeCell ref="F5:K5"/>
    <mergeCell ref="L5:O5"/>
    <mergeCell ref="V5:W5"/>
    <mergeCell ref="X5:Y5"/>
    <mergeCell ref="AM4:AM7"/>
    <mergeCell ref="Z5:AA5"/>
    <mergeCell ref="AB4:AC6"/>
    <mergeCell ref="T4:U5"/>
    <mergeCell ref="H6:I6"/>
    <mergeCell ref="U6:U7"/>
    <mergeCell ref="V6:V7"/>
    <mergeCell ref="B2:AG3"/>
    <mergeCell ref="AD4:AG4"/>
  </mergeCells>
  <pageMargins left="0.7" right="0.7" top="0.75" bottom="0.75" header="0.3" footer="0.3"/>
  <pageSetup paperSize="8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Par informatīvo ziņojumu par konstatētajiemneatbilstoši veiktajiem izdevumiemEiropas Savienības politikas instrumentu,Eiropas Savienības iniciatīvu, Pirmsiestāšanās fonduun Pārejas perioda palīdzības ietvaros līdz 2014.gada 31.decembrim</dc:subject>
  <dc:creator>Aiva Avota</dc:creator>
  <cp:keywords>5.pielikums</cp:keywords>
  <dc:description>67083954, aiva.avota@fm.gov.lv</dc:description>
  <cp:lastModifiedBy>Aiva Avota</cp:lastModifiedBy>
  <dcterms:created xsi:type="dcterms:W3CDTF">2015-04-21T07:20:50Z</dcterms:created>
  <dcterms:modified xsi:type="dcterms:W3CDTF">2015-06-26T06:22:34Z</dcterms:modified>
</cp:coreProperties>
</file>