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200" windowHeight="7335" tabRatio="601" firstSheet="2" activeTab="7"/>
  </bookViews>
  <sheets>
    <sheet name="LMpielik_16_LMZino" sheetId="1" r:id="rId1"/>
    <sheet name="LMpielik_17_LMZino" sheetId="2" r:id="rId2"/>
    <sheet name="LMpielik_18_LMZino" sheetId="3" r:id="rId3"/>
    <sheet name="LMpielik_19_LMZino" sheetId="4" r:id="rId4"/>
    <sheet name="LMpielik_20_LMZino" sheetId="5" r:id="rId5"/>
    <sheet name="LMpielik_21_LMZino" sheetId="6" r:id="rId6"/>
    <sheet name="LMpielik_22_LMZino" sheetId="7" r:id="rId7"/>
    <sheet name="Sheet1" sheetId="8" r:id="rId8"/>
  </sheets>
  <definedNames>
    <definedName name="_xlnm.Print_Titles" localSheetId="0">'LMpielik_16_LMZino'!$7:$9</definedName>
    <definedName name="_xlnm.Print_Titles" localSheetId="1">'LMpielik_17_LMZino'!$7:$9</definedName>
    <definedName name="_xlnm.Print_Titles" localSheetId="2">'LMpielik_18_LMZino'!$6:$8</definedName>
    <definedName name="_xlnm.Print_Titles" localSheetId="3">'LMpielik_19_LMZino'!$6:$8</definedName>
  </definedNames>
  <calcPr fullCalcOnLoad="1"/>
</workbook>
</file>

<file path=xl/sharedStrings.xml><?xml version="1.0" encoding="utf-8"?>
<sst xmlns="http://schemas.openxmlformats.org/spreadsheetml/2006/main" count="1253" uniqueCount="385">
  <si>
    <t>Tualetes krēsli ar riteņiem</t>
  </si>
  <si>
    <t>Vannas dēļi</t>
  </si>
  <si>
    <t>Kvadripodi</t>
  </si>
  <si>
    <t>Spilveni izgulējumu profilaksei</t>
  </si>
  <si>
    <t>Tualetes krēsli bez riteņiem</t>
  </si>
  <si>
    <t>Paaugstināti atsevišķi stāvoši tualetes sēdekļi</t>
  </si>
  <si>
    <t>Vannas krēsli bērniem</t>
  </si>
  <si>
    <t>Staigāšanas rāmji bez riteņiem ar nekustīgu rāmi</t>
  </si>
  <si>
    <t>Rollatori ar 2 riteņiem bez sēdekļa</t>
  </si>
  <si>
    <t>Rollatori ar 2 riteņiem bez sēdekļa bērniem</t>
  </si>
  <si>
    <t>Rollatori ar 4 riteņiem bērniem</t>
  </si>
  <si>
    <t>Rollatori ar 4 riteņiem bērniem (ar virziena maiņu)</t>
  </si>
  <si>
    <t>Nr.p.k.</t>
  </si>
  <si>
    <t>Atbalsta rokturi, skrūvējami pie grīdas vai sienas, paceļamie rokturi</t>
  </si>
  <si>
    <t>Slīddēlis</t>
  </si>
  <si>
    <t>Palīglīdzekļi produktu griešanai, smalcināšanai, sadalīšanai</t>
  </si>
  <si>
    <t>Palīglīdzekļi zeķu un bikšu uzvilkšanai</t>
  </si>
  <si>
    <t>Tualetes/dušas krēsli</t>
  </si>
  <si>
    <t>Tualetes krēsli bērniem</t>
  </si>
  <si>
    <t>Paaugstināti tualetes sēdekļi (nepiestiprinātie)</t>
  </si>
  <si>
    <t>Piemontējami tualetes rokturi un atzveltnes taisnie</t>
  </si>
  <si>
    <t>Piemontējami tualetes rokturi un atzveltnes platleņķa</t>
  </si>
  <si>
    <t>Atsevišķi stāvoši tualetes rokturi un atzveltnes</t>
  </si>
  <si>
    <t>Dušas krēsli bez muguras balsta</t>
  </si>
  <si>
    <t>Dušas krēsli ar muguras balstu</t>
  </si>
  <si>
    <t>Dušas krēsli, stiprināmi pie sienas</t>
  </si>
  <si>
    <t>Vannas krēsli ar muguras balstu</t>
  </si>
  <si>
    <t>Vannas krēsli, pagriežami, ar muguras balstu</t>
  </si>
  <si>
    <t>Elkoņa atbalsta kruķi bērniem</t>
  </si>
  <si>
    <t>Paduses atbalsta kruķi (koka) bērniem</t>
  </si>
  <si>
    <t>Paduses atbalsta kruķi (alumīnija) bērniem</t>
  </si>
  <si>
    <t>Staigāšanas rāmji bez riteņiem ar kustīgu rāmi</t>
  </si>
  <si>
    <t>Rollatori ar 2 riteņiem ar sēdekli</t>
  </si>
  <si>
    <t>Rollatori ar 3 riteņiem</t>
  </si>
  <si>
    <t>Rolatori ar 4 riteņiem ar apakšdelma balstiem</t>
  </si>
  <si>
    <t>Pārvietošanās krēsli pieaugušajiem (meivolki)</t>
  </si>
  <si>
    <t>Pārvietošanās krēsli bērniem ar fiksācijas jostām</t>
  </si>
  <si>
    <t>Pārvietošanās krēsli bērniem ar fiksācijas riņķi</t>
  </si>
  <si>
    <t>Pārvietošanās krēsli bērniem (aktivitāšu)</t>
  </si>
  <si>
    <t>Pārvietošanās galdi bērniem</t>
  </si>
  <si>
    <t>Pārvietošanās galdi bērniem (daudzfunkcionālie)</t>
  </si>
  <si>
    <t>Pārvietošanās galdi pieaugušajiem</t>
  </si>
  <si>
    <t>Ar labo roku minami trīsriteņi</t>
  </si>
  <si>
    <t>Ar kreiso roku minami trīsriteņi</t>
  </si>
  <si>
    <t>Ar abām rokām minami trīsriteņi</t>
  </si>
  <si>
    <t>Ar abām rokām minami trīsriteņi, kuriem ir vairāki pārnesumi</t>
  </si>
  <si>
    <t>Bimanuālie riteņkrēsli ar sviras piedziņu</t>
  </si>
  <si>
    <t xml:space="preserve">Manuālie pavadoņa vadīti riteņkrēsli bērniem ar papildaprīkojumu (tiger): </t>
  </si>
  <si>
    <t>Manuālie pavadoņa vadīti riteņkrēsli bērniem (laivas)</t>
  </si>
  <si>
    <t>Manuāli pavadoņa vadīti riteņkrēsli bērniem ar pavadoņa darbināmām bremzēm (transit)</t>
  </si>
  <si>
    <t>Bimanuālie riteņkrēsli ar mugurējo piedziņu pieaugušajiem (bāzes modelis)</t>
  </si>
  <si>
    <t>Manuālie pavadoņa vadīti riteņkrēsli pieaugušajiem</t>
  </si>
  <si>
    <t>Bimanuālie riteņkrēsli ar mugurējo piedziņu pieaugušajiem (personām ar abu kāju amputāciju)</t>
  </si>
  <si>
    <t>Bimanuālie riteņkrēsli ar mugurējo piedziņu pieaugušajiem ar x veida rāmi (ar spilvenu, ar roku balstiem, ar pretapgāšanās riteņiem, ar pretslīdes stīpām)</t>
  </si>
  <si>
    <t>Bimanuālie riteņkrēsli ar mugurējo piedziņu pieaugušajiem ar nesalokāmu rāmi (ar roku balstiem, stumšanas rokturiem, ar pretapgāšanās riteņiem, ar pretslīdes stīpām, ar spilvenu, ar spieķu aizsargu)</t>
  </si>
  <si>
    <t>Bimanuālie riteņkrēsli ar mugurējo piedziņu pieaugušajiem ar nesalokāmu rāmi (ar roku balstiem, stumšanas rokturiem, ar pretapgāšanās riteņiem, ar dalītiem kāju balstiem, ar bremzi, ko darbina ar vienu roku, ar spilvenu)</t>
  </si>
  <si>
    <t>Bimanuālie riteņkrēsli ar mugurējo piedziņu pieaugušajiem (sportam)</t>
  </si>
  <si>
    <t>Bimanuālie vertikalizācijas riteņkrēsli ar mugurējo piedziņu</t>
  </si>
  <si>
    <t>Elektriskie riteņkrēsli ar rokas vadību</t>
  </si>
  <si>
    <t>Galda piederumi (dēlīši)</t>
  </si>
  <si>
    <t>Tualetes krēsli bez riteņiem ar lielu svara izturību</t>
  </si>
  <si>
    <t>Vannas krēsli ar piesūcekļiem (vannā iekšā liekami vannas krēsli)</t>
  </si>
  <si>
    <t>Manuālās satveršanas stangas</t>
  </si>
  <si>
    <t>Krūšu protēzes</t>
  </si>
  <si>
    <t>Modulārās apakšējās ekstremitātes protēzes</t>
  </si>
  <si>
    <t>Modulārās augšējās ekstremitātes protēzes</t>
  </si>
  <si>
    <t>Ādas stieņu protēzes</t>
  </si>
  <si>
    <t>Koka protēzes</t>
  </si>
  <si>
    <t>Protēzes</t>
  </si>
  <si>
    <t>Ortozes</t>
  </si>
  <si>
    <t>Ādas stieņa ortozes</t>
  </si>
  <si>
    <t>Mīkstās ortozes</t>
  </si>
  <si>
    <t>Cietās ortozes</t>
  </si>
  <si>
    <t>Apavi</t>
  </si>
  <si>
    <t>Individuāli izgatavojamie</t>
  </si>
  <si>
    <t>Rūpnieciski izgatavojamie</t>
  </si>
  <si>
    <t>Bimanuālie riteņkrēsli ar mugurējo piedziņu bērniem meira x2 līdz36.izm.</t>
  </si>
  <si>
    <t>Dušas krēsli ar muguras balstu ar palielinātu svara izturību</t>
  </si>
  <si>
    <t>Staigāšanas rāmji bez riteņiem ar nekustīgu rāmi (ar palielinātu svara izturību)</t>
  </si>
  <si>
    <t>Rollatori ar 4 riteņiem ar sēdekli</t>
  </si>
  <si>
    <t>Rollatori ar 4 riteņiem ar sēdekli (ar palielinātu svara izturību)</t>
  </si>
  <si>
    <t>Rollatori ar 4 riteņiem ar vieglāku svaru un sēdekli</t>
  </si>
  <si>
    <t>Manuālie pavadoņa vadīti riteņkrēsli pieaugušajiem (ar palielinātu svara izturību)</t>
  </si>
  <si>
    <t>Bimanuālie riteņkrēsli ar mugurējo piedziņu pieaugušajiem (bāzes modelis)(ar palielinātu svara izturību)</t>
  </si>
  <si>
    <t>Bimanuālie riteņkrēsli ar mugurējo piedziņu pieaugušajiem (personām ar abu kāju amputāciju) (ar palieliātu svara izturību)</t>
  </si>
  <si>
    <t>Elektriskie riteņkrēsli ar rokas vadību bērniem</t>
  </si>
  <si>
    <t>Elektriskie riteņkrēsli ar rokas vadību (ar palielinātu svara izturību)</t>
  </si>
  <si>
    <t>Piemontējami tualetes rokturi un atzveltnes taisnie ar palielinātu svara izturību</t>
  </si>
  <si>
    <t>Piemontējami tualetes rokturi un atzveltnes platleņķa ar palielinātu svara izturību</t>
  </si>
  <si>
    <t>Atbalsta rokturi, skrūvējami pie grīdas vai sienas, paceļamie rokturi ar palielinātu svara izturību</t>
  </si>
  <si>
    <t>Kvadripodi ar palielinātu svara izturību</t>
  </si>
  <si>
    <t xml:space="preserve">Manuālie pavadoņa vadīti riteņkrēsli bērniem (ar maināmu muguras leņķi)  </t>
  </si>
  <si>
    <t xml:space="preserve">Bimanuālie riteņkrēsli ar mugurējo piedziņu pieaugušajiem ar x veida rāmi (ar spilvenu, ar sānu-roku balstiem, ar pretapgāšanās riteņiem) </t>
  </si>
  <si>
    <t>Bimanuālie riteņkrēsli ar mugurējo piedziņu pieaugušajiem ar x veida rāmi (ar spilvenu, ar sānu-roku balstiem, ar pretapgāšanās riteņiem) (ar palielinātu svara izturību)</t>
  </si>
  <si>
    <t>Bimanuālie riteņkrēsli ar mugurējo piedziņu pieaugušajiem ar nesalokāmu rāmi (ar roku balstiem, stumšanas rokturiem, ar pretapgāšanās riteņiem, ar spilvenu)</t>
  </si>
  <si>
    <t>Bimanuālie riteņkrēsli ar mugurējo piedziņu pieaugušajiem ar nesalokāmu rāmi (ar roku balstiem, stumšanas rokturiem, ar pretapgāšanās riteņiem, ar spilvenu) (ar palielinātu svara izturību)</t>
  </si>
  <si>
    <t xml:space="preserve">Bimanuālie riteņkrēsli ar mugurējo piedziņu pieaugušajiem, ar polsterētu muguras balstu un sēdvirsmu, kuri ir regulējami noteiktā leņķī </t>
  </si>
  <si>
    <t>Bimanuālie riteņkrēsli ar mugurējo piedziņu bērniem (ar nesalokāmo rāmi)</t>
  </si>
  <si>
    <t xml:space="preserve">Bimanuālie riteņkrēsli ar mugurējo piedziņu bērniem (ar polsterētu sēdvirsmu, muguras balstu, kas regulējams leņķos) </t>
  </si>
  <si>
    <t xml:space="preserve">No vienas puses vadāmi riteņkrēsli bez piedziņas. Riteņkrēsli, kurus vada ar vienu roku </t>
  </si>
  <si>
    <t>Ar akumulatoru darbināmi pārvietošanās tehniskie palīglīdzekļi (skuteri) cilvēkiem ar kustības traucējumiem.</t>
  </si>
  <si>
    <t xml:space="preserve">Tehniskā palīglīdzekļa nosaukums </t>
  </si>
  <si>
    <t xml:space="preserve"> Pašaprūpes tehniskie palīglīdzekļi. </t>
  </si>
  <si>
    <t>Pārvietošanās tehniskie palīglīdzekļi</t>
  </si>
  <si>
    <t>Pakāpe Nr.1</t>
  </si>
  <si>
    <t>Pakāpe Nr.3</t>
  </si>
  <si>
    <t>Pakāpe Nr.2*</t>
  </si>
  <si>
    <t>Individuāli izgatavotie tehniskie palīglīdzekļi</t>
  </si>
  <si>
    <t>Rūpnieciski izgatavoti tehniskie palīglīdzekļi</t>
  </si>
  <si>
    <t>Pakāpe Nr.1*</t>
  </si>
  <si>
    <t xml:space="preserve"> Iedalījums pēc svarīguma principa</t>
  </si>
  <si>
    <t>Pakāpe Nr. 3</t>
  </si>
  <si>
    <t>X</t>
  </si>
  <si>
    <t>No vienas puses vadāmi riteņkrēsli bez piedziņas. Riteņkrēsli, kurus vada ar vienu roku (ar palielinātu svara izturību)</t>
  </si>
  <si>
    <t>N.P.K.</t>
  </si>
  <si>
    <t>Tehniskā palīglīdzekļa nosaukums</t>
  </si>
  <si>
    <t>Rindas nosaukums</t>
  </si>
  <si>
    <t>Atbalsta rokturi</t>
  </si>
  <si>
    <t>Bērnu pašaprūpes palīglīdzekļi</t>
  </si>
  <si>
    <t xml:space="preserve">Dušas krēsli </t>
  </si>
  <si>
    <t>Paceļami atbalsta rokturi</t>
  </si>
  <si>
    <t xml:space="preserve">Pretizgulējuma spilveni </t>
  </si>
  <si>
    <t>Satveršanas stangas</t>
  </si>
  <si>
    <t>Vannas dēlis</t>
  </si>
  <si>
    <t>Vannas krēsli ar atzveltni</t>
  </si>
  <si>
    <t>Virtuves piederumi</t>
  </si>
  <si>
    <t>WC paaugstinājums</t>
  </si>
  <si>
    <t>Zeķu uzvilcējs</t>
  </si>
  <si>
    <t xml:space="preserve">Bimanuālie riteņkrēsli ar abu kāju amputāciju </t>
  </si>
  <si>
    <t>Bimanuālie riteņkrēsli (aktīvie)</t>
  </si>
  <si>
    <t>Bērnu riteņkrēsli</t>
  </si>
  <si>
    <t>Elektriskie riteņkrēsli</t>
  </si>
  <si>
    <t xml:space="preserve">Kvadripodi </t>
  </si>
  <si>
    <t>Rollatori</t>
  </si>
  <si>
    <t>Staigāšanas rāmji</t>
  </si>
  <si>
    <t>Ar rokām minami riteņkrēsli (velo)</t>
  </si>
  <si>
    <t>Bimanuālie riteņkrēsli (bāzes modelis)</t>
  </si>
  <si>
    <t>Aktivitāšu krēsli bērniem</t>
  </si>
  <si>
    <t>Komforta rati</t>
  </si>
  <si>
    <t>Vertikalizācijas riteņkrēsli</t>
  </si>
  <si>
    <t>Manuālie pavadoņu vadīti riteņkrēsli (stumjamie)</t>
  </si>
  <si>
    <t>Pārvietošanās galds</t>
  </si>
  <si>
    <t>Bērnu vertikalizātors</t>
  </si>
  <si>
    <t>Bērnu pārvietošanās palīgierīces</t>
  </si>
  <si>
    <t>Bērnu atbalsta kruķi</t>
  </si>
  <si>
    <t>Slīddēļi</t>
  </si>
  <si>
    <t xml:space="preserve">Rokas </t>
  </si>
  <si>
    <t xml:space="preserve">No vienas puses vadāmi riteņkrēsli  </t>
  </si>
  <si>
    <t>nepieciešamais finansējums</t>
  </si>
  <si>
    <t>papildus nepieciešamais finansējums             (- nepietiek;             + paliek pāri)</t>
  </si>
  <si>
    <t>bāzē apstirpinātais finansējums TP iegādei</t>
  </si>
  <si>
    <t>Atlikums noliktavā uz 01.01.16.</t>
  </si>
  <si>
    <t>plānotā rinda uz 01.01.2016.</t>
  </si>
  <si>
    <t xml:space="preserve">Rindas prognoze uz 01.01.2017. </t>
  </si>
  <si>
    <t>2014.gads % pret 2013. gadu</t>
  </si>
  <si>
    <t>2014. gads % pret 2012. gadu</t>
  </si>
  <si>
    <t>Vidēji mēnesī</t>
  </si>
  <si>
    <t>Kopā gadā</t>
  </si>
  <si>
    <t>Bimanuālie riteņkrēsli ar mugurējo piedziņu pieaugušajiem ar x veida rāmi (ar spilvenu, ar sānu-roku balstiem, ar pretapgāšanās riteņiem) Meiras</t>
  </si>
  <si>
    <t>Bimanuālie riteņkrēsli ar mugurējo piedziņu pieaugušajiem ar nesalokāmu rāmi (ar roku balstiem, stumšanas rokturiem, ar pretapgāšanās riteņiem, ar spilvenu) Panteras</t>
  </si>
  <si>
    <t xml:space="preserve">2014. gads *** </t>
  </si>
  <si>
    <t>2016.gadā</t>
  </si>
  <si>
    <t>Apkalpoto personu skaits</t>
  </si>
  <si>
    <t>Iepirkto TP skaits</t>
  </si>
  <si>
    <t>Izsniegto TP skaits</t>
  </si>
  <si>
    <t>Vidējās izmaiņas  (+ vai -) pret iepriekšējo gadu/ koeficients</t>
  </si>
  <si>
    <t>2012. gadā</t>
  </si>
  <si>
    <t>2013. gadā</t>
  </si>
  <si>
    <t xml:space="preserve">2014. gadā </t>
  </si>
  <si>
    <t>7=(4+5+6)/3</t>
  </si>
  <si>
    <t>Izmaiņas 2014.gads % pret 2013. gadu</t>
  </si>
  <si>
    <t>Izmaiņas  2014. gads % pret 2012. gadu</t>
  </si>
  <si>
    <t>Tualetes/dušas krēsli ar palielinātu svara izturību</t>
  </si>
  <si>
    <t>Vannas dēļi ar palielinātu svara izturību</t>
  </si>
  <si>
    <t>Daudzlīmeņu runas iekārta</t>
  </si>
  <si>
    <t>Vienas ziņas komunikators</t>
  </si>
  <si>
    <t>Runas dēlis - Ierīce runas funkcijas izvietošanai</t>
  </si>
  <si>
    <t>Klaviatūras komunikators - Klaviatūra,kas aizvieto runas funkciju ar papildus aprīkojumu</t>
  </si>
  <si>
    <t>Augstlīmeņa komunkčijas ierīce</t>
  </si>
  <si>
    <t>Programmējams komunikātors</t>
  </si>
  <si>
    <t>Komunikātors ar apgaismojamiem izvēles logiem</t>
  </si>
  <si>
    <t>Multifunkcionāls komunikātors ar runas funkcijas aizvietošanu un dokumentu transportēšanas iespēju</t>
  </si>
  <si>
    <t>Telefons cilvēkiem ar īpašām vajadzībām</t>
  </si>
  <si>
    <t>Vienas rokas klaviatūra</t>
  </si>
  <si>
    <t>Bez rokām vadāma datorpele</t>
  </si>
  <si>
    <t>Komunikācijas tehniskie palīglīdzekļi</t>
  </si>
  <si>
    <t>Četru aktivizātoru spoguļkomunikātors</t>
  </si>
  <si>
    <t>* 2012.gada cenas tādas kā LM iesniedza 2013.gada sākumā FM, kad prasīja papildus finansējumu 2014.gadam</t>
  </si>
  <si>
    <t>** 2013.gada cenas norādītas tādas, kādas tika iesniegtas ministrijā 2014.gada sākumā</t>
  </si>
  <si>
    <t xml:space="preserve">*** 2014.gada cenas norādītas tādas, kādas ir šobrīd </t>
  </si>
  <si>
    <t>Daudzlīmeņu runas iekārta (iTalk2 with Levels)</t>
  </si>
  <si>
    <t>LEX komunikātors (LEX Communication Aid)</t>
  </si>
  <si>
    <t>Runas dēļi</t>
  </si>
  <si>
    <t>Runas dēlis ar 9 izvēles iespējām (GoTalk 9+)</t>
  </si>
  <si>
    <t>Klaviatūras kommunicator (Keyboard Communicator)</t>
  </si>
  <si>
    <t>Augstlīmeņa komunikātors 128 (Smart/128)</t>
  </si>
  <si>
    <t>Programmējamais komunikātors 8Plus (Tech/Scan 8 Plus)</t>
  </si>
  <si>
    <r>
      <t xml:space="preserve">Četru aktivizātoru spoguļkomunikātors (Four Message Talking Mirror) </t>
    </r>
    <r>
      <rPr>
        <i/>
        <u val="single"/>
        <sz val="12"/>
        <rFont val="Times New Roman"/>
        <family val="1"/>
      </rPr>
      <t>Supertalker</t>
    </r>
  </si>
  <si>
    <t>Signālpogas</t>
  </si>
  <si>
    <t>Kabatas komunikātori</t>
  </si>
  <si>
    <t>Multifunkcionāls komunikātors ar dokumentu transportēšanas iespēju (Allora 2)</t>
  </si>
  <si>
    <t>Telefoni</t>
  </si>
  <si>
    <t>Trauksmes poga+telefons (Geemarc Ampli 600 Emergency Response Telephone)</t>
  </si>
  <si>
    <t>Sadzīvē izmantojamās komunikācijas iekārtas</t>
  </si>
  <si>
    <t>Vienas rokas klaviatūra (Single-Handed Keyboard)</t>
  </si>
  <si>
    <t>Vertikalizēta datorpele (VertcalMouse 4 Right/Left)</t>
  </si>
  <si>
    <t>Bez rokām vadāmas datorpeles (No Hands Mouse)</t>
  </si>
  <si>
    <r>
      <t xml:space="preserve">Komunikātors ar apgaismojamiem izvēles logiem (Communicator for the VI ) </t>
    </r>
    <r>
      <rPr>
        <i/>
        <u val="single"/>
        <sz val="12"/>
        <rFont val="Times New Roman"/>
        <family val="1"/>
      </rPr>
      <t>Go Talk Express 32</t>
    </r>
  </si>
  <si>
    <t>Vannas dēļ iar palielinātu svara izturību</t>
  </si>
  <si>
    <t>2014.gadā noslēgtie līgumi</t>
  </si>
  <si>
    <t>Plānotais TPL iepirktais daudzums</t>
  </si>
  <si>
    <t>TP cena 2014.gadā</t>
  </si>
  <si>
    <t>Aprēķinātā vidējā rindas cena</t>
  </si>
  <si>
    <t>9=6/5</t>
  </si>
  <si>
    <t>VSIA „Nacionālais rehabilitācijas centrs „Vaivari””/ tehnisko palīglīdzekļu cenu izmaiņas un vidējās rindas cenas aprēķins</t>
  </si>
  <si>
    <t>2013. gads  **</t>
  </si>
  <si>
    <t>2012. gads              *</t>
  </si>
  <si>
    <t>Izmaiņu koeficientu aprēķins</t>
  </si>
  <si>
    <t>2013.g.pret 2012.g.</t>
  </si>
  <si>
    <t>2014.g.pret 2013.</t>
  </si>
  <si>
    <t>vidējais izmaiņu koeficients</t>
  </si>
  <si>
    <t>11=5/4</t>
  </si>
  <si>
    <t>12=6/5</t>
  </si>
  <si>
    <t>13=(11+12)/2</t>
  </si>
  <si>
    <t>CPAP (Continuous positive airway pressure, nepārtraukts pozitīvs spiediens elpceļos)</t>
  </si>
  <si>
    <t>APAP (Automatic positive airway pressure, automātisks pozitīvs spiediens elpceļos)</t>
  </si>
  <si>
    <t xml:space="preserve">Elektriskās funkcionālās  gultas </t>
  </si>
  <si>
    <t>Pretizgulējuma matrači</t>
  </si>
  <si>
    <t xml:space="preserve">Elpošanas tehniskie palīglīdzekļi </t>
  </si>
  <si>
    <t>14=5+6-7</t>
  </si>
  <si>
    <t>Noliktavas atlikums</t>
  </si>
  <si>
    <t>Elektriskās funkcionālās  gultas</t>
  </si>
  <si>
    <t>Gultas/matrači</t>
  </si>
  <si>
    <t>Vidēji gadā rindā stājušos personu skaits</t>
  </si>
  <si>
    <t>8=(4+5+6)/3</t>
  </si>
  <si>
    <t>Vidēji gadā stājas rindā (no 2012.-2014.g.) /vidējais izmaiņu koeficients</t>
  </si>
  <si>
    <t>Vidēji gadā stājas rindā (no 2012.-2014.g.) ar pieaug. vai samazin.</t>
  </si>
  <si>
    <t>Elpošanas tehniskie palīglīdzekļi</t>
  </si>
  <si>
    <t>Bimanuālie riteņkrēsli ar mugurējo piedziņu pieaugušajiem (bāzes modelis)(ar palielinātu svara izturību) sēdvieta pamatnes</t>
  </si>
  <si>
    <t xml:space="preserve">Vertikalizēta datorpele </t>
  </si>
  <si>
    <t>PVN likme %</t>
  </si>
  <si>
    <t>Cena bez PVN euro</t>
  </si>
  <si>
    <t>PVN euro</t>
  </si>
  <si>
    <t>PVN ieņēmumi valsts budžetā</t>
  </si>
  <si>
    <t>15=4+8-9</t>
  </si>
  <si>
    <t>17=10/1.12</t>
  </si>
  <si>
    <t>18=10-17</t>
  </si>
  <si>
    <t>19=8*18</t>
  </si>
  <si>
    <t>TP iegādes izmaksas kopā</t>
  </si>
  <si>
    <t>Pakalpojuma nodrošināšanas izmaksas</t>
  </si>
  <si>
    <t>Administrēšanas izmaksas</t>
  </si>
  <si>
    <t>Izmaksas kopā</t>
  </si>
  <si>
    <t>Izmaksu pozīcija</t>
  </si>
  <si>
    <t>Nepieciešamais papildu finansējums 2016.g.</t>
  </si>
  <si>
    <t>Atlīdzība (atalgojums un nodokļi)</t>
  </si>
  <si>
    <t>Sakari, datu bāzes uzturēšanas un citi materiāli pakalpojuma nodrošināšanai (telefons, internets, pasta pakalpojumu, kanelejas preces)</t>
  </si>
  <si>
    <t>Noma (telpu, zemes u.c., nodokļi)</t>
  </si>
  <si>
    <t>Transporta izdevumi (degviela, apkopes u.c.)</t>
  </si>
  <si>
    <t>KOPĀ</t>
  </si>
  <si>
    <t>Nepieciešamais papildu finansējums 2017.g.</t>
  </si>
  <si>
    <t>Nepieciešamais papildu finansējums 2018.g.</t>
  </si>
  <si>
    <t>VSIA "Nacionālā rehabilitācijas centra "Vaivari""/ papildus nepieciešamais finansējums administrēšanas izmaksu nodrošināšanai</t>
  </si>
  <si>
    <t>Pamatojums</t>
  </si>
  <si>
    <t>Sakari, datu bāzes uzturēšanas un citi materiāli pakalpojuma nodrošināšanai (telefons, internets, pasta pakalpojumu, kancelejas preces)</t>
  </si>
  <si>
    <t>Ieņēmumi valsts budžetā</t>
  </si>
  <si>
    <t>PVN 21%</t>
  </si>
  <si>
    <t>Sociālās apdrošināšanas iemaksas 10.5%</t>
  </si>
  <si>
    <t>Sociālās apdrošināšanas iemaksas 23.59%</t>
  </si>
  <si>
    <t>Sociālās apdrošināšanas iemaksas kopā</t>
  </si>
  <si>
    <t>Iedzīvotāju ienākuma nod. ieņēmumi valsts budžetā 22%</t>
  </si>
  <si>
    <t>Izdevumi valsts budžetā</t>
  </si>
  <si>
    <t>Paskaidrojums</t>
  </si>
  <si>
    <t>Izdevumi valsts  budžetā</t>
  </si>
  <si>
    <t>PVN 21% 2016.gadā</t>
  </si>
  <si>
    <t>PVN 21% 2017. un 2018.gadā</t>
  </si>
  <si>
    <t>Iedzīvotāju ienākuma nod. ieņēmumi  22%</t>
  </si>
  <si>
    <t>10=6/5</t>
  </si>
  <si>
    <t>VSIA „Nacionālais rehabilitācijas centrs „Vaivari”” / bāzes  finansējuma aprēķins tehniskajiem palīglīdzekļiem  2016.gadam</t>
  </si>
  <si>
    <t>2017.gadā</t>
  </si>
  <si>
    <t>Atlikums noliktavā uz 01.01.17.</t>
  </si>
  <si>
    <t>plānotā rinda uz 01.01.2017.</t>
  </si>
  <si>
    <t xml:space="preserve">Rindas prognoze uz 01.01.2018. </t>
  </si>
  <si>
    <t>VSIA „Nacionālais rehabilitācijas centrs „Vaivari”” / bāzes  finansējuma aprēķins tehniskajiem palīglīdzekļiem  2017.gadam un turpmākajiem gadiem</t>
  </si>
  <si>
    <t xml:space="preserve">VSIA „Nacionālais rehabilitācijas centrs „Vaivari””/ vidēji mēnesī rindā stājušos personu skaita aprēķins </t>
  </si>
  <si>
    <t>16.pielikums</t>
  </si>
  <si>
    <t>17.pielikums</t>
  </si>
  <si>
    <t>18.pielikums</t>
  </si>
  <si>
    <t>VSIA "Nacionālā rehabilitācijas centra "Vaivari""/ pakalpojuma nodrošināšanas izmaksu aprēķins</t>
  </si>
  <si>
    <r>
      <t xml:space="preserve">1) Datu bāzes apkalpošana pieaug par </t>
    </r>
    <r>
      <rPr>
        <b/>
        <u val="single"/>
        <sz val="12"/>
        <rFont val="Times New Roman"/>
        <family val="1"/>
      </rPr>
      <t xml:space="preserve">1460.86 euro </t>
    </r>
    <r>
      <rPr>
        <sz val="12"/>
        <rFont val="Times New Roman"/>
        <family val="1"/>
      </rPr>
      <t xml:space="preserve">gadā, sakarā ar jauniem noslēgtiem līgumiem,                                   2) IT sistēma apkalpošana pieaug par </t>
    </r>
    <r>
      <rPr>
        <b/>
        <u val="single"/>
        <sz val="12"/>
        <rFont val="Times New Roman"/>
        <family val="1"/>
      </rPr>
      <t>691.03 euro</t>
    </r>
    <r>
      <rPr>
        <sz val="12"/>
        <rFont val="Times New Roman"/>
        <family val="1"/>
      </rPr>
      <t xml:space="preserve"> gadā, sakarā ar jauniem noslēgtiem līgumiem,                                      3) VSIA  „Nacionālais rehabilitācijas centrs „Vaivari”  no 2013.gada grāmatvedības uzskaiti veic vienotajā resursu vadības programmā “Horizon”.
Elektronisko iepirkumu sistēmā 2013.gadā tika iegādāti sekojoši moduļi: 
1.Sistēma bāze modulis
2.Pilnas funkcionalitātes konkurējošais lietotājs
3.Darba samaksa (Algas)
4.Personāla uzskaite
5.Ilgtermiņa ieguldījumi
6.Pēcpārdošanas ražošana
7.Inventāra uzskaite
Programmatūras uzturēšanas gada maksa ir atbilstoši iegādāto licenču skaitam un programmatūras koda uzturēšanas skaitam, kas 2015.gadā sastāda 9544.32 euro. 
Uzturēšanas gada maksa tiek iepirkta Elektronisko iepirkumu sistēmā. Valsts tehnisko palīglīdzekļu centra grāmatvedības uzskaite priekš dažādu aktivitāšu un naudas plūsmas nodalīšanas tiek veikta atsevišķās dimensijās. 
Vaivari TPC izmanto visu iegādātos moduļus.Līdz ar to šo licenču gada maksu plānots finansēt no diviem pamata finansējumiem : Vaivaru finansējums 50 % un Tehnisko palīglīdzekļu centra finansējums 50%, kas sastāda </t>
    </r>
    <r>
      <rPr>
        <b/>
        <u val="single"/>
        <sz val="12"/>
        <rFont val="Times New Roman"/>
        <family val="1"/>
      </rPr>
      <t xml:space="preserve">4772.16 euro </t>
    </r>
    <r>
      <rPr>
        <sz val="12"/>
        <rFont val="Times New Roman"/>
        <family val="1"/>
      </rPr>
      <t>gadā                                                                                                         4) jaunas datu bāzes izstrādašana-</t>
    </r>
    <r>
      <rPr>
        <b/>
        <u val="single"/>
        <sz val="12"/>
        <rFont val="Times New Roman"/>
        <family val="1"/>
      </rPr>
      <t>100 000 euro</t>
    </r>
    <r>
      <rPr>
        <sz val="12"/>
        <rFont val="Times New Roman"/>
        <family val="1"/>
      </rPr>
      <t>, kas sevī iekļauj tehnisko iespēju izpēti par summu 15000 euro, tehniskās specifikācijas izstrādāšanu par summu 25000 euro un programas pilnas funkcionalitātes izstrāde, kas paredz klientam ievadot paroli saņemt tiešsaistes informāciju, par atrašanos tehnisko palīglīdzekļu rindā (līdzīga drošības pakāpes nodrošināšana kā internetbanku pakalpojumiem, jo datu bāze satur personu sensitīvos datus), kā arī noliktavas moduļa izstrādāšana, lai iespējams saņemt un apstrādāt datus par ienākošajām un izejošajām precēm par summu 60000 euro.</t>
    </r>
  </si>
  <si>
    <r>
      <t xml:space="preserve">Sakaru pakalpojumi Rēzekne </t>
    </r>
    <r>
      <rPr>
        <b/>
        <u val="single"/>
        <sz val="12"/>
        <rFont val="Times New Roman"/>
        <family val="1"/>
      </rPr>
      <t>203.28 euro</t>
    </r>
    <r>
      <rPr>
        <sz val="12"/>
        <rFont val="Times New Roman"/>
        <family val="1"/>
      </rPr>
      <t xml:space="preserve"> - sakarā ar telpu nomaiņu,datu bāzes apkalpošana </t>
    </r>
    <r>
      <rPr>
        <b/>
        <u val="single"/>
        <sz val="12"/>
        <rFont val="Times New Roman"/>
        <family val="1"/>
      </rPr>
      <t>2775.64 euro</t>
    </r>
    <r>
      <rPr>
        <sz val="12"/>
        <rFont val="Times New Roman"/>
        <family val="1"/>
      </rPr>
      <t xml:space="preserve">, sakarā ar jauniem līgumiem, IT sistēma apkalpošana </t>
    </r>
    <r>
      <rPr>
        <b/>
        <u val="single"/>
        <sz val="12"/>
        <rFont val="Times New Roman"/>
        <family val="1"/>
      </rPr>
      <t>1312.97 euro</t>
    </r>
    <r>
      <rPr>
        <sz val="12"/>
        <rFont val="Times New Roman"/>
        <family val="1"/>
      </rPr>
      <t xml:space="preserve"> sakarā ar jauniem noslēgtiem līgumiem</t>
    </r>
  </si>
  <si>
    <r>
      <t xml:space="preserve">Lai nodrošinātu tehnisko palīglīdzekļu izsniegšanu Rēzeknes nodaļā, iznomātas jaunas  telpās. Palielinājusies kopējā iznomājamā telpu platība par 56.94 kv.m. Nomas maksa jaunajām telpām palielinās par 234.41 euro mēnesī, kas gadā sastāda </t>
    </r>
    <r>
      <rPr>
        <b/>
        <u val="single"/>
        <sz val="12"/>
        <rFont val="Times New Roman"/>
        <family val="1"/>
      </rPr>
      <t>2812.96 euro</t>
    </r>
    <r>
      <rPr>
        <sz val="12"/>
        <rFont val="Times New Roman"/>
        <family val="1"/>
      </rPr>
      <t xml:space="preserve">. Apsardzes pakalpojumi iznomātajās telpās Rēzeknē palielinājās par 7.88 euro mēnesī, kas gadā sastāda  </t>
    </r>
    <r>
      <rPr>
        <b/>
        <u val="single"/>
        <sz val="12"/>
        <rFont val="Times New Roman"/>
        <family val="1"/>
      </rPr>
      <t>94.56 euro</t>
    </r>
    <r>
      <rPr>
        <sz val="12"/>
        <rFont val="Times New Roman"/>
        <family val="1"/>
      </rPr>
      <t>.</t>
    </r>
  </si>
  <si>
    <r>
      <t xml:space="preserve">Lai nodrošinātu pakalpojuma sniegšanu Rēzeknes un Kuldīgas  nodaļās, 2016.gadā paredzēts iegādāties līzingā 2 automašīnas. Vidēji līzinga maksājums gadā vienai mašīnai - </t>
    </r>
    <r>
      <rPr>
        <b/>
        <u val="single"/>
        <sz val="12"/>
        <rFont val="Times New Roman"/>
        <family val="1"/>
      </rPr>
      <t>2360.00 euro</t>
    </r>
    <r>
      <rPr>
        <sz val="12"/>
        <rFont val="Times New Roman"/>
        <family val="1"/>
      </rPr>
      <t xml:space="preserve">, apdrošināšana - </t>
    </r>
    <r>
      <rPr>
        <b/>
        <u val="single"/>
        <sz val="12"/>
        <rFont val="Times New Roman"/>
        <family val="1"/>
      </rPr>
      <t>424.78 euro</t>
    </r>
    <r>
      <rPr>
        <sz val="12"/>
        <rFont val="Times New Roman"/>
        <family val="1"/>
      </rPr>
      <t xml:space="preserve">. </t>
    </r>
  </si>
  <si>
    <t>Variants Nr.1</t>
  </si>
  <si>
    <t>8=6/4</t>
  </si>
  <si>
    <t>10=6</t>
  </si>
  <si>
    <t>11=(9*10)/9</t>
  </si>
  <si>
    <t>10=6/4</t>
  </si>
  <si>
    <t>9=8 kolonnas 10 rinda*11 rinda (koeficients) utt.</t>
  </si>
  <si>
    <t xml:space="preserve">Vid. cena gadā </t>
  </si>
  <si>
    <t>19.pielikums</t>
  </si>
  <si>
    <t>Labklājības ministrs</t>
  </si>
  <si>
    <t>U.Augulis</t>
  </si>
  <si>
    <t>L.Cīrule, 67021647, Lilita.Cirule@lm.gov.lv</t>
  </si>
  <si>
    <t>Fakss: 67276445</t>
  </si>
  <si>
    <t>Konceptuālais ziņojums</t>
  </si>
  <si>
    <t>„Par papildus nepieciešamo finansējumu valsts nodrošināto tehnisko palīglīdzekļu pakalpojuma ieviešanā”</t>
  </si>
  <si>
    <t xml:space="preserve">2015.g.no janvāra līdz aprīli </t>
  </si>
  <si>
    <t>personu skaits, kas iestāsies rindā 2016.gadā (              16.pielikums                   9 kolonna)</t>
  </si>
  <si>
    <t xml:space="preserve">TP cena (17.pielikums 11 kolonna) </t>
  </si>
  <si>
    <t>Tā kā Vaivari nodrošina deleģētās funkcijas ieviešanu, tad atalgojuma sistēma tiek pielīdzināta atalgojuma sistēmai valsts institūcijās. 2015.gadā tehnisko palīglīdzekļu pakalpojumu nodrošina 19.25 amata slodzes (turpinājums tabulas apakšā).</t>
  </si>
  <si>
    <t>20.pielikums</t>
  </si>
  <si>
    <t>VSIA "Nacionālā rehabilitācijas centra "Vaivari"" atlīdzībai plānotā finansējuma aprēķins 2016.gadam</t>
  </si>
  <si>
    <t>Administratīvās izmaksas</t>
  </si>
  <si>
    <t>Amats</t>
  </si>
  <si>
    <t>Slodzes</t>
  </si>
  <si>
    <t>Saskaņā ar MK noteikumiem Nr.1075</t>
  </si>
  <si>
    <t>Saskaņā ar MK noteikumiem Nr.66</t>
  </si>
  <si>
    <t>2015.gada Vaivaru esošās mēnešalgas</t>
  </si>
  <si>
    <t>2015.gada Vaivaru esošās mēnešalgas % no skalas</t>
  </si>
  <si>
    <t>Plānotā mēnešalga 2016.gadā</t>
  </si>
  <si>
    <t>Plānotā mēnešalga 2016.gadā              % no skalas</t>
  </si>
  <si>
    <t>Mēnešalgas pieaugums euro</t>
  </si>
  <si>
    <t>Kopējais nepieciešamais finansējums atalgojumam 2016.gadā</t>
  </si>
  <si>
    <t>amatu saimes</t>
  </si>
  <si>
    <t>līmenis</t>
  </si>
  <si>
    <t>mēnešalgu grupa</t>
  </si>
  <si>
    <t>maksimālā alga</t>
  </si>
  <si>
    <t>12=8-10</t>
  </si>
  <si>
    <t>13=10*12</t>
  </si>
  <si>
    <t>Vadītājs</t>
  </si>
  <si>
    <t>IVA</t>
  </si>
  <si>
    <t>Vad.vietnieks</t>
  </si>
  <si>
    <t>IVB</t>
  </si>
  <si>
    <t>Juriste</t>
  </si>
  <si>
    <t>IIIA</t>
  </si>
  <si>
    <t>IT speciāliste</t>
  </si>
  <si>
    <t>IIA</t>
  </si>
  <si>
    <t>Kvalitātes vadības speciālists</t>
  </si>
  <si>
    <t>II</t>
  </si>
  <si>
    <t>Iepirkuma speciālists</t>
  </si>
  <si>
    <t>IV</t>
  </si>
  <si>
    <t>Lietvedības sekretārs</t>
  </si>
  <si>
    <t>18.3.</t>
  </si>
  <si>
    <t>III</t>
  </si>
  <si>
    <t>Klientu apkalpošanas speciālists</t>
  </si>
  <si>
    <t>Grāmatvede</t>
  </si>
  <si>
    <t>IIIB</t>
  </si>
  <si>
    <t>Ekonomists</t>
  </si>
  <si>
    <t>IIC</t>
  </si>
  <si>
    <t>Apkopēja</t>
  </si>
  <si>
    <t>Kopā</t>
  </si>
  <si>
    <t xml:space="preserve">Vidējais </t>
  </si>
  <si>
    <t xml:space="preserve">DD soc.nodoklis </t>
  </si>
  <si>
    <t>Kopējais nepieciešamais finansējums  atlīdzībai 2016.gadā</t>
  </si>
  <si>
    <t>Kopējais finansējums atlīdzībai 2015.gadā</t>
  </si>
  <si>
    <t>Papildus nepieciešamais finansējums 2016.gadā</t>
  </si>
  <si>
    <t>amatu saime</t>
  </si>
  <si>
    <t>Vecākais ārsts konsultants rehabilitācijas un tehnisko palīglīdzekļu (palīgtehnoloģiju) jautājumos</t>
  </si>
  <si>
    <t>V</t>
  </si>
  <si>
    <t>Ārsts-konsultants</t>
  </si>
  <si>
    <t>Galvenais ergoterapeits</t>
  </si>
  <si>
    <t>5.1.</t>
  </si>
  <si>
    <t>Vec.tehn.ortopēds sert.</t>
  </si>
  <si>
    <t>Vec. Ergoterapeits sert.</t>
  </si>
  <si>
    <t xml:space="preserve">Vec. Ergoterapeits </t>
  </si>
  <si>
    <t>Vec. Ergoterapeits</t>
  </si>
  <si>
    <t>Fizioterapeits serttificēts</t>
  </si>
  <si>
    <t>IIB</t>
  </si>
  <si>
    <t>Fizioterapeits nesertificēts</t>
  </si>
  <si>
    <t xml:space="preserve">Ergoterapeits sertificēts </t>
  </si>
  <si>
    <t>2015.gadā speciālists strādā tikai uz pusslodzi, bet būtu jāstrādā pilna slodze. Līdz ar to 2016.gadā plānots, ka speciālists strādās pilnu slodzi.</t>
  </si>
  <si>
    <t>Ergoterapeits nesertificēts</t>
  </si>
  <si>
    <t xml:space="preserve">Tehniskais ortopēds </t>
  </si>
  <si>
    <t>2015.gadā speciālists strādā tikai uz 0.75 slodzes, bet būtu jāstrādā pilna slodze. Līdz ar to 2016.gadā plānots, ka speciālists strādās pilnu slodzi.</t>
  </si>
  <si>
    <t>Audio- logopēds</t>
  </si>
  <si>
    <t>Noliktavas pārzine</t>
  </si>
  <si>
    <t>Noliktavas strādnieks - šoferis</t>
  </si>
  <si>
    <t>Mehāniķis</t>
  </si>
  <si>
    <t>sētnieks/apkopēja</t>
  </si>
  <si>
    <t>21.pielikums</t>
  </si>
  <si>
    <t>22.pielikums</t>
  </si>
  <si>
    <t>L.Cīrule, 67021647, Lilita.Cirule@lm.gov.lv, Fakss: 67276445</t>
  </si>
  <si>
    <t>Tā kā Vaivari nodrošina deleģētās funkcijas ieviešanu, tad atalgojuma sistēma tiek pielīdzināta atalgojuma sistēmai valsts institūcijās. 2015.gadā tehnisko palīglīdzekļu pakalpojuma administrēšanu nodrošina 12 amata slodzes. Vaivaros ir problemātiski  piesaistīt un noturēt profesionālus speciālistus un ir vērojama kadru mainība.Kadru mainība pasliktina darba kvalitāti. No 2012. gada ir nomainījušies trīs juristi un no 2013. gada divi klientu apkalpošanas speciālisti un kvalitātes vadības sistēmas speciālists. 2014. gada septiņus mēnešus Vaivari  strādāja bez vadītāja vietnieka. Pašlaik  Vaivaru darbinieku algas sastāda vidēji 68 % no  MK noteikumu Nr.66 "Noteikumi par valsts un pašvaldību institūciju amatpersonu un darbinieku darba samaksu" 3 kategorijas maksimālas mēnešalgas skalas. Lai uzlabotu situāciju Vaivaros 2016.gadā plāno pāskatīt administratīvā personāla algas un tās palielināt. Līdz ar to pēc algu palielināšanas Vaivaros algas sastādīs vidēji 79% no 3 kategorijas maksimālas mēnešalgas skalas. Administrēšanas izdevumiem 2016.gadā ir plānots novirzīt mazāk nekā normatīvajos aktos noteikts (Sociālo pakalpojumu un sociālās palīdzības likuma 13.panta 23 daļā noteikto administrēšanas izdevumiem deleģēto funkciju ieviesēji novirza ne vairāk kā 10 % no pakalpojuma nodrošināšanai piešķirtajiem valsts budžeta līdzekļiem), attiecīgi, Vaivariem – 6.9 % (2015.gadā - 9.94%) no pakalpojuma nodrošināšanas finansējuma. Kā arī jāņem vērā, ka pieaugot pieprasījumam pēc tehniskajiem palīglīdzekļiem, pieaug arī darba apjoms un darbinieku noslodze. Toties LM piedāvātais risinājums nodrošina Vaivaru darba apjoma pieaugumu  ar esošo darbinieku skaitu bez papildus nodarbināto pieaicināšanas (aprēķini 22.pielikumā).</t>
  </si>
  <si>
    <t>Lai nodrošinātu tehnisko palīglīdzekļu izsniegšanu visā Latvijas teritorijā ir izveidotas trīs pakalpojuma sniegšanas vietas – Rīga, Kuldīga un Rēzekne. 2014. un 2015.gadā Vaivariem Kuldīgas nodaļu uz darbinieces dekrēta laiku neizdevās nodrošināt ar funkcionālo speciālistu. Rīgas nodaļā, lai nodrošinātu darbu 30% funkcionālie speciālisti bija pēdējā kursa studenti, kam nebija bakalaura diploma un 10% turpināja mācības maģistratūrā.  Visi pēdējā kursa studenti pēc bakalaura grāda iegūšanas pārtrauca darba attiecības ar Vaivariem un pārgāja strādāt uz citām iestādēm, jo Vaivaru nodrošinātais atalgojums nav konkurētspējīgs. Uz darba piedāvājumiem, ja atsaucas, tad tikai speciālisti, kas tikko ieguvuši bakalaura grādu bez darba pieredzes un sertifikātiem vai studenti. Turklāt tikai kvalificētu speciālistu piesaiste tehnisko palīglīdzekļu pielāgošanā un izsniegšanā, dod iespēju nodrošināt atbilstošu tehnisko palīglīdzekļu pielāgošanu katra indivīda vajadzībām. No 2013 gada līdz šodienai nomainījušies 5 noliktavas strādnieki un noliktavas pārzine. Noliktavas strādniekam jāorjentējas tehnisko palīglīdzekļu klāstā, jāmāk tie samontēt izsniegšanai, kā arī jāpilda autovadītāja funkcijas, nogādājot Tehniskos palīglīdzekļus pie klientiem. Līdz ar to, lai nodrošinātu speciālistu piesaisti un profesionālu komandas darbu tehnisko palīglīdzekļu nodrošināšanā, kā arī samazinātu kadru mainību, ir būtiski nepieciešams nodrošināt konkurētspējīgu atalgojumu. Pašlaik  Vaivaru darbinieku algas sastāda vidēji 57 % no  MK noteikumu Nr.66 "Noteikumi par valsts un pašvaldību institūciju amatpersonu un darbinieku darba samaksu" 3 kategorijas maksimālas mēnešalgas skalas, bet 2016.gadā plānots, ka  Vaivaros algas sastādīs vidēji 74% no 3 kategorijas maksimālas mēnešalgas skalas. Kā arī jāņem vērā, ka pieaugot pieprasījumam pēc tehniskajiem palīglīdzekļiem, pieaug arī darba apjoms un darbinieku noslodze. Toties LM piedāvātais risinājums nodrošina Vaivaru darba apjoma pieaugumu  ar esošo darbinieku skaitu bez papildus nodarbināto pieaicināšanas (aprēkini 22.pielikumā).</t>
  </si>
  <si>
    <t>07.08.2015. 9:25</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</si>
</sst>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_-;\-* #,##0_-;_-* &quot;-&quot;??_-;_-@_-"/>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00"/>
    <numFmt numFmtId="184" formatCode="0.0000"/>
    <numFmt numFmtId="185" formatCode="0.00000"/>
    <numFmt numFmtId="186" formatCode="0.000000"/>
    <numFmt numFmtId="187" formatCode="0.0000000"/>
    <numFmt numFmtId="188" formatCode="0.00000000"/>
    <numFmt numFmtId="189" formatCode="_-* #,##0.0_-;\-* #,##0.0_-;_-* &quot;-&quot;??_-;_-@_-"/>
    <numFmt numFmtId="190" formatCode="#,##0.000"/>
    <numFmt numFmtId="191" formatCode="#,##0.0000"/>
    <numFmt numFmtId="192" formatCode="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2"/>
      <name val="Times New Roman"/>
      <family val="1"/>
    </font>
    <font>
      <b/>
      <sz val="12"/>
      <name val="Times New Roman"/>
      <family val="1"/>
    </font>
    <font>
      <b/>
      <sz val="14"/>
      <name val="Times New Roman"/>
      <family val="1"/>
    </font>
    <font>
      <i/>
      <u val="single"/>
      <sz val="12"/>
      <name val="Times New Roman"/>
      <family val="1"/>
    </font>
    <font>
      <sz val="10"/>
      <name val="Times New Roman"/>
      <family val="1"/>
    </font>
    <font>
      <b/>
      <sz val="10"/>
      <color indexed="8"/>
      <name val="Times New Roman"/>
      <family val="1"/>
    </font>
    <font>
      <sz val="10"/>
      <color indexed="8"/>
      <name val="Times New Roman"/>
      <family val="1"/>
    </font>
    <font>
      <b/>
      <sz val="10"/>
      <name val="Times New Roman"/>
      <family val="1"/>
    </font>
    <font>
      <i/>
      <sz val="10"/>
      <name val="Times New Roman"/>
      <family val="1"/>
    </font>
    <font>
      <b/>
      <sz val="14"/>
      <color indexed="8"/>
      <name val="Times New Roman"/>
      <family val="1"/>
    </font>
    <font>
      <b/>
      <u val="single"/>
      <sz val="12"/>
      <name val="Times New Roman"/>
      <family val="1"/>
    </font>
    <font>
      <i/>
      <sz val="10"/>
      <color indexed="10"/>
      <name val="Arial"/>
      <family val="2"/>
    </font>
    <font>
      <sz val="11"/>
      <color theme="1"/>
      <name val="Calibri"/>
      <family val="2"/>
    </font>
    <font>
      <b/>
      <sz val="10"/>
      <color theme="1"/>
      <name val="Times New Roman"/>
      <family val="1"/>
    </font>
    <font>
      <sz val="12"/>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5" tint="0.5999900102615356"/>
        <bgColor indexed="64"/>
      </patternFill>
    </fill>
    <fill>
      <patternFill patternType="solid">
        <fgColor rgb="FFFFFF00"/>
        <bgColor indexed="64"/>
      </patternFill>
    </fill>
    <fill>
      <patternFill patternType="solid">
        <fgColor theme="0"/>
        <bgColor indexed="64"/>
      </patternFill>
    </fill>
    <fill>
      <patternFill patternType="solid">
        <fgColor theme="9" tint="0.599990010261535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4"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45">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1" fillId="0" borderId="10" xfId="0" applyFont="1" applyBorder="1" applyAlignment="1">
      <alignment horizontal="center" vertical="center" wrapText="1"/>
    </xf>
    <xf numFmtId="4" fontId="21" fillId="0" borderId="10" xfId="0" applyNumberFormat="1" applyFont="1" applyFill="1" applyBorder="1" applyAlignment="1">
      <alignment horizontal="center" vertical="center" wrapText="1"/>
    </xf>
    <xf numFmtId="0" fontId="22" fillId="0" borderId="10" xfId="0" applyFont="1" applyBorder="1" applyAlignment="1">
      <alignment horizontal="center" wrapText="1"/>
    </xf>
    <xf numFmtId="3" fontId="20" fillId="4" borderId="10" xfId="0" applyNumberFormat="1" applyFont="1" applyFill="1" applyBorder="1" applyAlignment="1">
      <alignment horizontal="center" vertical="center" wrapText="1"/>
    </xf>
    <xf numFmtId="4" fontId="20" fillId="4" borderId="10" xfId="0" applyNumberFormat="1" applyFont="1" applyFill="1" applyBorder="1" applyAlignment="1">
      <alignment horizontal="center" vertical="center" wrapText="1"/>
    </xf>
    <xf numFmtId="3" fontId="23" fillId="24" borderId="10" xfId="0" applyNumberFormat="1" applyFont="1" applyFill="1" applyBorder="1" applyAlignment="1">
      <alignment horizontal="center" vertical="center"/>
    </xf>
    <xf numFmtId="3" fontId="23" fillId="24" borderId="10" xfId="0" applyNumberFormat="1" applyFont="1" applyFill="1" applyBorder="1" applyAlignment="1">
      <alignment horizontal="center"/>
    </xf>
    <xf numFmtId="0" fontId="22" fillId="0" borderId="10" xfId="0" applyFont="1" applyBorder="1" applyAlignment="1">
      <alignment horizontal="left" vertical="center" wrapText="1"/>
    </xf>
    <xf numFmtId="43" fontId="22" fillId="0" borderId="10" xfId="42" applyFont="1" applyFill="1" applyBorder="1" applyAlignment="1">
      <alignment horizontal="center" vertical="center"/>
    </xf>
    <xf numFmtId="1" fontId="22" fillId="0" borderId="10" xfId="0" applyNumberFormat="1" applyFont="1" applyBorder="1" applyAlignment="1">
      <alignment horizontal="center" vertical="center"/>
    </xf>
    <xf numFmtId="4" fontId="22" fillId="0" borderId="10" xfId="0" applyNumberFormat="1" applyFont="1" applyBorder="1" applyAlignment="1">
      <alignment horizontal="center"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3" fontId="22" fillId="0" borderId="10" xfId="42" applyFont="1" applyFill="1" applyBorder="1" applyAlignment="1">
      <alignment horizontal="center" vertical="center" wrapText="1"/>
    </xf>
    <xf numFmtId="0" fontId="22" fillId="0" borderId="10" xfId="0" applyFont="1" applyFill="1" applyBorder="1" applyAlignment="1">
      <alignment horizontal="center" vertical="center"/>
    </xf>
    <xf numFmtId="4" fontId="23" fillId="24" borderId="10" xfId="0" applyNumberFormat="1" applyFont="1" applyFill="1" applyBorder="1" applyAlignment="1">
      <alignment horizontal="center" vertical="center"/>
    </xf>
    <xf numFmtId="43" fontId="22" fillId="25" borderId="10" xfId="42" applyFont="1" applyFill="1" applyBorder="1" applyAlignment="1">
      <alignment horizontal="center" vertical="center" wrapText="1"/>
    </xf>
    <xf numFmtId="0" fontId="22" fillId="0" borderId="10" xfId="0" applyFont="1" applyBorder="1" applyAlignment="1">
      <alignment horizontal="center"/>
    </xf>
    <xf numFmtId="43" fontId="22" fillId="25" borderId="10" xfId="42" applyFont="1" applyFill="1" applyBorder="1" applyAlignment="1">
      <alignment horizontal="center" vertical="center"/>
    </xf>
    <xf numFmtId="3" fontId="23" fillId="4" borderId="10" xfId="0" applyNumberFormat="1" applyFont="1" applyFill="1" applyBorder="1" applyAlignment="1">
      <alignment horizontal="center" vertical="center"/>
    </xf>
    <xf numFmtId="3" fontId="23" fillId="4" borderId="10" xfId="0" applyNumberFormat="1" applyFont="1" applyFill="1" applyBorder="1" applyAlignment="1">
      <alignment horizontal="center"/>
    </xf>
    <xf numFmtId="4" fontId="23" fillId="4" borderId="10" xfId="0" applyNumberFormat="1" applyFont="1" applyFill="1" applyBorder="1" applyAlignment="1">
      <alignment/>
    </xf>
    <xf numFmtId="0" fontId="22" fillId="24" borderId="10" xfId="0" applyFont="1" applyFill="1" applyBorder="1" applyAlignment="1">
      <alignment horizontal="center" vertical="center"/>
    </xf>
    <xf numFmtId="0" fontId="23" fillId="24" borderId="10" xfId="0" applyFont="1" applyFill="1" applyBorder="1" applyAlignment="1">
      <alignment wrapText="1"/>
    </xf>
    <xf numFmtId="43" fontId="22" fillId="24" borderId="10" xfId="42" applyFont="1" applyFill="1" applyBorder="1" applyAlignment="1">
      <alignment horizontal="center" vertical="center" wrapText="1"/>
    </xf>
    <xf numFmtId="3" fontId="22" fillId="24" borderId="10" xfId="0" applyNumberFormat="1" applyFont="1" applyFill="1" applyBorder="1" applyAlignment="1">
      <alignment horizontal="center" vertical="center"/>
    </xf>
    <xf numFmtId="3" fontId="22" fillId="24" borderId="10" xfId="0" applyNumberFormat="1" applyFont="1" applyFill="1" applyBorder="1" applyAlignment="1">
      <alignment/>
    </xf>
    <xf numFmtId="3" fontId="22" fillId="24" borderId="10" xfId="0" applyNumberFormat="1" applyFont="1" applyFill="1" applyBorder="1" applyAlignment="1">
      <alignment horizontal="center"/>
    </xf>
    <xf numFmtId="4" fontId="22" fillId="24" borderId="10" xfId="0" applyNumberFormat="1" applyFont="1" applyFill="1" applyBorder="1" applyAlignment="1">
      <alignment horizontal="center" vertical="center"/>
    </xf>
    <xf numFmtId="4" fontId="22" fillId="24" borderId="10" xfId="0" applyNumberFormat="1" applyFont="1" applyFill="1" applyBorder="1" applyAlignment="1">
      <alignment/>
    </xf>
    <xf numFmtId="0" fontId="22" fillId="0" borderId="10" xfId="0" applyFont="1" applyBorder="1" applyAlignment="1">
      <alignment wrapText="1"/>
    </xf>
    <xf numFmtId="3" fontId="22" fillId="0" borderId="10" xfId="0" applyNumberFormat="1" applyFont="1" applyBorder="1" applyAlignment="1">
      <alignment horizontal="center" vertical="center"/>
    </xf>
    <xf numFmtId="3" fontId="23" fillId="26" borderId="10" xfId="0" applyNumberFormat="1" applyFont="1" applyFill="1" applyBorder="1" applyAlignment="1">
      <alignment horizontal="center" vertical="center"/>
    </xf>
    <xf numFmtId="4" fontId="23" fillId="26" borderId="10" xfId="0" applyNumberFormat="1" applyFont="1" applyFill="1" applyBorder="1" applyAlignment="1">
      <alignment horizontal="center" vertical="center"/>
    </xf>
    <xf numFmtId="4" fontId="23" fillId="26" borderId="10" xfId="0" applyNumberFormat="1" applyFont="1" applyFill="1" applyBorder="1" applyAlignment="1">
      <alignment/>
    </xf>
    <xf numFmtId="0" fontId="22" fillId="0" borderId="0" xfId="0" applyFont="1" applyAlignment="1">
      <alignment/>
    </xf>
    <xf numFmtId="0" fontId="22" fillId="24" borderId="10" xfId="0" applyFont="1" applyFill="1" applyBorder="1" applyAlignment="1">
      <alignment wrapText="1"/>
    </xf>
    <xf numFmtId="0" fontId="23" fillId="24" borderId="10" xfId="0" applyFont="1" applyFill="1" applyBorder="1" applyAlignment="1">
      <alignment horizontal="center" wrapText="1"/>
    </xf>
    <xf numFmtId="0" fontId="20" fillId="24" borderId="10" xfId="0" applyFont="1" applyFill="1" applyBorder="1" applyAlignment="1">
      <alignment horizontal="center" vertical="top" wrapText="1"/>
    </xf>
    <xf numFmtId="0" fontId="26" fillId="0" borderId="0" xfId="0" applyFont="1" applyAlignment="1">
      <alignment horizontal="center"/>
    </xf>
    <xf numFmtId="0" fontId="26" fillId="0" borderId="0" xfId="0" applyFont="1" applyAlignment="1">
      <alignment/>
    </xf>
    <xf numFmtId="0" fontId="26" fillId="0" borderId="11" xfId="0" applyFont="1" applyBorder="1" applyAlignment="1">
      <alignment horizontal="center" vertical="center" wrapText="1"/>
    </xf>
    <xf numFmtId="9" fontId="26" fillId="27" borderId="10" xfId="60" applyFont="1" applyFill="1" applyBorder="1" applyAlignment="1">
      <alignment/>
    </xf>
    <xf numFmtId="1" fontId="26" fillId="0" borderId="12" xfId="0" applyNumberFormat="1"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xf>
    <xf numFmtId="0" fontId="27" fillId="24" borderId="11" xfId="0" applyFont="1" applyFill="1" applyBorder="1" applyAlignment="1">
      <alignment horizontal="center"/>
    </xf>
    <xf numFmtId="2" fontId="27" fillId="24" borderId="11" xfId="0" applyNumberFormat="1" applyFont="1" applyFill="1" applyBorder="1" applyAlignment="1">
      <alignment horizontal="center" wrapText="1"/>
    </xf>
    <xf numFmtId="0" fontId="28" fillId="25" borderId="10" xfId="0" applyFont="1" applyFill="1" applyBorder="1" applyAlignment="1">
      <alignment horizontal="center" vertical="top"/>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6" xfId="0" applyFont="1" applyBorder="1" applyAlignment="1">
      <alignment horizontal="left" vertical="center" wrapText="1"/>
    </xf>
    <xf numFmtId="0" fontId="27" fillId="24" borderId="10" xfId="0" applyFont="1" applyFill="1" applyBorder="1" applyAlignment="1">
      <alignment horizontal="center" vertical="top"/>
    </xf>
    <xf numFmtId="0" fontId="29" fillId="24" borderId="17" xfId="0" applyFont="1" applyFill="1" applyBorder="1" applyAlignment="1">
      <alignment horizontal="left" vertical="center" wrapText="1"/>
    </xf>
    <xf numFmtId="0" fontId="29" fillId="24" borderId="17"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28" borderId="12" xfId="0" applyFont="1" applyFill="1" applyBorder="1" applyAlignment="1">
      <alignment horizontal="center" vertical="center" wrapText="1"/>
    </xf>
    <xf numFmtId="0" fontId="29" fillId="24" borderId="12" xfId="0" applyFont="1" applyFill="1" applyBorder="1" applyAlignment="1">
      <alignment horizontal="left" vertical="center" wrapText="1"/>
    </xf>
    <xf numFmtId="0" fontId="29" fillId="24" borderId="12" xfId="0" applyFont="1" applyFill="1" applyBorder="1" applyAlignment="1">
      <alignment horizontal="center" vertical="center" wrapText="1"/>
    </xf>
    <xf numFmtId="0" fontId="26" fillId="0" borderId="10" xfId="0" applyFont="1" applyBorder="1" applyAlignment="1">
      <alignmen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9" fillId="24" borderId="12" xfId="0" applyFont="1" applyFill="1" applyBorder="1" applyAlignment="1">
      <alignment wrapText="1"/>
    </xf>
    <xf numFmtId="0" fontId="29" fillId="24" borderId="12" xfId="0" applyFont="1" applyFill="1" applyBorder="1" applyAlignment="1">
      <alignment horizontal="center" wrapText="1"/>
    </xf>
    <xf numFmtId="0" fontId="27" fillId="24" borderId="17" xfId="0" applyFont="1" applyFill="1" applyBorder="1" applyAlignment="1">
      <alignment vertical="top" wrapText="1"/>
    </xf>
    <xf numFmtId="0" fontId="27" fillId="24" borderId="17" xfId="0" applyFont="1" applyFill="1" applyBorder="1" applyAlignment="1">
      <alignment horizontal="center" vertical="top" wrapText="1"/>
    </xf>
    <xf numFmtId="0" fontId="26" fillId="0" borderId="15" xfId="0" applyFont="1" applyBorder="1" applyAlignment="1">
      <alignment horizontal="center" wrapText="1"/>
    </xf>
    <xf numFmtId="0" fontId="26" fillId="0" borderId="17" xfId="0" applyFont="1" applyBorder="1" applyAlignment="1">
      <alignment horizontal="center" wrapText="1"/>
    </xf>
    <xf numFmtId="0" fontId="28" fillId="25" borderId="15" xfId="0" applyFont="1" applyFill="1" applyBorder="1" applyAlignment="1">
      <alignment horizontal="center" vertical="top"/>
    </xf>
    <xf numFmtId="0" fontId="26" fillId="0" borderId="15" xfId="0" applyFont="1" applyBorder="1" applyAlignment="1">
      <alignment wrapText="1"/>
    </xf>
    <xf numFmtId="1" fontId="29" fillId="0" borderId="10" xfId="0" applyNumberFormat="1" applyFont="1" applyBorder="1" applyAlignment="1">
      <alignment horizontal="center"/>
    </xf>
    <xf numFmtId="2" fontId="26" fillId="0" borderId="10" xfId="0" applyNumberFormat="1" applyFont="1" applyBorder="1" applyAlignment="1">
      <alignment horizontal="center" vertical="center" wrapText="1"/>
    </xf>
    <xf numFmtId="2" fontId="26" fillId="28" borderId="10" xfId="0" applyNumberFormat="1" applyFont="1" applyFill="1" applyBorder="1" applyAlignment="1">
      <alignment horizontal="center" vertical="center" wrapText="1"/>
    </xf>
    <xf numFmtId="2" fontId="27" fillId="24" borderId="17" xfId="0" applyNumberFormat="1" applyFont="1" applyFill="1" applyBorder="1" applyAlignment="1">
      <alignment horizontal="center" vertical="top" wrapText="1"/>
    </xf>
    <xf numFmtId="2" fontId="26" fillId="0" borderId="12" xfId="0" applyNumberFormat="1" applyFont="1" applyBorder="1" applyAlignment="1">
      <alignment horizontal="center" vertical="center"/>
    </xf>
    <xf numFmtId="0" fontId="26" fillId="0" borderId="10" xfId="0" applyFont="1" applyBorder="1" applyAlignment="1">
      <alignment horizontal="center" vertical="center"/>
    </xf>
    <xf numFmtId="0" fontId="26" fillId="28" borderId="10" xfId="0" applyFont="1" applyFill="1" applyBorder="1" applyAlignment="1">
      <alignment horizontal="center" vertical="center" wrapText="1"/>
    </xf>
    <xf numFmtId="0" fontId="26" fillId="28" borderId="10" xfId="0" applyFont="1" applyFill="1" applyBorder="1" applyAlignment="1">
      <alignment horizontal="center" vertical="center"/>
    </xf>
    <xf numFmtId="0" fontId="26" fillId="28" borderId="10" xfId="0" applyFont="1" applyFill="1" applyBorder="1" applyAlignment="1">
      <alignment horizontal="left" vertical="center" wrapText="1"/>
    </xf>
    <xf numFmtId="2" fontId="27" fillId="24" borderId="10" xfId="0" applyNumberFormat="1" applyFont="1" applyFill="1" applyBorder="1" applyAlignment="1">
      <alignment horizontal="center" vertical="top" wrapText="1"/>
    </xf>
    <xf numFmtId="1" fontId="26" fillId="0" borderId="0" xfId="0" applyNumberFormat="1" applyFont="1" applyAlignment="1">
      <alignment horizontal="center"/>
    </xf>
    <xf numFmtId="0" fontId="30" fillId="0" borderId="10" xfId="0" applyFont="1" applyBorder="1" applyAlignment="1">
      <alignment wrapText="1"/>
    </xf>
    <xf numFmtId="0" fontId="30" fillId="0" borderId="10" xfId="0" applyFont="1" applyBorder="1" applyAlignment="1">
      <alignment horizontal="center" wrapText="1"/>
    </xf>
    <xf numFmtId="1" fontId="30" fillId="0" borderId="10" xfId="0" applyNumberFormat="1" applyFont="1" applyBorder="1" applyAlignment="1">
      <alignment horizontal="center" wrapText="1"/>
    </xf>
    <xf numFmtId="0" fontId="28" fillId="25" borderId="17" xfId="0" applyFont="1" applyFill="1" applyBorder="1" applyAlignment="1">
      <alignment horizontal="center" vertical="top"/>
    </xf>
    <xf numFmtId="9" fontId="26" fillId="27" borderId="10" xfId="60" applyFont="1" applyFill="1" applyBorder="1" applyAlignment="1">
      <alignment horizontal="center" vertical="center"/>
    </xf>
    <xf numFmtId="9" fontId="26" fillId="0" borderId="10" xfId="60" applyFont="1" applyBorder="1" applyAlignment="1">
      <alignment horizontal="center" vertical="center"/>
    </xf>
    <xf numFmtId="0" fontId="26" fillId="0" borderId="10" xfId="0" applyFont="1" applyBorder="1" applyAlignment="1">
      <alignment vertical="center" wrapText="1"/>
    </xf>
    <xf numFmtId="1" fontId="28" fillId="0" borderId="10" xfId="0" applyNumberFormat="1" applyFont="1" applyBorder="1" applyAlignment="1">
      <alignment horizontal="center" vertical="center" wrapText="1"/>
    </xf>
    <xf numFmtId="4" fontId="23" fillId="24" borderId="10" xfId="0" applyNumberFormat="1" applyFont="1" applyFill="1" applyBorder="1" applyAlignment="1">
      <alignment horizontal="center"/>
    </xf>
    <xf numFmtId="4" fontId="23" fillId="4" borderId="10" xfId="0" applyNumberFormat="1" applyFont="1" applyFill="1" applyBorder="1" applyAlignment="1">
      <alignment horizontal="center"/>
    </xf>
    <xf numFmtId="4" fontId="22" fillId="24" borderId="10" xfId="0" applyNumberFormat="1" applyFont="1" applyFill="1" applyBorder="1" applyAlignment="1">
      <alignment horizontal="center"/>
    </xf>
    <xf numFmtId="0" fontId="22" fillId="28" borderId="10" xfId="0" applyFont="1" applyFill="1" applyBorder="1" applyAlignment="1">
      <alignment horizontal="left" vertical="center" wrapText="1"/>
    </xf>
    <xf numFmtId="2" fontId="30" fillId="0" borderId="10" xfId="0" applyNumberFormat="1" applyFont="1" applyBorder="1" applyAlignment="1">
      <alignment horizontal="center" wrapText="1"/>
    </xf>
    <xf numFmtId="3" fontId="27" fillId="0" borderId="10" xfId="0" applyNumberFormat="1" applyFont="1" applyBorder="1" applyAlignment="1">
      <alignment horizontal="center"/>
    </xf>
    <xf numFmtId="3" fontId="29" fillId="24" borderId="12" xfId="0" applyNumberFormat="1" applyFont="1" applyFill="1" applyBorder="1" applyAlignment="1">
      <alignment horizontal="center" vertical="center" wrapText="1"/>
    </xf>
    <xf numFmtId="3" fontId="29" fillId="24" borderId="12" xfId="0" applyNumberFormat="1" applyFont="1" applyFill="1" applyBorder="1" applyAlignment="1">
      <alignment horizontal="center" wrapText="1"/>
    </xf>
    <xf numFmtId="3" fontId="27" fillId="24" borderId="17" xfId="0" applyNumberFormat="1" applyFont="1" applyFill="1" applyBorder="1" applyAlignment="1">
      <alignment horizontal="center" vertical="top" wrapText="1"/>
    </xf>
    <xf numFmtId="3" fontId="29" fillId="24" borderId="10" xfId="0" applyNumberFormat="1" applyFont="1" applyFill="1" applyBorder="1" applyAlignment="1">
      <alignment horizontal="center" vertical="center" wrapText="1"/>
    </xf>
    <xf numFmtId="3" fontId="27" fillId="24" borderId="10" xfId="0" applyNumberFormat="1" applyFont="1" applyFill="1" applyBorder="1" applyAlignment="1">
      <alignment horizontal="center" wrapText="1"/>
    </xf>
    <xf numFmtId="9" fontId="26" fillId="27" borderId="10" xfId="60" applyFont="1" applyFill="1" applyBorder="1" applyAlignment="1">
      <alignment horizontal="center"/>
    </xf>
    <xf numFmtId="9" fontId="26" fillId="0" borderId="10" xfId="60" applyFont="1" applyBorder="1" applyAlignment="1">
      <alignment horizontal="center"/>
    </xf>
    <xf numFmtId="9" fontId="26" fillId="0" borderId="15" xfId="60" applyFont="1" applyBorder="1" applyAlignment="1">
      <alignment horizontal="center"/>
    </xf>
    <xf numFmtId="9" fontId="35" fillId="0" borderId="10" xfId="60" applyFont="1" applyBorder="1" applyAlignment="1">
      <alignment horizontal="center"/>
    </xf>
    <xf numFmtId="2" fontId="28" fillId="0" borderId="10" xfId="0" applyNumberFormat="1" applyFont="1" applyBorder="1" applyAlignment="1">
      <alignment vertical="center" wrapText="1"/>
    </xf>
    <xf numFmtId="1" fontId="28" fillId="0" borderId="11" xfId="0" applyNumberFormat="1" applyFont="1" applyBorder="1" applyAlignment="1">
      <alignment horizontal="center"/>
    </xf>
    <xf numFmtId="1" fontId="28" fillId="0" borderId="11" xfId="0" applyNumberFormat="1" applyFont="1" applyBorder="1" applyAlignment="1">
      <alignment horizontal="center" wrapText="1"/>
    </xf>
    <xf numFmtId="1" fontId="26" fillId="0" borderId="11" xfId="0" applyNumberFormat="1" applyFont="1" applyBorder="1" applyAlignment="1">
      <alignment horizontal="center" vertical="center" wrapText="1"/>
    </xf>
    <xf numFmtId="1" fontId="28" fillId="0" borderId="11" xfId="0" applyNumberFormat="1" applyFont="1" applyBorder="1" applyAlignment="1">
      <alignment horizontal="center" vertical="center" wrapText="1"/>
    </xf>
    <xf numFmtId="1" fontId="28" fillId="0" borderId="13" xfId="0" applyNumberFormat="1" applyFont="1" applyBorder="1" applyAlignment="1">
      <alignment horizontal="center" vertical="center" wrapText="1"/>
    </xf>
    <xf numFmtId="0" fontId="28" fillId="27" borderId="10" xfId="0" applyFont="1" applyFill="1" applyBorder="1" applyAlignment="1">
      <alignment horizontal="center" vertical="top"/>
    </xf>
    <xf numFmtId="0" fontId="26" fillId="0" borderId="12" xfId="0" applyFont="1" applyBorder="1" applyAlignment="1">
      <alignment horizontal="left" vertical="center" wrapText="1"/>
    </xf>
    <xf numFmtId="2" fontId="26" fillId="28" borderId="12" xfId="0" applyNumberFormat="1" applyFont="1" applyFill="1" applyBorder="1" applyAlignment="1">
      <alignment horizontal="center" vertical="center" wrapText="1"/>
    </xf>
    <xf numFmtId="2" fontId="26" fillId="0" borderId="10" xfId="0" applyNumberFormat="1" applyFont="1" applyBorder="1" applyAlignment="1">
      <alignment horizontal="center" wrapText="1"/>
    </xf>
    <xf numFmtId="4" fontId="29" fillId="24" borderId="17" xfId="0" applyNumberFormat="1" applyFont="1" applyFill="1" applyBorder="1" applyAlignment="1">
      <alignment horizontal="center" vertical="center" wrapText="1"/>
    </xf>
    <xf numFmtId="4" fontId="27" fillId="24" borderId="10" xfId="0" applyNumberFormat="1" applyFont="1" applyFill="1" applyBorder="1" applyAlignment="1">
      <alignment horizontal="center" wrapText="1"/>
    </xf>
    <xf numFmtId="4" fontId="29" fillId="24" borderId="12" xfId="0" applyNumberFormat="1" applyFont="1" applyFill="1" applyBorder="1" applyAlignment="1">
      <alignment horizontal="center" vertical="center" wrapText="1"/>
    </xf>
    <xf numFmtId="4" fontId="29" fillId="24" borderId="10" xfId="0" applyNumberFormat="1" applyFont="1" applyFill="1" applyBorder="1" applyAlignment="1">
      <alignment horizontal="center" vertical="center" wrapText="1"/>
    </xf>
    <xf numFmtId="4" fontId="29" fillId="24" borderId="12" xfId="0" applyNumberFormat="1" applyFont="1" applyFill="1" applyBorder="1" applyAlignment="1">
      <alignment horizontal="center" wrapText="1"/>
    </xf>
    <xf numFmtId="4" fontId="29" fillId="24" borderId="10" xfId="0" applyNumberFormat="1" applyFont="1" applyFill="1" applyBorder="1" applyAlignment="1">
      <alignment horizontal="center" wrapText="1"/>
    </xf>
    <xf numFmtId="0" fontId="31" fillId="0" borderId="0" xfId="0" applyFont="1" applyAlignment="1">
      <alignment/>
    </xf>
    <xf numFmtId="0" fontId="22" fillId="28" borderId="18" xfId="0" applyFont="1" applyFill="1" applyBorder="1" applyAlignment="1">
      <alignment horizontal="justify" vertical="center" wrapText="1"/>
    </xf>
    <xf numFmtId="0" fontId="23" fillId="28" borderId="10" xfId="0" applyFont="1" applyFill="1" applyBorder="1" applyAlignment="1">
      <alignment horizontal="center" vertical="center" wrapText="1"/>
    </xf>
    <xf numFmtId="0" fontId="22" fillId="27" borderId="10" xfId="0" applyFont="1" applyFill="1" applyBorder="1" applyAlignment="1">
      <alignment horizontal="center" vertical="center"/>
    </xf>
    <xf numFmtId="0" fontId="23" fillId="27" borderId="10" xfId="0" applyFont="1" applyFill="1" applyBorder="1" applyAlignment="1">
      <alignment horizontal="center" vertical="center"/>
    </xf>
    <xf numFmtId="1" fontId="26" fillId="0" borderId="12" xfId="0" applyNumberFormat="1" applyFont="1" applyBorder="1" applyAlignment="1">
      <alignment horizontal="center" wrapText="1"/>
    </xf>
    <xf numFmtId="0" fontId="29" fillId="27" borderId="18" xfId="0" applyFont="1" applyFill="1" applyBorder="1" applyAlignment="1">
      <alignment horizontal="center" wrapText="1"/>
    </xf>
    <xf numFmtId="0" fontId="29" fillId="27" borderId="14" xfId="0" applyFont="1" applyFill="1" applyBorder="1" applyAlignment="1">
      <alignment horizontal="center" vertical="center" wrapText="1"/>
    </xf>
    <xf numFmtId="0" fontId="29" fillId="27" borderId="12" xfId="0" applyFont="1" applyFill="1" applyBorder="1" applyAlignment="1">
      <alignment horizontal="center" vertical="center" wrapText="1"/>
    </xf>
    <xf numFmtId="9" fontId="29" fillId="27" borderId="10" xfId="60" applyFont="1" applyFill="1" applyBorder="1" applyAlignment="1">
      <alignment/>
    </xf>
    <xf numFmtId="10" fontId="29" fillId="27" borderId="10" xfId="60" applyNumberFormat="1" applyFont="1" applyFill="1" applyBorder="1" applyAlignment="1">
      <alignment/>
    </xf>
    <xf numFmtId="1" fontId="28" fillId="0" borderId="11" xfId="0" applyNumberFormat="1" applyFont="1" applyBorder="1" applyAlignment="1">
      <alignment horizontal="center" vertical="center"/>
    </xf>
    <xf numFmtId="2" fontId="0" fillId="0" borderId="0" xfId="0" applyNumberFormat="1" applyAlignment="1">
      <alignment/>
    </xf>
    <xf numFmtId="0" fontId="26" fillId="0" borderId="10" xfId="0" applyFont="1" applyBorder="1" applyAlignment="1">
      <alignment horizontal="center"/>
    </xf>
    <xf numFmtId="2" fontId="26" fillId="0" borderId="10" xfId="0" applyNumberFormat="1" applyFont="1" applyBorder="1" applyAlignment="1">
      <alignment horizontal="center"/>
    </xf>
    <xf numFmtId="2" fontId="26" fillId="28" borderId="12" xfId="0" applyNumberFormat="1" applyFont="1" applyFill="1" applyBorder="1" applyAlignment="1">
      <alignment horizontal="center" vertical="center"/>
    </xf>
    <xf numFmtId="192" fontId="26" fillId="0" borderId="10" xfId="60" applyNumberFormat="1" applyFont="1" applyBorder="1" applyAlignment="1">
      <alignment horizontal="center"/>
    </xf>
    <xf numFmtId="9" fontId="26" fillId="28" borderId="10" xfId="60" applyFont="1" applyFill="1" applyBorder="1" applyAlignment="1">
      <alignment horizontal="center"/>
    </xf>
    <xf numFmtId="3" fontId="22" fillId="0" borderId="10" xfId="0" applyNumberFormat="1" applyFont="1" applyFill="1" applyBorder="1" applyAlignment="1">
      <alignment horizontal="center" vertical="center"/>
    </xf>
    <xf numFmtId="1" fontId="22" fillId="28" borderId="10" xfId="0" applyNumberFormat="1" applyFont="1" applyFill="1" applyBorder="1" applyAlignment="1">
      <alignment horizontal="center" vertical="center"/>
    </xf>
    <xf numFmtId="0" fontId="22" fillId="28" borderId="10" xfId="0" applyFont="1" applyFill="1" applyBorder="1" applyAlignment="1">
      <alignment horizontal="center" vertical="center"/>
    </xf>
    <xf numFmtId="0" fontId="22" fillId="28" borderId="10" xfId="0" applyFont="1" applyFill="1" applyBorder="1" applyAlignment="1">
      <alignment horizontal="center" vertical="center" wrapText="1"/>
    </xf>
    <xf numFmtId="4" fontId="22" fillId="28" borderId="10" xfId="0" applyNumberFormat="1" applyFont="1" applyFill="1" applyBorder="1" applyAlignment="1">
      <alignment horizontal="center" vertical="center"/>
    </xf>
    <xf numFmtId="4" fontId="22" fillId="28" borderId="11" xfId="0" applyNumberFormat="1" applyFont="1" applyFill="1" applyBorder="1" applyAlignment="1">
      <alignment horizontal="center" vertical="center"/>
    </xf>
    <xf numFmtId="43" fontId="22" fillId="28" borderId="10" xfId="42" applyFont="1" applyFill="1" applyBorder="1" applyAlignment="1">
      <alignment horizontal="center" vertical="center" wrapText="1"/>
    </xf>
    <xf numFmtId="0" fontId="22" fillId="0" borderId="0" xfId="0" applyFont="1" applyAlignment="1">
      <alignment horizontal="center"/>
    </xf>
    <xf numFmtId="1" fontId="22" fillId="28" borderId="10" xfId="0" applyNumberFormat="1" applyFont="1" applyFill="1" applyBorder="1" applyAlignment="1">
      <alignment horizontal="center" vertical="center"/>
    </xf>
    <xf numFmtId="2" fontId="27" fillId="0" borderId="10" xfId="0" applyNumberFormat="1" applyFont="1" applyBorder="1" applyAlignment="1">
      <alignment horizontal="center" vertical="center" wrapText="1"/>
    </xf>
    <xf numFmtId="2" fontId="26" fillId="27" borderId="10" xfId="42" applyNumberFormat="1" applyFont="1" applyFill="1" applyBorder="1" applyAlignment="1">
      <alignment horizontal="center"/>
    </xf>
    <xf numFmtId="2" fontId="26" fillId="0" borderId="10" xfId="42" applyNumberFormat="1" applyFont="1" applyBorder="1" applyAlignment="1">
      <alignment horizontal="center"/>
    </xf>
    <xf numFmtId="2" fontId="29" fillId="27" borderId="10" xfId="42" applyNumberFormat="1" applyFont="1" applyFill="1" applyBorder="1" applyAlignment="1">
      <alignment horizontal="center"/>
    </xf>
    <xf numFmtId="2" fontId="29" fillId="27" borderId="12" xfId="0" applyNumberFormat="1" applyFont="1" applyFill="1" applyBorder="1" applyAlignment="1">
      <alignment horizontal="center" vertical="center"/>
    </xf>
    <xf numFmtId="0" fontId="29" fillId="0" borderId="10" xfId="0" applyFont="1" applyBorder="1" applyAlignment="1">
      <alignment horizontal="center" wrapText="1"/>
    </xf>
    <xf numFmtId="3" fontId="22" fillId="28" borderId="10" xfId="0" applyNumberFormat="1" applyFont="1" applyFill="1" applyBorder="1" applyAlignment="1">
      <alignment horizontal="center" vertical="center"/>
    </xf>
    <xf numFmtId="4" fontId="23" fillId="27" borderId="10" xfId="0" applyNumberFormat="1" applyFont="1" applyFill="1" applyBorder="1" applyAlignment="1">
      <alignment horizontal="center" vertical="center"/>
    </xf>
    <xf numFmtId="4" fontId="22" fillId="0" borderId="10" xfId="0" applyNumberFormat="1" applyFont="1" applyBorder="1" applyAlignment="1">
      <alignment horizontal="center"/>
    </xf>
    <xf numFmtId="1" fontId="22" fillId="0" borderId="10" xfId="0" applyNumberFormat="1" applyFont="1" applyBorder="1" applyAlignment="1">
      <alignment horizontal="center"/>
    </xf>
    <xf numFmtId="2" fontId="26" fillId="28" borderId="10" xfId="0" applyNumberFormat="1" applyFont="1" applyFill="1" applyBorder="1" applyAlignment="1">
      <alignment horizontal="center"/>
    </xf>
    <xf numFmtId="1" fontId="22" fillId="0" borderId="10" xfId="0" applyNumberFormat="1" applyFont="1" applyBorder="1" applyAlignment="1">
      <alignment horizontal="center" vertical="center" wrapText="1"/>
    </xf>
    <xf numFmtId="1" fontId="22" fillId="0" borderId="10" xfId="42" applyNumberFormat="1" applyFont="1" applyBorder="1" applyAlignment="1">
      <alignment horizontal="center" vertical="center" wrapText="1"/>
    </xf>
    <xf numFmtId="1" fontId="21" fillId="0" borderId="10" xfId="0" applyNumberFormat="1" applyFont="1" applyBorder="1" applyAlignment="1">
      <alignment horizontal="center" vertical="center" wrapText="1"/>
    </xf>
    <xf numFmtId="1" fontId="21" fillId="0" borderId="10" xfId="0" applyNumberFormat="1" applyFont="1" applyFill="1" applyBorder="1" applyAlignment="1">
      <alignment horizontal="center" vertical="center" wrapText="1"/>
    </xf>
    <xf numFmtId="1" fontId="22" fillId="0" borderId="10" xfId="0" applyNumberFormat="1" applyFont="1" applyBorder="1" applyAlignment="1">
      <alignment horizontal="center" wrapText="1"/>
    </xf>
    <xf numFmtId="1" fontId="36" fillId="0" borderId="10" xfId="0" applyNumberFormat="1" applyFont="1" applyBorder="1" applyAlignment="1">
      <alignment horizontal="center" wrapText="1"/>
    </xf>
    <xf numFmtId="3" fontId="22" fillId="0" borderId="10" xfId="0" applyNumberFormat="1" applyFont="1" applyBorder="1" applyAlignment="1">
      <alignment horizontal="center"/>
    </xf>
    <xf numFmtId="0" fontId="22" fillId="0" borderId="10" xfId="0" applyFont="1" applyBorder="1" applyAlignment="1">
      <alignment/>
    </xf>
    <xf numFmtId="0" fontId="26" fillId="0" borderId="10" xfId="53" applyFont="1" applyBorder="1" applyAlignment="1" applyProtection="1">
      <alignment horizontal="justify" vertical="center" wrapText="1"/>
      <protection/>
    </xf>
    <xf numFmtId="0" fontId="26" fillId="0" borderId="0" xfId="0" applyFont="1" applyAlignment="1">
      <alignment horizontal="justify" vertical="center" wrapText="1"/>
    </xf>
    <xf numFmtId="2" fontId="26" fillId="0" borderId="17" xfId="0" applyNumberFormat="1" applyFont="1" applyBorder="1" applyAlignment="1">
      <alignment horizontal="center" vertical="center" wrapText="1"/>
    </xf>
    <xf numFmtId="0" fontId="26" fillId="0" borderId="19" xfId="0" applyFont="1" applyBorder="1" applyAlignment="1">
      <alignment horizontal="center" wrapText="1"/>
    </xf>
    <xf numFmtId="0" fontId="22" fillId="0" borderId="10" xfId="53" applyFont="1" applyBorder="1" applyAlignment="1" applyProtection="1">
      <alignment horizontal="justify" vertical="center" wrapText="1"/>
      <protection/>
    </xf>
    <xf numFmtId="0" fontId="22" fillId="0" borderId="10" xfId="0" applyFont="1" applyBorder="1" applyAlignment="1">
      <alignment horizontal="justify" vertical="center" wrapText="1"/>
    </xf>
    <xf numFmtId="0" fontId="22" fillId="28" borderId="10" xfId="0" applyFont="1" applyFill="1" applyBorder="1" applyAlignment="1">
      <alignment horizontal="justify" vertical="center" wrapText="1"/>
    </xf>
    <xf numFmtId="4" fontId="0" fillId="0" borderId="0" xfId="0" applyNumberFormat="1" applyAlignment="1">
      <alignment/>
    </xf>
    <xf numFmtId="0" fontId="26" fillId="28" borderId="10" xfId="0" applyFont="1" applyFill="1" applyBorder="1" applyAlignment="1">
      <alignment horizontal="center"/>
    </xf>
    <xf numFmtId="1" fontId="26" fillId="28" borderId="12" xfId="0" applyNumberFormat="1" applyFont="1" applyFill="1" applyBorder="1" applyAlignment="1">
      <alignment horizontal="center" wrapText="1"/>
    </xf>
    <xf numFmtId="1" fontId="26" fillId="28" borderId="10" xfId="0" applyNumberFormat="1" applyFont="1" applyFill="1" applyBorder="1" applyAlignment="1">
      <alignment horizontal="center" vertical="center" wrapText="1"/>
    </xf>
    <xf numFmtId="3" fontId="22" fillId="28" borderId="10" xfId="0" applyNumberFormat="1" applyFont="1" applyFill="1" applyBorder="1" applyAlignment="1">
      <alignment horizontal="center" vertical="center"/>
    </xf>
    <xf numFmtId="183" fontId="26" fillId="0" borderId="12" xfId="0" applyNumberFormat="1" applyFont="1" applyBorder="1" applyAlignment="1">
      <alignment horizontal="center" vertical="center"/>
    </xf>
    <xf numFmtId="1" fontId="22" fillId="28" borderId="10" xfId="0" applyNumberFormat="1" applyFont="1" applyFill="1" applyBorder="1" applyAlignment="1">
      <alignment horizontal="center" vertical="center"/>
    </xf>
    <xf numFmtId="0" fontId="22" fillId="28" borderId="10" xfId="0" applyFont="1" applyFill="1" applyBorder="1" applyAlignment="1">
      <alignment horizontal="center" vertical="center"/>
    </xf>
    <xf numFmtId="4" fontId="22" fillId="28" borderId="10" xfId="0" applyNumberFormat="1" applyFont="1" applyFill="1" applyBorder="1" applyAlignment="1">
      <alignment horizontal="center" vertical="center"/>
    </xf>
    <xf numFmtId="0" fontId="22" fillId="28" borderId="10" xfId="0" applyFont="1" applyFill="1" applyBorder="1" applyAlignment="1">
      <alignment horizontal="center" vertical="center" wrapText="1"/>
    </xf>
    <xf numFmtId="4" fontId="22" fillId="28" borderId="11" xfId="0" applyNumberFormat="1" applyFont="1" applyFill="1" applyBorder="1" applyAlignment="1">
      <alignment horizontal="center" vertical="center"/>
    </xf>
    <xf numFmtId="1" fontId="22" fillId="28" borderId="10" xfId="0" applyNumberFormat="1" applyFont="1" applyFill="1" applyBorder="1" applyAlignment="1">
      <alignment horizontal="center" vertical="center"/>
    </xf>
    <xf numFmtId="2" fontId="26" fillId="28" borderId="10" xfId="0" applyNumberFormat="1" applyFont="1" applyFill="1" applyBorder="1" applyAlignment="1">
      <alignment horizontal="center"/>
    </xf>
    <xf numFmtId="0" fontId="26" fillId="28" borderId="18" xfId="0" applyFont="1" applyFill="1" applyBorder="1" applyAlignment="1">
      <alignment horizontal="justify" vertical="center" wrapText="1"/>
    </xf>
    <xf numFmtId="0" fontId="23" fillId="27" borderId="10" xfId="0" applyFont="1" applyFill="1" applyBorder="1" applyAlignment="1">
      <alignment wrapText="1"/>
    </xf>
    <xf numFmtId="0" fontId="26" fillId="27" borderId="10" xfId="0" applyFont="1" applyFill="1" applyBorder="1" applyAlignment="1">
      <alignment horizontal="center" wrapText="1"/>
    </xf>
    <xf numFmtId="9" fontId="26" fillId="27" borderId="15" xfId="60" applyFont="1" applyFill="1" applyBorder="1" applyAlignment="1">
      <alignment horizontal="center"/>
    </xf>
    <xf numFmtId="0" fontId="29" fillId="27" borderId="10" xfId="0" applyFont="1" applyFill="1" applyBorder="1" applyAlignment="1">
      <alignment wrapText="1"/>
    </xf>
    <xf numFmtId="1" fontId="29" fillId="27" borderId="12" xfId="0" applyNumberFormat="1" applyFont="1" applyFill="1" applyBorder="1" applyAlignment="1">
      <alignment horizontal="center" vertical="center" wrapText="1"/>
    </xf>
    <xf numFmtId="0" fontId="28" fillId="27" borderId="17" xfId="0" applyFont="1" applyFill="1" applyBorder="1" applyAlignment="1">
      <alignment horizontal="center" vertical="top"/>
    </xf>
    <xf numFmtId="0" fontId="26" fillId="27" borderId="19" xfId="0" applyFont="1" applyFill="1" applyBorder="1" applyAlignment="1">
      <alignment horizontal="center" wrapText="1"/>
    </xf>
    <xf numFmtId="2" fontId="26" fillId="27" borderId="10" xfId="0" applyNumberFormat="1" applyFont="1" applyFill="1" applyBorder="1" applyAlignment="1">
      <alignment horizontal="center" vertical="center" wrapText="1"/>
    </xf>
    <xf numFmtId="2" fontId="26" fillId="27" borderId="10" xfId="0" applyNumberFormat="1" applyFont="1" applyFill="1" applyBorder="1" applyAlignment="1">
      <alignment horizontal="center" wrapText="1"/>
    </xf>
    <xf numFmtId="2" fontId="26" fillId="27" borderId="12" xfId="0" applyNumberFormat="1" applyFont="1" applyFill="1" applyBorder="1" applyAlignment="1">
      <alignment horizontal="center" vertical="center"/>
    </xf>
    <xf numFmtId="0" fontId="26" fillId="27" borderId="10" xfId="0" applyFont="1" applyFill="1" applyBorder="1" applyAlignment="1">
      <alignment horizontal="center"/>
    </xf>
    <xf numFmtId="2" fontId="29" fillId="27" borderId="10" xfId="0" applyNumberFormat="1" applyFont="1" applyFill="1" applyBorder="1" applyAlignment="1">
      <alignment horizontal="center"/>
    </xf>
    <xf numFmtId="0" fontId="26" fillId="28" borderId="12" xfId="0" applyFont="1" applyFill="1" applyBorder="1" applyAlignment="1">
      <alignment horizontal="left" vertical="center" wrapText="1"/>
    </xf>
    <xf numFmtId="0" fontId="22" fillId="29" borderId="10" xfId="0" applyFont="1" applyFill="1" applyBorder="1" applyAlignment="1">
      <alignment horizontal="center" vertical="center"/>
    </xf>
    <xf numFmtId="0" fontId="23" fillId="29" borderId="10" xfId="0" applyFont="1" applyFill="1" applyBorder="1" applyAlignment="1">
      <alignment wrapText="1"/>
    </xf>
    <xf numFmtId="0" fontId="22" fillId="29" borderId="10" xfId="0" applyFont="1" applyFill="1" applyBorder="1" applyAlignment="1">
      <alignment horizontal="center" wrapText="1"/>
    </xf>
    <xf numFmtId="0" fontId="22" fillId="29" borderId="10" xfId="0" applyFont="1" applyFill="1" applyBorder="1" applyAlignment="1">
      <alignment horizontal="center" vertical="center" wrapText="1"/>
    </xf>
    <xf numFmtId="3" fontId="23" fillId="29" borderId="10" xfId="0" applyNumberFormat="1" applyFont="1" applyFill="1" applyBorder="1" applyAlignment="1">
      <alignment horizontal="center" vertical="center"/>
    </xf>
    <xf numFmtId="4" fontId="23" fillId="29" borderId="10" xfId="0" applyNumberFormat="1" applyFont="1" applyFill="1" applyBorder="1" applyAlignment="1">
      <alignment horizontal="center" vertical="center"/>
    </xf>
    <xf numFmtId="1" fontId="23" fillId="29" borderId="10" xfId="0" applyNumberFormat="1" applyFont="1" applyFill="1" applyBorder="1" applyAlignment="1">
      <alignment horizontal="center" vertical="center"/>
    </xf>
    <xf numFmtId="0" fontId="29" fillId="27" borderId="10" xfId="0" applyFont="1" applyFill="1" applyBorder="1" applyAlignment="1">
      <alignment horizontal="center" wrapText="1"/>
    </xf>
    <xf numFmtId="1" fontId="26" fillId="28" borderId="12" xfId="0" applyNumberFormat="1" applyFont="1" applyFill="1" applyBorder="1" applyAlignment="1">
      <alignment horizontal="center" vertical="center"/>
    </xf>
    <xf numFmtId="1" fontId="22" fillId="28" borderId="10" xfId="0" applyNumberFormat="1" applyFont="1" applyFill="1" applyBorder="1" applyAlignment="1">
      <alignment horizontal="center" vertical="center"/>
    </xf>
    <xf numFmtId="0" fontId="26" fillId="28" borderId="15" xfId="0" applyFont="1" applyFill="1" applyBorder="1" applyAlignment="1">
      <alignment horizontal="center" vertical="center" wrapText="1"/>
    </xf>
    <xf numFmtId="0" fontId="26" fillId="28" borderId="11" xfId="0" applyFont="1" applyFill="1" applyBorder="1" applyAlignment="1">
      <alignment horizontal="center" vertical="center" wrapText="1"/>
    </xf>
    <xf numFmtId="0" fontId="26" fillId="28" borderId="14" xfId="0" applyFont="1" applyFill="1" applyBorder="1" applyAlignment="1">
      <alignment horizontal="center" vertical="center" wrapText="1"/>
    </xf>
    <xf numFmtId="0" fontId="26" fillId="28" borderId="11" xfId="0" applyFont="1" applyFill="1" applyBorder="1" applyAlignment="1">
      <alignment horizontal="center" vertical="center"/>
    </xf>
    <xf numFmtId="1" fontId="22" fillId="28" borderId="10" xfId="0" applyNumberFormat="1" applyFont="1" applyFill="1" applyBorder="1" applyAlignment="1">
      <alignment horizontal="center" vertical="center"/>
    </xf>
    <xf numFmtId="0" fontId="22" fillId="28" borderId="11" xfId="0" applyFont="1" applyFill="1" applyBorder="1" applyAlignment="1">
      <alignment horizontal="center" vertical="center"/>
    </xf>
    <xf numFmtId="1" fontId="22" fillId="28" borderId="10" xfId="0" applyNumberFormat="1" applyFont="1" applyFill="1" applyBorder="1" applyAlignment="1">
      <alignment horizontal="center" vertical="center"/>
    </xf>
    <xf numFmtId="1" fontId="22" fillId="0" borderId="10" xfId="0" applyNumberFormat="1" applyFont="1" applyFill="1" applyBorder="1" applyAlignment="1">
      <alignment horizontal="center" wrapText="1"/>
    </xf>
    <xf numFmtId="2" fontId="23" fillId="27" borderId="10" xfId="0" applyNumberFormat="1" applyFont="1" applyFill="1" applyBorder="1" applyAlignment="1">
      <alignment horizontal="center" vertical="center"/>
    </xf>
    <xf numFmtId="3" fontId="22" fillId="0" borderId="10" xfId="0" applyNumberFormat="1" applyFont="1" applyBorder="1" applyAlignment="1">
      <alignment/>
    </xf>
    <xf numFmtId="0" fontId="23" fillId="0" borderId="10" xfId="0" applyFont="1" applyBorder="1" applyAlignment="1">
      <alignment horizontal="center"/>
    </xf>
    <xf numFmtId="4" fontId="22" fillId="0" borderId="10" xfId="0" applyNumberFormat="1" applyFont="1" applyBorder="1" applyAlignment="1">
      <alignment/>
    </xf>
    <xf numFmtId="0" fontId="23" fillId="0" borderId="10" xfId="0" applyFont="1" applyBorder="1" applyAlignment="1">
      <alignment horizontal="right"/>
    </xf>
    <xf numFmtId="0" fontId="23" fillId="0" borderId="10" xfId="0" applyFont="1" applyBorder="1" applyAlignment="1">
      <alignment/>
    </xf>
    <xf numFmtId="4" fontId="23" fillId="0" borderId="10" xfId="0" applyNumberFormat="1" applyFont="1" applyBorder="1" applyAlignment="1">
      <alignment/>
    </xf>
    <xf numFmtId="0" fontId="22" fillId="0" borderId="10" xfId="0" applyNumberFormat="1" applyFont="1" applyBorder="1" applyAlignment="1">
      <alignment horizontal="left" wrapText="1"/>
    </xf>
    <xf numFmtId="0" fontId="23" fillId="0" borderId="10" xfId="0" applyFont="1" applyBorder="1" applyAlignment="1">
      <alignment wrapText="1"/>
    </xf>
    <xf numFmtId="0" fontId="36" fillId="0" borderId="10" xfId="57" applyFont="1" applyFill="1" applyBorder="1" applyAlignment="1">
      <alignment horizontal="center" wrapText="1"/>
      <protection/>
    </xf>
    <xf numFmtId="0" fontId="36" fillId="0" borderId="10" xfId="57" applyFont="1" applyBorder="1" applyAlignment="1">
      <alignment horizontal="center" wrapText="1"/>
      <protection/>
    </xf>
    <xf numFmtId="2" fontId="22" fillId="0" borderId="10" xfId="0" applyNumberFormat="1" applyFont="1" applyBorder="1" applyAlignment="1">
      <alignment horizontal="center"/>
    </xf>
    <xf numFmtId="4" fontId="23" fillId="0" borderId="10" xfId="0" applyNumberFormat="1" applyFont="1" applyBorder="1" applyAlignment="1">
      <alignment horizontal="center"/>
    </xf>
    <xf numFmtId="0" fontId="22" fillId="0" borderId="18" xfId="0" applyFont="1" applyBorder="1" applyAlignment="1">
      <alignment horizontal="center" wrapText="1"/>
    </xf>
    <xf numFmtId="4" fontId="23" fillId="28" borderId="10" xfId="0" applyNumberFormat="1" applyFont="1" applyFill="1" applyBorder="1" applyAlignment="1">
      <alignment horizontal="center"/>
    </xf>
    <xf numFmtId="0" fontId="23" fillId="28" borderId="12" xfId="0" applyFont="1" applyFill="1" applyBorder="1" applyAlignment="1">
      <alignment vertical="center"/>
    </xf>
    <xf numFmtId="0" fontId="23" fillId="28" borderId="20" xfId="0" applyFont="1" applyFill="1" applyBorder="1" applyAlignment="1">
      <alignment vertical="center"/>
    </xf>
    <xf numFmtId="0" fontId="23" fillId="28" borderId="18" xfId="0" applyFont="1" applyFill="1" applyBorder="1" applyAlignment="1">
      <alignment vertical="center"/>
    </xf>
    <xf numFmtId="0" fontId="23" fillId="28" borderId="12" xfId="0" applyFont="1" applyFill="1" applyBorder="1" applyAlignment="1">
      <alignment horizontal="right" vertical="center"/>
    </xf>
    <xf numFmtId="0" fontId="22" fillId="27" borderId="10" xfId="0" applyFont="1" applyFill="1" applyBorder="1" applyAlignment="1">
      <alignment horizontal="center" vertical="center"/>
    </xf>
    <xf numFmtId="1" fontId="22" fillId="28" borderId="10" xfId="0" applyNumberFormat="1" applyFont="1" applyFill="1" applyBorder="1" applyAlignment="1">
      <alignment horizontal="center" vertical="center"/>
    </xf>
    <xf numFmtId="4" fontId="22" fillId="28" borderId="10" xfId="0" applyNumberFormat="1" applyFont="1" applyFill="1" applyBorder="1" applyAlignment="1">
      <alignment horizontal="center" vertical="center"/>
    </xf>
    <xf numFmtId="4" fontId="22" fillId="28" borderId="11" xfId="0" applyNumberFormat="1" applyFont="1" applyFill="1" applyBorder="1" applyAlignment="1">
      <alignment horizontal="center" vertical="center"/>
    </xf>
    <xf numFmtId="43" fontId="22" fillId="28" borderId="10" xfId="42" applyFont="1" applyFill="1" applyBorder="1" applyAlignment="1">
      <alignment horizontal="center" vertical="center" wrapText="1"/>
    </xf>
    <xf numFmtId="0" fontId="22" fillId="28" borderId="10" xfId="0" applyFont="1" applyFill="1" applyBorder="1" applyAlignment="1">
      <alignment horizontal="center" vertical="center" wrapText="1"/>
    </xf>
    <xf numFmtId="0" fontId="22" fillId="28" borderId="10" xfId="0" applyFont="1" applyFill="1" applyBorder="1" applyAlignment="1">
      <alignment horizontal="center" vertical="center"/>
    </xf>
    <xf numFmtId="0" fontId="31" fillId="0" borderId="21" xfId="0" applyFont="1" applyBorder="1" applyAlignment="1">
      <alignment horizontal="center" wrapText="1"/>
    </xf>
    <xf numFmtId="0" fontId="24" fillId="0" borderId="0" xfId="0" applyFont="1" applyAlignment="1">
      <alignment/>
    </xf>
    <xf numFmtId="0" fontId="22" fillId="0" borderId="10" xfId="0" applyNumberFormat="1" applyFont="1" applyBorder="1" applyAlignment="1">
      <alignment wrapText="1"/>
    </xf>
    <xf numFmtId="9" fontId="29" fillId="27" borderId="10" xfId="60" applyFont="1" applyFill="1" applyBorder="1" applyAlignment="1">
      <alignment horizontal="center"/>
    </xf>
    <xf numFmtId="9" fontId="29" fillId="27" borderId="10" xfId="60" applyNumberFormat="1" applyFont="1" applyFill="1" applyBorder="1" applyAlignment="1">
      <alignment horizontal="center"/>
    </xf>
    <xf numFmtId="3" fontId="29" fillId="24" borderId="10" xfId="0" applyNumberFormat="1" applyFont="1" applyFill="1" applyBorder="1" applyAlignment="1">
      <alignment horizontal="center" wrapText="1"/>
    </xf>
    <xf numFmtId="1" fontId="27" fillId="24" borderId="10" xfId="0" applyNumberFormat="1" applyFont="1" applyFill="1" applyBorder="1" applyAlignment="1">
      <alignment horizontal="center" vertical="top" wrapText="1"/>
    </xf>
    <xf numFmtId="0" fontId="29" fillId="0" borderId="10" xfId="0" applyFont="1" applyBorder="1" applyAlignment="1">
      <alignment horizontal="center"/>
    </xf>
    <xf numFmtId="0" fontId="36" fillId="0" borderId="0" xfId="0" applyFont="1" applyAlignment="1">
      <alignment/>
    </xf>
    <xf numFmtId="0" fontId="26" fillId="0" borderId="15" xfId="0" applyFont="1" applyBorder="1" applyAlignment="1">
      <alignment horizontal="justify" vertical="center" wrapText="1"/>
    </xf>
    <xf numFmtId="2" fontId="26" fillId="0" borderId="15" xfId="0" applyNumberFormat="1" applyFont="1" applyBorder="1" applyAlignment="1">
      <alignment horizontal="center" vertical="center" wrapText="1"/>
    </xf>
    <xf numFmtId="0" fontId="26" fillId="0" borderId="15" xfId="0" applyFont="1" applyBorder="1" applyAlignment="1">
      <alignment horizontal="center"/>
    </xf>
    <xf numFmtId="2" fontId="26" fillId="0" borderId="15" xfId="0" applyNumberFormat="1" applyFont="1" applyBorder="1" applyAlignment="1">
      <alignment horizontal="center"/>
    </xf>
    <xf numFmtId="9" fontId="29" fillId="28" borderId="10" xfId="60" applyFont="1" applyFill="1" applyBorder="1" applyAlignment="1">
      <alignment horizontal="center"/>
    </xf>
    <xf numFmtId="2" fontId="29" fillId="0" borderId="10" xfId="0" applyNumberFormat="1" applyFont="1" applyBorder="1" applyAlignment="1">
      <alignment horizontal="center" vertical="center" wrapText="1"/>
    </xf>
    <xf numFmtId="0" fontId="36" fillId="0" borderId="0" xfId="0" applyFont="1" applyAlignment="1">
      <alignment/>
    </xf>
    <xf numFmtId="0" fontId="36" fillId="0" borderId="0" xfId="0" applyFont="1" applyAlignment="1">
      <alignment wrapText="1"/>
    </xf>
    <xf numFmtId="0" fontId="22" fillId="0" borderId="10" xfId="0" applyFont="1" applyFill="1" applyBorder="1" applyAlignment="1">
      <alignment horizontal="center" wrapText="1"/>
    </xf>
    <xf numFmtId="4" fontId="22" fillId="0" borderId="10" xfId="0" applyNumberFormat="1" applyFont="1" applyFill="1" applyBorder="1" applyAlignment="1" applyProtection="1">
      <alignment horizontal="center" vertical="center"/>
      <protection/>
    </xf>
    <xf numFmtId="4" fontId="21" fillId="0" borderId="10" xfId="0" applyNumberFormat="1" applyFont="1" applyBorder="1" applyAlignment="1">
      <alignment horizontal="center"/>
    </xf>
    <xf numFmtId="0" fontId="22" fillId="28" borderId="10" xfId="0" applyFont="1" applyFill="1" applyBorder="1" applyAlignment="1">
      <alignment/>
    </xf>
    <xf numFmtId="1" fontId="22" fillId="28" borderId="10" xfId="0" applyNumberFormat="1" applyFont="1" applyFill="1" applyBorder="1" applyAlignment="1">
      <alignment horizontal="center"/>
    </xf>
    <xf numFmtId="0" fontId="22" fillId="28" borderId="10" xfId="0" applyFont="1" applyFill="1" applyBorder="1" applyAlignment="1">
      <alignment horizontal="center"/>
    </xf>
    <xf numFmtId="4" fontId="22" fillId="28" borderId="10" xfId="0" applyNumberFormat="1" applyFont="1" applyFill="1" applyBorder="1" applyAlignment="1">
      <alignment horizontal="center"/>
    </xf>
    <xf numFmtId="0" fontId="22" fillId="0" borderId="10" xfId="0" applyFont="1" applyFill="1" applyBorder="1" applyAlignment="1" applyProtection="1">
      <alignment vertical="center"/>
      <protection/>
    </xf>
    <xf numFmtId="1" fontId="22" fillId="0" borderId="10" xfId="0" applyNumberFormat="1" applyFont="1" applyFill="1" applyBorder="1" applyAlignment="1" applyProtection="1">
      <alignment horizontal="center" vertical="center"/>
      <protection/>
    </xf>
    <xf numFmtId="2" fontId="22" fillId="0" borderId="10" xfId="0" applyNumberFormat="1" applyFont="1" applyFill="1" applyBorder="1" applyAlignment="1" applyProtection="1">
      <alignment horizontal="center" vertical="center"/>
      <protection/>
    </xf>
    <xf numFmtId="2" fontId="23" fillId="0" borderId="10" xfId="0" applyNumberFormat="1" applyFont="1" applyBorder="1" applyAlignment="1">
      <alignment horizontal="center"/>
    </xf>
    <xf numFmtId="0" fontId="23" fillId="0" borderId="0" xfId="0" applyFont="1" applyBorder="1" applyAlignment="1">
      <alignment horizontal="right"/>
    </xf>
    <xf numFmtId="2" fontId="23" fillId="0" borderId="0" xfId="0" applyNumberFormat="1" applyFont="1" applyBorder="1" applyAlignment="1">
      <alignment horizontal="center"/>
    </xf>
    <xf numFmtId="0" fontId="23" fillId="0" borderId="0" xfId="0" applyFont="1" applyBorder="1" applyAlignment="1">
      <alignment horizontal="center"/>
    </xf>
    <xf numFmtId="4" fontId="23" fillId="0" borderId="0" xfId="0" applyNumberFormat="1" applyFont="1" applyBorder="1" applyAlignment="1">
      <alignment horizontal="center"/>
    </xf>
    <xf numFmtId="0" fontId="22" fillId="0" borderId="0" xfId="0" applyFont="1" applyFill="1" applyBorder="1" applyAlignment="1" applyProtection="1">
      <alignment vertical="center" wrapText="1"/>
      <protection/>
    </xf>
    <xf numFmtId="9" fontId="0" fillId="0" borderId="0" xfId="60" applyFont="1" applyAlignment="1">
      <alignment/>
    </xf>
    <xf numFmtId="0" fontId="22" fillId="28" borderId="12" xfId="0" applyFont="1" applyFill="1" applyBorder="1" applyAlignment="1" applyProtection="1">
      <alignment horizontal="left" wrapText="1"/>
      <protection/>
    </xf>
    <xf numFmtId="2" fontId="22" fillId="28" borderId="10" xfId="0" applyNumberFormat="1" applyFont="1" applyFill="1" applyBorder="1" applyAlignment="1" applyProtection="1">
      <alignment horizontal="center" vertical="center"/>
      <protection/>
    </xf>
    <xf numFmtId="2" fontId="22" fillId="28" borderId="10" xfId="0" applyNumberFormat="1" applyFont="1" applyFill="1" applyBorder="1" applyAlignment="1" applyProtection="1">
      <alignment horizontal="center"/>
      <protection/>
    </xf>
    <xf numFmtId="4" fontId="22" fillId="0" borderId="10" xfId="0" applyNumberFormat="1" applyFont="1" applyFill="1" applyBorder="1" applyAlignment="1" applyProtection="1">
      <alignment horizontal="center"/>
      <protection/>
    </xf>
    <xf numFmtId="2" fontId="22" fillId="28" borderId="18" xfId="0" applyNumberFormat="1" applyFont="1" applyFill="1" applyBorder="1" applyAlignment="1" applyProtection="1">
      <alignment horizontal="center"/>
      <protection/>
    </xf>
    <xf numFmtId="2" fontId="22" fillId="28" borderId="10" xfId="0" applyNumberFormat="1" applyFont="1" applyFill="1" applyBorder="1" applyAlignment="1">
      <alignment horizontal="center"/>
    </xf>
    <xf numFmtId="0" fontId="21" fillId="0" borderId="10" xfId="0" applyFont="1" applyBorder="1" applyAlignment="1">
      <alignment/>
    </xf>
    <xf numFmtId="0" fontId="22" fillId="28" borderId="10" xfId="0" applyFont="1" applyFill="1" applyBorder="1" applyAlignment="1" applyProtection="1">
      <alignment vertical="center"/>
      <protection/>
    </xf>
    <xf numFmtId="2" fontId="22" fillId="28" borderId="18" xfId="0" applyNumberFormat="1" applyFont="1" applyFill="1" applyBorder="1" applyAlignment="1" applyProtection="1">
      <alignment horizontal="center" vertical="center"/>
      <protection/>
    </xf>
    <xf numFmtId="0" fontId="22" fillId="28" borderId="11" xfId="0" applyFont="1" applyFill="1" applyBorder="1" applyAlignment="1" applyProtection="1">
      <alignment vertical="center" wrapText="1"/>
      <protection/>
    </xf>
    <xf numFmtId="2" fontId="22" fillId="28" borderId="11" xfId="0" applyNumberFormat="1" applyFont="1" applyFill="1" applyBorder="1" applyAlignment="1" applyProtection="1">
      <alignment horizontal="center" vertical="center"/>
      <protection/>
    </xf>
    <xf numFmtId="1" fontId="22" fillId="28" borderId="10" xfId="0" applyNumberFormat="1" applyFont="1" applyFill="1" applyBorder="1" applyAlignment="1" applyProtection="1">
      <alignment horizontal="center" vertical="center"/>
      <protection/>
    </xf>
    <xf numFmtId="4" fontId="22" fillId="28" borderId="10" xfId="0" applyNumberFormat="1" applyFont="1" applyFill="1" applyBorder="1" applyAlignment="1">
      <alignment/>
    </xf>
    <xf numFmtId="0" fontId="22" fillId="28" borderId="10" xfId="0" applyFont="1" applyFill="1" applyBorder="1" applyAlignment="1" applyProtection="1">
      <alignment vertical="center" wrapText="1"/>
      <protection/>
    </xf>
    <xf numFmtId="4" fontId="22" fillId="28" borderId="10" xfId="0" applyNumberFormat="1" applyFont="1" applyFill="1" applyBorder="1" applyAlignment="1" applyProtection="1">
      <alignment horizontal="center"/>
      <protection/>
    </xf>
    <xf numFmtId="0" fontId="21" fillId="0" borderId="10" xfId="0" applyFont="1" applyBorder="1" applyAlignment="1">
      <alignment wrapText="1"/>
    </xf>
    <xf numFmtId="2" fontId="22" fillId="28" borderId="19" xfId="0" applyNumberFormat="1" applyFont="1" applyFill="1" applyBorder="1" applyAlignment="1" applyProtection="1">
      <alignment horizontal="center" vertical="center"/>
      <protection/>
    </xf>
    <xf numFmtId="0" fontId="0" fillId="0" borderId="0" xfId="60" applyNumberFormat="1" applyFont="1" applyAlignment="1">
      <alignment/>
    </xf>
    <xf numFmtId="2" fontId="33" fillId="0" borderId="0" xfId="0" applyNumberFormat="1" applyFont="1" applyAlignment="1">
      <alignment/>
    </xf>
    <xf numFmtId="0" fontId="22" fillId="28" borderId="15" xfId="0" applyFont="1" applyFill="1" applyBorder="1" applyAlignment="1" applyProtection="1">
      <alignment vertical="center" wrapText="1"/>
      <protection/>
    </xf>
    <xf numFmtId="0" fontId="36" fillId="0" borderId="0" xfId="0" applyFont="1" applyAlignment="1">
      <alignment horizontal="right"/>
    </xf>
    <xf numFmtId="0" fontId="36" fillId="0" borderId="0" xfId="0" applyFont="1" applyAlignment="1">
      <alignment horizontal="right" wrapText="1"/>
    </xf>
    <xf numFmtId="0" fontId="24" fillId="0" borderId="0" xfId="0" applyFont="1" applyAlignment="1">
      <alignment horizont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4" fontId="22" fillId="0" borderId="15" xfId="0" applyNumberFormat="1" applyFont="1" applyBorder="1" applyAlignment="1">
      <alignment horizontal="center" vertical="center"/>
    </xf>
    <xf numFmtId="4" fontId="22" fillId="0" borderId="14" xfId="0" applyNumberFormat="1" applyFont="1" applyBorder="1" applyAlignment="1">
      <alignment horizontal="center" vertical="center"/>
    </xf>
    <xf numFmtId="4" fontId="22" fillId="0" borderId="11" xfId="0" applyNumberFormat="1" applyFont="1" applyBorder="1" applyAlignment="1">
      <alignment horizontal="center" vertical="center"/>
    </xf>
    <xf numFmtId="0" fontId="36" fillId="0" borderId="10" xfId="57" applyFont="1" applyFill="1" applyBorder="1" applyAlignment="1">
      <alignment horizontal="center" wrapText="1"/>
      <protection/>
    </xf>
    <xf numFmtId="0" fontId="36" fillId="0" borderId="10" xfId="57" applyFont="1" applyBorder="1" applyAlignment="1">
      <alignment horizontal="center" wrapText="1"/>
      <protection/>
    </xf>
    <xf numFmtId="1" fontId="22" fillId="0" borderId="15" xfId="0" applyNumberFormat="1" applyFont="1" applyBorder="1" applyAlignment="1">
      <alignment horizontal="center" vertical="center"/>
    </xf>
    <xf numFmtId="1" fontId="22" fillId="0" borderId="14" xfId="0" applyNumberFormat="1" applyFont="1" applyBorder="1" applyAlignment="1">
      <alignment horizontal="center" vertical="center"/>
    </xf>
    <xf numFmtId="1" fontId="22" fillId="0" borderId="11" xfId="0" applyNumberFormat="1" applyFont="1" applyBorder="1" applyAlignment="1">
      <alignment horizontal="center" vertical="center"/>
    </xf>
    <xf numFmtId="3" fontId="22" fillId="0" borderId="15" xfId="0" applyNumberFormat="1" applyFont="1" applyBorder="1" applyAlignment="1">
      <alignment horizontal="center" vertical="center"/>
    </xf>
    <xf numFmtId="3" fontId="22" fillId="0" borderId="14" xfId="0" applyNumberFormat="1" applyFont="1" applyBorder="1" applyAlignment="1">
      <alignment horizontal="center" vertical="center"/>
    </xf>
    <xf numFmtId="3" fontId="22" fillId="0" borderId="11" xfId="0" applyNumberFormat="1" applyFont="1" applyBorder="1" applyAlignment="1">
      <alignment horizontal="center" vertical="center"/>
    </xf>
    <xf numFmtId="0" fontId="23" fillId="4" borderId="10" xfId="0" applyFont="1" applyFill="1" applyBorder="1" applyAlignment="1">
      <alignment horizontal="center"/>
    </xf>
    <xf numFmtId="43" fontId="22" fillId="28" borderId="10" xfId="42" applyFont="1" applyFill="1" applyBorder="1" applyAlignment="1">
      <alignment horizontal="center" vertical="center" wrapText="1"/>
    </xf>
    <xf numFmtId="0" fontId="22" fillId="0" borderId="10" xfId="0" applyFont="1" applyBorder="1" applyAlignment="1">
      <alignment horizontal="center" vertical="center" wrapText="1"/>
    </xf>
    <xf numFmtId="0" fontId="22" fillId="28" borderId="10" xfId="0" applyFont="1" applyFill="1" applyBorder="1" applyAlignment="1">
      <alignment horizontal="center" vertical="center" wrapText="1"/>
    </xf>
    <xf numFmtId="0" fontId="22" fillId="28" borderId="10" xfId="0" applyFont="1" applyFill="1" applyBorder="1" applyAlignment="1">
      <alignment horizontal="center" vertical="center"/>
    </xf>
    <xf numFmtId="0" fontId="23" fillId="27" borderId="12"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4" fontId="22" fillId="28" borderId="10" xfId="0" applyNumberFormat="1" applyFont="1" applyFill="1" applyBorder="1" applyAlignment="1">
      <alignment horizontal="center" vertical="center"/>
    </xf>
    <xf numFmtId="4" fontId="22" fillId="28" borderId="15" xfId="0" applyNumberFormat="1" applyFont="1" applyFill="1" applyBorder="1" applyAlignment="1">
      <alignment horizontal="center" vertical="center"/>
    </xf>
    <xf numFmtId="4" fontId="22" fillId="28" borderId="14" xfId="0" applyNumberFormat="1" applyFont="1" applyFill="1" applyBorder="1" applyAlignment="1">
      <alignment horizontal="center" vertical="center"/>
    </xf>
    <xf numFmtId="4" fontId="22" fillId="28" borderId="11" xfId="0" applyNumberFormat="1" applyFont="1" applyFill="1" applyBorder="1" applyAlignment="1">
      <alignment horizontal="center" vertical="center"/>
    </xf>
    <xf numFmtId="0" fontId="23" fillId="0" borderId="0" xfId="0" applyFont="1" applyAlignment="1">
      <alignment horizontal="right"/>
    </xf>
    <xf numFmtId="1" fontId="22" fillId="28" borderId="15" xfId="0" applyNumberFormat="1" applyFont="1" applyFill="1" applyBorder="1" applyAlignment="1">
      <alignment horizontal="center" vertical="center"/>
    </xf>
    <xf numFmtId="1" fontId="22" fillId="28" borderId="14" xfId="0" applyNumberFormat="1" applyFont="1" applyFill="1" applyBorder="1" applyAlignment="1">
      <alignment horizontal="center" vertical="center"/>
    </xf>
    <xf numFmtId="1" fontId="22" fillId="28" borderId="11" xfId="0" applyNumberFormat="1" applyFont="1" applyFill="1" applyBorder="1" applyAlignment="1">
      <alignment horizontal="center" vertical="center"/>
    </xf>
    <xf numFmtId="1" fontId="22" fillId="28"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1" fontId="22" fillId="0" borderId="10" xfId="0" applyNumberFormat="1" applyFont="1" applyBorder="1" applyAlignment="1">
      <alignment horizontal="center" vertical="center"/>
    </xf>
    <xf numFmtId="4" fontId="22" fillId="0" borderId="10" xfId="0" applyNumberFormat="1" applyFont="1" applyBorder="1" applyAlignment="1">
      <alignment horizontal="center" vertical="center"/>
    </xf>
    <xf numFmtId="3" fontId="22" fillId="0" borderId="15" xfId="0" applyNumberFormat="1" applyFont="1" applyFill="1" applyBorder="1" applyAlignment="1">
      <alignment horizontal="center" vertical="center"/>
    </xf>
    <xf numFmtId="3" fontId="22" fillId="0" borderId="11"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Border="1" applyAlignment="1">
      <alignment horizontal="center"/>
    </xf>
    <xf numFmtId="3"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3" fillId="27" borderId="10" xfId="0" applyFont="1" applyFill="1" applyBorder="1" applyAlignment="1">
      <alignment horizontal="center"/>
    </xf>
    <xf numFmtId="43" fontId="22" fillId="0" borderId="10" xfId="42" applyFont="1" applyFill="1" applyBorder="1" applyAlignment="1">
      <alignment horizontal="center" vertical="center"/>
    </xf>
    <xf numFmtId="43" fontId="22" fillId="25" borderId="10" xfId="42" applyFont="1" applyFill="1" applyBorder="1" applyAlignment="1">
      <alignment horizontal="center" vertical="center"/>
    </xf>
    <xf numFmtId="43" fontId="23" fillId="4" borderId="10" xfId="42" applyFont="1" applyFill="1" applyBorder="1" applyAlignment="1">
      <alignment horizontal="center" wrapText="1"/>
    </xf>
    <xf numFmtId="0" fontId="23" fillId="24" borderId="10" xfId="0" applyFont="1" applyFill="1" applyBorder="1" applyAlignment="1">
      <alignment horizontal="center" vertical="center" wrapText="1"/>
    </xf>
    <xf numFmtId="0" fontId="22" fillId="27" borderId="10" xfId="0" applyFont="1" applyFill="1" applyBorder="1" applyAlignment="1">
      <alignment horizontal="center" vertical="center"/>
    </xf>
    <xf numFmtId="0" fontId="22" fillId="0" borderId="15" xfId="0" applyFont="1" applyFill="1" applyBorder="1" applyAlignment="1">
      <alignment horizontal="center" wrapText="1"/>
    </xf>
    <xf numFmtId="0" fontId="22" fillId="0" borderId="11" xfId="0" applyFont="1" applyFill="1" applyBorder="1" applyAlignment="1">
      <alignment horizontal="center" wrapText="1"/>
    </xf>
    <xf numFmtId="43" fontId="22" fillId="0" borderId="10" xfId="42"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xf>
    <xf numFmtId="0" fontId="21" fillId="0" borderId="20" xfId="0" applyFont="1" applyBorder="1" applyAlignment="1">
      <alignment horizontal="center"/>
    </xf>
    <xf numFmtId="0" fontId="21" fillId="0" borderId="18" xfId="0" applyFont="1" applyBorder="1" applyAlignment="1">
      <alignment horizontal="center"/>
    </xf>
    <xf numFmtId="0" fontId="36" fillId="0" borderId="10" xfId="0" applyFont="1" applyBorder="1" applyAlignment="1">
      <alignment horizontal="center" wrapText="1"/>
    </xf>
    <xf numFmtId="0" fontId="22" fillId="0" borderId="15" xfId="0" applyFont="1" applyBorder="1" applyAlignment="1">
      <alignment horizontal="center"/>
    </xf>
    <xf numFmtId="0" fontId="22" fillId="0" borderId="11" xfId="0" applyFont="1" applyBorder="1" applyAlignment="1">
      <alignment horizontal="center"/>
    </xf>
    <xf numFmtId="0" fontId="22" fillId="0" borderId="15"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3" fontId="22" fillId="0" borderId="14" xfId="0" applyNumberFormat="1" applyFont="1" applyFill="1" applyBorder="1" applyAlignment="1">
      <alignment horizontal="center" vertical="center"/>
    </xf>
    <xf numFmtId="0" fontId="22" fillId="0" borderId="14" xfId="0" applyFont="1" applyBorder="1" applyAlignment="1">
      <alignment horizontal="center"/>
    </xf>
    <xf numFmtId="0" fontId="36" fillId="0" borderId="0" xfId="0" applyFont="1" applyAlignment="1">
      <alignment horizontal="center"/>
    </xf>
    <xf numFmtId="0" fontId="26" fillId="28" borderId="15" xfId="0" applyFont="1" applyFill="1" applyBorder="1" applyAlignment="1">
      <alignment horizontal="center" vertical="center" wrapText="1"/>
    </xf>
    <xf numFmtId="0" fontId="26" fillId="28" borderId="11" xfId="0" applyFont="1" applyFill="1" applyBorder="1" applyAlignment="1">
      <alignment horizontal="center" vertical="center" wrapText="1"/>
    </xf>
    <xf numFmtId="0" fontId="26" fillId="28" borderId="14" xfId="0" applyFont="1" applyFill="1" applyBorder="1" applyAlignment="1">
      <alignment horizontal="center" vertical="center" wrapText="1"/>
    </xf>
    <xf numFmtId="1" fontId="26" fillId="0" borderId="15" xfId="0" applyNumberFormat="1" applyFont="1" applyBorder="1" applyAlignment="1">
      <alignment horizontal="center" vertical="center"/>
    </xf>
    <xf numFmtId="1" fontId="26" fillId="0" borderId="11" xfId="0" applyNumberFormat="1" applyFont="1" applyBorder="1" applyAlignment="1">
      <alignment horizontal="center" vertical="center"/>
    </xf>
    <xf numFmtId="1" fontId="26" fillId="0" borderId="14" xfId="0" applyNumberFormat="1" applyFont="1" applyBorder="1" applyAlignment="1">
      <alignment horizontal="center" vertical="center"/>
    </xf>
    <xf numFmtId="0" fontId="26" fillId="0" borderId="15"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4" xfId="0" applyFont="1" applyBorder="1" applyAlignment="1">
      <alignment horizontal="center" vertical="center" wrapText="1"/>
    </xf>
    <xf numFmtId="9" fontId="26" fillId="0" borderId="15" xfId="60" applyFont="1" applyBorder="1" applyAlignment="1">
      <alignment horizontal="center" vertical="center"/>
    </xf>
    <xf numFmtId="9" fontId="26" fillId="0" borderId="14" xfId="60" applyFont="1" applyBorder="1" applyAlignment="1">
      <alignment horizontal="center" vertical="center"/>
    </xf>
    <xf numFmtId="9" fontId="26" fillId="0" borderId="11" xfId="60" applyFont="1" applyBorder="1" applyAlignment="1">
      <alignment horizontal="center" vertical="center"/>
    </xf>
    <xf numFmtId="0" fontId="26" fillId="28" borderId="15" xfId="0" applyFont="1" applyFill="1" applyBorder="1" applyAlignment="1">
      <alignment horizontal="center" vertical="center"/>
    </xf>
    <xf numFmtId="0" fontId="26" fillId="28" borderId="14" xfId="0" applyFont="1" applyFill="1" applyBorder="1" applyAlignment="1">
      <alignment horizontal="center" vertical="center"/>
    </xf>
    <xf numFmtId="0" fontId="26" fillId="28" borderId="11" xfId="0" applyFont="1" applyFill="1" applyBorder="1" applyAlignment="1">
      <alignment horizontal="center" vertical="center"/>
    </xf>
    <xf numFmtId="0" fontId="26" fillId="0" borderId="15"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28" fillId="0" borderId="15" xfId="0" applyFont="1" applyBorder="1" applyAlignment="1">
      <alignment horizontal="center"/>
    </xf>
    <xf numFmtId="0" fontId="28" fillId="0" borderId="11" xfId="0" applyFont="1" applyBorder="1" applyAlignment="1">
      <alignment horizontal="center"/>
    </xf>
    <xf numFmtId="2" fontId="28" fillId="0" borderId="15" xfId="0" applyNumberFormat="1" applyFont="1" applyBorder="1" applyAlignment="1">
      <alignment horizontal="center" wrapText="1"/>
    </xf>
    <xf numFmtId="2" fontId="28" fillId="0" borderId="11" xfId="0" applyNumberFormat="1" applyFont="1" applyBorder="1" applyAlignment="1">
      <alignment horizontal="center" wrapText="1"/>
    </xf>
    <xf numFmtId="2" fontId="28" fillId="0" borderId="15" xfId="0" applyNumberFormat="1" applyFont="1" applyBorder="1" applyAlignment="1">
      <alignment horizontal="center" vertical="center" wrapText="1"/>
    </xf>
    <xf numFmtId="2" fontId="28" fillId="0" borderId="11"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0" fontId="26" fillId="0" borderId="15" xfId="0" applyFont="1" applyBorder="1" applyAlignment="1">
      <alignment horizontal="center" wrapText="1"/>
    </xf>
    <xf numFmtId="0" fontId="26" fillId="0" borderId="11" xfId="0" applyFont="1" applyBorder="1" applyAlignment="1">
      <alignment horizontal="center" wrapText="1"/>
    </xf>
    <xf numFmtId="0" fontId="29" fillId="0" borderId="10" xfId="0" applyFont="1" applyFill="1" applyBorder="1" applyAlignment="1">
      <alignment horizontal="right" wrapText="1"/>
    </xf>
    <xf numFmtId="0" fontId="27" fillId="0" borderId="12" xfId="0" applyFont="1" applyBorder="1" applyAlignment="1">
      <alignment horizontal="right"/>
    </xf>
    <xf numFmtId="0" fontId="27" fillId="0" borderId="20" xfId="0" applyFont="1" applyBorder="1" applyAlignment="1">
      <alignment horizontal="right"/>
    </xf>
    <xf numFmtId="0" fontId="27" fillId="0" borderId="18" xfId="0" applyFont="1" applyBorder="1" applyAlignment="1">
      <alignment horizontal="right"/>
    </xf>
    <xf numFmtId="0" fontId="23" fillId="0" borderId="0" xfId="0" applyFont="1" applyAlignment="1">
      <alignment horizontal="center"/>
    </xf>
    <xf numFmtId="0" fontId="29" fillId="0" borderId="12" xfId="0" applyFont="1" applyBorder="1" applyAlignment="1">
      <alignment horizontal="right" vertical="center" wrapText="1"/>
    </xf>
    <xf numFmtId="0" fontId="29" fillId="0" borderId="18" xfId="0" applyFont="1" applyBorder="1" applyAlignment="1">
      <alignment horizontal="right" vertical="center" wrapText="1"/>
    </xf>
    <xf numFmtId="0" fontId="27" fillId="0" borderId="15" xfId="0" applyFont="1" applyBorder="1" applyAlignment="1">
      <alignment horizontal="center"/>
    </xf>
    <xf numFmtId="0" fontId="27" fillId="0" borderId="11" xfId="0" applyFont="1" applyBorder="1" applyAlignment="1">
      <alignment horizontal="center"/>
    </xf>
    <xf numFmtId="2" fontId="27" fillId="0" borderId="15" xfId="0" applyNumberFormat="1" applyFont="1" applyBorder="1" applyAlignment="1">
      <alignment horizontal="center" wrapText="1"/>
    </xf>
    <xf numFmtId="2" fontId="27" fillId="0" borderId="11" xfId="0" applyNumberFormat="1" applyFont="1" applyBorder="1" applyAlignment="1">
      <alignment horizontal="center" wrapText="1"/>
    </xf>
    <xf numFmtId="2" fontId="27" fillId="0" borderId="15"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29" fillId="0" borderId="10" xfId="0" applyFont="1" applyBorder="1" applyAlignment="1">
      <alignment horizontal="center"/>
    </xf>
    <xf numFmtId="2" fontId="26" fillId="0" borderId="10" xfId="0" applyNumberFormat="1" applyFont="1" applyBorder="1" applyAlignment="1">
      <alignment horizontal="center" vertical="center"/>
    </xf>
    <xf numFmtId="2" fontId="26" fillId="28" borderId="10" xfId="0" applyNumberFormat="1" applyFont="1" applyFill="1" applyBorder="1" applyAlignment="1">
      <alignment horizontal="center"/>
    </xf>
    <xf numFmtId="2" fontId="26" fillId="28" borderId="10" xfId="0" applyNumberFormat="1" applyFont="1" applyFill="1" applyBorder="1" applyAlignment="1">
      <alignment horizontal="center" vertical="center"/>
    </xf>
    <xf numFmtId="2" fontId="27" fillId="0" borderId="10" xfId="0" applyNumberFormat="1" applyFont="1" applyBorder="1" applyAlignment="1">
      <alignment horizontal="center" vertical="center" wrapText="1"/>
    </xf>
    <xf numFmtId="0" fontId="31" fillId="0" borderId="0" xfId="0" applyFont="1" applyBorder="1" applyAlignment="1">
      <alignment horizontal="center" wrapText="1"/>
    </xf>
    <xf numFmtId="0" fontId="23" fillId="0" borderId="10" xfId="57" applyFont="1" applyBorder="1" applyAlignment="1">
      <alignment horizontal="center"/>
      <protection/>
    </xf>
    <xf numFmtId="0" fontId="20" fillId="0" borderId="20" xfId="0" applyFont="1" applyBorder="1" applyAlignment="1">
      <alignment horizontal="center" wrapText="1"/>
    </xf>
    <xf numFmtId="0" fontId="20" fillId="0" borderId="18" xfId="0" applyFont="1" applyBorder="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wrapText="1"/>
    </xf>
    <xf numFmtId="0" fontId="31" fillId="0" borderId="21" xfId="0" applyFont="1" applyBorder="1" applyAlignment="1">
      <alignment horizontal="center" wrapText="1"/>
    </xf>
    <xf numFmtId="0" fontId="23" fillId="0" borderId="12" xfId="0" applyFont="1" applyBorder="1" applyAlignment="1">
      <alignment horizontal="center"/>
    </xf>
    <xf numFmtId="0" fontId="23" fillId="0" borderId="20" xfId="0" applyFont="1" applyBorder="1" applyAlignment="1">
      <alignment horizontal="center"/>
    </xf>
    <xf numFmtId="0" fontId="23" fillId="0" borderId="18" xfId="0" applyFont="1" applyBorder="1" applyAlignment="1">
      <alignment horizontal="center"/>
    </xf>
    <xf numFmtId="0" fontId="23" fillId="0" borderId="21" xfId="0" applyFont="1" applyBorder="1" applyAlignment="1">
      <alignment horizontal="center"/>
    </xf>
    <xf numFmtId="0" fontId="22" fillId="0" borderId="15" xfId="0" applyFont="1" applyBorder="1" applyAlignment="1">
      <alignment horizontal="center" wrapText="1"/>
    </xf>
    <xf numFmtId="0" fontId="22" fillId="0" borderId="11" xfId="0" applyFont="1" applyBorder="1" applyAlignment="1">
      <alignment horizontal="center" wrapText="1"/>
    </xf>
    <xf numFmtId="0" fontId="21" fillId="0" borderId="10" xfId="0" applyFont="1" applyBorder="1" applyAlignment="1">
      <alignment horizontal="center" wrapText="1"/>
    </xf>
    <xf numFmtId="0" fontId="23" fillId="0" borderId="12" xfId="0" applyFont="1" applyBorder="1" applyAlignment="1">
      <alignment horizontal="right"/>
    </xf>
    <xf numFmtId="0" fontId="23" fillId="0" borderId="18" xfId="0" applyFont="1" applyBorder="1" applyAlignment="1">
      <alignment horizontal="right"/>
    </xf>
    <xf numFmtId="4" fontId="22" fillId="0" borderId="10" xfId="0" applyNumberFormat="1" applyFont="1" applyBorder="1" applyAlignment="1">
      <alignment horizontal="right" wrapText="1"/>
    </xf>
    <xf numFmtId="2" fontId="22" fillId="0" borderId="12" xfId="0" applyNumberFormat="1" applyFont="1" applyBorder="1" applyAlignment="1">
      <alignment horizontal="right"/>
    </xf>
    <xf numFmtId="2" fontId="22" fillId="0" borderId="20" xfId="0" applyNumberFormat="1" applyFont="1" applyBorder="1" applyAlignment="1">
      <alignment horizontal="right"/>
    </xf>
    <xf numFmtId="2" fontId="22" fillId="0" borderId="18" xfId="0" applyNumberFormat="1" applyFont="1" applyBorder="1" applyAlignment="1">
      <alignment horizontal="right"/>
    </xf>
    <xf numFmtId="2" fontId="23" fillId="0" borderId="10" xfId="0" applyNumberFormat="1" applyFont="1" applyBorder="1" applyAlignment="1">
      <alignment horizontal="right" wrapText="1"/>
    </xf>
    <xf numFmtId="0" fontId="20" fillId="0" borderId="21" xfId="0" applyFont="1" applyBorder="1" applyAlignment="1">
      <alignment horizontal="center"/>
    </xf>
    <xf numFmtId="0" fontId="21" fillId="0" borderId="10" xfId="0" applyFont="1" applyBorder="1" applyAlignment="1">
      <alignment horizontal="center"/>
    </xf>
    <xf numFmtId="0" fontId="23" fillId="0" borderId="10"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49"/>
  <sheetViews>
    <sheetView workbookViewId="0" topLeftCell="A132">
      <selection activeCell="B170" sqref="B170"/>
    </sheetView>
  </sheetViews>
  <sheetFormatPr defaultColWidth="9.140625" defaultRowHeight="12.75"/>
  <cols>
    <col min="1" max="1" width="6.140625" style="0" customWidth="1"/>
    <col min="2" max="2" width="49.57421875" style="0" customWidth="1"/>
    <col min="3" max="3" width="21.00390625" style="0" customWidth="1"/>
    <col min="4" max="4" width="13.8515625" style="0" hidden="1" customWidth="1"/>
    <col min="5" max="5" width="10.140625" style="0" customWidth="1"/>
    <col min="6" max="6" width="11.7109375" style="0" customWidth="1"/>
    <col min="7" max="7" width="12.7109375" style="0" customWidth="1"/>
    <col min="8" max="8" width="11.00390625" style="0" customWidth="1"/>
    <col min="9" max="9" width="9.28125" style="0" customWidth="1"/>
    <col min="10" max="10" width="9.421875" style="0" customWidth="1"/>
    <col min="11" max="11" width="12.00390625" style="0" customWidth="1"/>
    <col min="12" max="12" width="13.8515625" style="0" customWidth="1"/>
    <col min="13" max="13" width="13.421875" style="0" customWidth="1"/>
    <col min="14" max="14" width="13.57421875" style="0" customWidth="1"/>
    <col min="15" max="15" width="11.7109375" style="0" customWidth="1"/>
    <col min="16" max="16" width="12.8515625" style="0" customWidth="1"/>
    <col min="17" max="17" width="10.140625" style="0" customWidth="1"/>
    <col min="18" max="18" width="11.421875" style="0" customWidth="1"/>
    <col min="20" max="20" width="12.00390625" style="0" customWidth="1"/>
  </cols>
  <sheetData>
    <row r="1" spans="18:20" ht="15.75">
      <c r="R1" s="337" t="s">
        <v>284</v>
      </c>
      <c r="S1" s="337"/>
      <c r="T1" s="337"/>
    </row>
    <row r="2" spans="13:20" ht="15.75">
      <c r="M2" s="155"/>
      <c r="N2" s="155"/>
      <c r="Q2" s="308" t="s">
        <v>304</v>
      </c>
      <c r="R2" s="308"/>
      <c r="S2" s="308"/>
      <c r="T2" s="308"/>
    </row>
    <row r="3" spans="13:20" ht="35.25" customHeight="1">
      <c r="M3" s="155"/>
      <c r="N3" s="155"/>
      <c r="O3" s="309" t="s">
        <v>305</v>
      </c>
      <c r="P3" s="309"/>
      <c r="Q3" s="309"/>
      <c r="R3" s="309"/>
      <c r="S3" s="309"/>
      <c r="T3" s="309"/>
    </row>
    <row r="4" spans="3:5" ht="18.75">
      <c r="C4" s="310" t="s">
        <v>292</v>
      </c>
      <c r="D4" s="310"/>
      <c r="E4" s="310"/>
    </row>
    <row r="5" spans="1:12" ht="18.75">
      <c r="A5" s="310" t="s">
        <v>277</v>
      </c>
      <c r="B5" s="310"/>
      <c r="C5" s="310"/>
      <c r="D5" s="310"/>
      <c r="E5" s="310"/>
      <c r="F5" s="310"/>
      <c r="G5" s="310"/>
      <c r="H5" s="310"/>
      <c r="I5" s="310"/>
      <c r="J5" s="310"/>
      <c r="K5" s="310"/>
      <c r="L5" s="310"/>
    </row>
    <row r="6" spans="1:11" ht="12.75">
      <c r="A6" s="2"/>
      <c r="E6" s="2"/>
      <c r="G6" s="1"/>
      <c r="H6" s="1"/>
      <c r="I6" s="1"/>
      <c r="J6" s="1"/>
      <c r="K6" s="3"/>
    </row>
    <row r="7" spans="1:20" ht="15.75">
      <c r="A7" s="327" t="s">
        <v>12</v>
      </c>
      <c r="B7" s="327" t="s">
        <v>101</v>
      </c>
      <c r="C7" s="347" t="s">
        <v>116</v>
      </c>
      <c r="D7" s="362" t="s">
        <v>110</v>
      </c>
      <c r="E7" s="363" t="s">
        <v>151</v>
      </c>
      <c r="F7" s="364" t="s">
        <v>161</v>
      </c>
      <c r="G7" s="365"/>
      <c r="H7" s="365"/>
      <c r="I7" s="365"/>
      <c r="J7" s="365"/>
      <c r="K7" s="365"/>
      <c r="L7" s="365"/>
      <c r="M7" s="365"/>
      <c r="N7" s="366"/>
      <c r="O7" s="367" t="s">
        <v>153</v>
      </c>
      <c r="P7" s="360" t="s">
        <v>230</v>
      </c>
      <c r="Q7" s="318" t="s">
        <v>240</v>
      </c>
      <c r="R7" s="318" t="s">
        <v>241</v>
      </c>
      <c r="S7" s="318" t="s">
        <v>242</v>
      </c>
      <c r="T7" s="317" t="s">
        <v>243</v>
      </c>
    </row>
    <row r="8" spans="1:20" ht="103.5" customHeight="1">
      <c r="A8" s="327"/>
      <c r="B8" s="327"/>
      <c r="C8" s="347"/>
      <c r="D8" s="362"/>
      <c r="E8" s="363"/>
      <c r="F8" s="6" t="s">
        <v>152</v>
      </c>
      <c r="G8" s="6" t="s">
        <v>307</v>
      </c>
      <c r="H8" s="7" t="s">
        <v>162</v>
      </c>
      <c r="I8" s="7" t="s">
        <v>163</v>
      </c>
      <c r="J8" s="7" t="s">
        <v>164</v>
      </c>
      <c r="K8" s="7" t="s">
        <v>308</v>
      </c>
      <c r="L8" s="8" t="s">
        <v>148</v>
      </c>
      <c r="M8" s="8" t="s">
        <v>150</v>
      </c>
      <c r="N8" s="8" t="s">
        <v>149</v>
      </c>
      <c r="O8" s="367"/>
      <c r="P8" s="361"/>
      <c r="Q8" s="318"/>
      <c r="R8" s="318"/>
      <c r="S8" s="318"/>
      <c r="T8" s="317"/>
    </row>
    <row r="9" spans="1:20" ht="31.5">
      <c r="A9" s="168">
        <v>1</v>
      </c>
      <c r="B9" s="168">
        <v>2</v>
      </c>
      <c r="C9" s="15">
        <v>3</v>
      </c>
      <c r="D9" s="169"/>
      <c r="E9" s="170">
        <v>4</v>
      </c>
      <c r="F9" s="170">
        <v>5</v>
      </c>
      <c r="G9" s="170">
        <v>6</v>
      </c>
      <c r="H9" s="171">
        <v>7</v>
      </c>
      <c r="I9" s="171">
        <v>8</v>
      </c>
      <c r="J9" s="171">
        <v>9</v>
      </c>
      <c r="K9" s="171">
        <v>10</v>
      </c>
      <c r="L9" s="172">
        <v>11</v>
      </c>
      <c r="M9" s="172">
        <v>12</v>
      </c>
      <c r="N9" s="172">
        <v>13</v>
      </c>
      <c r="O9" s="173" t="s">
        <v>229</v>
      </c>
      <c r="P9" s="41" t="s">
        <v>244</v>
      </c>
      <c r="Q9" s="227">
        <v>16</v>
      </c>
      <c r="R9" s="227" t="s">
        <v>245</v>
      </c>
      <c r="S9" s="227" t="s">
        <v>246</v>
      </c>
      <c r="T9" s="227" t="s">
        <v>247</v>
      </c>
    </row>
    <row r="10" spans="1:20" ht="15.75">
      <c r="A10" s="357" t="s">
        <v>108</v>
      </c>
      <c r="B10" s="357"/>
      <c r="C10" s="357"/>
      <c r="D10" s="357"/>
      <c r="E10" s="9">
        <f aca="true" t="shared" si="0" ref="E10:J10">E11+E44+E105</f>
        <v>4921</v>
      </c>
      <c r="F10" s="9">
        <f t="shared" si="0"/>
        <v>2642</v>
      </c>
      <c r="G10" s="9">
        <f t="shared" si="0"/>
        <v>5003</v>
      </c>
      <c r="H10" s="9">
        <f t="shared" si="0"/>
        <v>6881</v>
      </c>
      <c r="I10" s="9">
        <f t="shared" si="0"/>
        <v>4978</v>
      </c>
      <c r="J10" s="9">
        <f t="shared" si="0"/>
        <v>7348</v>
      </c>
      <c r="K10" s="10">
        <f>K11+K44+K105</f>
        <v>47839.70387364834</v>
      </c>
      <c r="L10" s="10">
        <f>L11+L44+L105</f>
        <v>2827629.39186332</v>
      </c>
      <c r="M10" s="368"/>
      <c r="N10" s="368"/>
      <c r="O10" s="9">
        <f>O11+O44+O105</f>
        <v>764</v>
      </c>
      <c r="P10" s="9">
        <f>P11+P44+P105</f>
        <v>2551</v>
      </c>
      <c r="Q10" s="10" t="s">
        <v>112</v>
      </c>
      <c r="R10" s="10">
        <f>R11+R44+R105</f>
        <v>42613.40487537964</v>
      </c>
      <c r="S10" s="10">
        <f>S11+S44+S105</f>
        <v>5223.238998268702</v>
      </c>
      <c r="T10" s="10">
        <f>T11+T44+T105</f>
        <v>303403.16543576925</v>
      </c>
    </row>
    <row r="11" spans="1:20" ht="15.75">
      <c r="A11" s="28"/>
      <c r="B11" s="358" t="s">
        <v>102</v>
      </c>
      <c r="C11" s="358"/>
      <c r="D11" s="359"/>
      <c r="E11" s="11">
        <f>SUM(E12:E43)</f>
        <v>3377</v>
      </c>
      <c r="F11" s="11">
        <f aca="true" t="shared" si="1" ref="F11:L11">SUM(F12:F43)</f>
        <v>913</v>
      </c>
      <c r="G11" s="11">
        <f>SUM(G12:G43)</f>
        <v>2086</v>
      </c>
      <c r="H11" s="11">
        <f t="shared" si="1"/>
        <v>2701</v>
      </c>
      <c r="I11" s="11">
        <f t="shared" si="1"/>
        <v>1737</v>
      </c>
      <c r="J11" s="11">
        <f t="shared" si="1"/>
        <v>3099</v>
      </c>
      <c r="K11" s="21">
        <f t="shared" si="1"/>
        <v>6900.762311988143</v>
      </c>
      <c r="L11" s="21">
        <f t="shared" si="1"/>
        <v>272488.0182554496</v>
      </c>
      <c r="M11" s="374"/>
      <c r="N11" s="374"/>
      <c r="O11" s="12">
        <f>SUM(O12:O43)</f>
        <v>298</v>
      </c>
      <c r="P11" s="12">
        <f>SUM(P12:P43)</f>
        <v>2015</v>
      </c>
      <c r="Q11" s="99" t="s">
        <v>112</v>
      </c>
      <c r="R11" s="99">
        <f>SUM(R12:R43)</f>
        <v>6158.662778560842</v>
      </c>
      <c r="S11" s="99">
        <f>SUM(S12:S43)</f>
        <v>739.0395334273015</v>
      </c>
      <c r="T11" s="99">
        <f>SUM(T12:T43)</f>
        <v>29367.202313083915</v>
      </c>
    </row>
    <row r="12" spans="1:20" ht="15.75">
      <c r="A12" s="5">
        <v>1</v>
      </c>
      <c r="B12" s="102" t="s">
        <v>3</v>
      </c>
      <c r="C12" s="4" t="s">
        <v>121</v>
      </c>
      <c r="D12" s="14" t="s">
        <v>104</v>
      </c>
      <c r="E12" s="37">
        <v>66</v>
      </c>
      <c r="F12" s="15">
        <v>244</v>
      </c>
      <c r="G12" s="15">
        <f>LMpielik_18_LMZino!I10</f>
        <v>212</v>
      </c>
      <c r="H12" s="219">
        <v>421</v>
      </c>
      <c r="I12" s="15">
        <v>390</v>
      </c>
      <c r="J12" s="15">
        <v>421</v>
      </c>
      <c r="K12" s="16">
        <f>LMpielik_19_LMZino!O10</f>
        <v>226.45</v>
      </c>
      <c r="L12" s="16">
        <f>I12*K12</f>
        <v>88315.5</v>
      </c>
      <c r="M12" s="374"/>
      <c r="N12" s="374"/>
      <c r="O12" s="224">
        <f aca="true" t="shared" si="2" ref="O12:O17">F12+G12-H12</f>
        <v>35</v>
      </c>
      <c r="P12" s="37">
        <f>E12+I12-J12</f>
        <v>35</v>
      </c>
      <c r="Q12" s="5">
        <v>12</v>
      </c>
      <c r="R12" s="16">
        <f>K12/1.12</f>
        <v>202.18749999999997</v>
      </c>
      <c r="S12" s="16">
        <f>K12-R12</f>
        <v>24.262500000000017</v>
      </c>
      <c r="T12" s="16">
        <f>I12*S12</f>
        <v>9462.375000000007</v>
      </c>
    </row>
    <row r="13" spans="1:20" ht="15.75">
      <c r="A13" s="4">
        <v>2</v>
      </c>
      <c r="B13" s="102" t="s">
        <v>16</v>
      </c>
      <c r="C13" s="18" t="s">
        <v>127</v>
      </c>
      <c r="D13" s="19" t="s">
        <v>104</v>
      </c>
      <c r="E13" s="37">
        <v>62</v>
      </c>
      <c r="F13" s="15">
        <v>4</v>
      </c>
      <c r="G13" s="15">
        <f>LMpielik_18_LMZino!I12</f>
        <v>38</v>
      </c>
      <c r="H13" s="15">
        <v>35</v>
      </c>
      <c r="I13" s="15"/>
      <c r="J13" s="15">
        <v>35</v>
      </c>
      <c r="K13" s="16">
        <f>LMpielik_19_LMZino!O11</f>
        <v>16.11</v>
      </c>
      <c r="L13" s="16">
        <f>I13*K13</f>
        <v>0</v>
      </c>
      <c r="M13" s="374"/>
      <c r="N13" s="374"/>
      <c r="O13" s="15">
        <f t="shared" si="2"/>
        <v>7</v>
      </c>
      <c r="P13" s="37">
        <f>E13+I13-J13</f>
        <v>27</v>
      </c>
      <c r="Q13" s="5">
        <v>12</v>
      </c>
      <c r="R13" s="16">
        <f>K13/1.12</f>
        <v>14.38392857142857</v>
      </c>
      <c r="S13" s="16">
        <f>K13-R13</f>
        <v>1.72607142857143</v>
      </c>
      <c r="T13" s="16">
        <f>I13*S13</f>
        <v>0</v>
      </c>
    </row>
    <row r="14" spans="1:20" ht="15.75">
      <c r="A14" s="5">
        <v>3</v>
      </c>
      <c r="B14" s="102" t="s">
        <v>4</v>
      </c>
      <c r="C14" s="342" t="s">
        <v>4</v>
      </c>
      <c r="D14" s="355" t="s">
        <v>104</v>
      </c>
      <c r="E14" s="322">
        <v>75</v>
      </c>
      <c r="F14" s="319">
        <v>163</v>
      </c>
      <c r="G14" s="343">
        <v>299</v>
      </c>
      <c r="H14" s="319">
        <v>424</v>
      </c>
      <c r="I14" s="319">
        <v>387</v>
      </c>
      <c r="J14" s="319">
        <v>424</v>
      </c>
      <c r="K14" s="344">
        <f>LMpielik_19_LMZino!O12</f>
        <v>112.85555555555555</v>
      </c>
      <c r="L14" s="314">
        <f>I14*K14</f>
        <v>43675.1</v>
      </c>
      <c r="M14" s="374"/>
      <c r="N14" s="374"/>
      <c r="O14" s="319">
        <f t="shared" si="2"/>
        <v>38</v>
      </c>
      <c r="P14" s="322">
        <f>E14+I14-J14</f>
        <v>38</v>
      </c>
      <c r="Q14" s="311">
        <v>12</v>
      </c>
      <c r="R14" s="314">
        <f>K14/1.12</f>
        <v>100.76388888888887</v>
      </c>
      <c r="S14" s="314">
        <f>K14-R14</f>
        <v>12.091666666666683</v>
      </c>
      <c r="T14" s="314">
        <f>I14*S14</f>
        <v>4679.475000000006</v>
      </c>
    </row>
    <row r="15" spans="1:20" ht="15.75">
      <c r="A15" s="5">
        <v>4</v>
      </c>
      <c r="B15" s="102" t="s">
        <v>60</v>
      </c>
      <c r="C15" s="342"/>
      <c r="D15" s="355"/>
      <c r="E15" s="324"/>
      <c r="F15" s="321"/>
      <c r="G15" s="343"/>
      <c r="H15" s="321"/>
      <c r="I15" s="321"/>
      <c r="J15" s="321"/>
      <c r="K15" s="347"/>
      <c r="L15" s="316"/>
      <c r="M15" s="374"/>
      <c r="N15" s="374"/>
      <c r="O15" s="321"/>
      <c r="P15" s="324"/>
      <c r="Q15" s="313"/>
      <c r="R15" s="316"/>
      <c r="S15" s="316"/>
      <c r="T15" s="316"/>
    </row>
    <row r="16" spans="1:20" ht="31.5">
      <c r="A16" s="5">
        <v>5</v>
      </c>
      <c r="B16" s="102" t="s">
        <v>0</v>
      </c>
      <c r="C16" s="18" t="s">
        <v>0</v>
      </c>
      <c r="D16" s="355"/>
      <c r="E16" s="37">
        <v>54</v>
      </c>
      <c r="F16" s="15">
        <v>16</v>
      </c>
      <c r="G16" s="15">
        <f>LMpielik_18_LMZino!I17</f>
        <v>159</v>
      </c>
      <c r="H16" s="15">
        <v>162</v>
      </c>
      <c r="I16" s="15">
        <v>121</v>
      </c>
      <c r="J16" s="15">
        <v>162</v>
      </c>
      <c r="K16" s="16">
        <f>LMpielik_19_LMZino!O14</f>
        <v>70.56</v>
      </c>
      <c r="L16" s="16">
        <f>I16*K16</f>
        <v>8537.76</v>
      </c>
      <c r="M16" s="374"/>
      <c r="N16" s="374"/>
      <c r="O16" s="15">
        <f t="shared" si="2"/>
        <v>13</v>
      </c>
      <c r="P16" s="37">
        <f>E16+I16-J16</f>
        <v>13</v>
      </c>
      <c r="Q16" s="5">
        <v>12</v>
      </c>
      <c r="R16" s="16">
        <f>K16/1.12</f>
        <v>62.99999999999999</v>
      </c>
      <c r="S16" s="16">
        <f>K16-R16</f>
        <v>7.560000000000009</v>
      </c>
      <c r="T16" s="16">
        <f>I16*S16</f>
        <v>914.7600000000011</v>
      </c>
    </row>
    <row r="17" spans="1:20" ht="15.75">
      <c r="A17" s="20">
        <v>6</v>
      </c>
      <c r="B17" s="102" t="s">
        <v>18</v>
      </c>
      <c r="C17" s="342" t="s">
        <v>118</v>
      </c>
      <c r="D17" s="355"/>
      <c r="E17" s="322">
        <v>83</v>
      </c>
      <c r="F17" s="319">
        <v>3</v>
      </c>
      <c r="G17" s="343">
        <v>22</v>
      </c>
      <c r="H17" s="319">
        <v>25</v>
      </c>
      <c r="I17" s="319"/>
      <c r="J17" s="319">
        <v>40</v>
      </c>
      <c r="K17" s="344">
        <f>LMpielik_19_LMZino!O15</f>
        <v>536.5746835443039</v>
      </c>
      <c r="L17" s="314">
        <f>I17*K17</f>
        <v>0</v>
      </c>
      <c r="M17" s="374"/>
      <c r="N17" s="374"/>
      <c r="O17" s="319">
        <f t="shared" si="2"/>
        <v>0</v>
      </c>
      <c r="P17" s="322">
        <f>E17+I17-J17</f>
        <v>43</v>
      </c>
      <c r="Q17" s="311">
        <v>12</v>
      </c>
      <c r="R17" s="314">
        <f>K17/1.12</f>
        <v>479.0845388788427</v>
      </c>
      <c r="S17" s="314">
        <f>K17-R17</f>
        <v>57.49014466546117</v>
      </c>
      <c r="T17" s="314">
        <f>I17*S17</f>
        <v>0</v>
      </c>
    </row>
    <row r="18" spans="1:20" ht="15.75">
      <c r="A18" s="20">
        <v>7</v>
      </c>
      <c r="B18" s="102" t="s">
        <v>6</v>
      </c>
      <c r="C18" s="342"/>
      <c r="D18" s="355"/>
      <c r="E18" s="324"/>
      <c r="F18" s="321"/>
      <c r="G18" s="343"/>
      <c r="H18" s="321"/>
      <c r="I18" s="321"/>
      <c r="J18" s="321"/>
      <c r="K18" s="347"/>
      <c r="L18" s="316"/>
      <c r="M18" s="374"/>
      <c r="N18" s="374"/>
      <c r="O18" s="321"/>
      <c r="P18" s="324"/>
      <c r="Q18" s="313"/>
      <c r="R18" s="316"/>
      <c r="S18" s="316"/>
      <c r="T18" s="316"/>
    </row>
    <row r="19" spans="1:20" ht="15.75">
      <c r="A19" s="5">
        <v>8</v>
      </c>
      <c r="B19" s="17" t="s">
        <v>5</v>
      </c>
      <c r="C19" s="342" t="s">
        <v>126</v>
      </c>
      <c r="D19" s="355"/>
      <c r="E19" s="322">
        <v>40</v>
      </c>
      <c r="F19" s="319">
        <v>52</v>
      </c>
      <c r="G19" s="343">
        <v>154</v>
      </c>
      <c r="H19" s="319">
        <v>174</v>
      </c>
      <c r="I19" s="319">
        <v>166</v>
      </c>
      <c r="J19" s="319">
        <v>174</v>
      </c>
      <c r="K19" s="344">
        <f>LMpielik_19_LMZino!O17</f>
        <v>16.74</v>
      </c>
      <c r="L19" s="314">
        <v>628.29</v>
      </c>
      <c r="M19" s="374"/>
      <c r="N19" s="374"/>
      <c r="O19" s="319">
        <f>F19+G19-H19</f>
        <v>32</v>
      </c>
      <c r="P19" s="322">
        <f>E19+I19-J19</f>
        <v>32</v>
      </c>
      <c r="Q19" s="311">
        <v>12</v>
      </c>
      <c r="R19" s="314">
        <f>K19/1.12</f>
        <v>14.94642857142857</v>
      </c>
      <c r="S19" s="314">
        <f>K19-R19</f>
        <v>1.793571428571429</v>
      </c>
      <c r="T19" s="314">
        <f>I19*S19</f>
        <v>297.7328571428572</v>
      </c>
    </row>
    <row r="20" spans="1:20" ht="15.75">
      <c r="A20" s="5">
        <v>9</v>
      </c>
      <c r="B20" s="17" t="s">
        <v>19</v>
      </c>
      <c r="C20" s="342"/>
      <c r="D20" s="355"/>
      <c r="E20" s="324"/>
      <c r="F20" s="321"/>
      <c r="G20" s="343"/>
      <c r="H20" s="321"/>
      <c r="I20" s="321"/>
      <c r="J20" s="321"/>
      <c r="K20" s="347"/>
      <c r="L20" s="316"/>
      <c r="M20" s="374"/>
      <c r="N20" s="374"/>
      <c r="O20" s="321"/>
      <c r="P20" s="324"/>
      <c r="Q20" s="313"/>
      <c r="R20" s="316"/>
      <c r="S20" s="316"/>
      <c r="T20" s="316"/>
    </row>
    <row r="21" spans="1:20" ht="15.75">
      <c r="A21" s="5">
        <v>10</v>
      </c>
      <c r="B21" s="17" t="s">
        <v>20</v>
      </c>
      <c r="C21" s="342" t="s">
        <v>117</v>
      </c>
      <c r="D21" s="347" t="s">
        <v>104</v>
      </c>
      <c r="E21" s="322">
        <v>543</v>
      </c>
      <c r="F21" s="319">
        <v>177</v>
      </c>
      <c r="G21" s="343">
        <v>359</v>
      </c>
      <c r="H21" s="319">
        <v>464</v>
      </c>
      <c r="I21" s="319">
        <v>213</v>
      </c>
      <c r="J21" s="319">
        <v>696</v>
      </c>
      <c r="K21" s="344">
        <f>LMpielik_19_LMZino!O19</f>
        <v>9.89725</v>
      </c>
      <c r="L21" s="314">
        <f>I21*K21</f>
        <v>2108.11425</v>
      </c>
      <c r="M21" s="374"/>
      <c r="N21" s="374"/>
      <c r="O21" s="319">
        <f>F21+G21-H21</f>
        <v>72</v>
      </c>
      <c r="P21" s="322">
        <f>E21+I21-J21</f>
        <v>60</v>
      </c>
      <c r="Q21" s="311">
        <v>12</v>
      </c>
      <c r="R21" s="314">
        <f>K21/1.12</f>
        <v>8.836830357142857</v>
      </c>
      <c r="S21" s="314">
        <f>K21-R21</f>
        <v>1.060419642857143</v>
      </c>
      <c r="T21" s="314">
        <f>I21*S21</f>
        <v>225.86938392857147</v>
      </c>
    </row>
    <row r="22" spans="1:20" ht="31.5">
      <c r="A22" s="5">
        <v>11</v>
      </c>
      <c r="B22" s="17" t="s">
        <v>87</v>
      </c>
      <c r="C22" s="342"/>
      <c r="D22" s="347"/>
      <c r="E22" s="323"/>
      <c r="F22" s="320"/>
      <c r="G22" s="347"/>
      <c r="H22" s="320"/>
      <c r="I22" s="320"/>
      <c r="J22" s="320"/>
      <c r="K22" s="344"/>
      <c r="L22" s="315"/>
      <c r="M22" s="374"/>
      <c r="N22" s="374"/>
      <c r="O22" s="320"/>
      <c r="P22" s="323"/>
      <c r="Q22" s="312"/>
      <c r="R22" s="315"/>
      <c r="S22" s="315"/>
      <c r="T22" s="315"/>
    </row>
    <row r="23" spans="1:20" ht="15.75">
      <c r="A23" s="5">
        <v>12</v>
      </c>
      <c r="B23" s="17" t="s">
        <v>21</v>
      </c>
      <c r="C23" s="342"/>
      <c r="D23" s="347"/>
      <c r="E23" s="323"/>
      <c r="F23" s="320"/>
      <c r="G23" s="347"/>
      <c r="H23" s="320"/>
      <c r="I23" s="320"/>
      <c r="J23" s="320"/>
      <c r="K23" s="344"/>
      <c r="L23" s="315"/>
      <c r="M23" s="374"/>
      <c r="N23" s="374"/>
      <c r="O23" s="320"/>
      <c r="P23" s="323"/>
      <c r="Q23" s="312"/>
      <c r="R23" s="315"/>
      <c r="S23" s="315"/>
      <c r="T23" s="315"/>
    </row>
    <row r="24" spans="1:20" ht="31.5">
      <c r="A24" s="5">
        <v>13</v>
      </c>
      <c r="B24" s="17" t="s">
        <v>88</v>
      </c>
      <c r="C24" s="342"/>
      <c r="D24" s="347"/>
      <c r="E24" s="323"/>
      <c r="F24" s="320"/>
      <c r="G24" s="347"/>
      <c r="H24" s="320"/>
      <c r="I24" s="320"/>
      <c r="J24" s="320"/>
      <c r="K24" s="344"/>
      <c r="L24" s="315"/>
      <c r="M24" s="374"/>
      <c r="N24" s="374"/>
      <c r="O24" s="320"/>
      <c r="P24" s="323"/>
      <c r="Q24" s="312"/>
      <c r="R24" s="315"/>
      <c r="S24" s="315"/>
      <c r="T24" s="315"/>
    </row>
    <row r="25" spans="1:20" ht="15.75">
      <c r="A25" s="5">
        <v>14</v>
      </c>
      <c r="B25" s="17" t="s">
        <v>22</v>
      </c>
      <c r="C25" s="342"/>
      <c r="D25" s="347"/>
      <c r="E25" s="324"/>
      <c r="F25" s="321"/>
      <c r="G25" s="347"/>
      <c r="H25" s="321"/>
      <c r="I25" s="321"/>
      <c r="J25" s="321"/>
      <c r="K25" s="344"/>
      <c r="L25" s="316"/>
      <c r="M25" s="374"/>
      <c r="N25" s="374"/>
      <c r="O25" s="321"/>
      <c r="P25" s="324"/>
      <c r="Q25" s="313"/>
      <c r="R25" s="316"/>
      <c r="S25" s="316"/>
      <c r="T25" s="316"/>
    </row>
    <row r="26" spans="1:20" ht="15.75">
      <c r="A26" s="5">
        <v>15</v>
      </c>
      <c r="B26" s="17" t="s">
        <v>23</v>
      </c>
      <c r="C26" s="370" t="s">
        <v>119</v>
      </c>
      <c r="D26" s="355" t="s">
        <v>104</v>
      </c>
      <c r="E26" s="322">
        <v>38</v>
      </c>
      <c r="F26" s="319">
        <v>66</v>
      </c>
      <c r="G26" s="319">
        <v>147</v>
      </c>
      <c r="H26" s="319">
        <v>189</v>
      </c>
      <c r="I26" s="319">
        <v>175</v>
      </c>
      <c r="J26" s="319">
        <v>189</v>
      </c>
      <c r="K26" s="314">
        <f>LMpielik_19_LMZino!O24</f>
        <v>155.93482288828338</v>
      </c>
      <c r="L26" s="314">
        <f>I26*K26</f>
        <v>27288.59400544959</v>
      </c>
      <c r="M26" s="374"/>
      <c r="N26" s="374"/>
      <c r="O26" s="319">
        <f>F26+G26-H26</f>
        <v>24</v>
      </c>
      <c r="P26" s="322">
        <f>E26+I26-J26</f>
        <v>24</v>
      </c>
      <c r="Q26" s="311">
        <v>12</v>
      </c>
      <c r="R26" s="314">
        <f>K26/1.12</f>
        <v>139.22752043596728</v>
      </c>
      <c r="S26" s="314">
        <f>K26-R26</f>
        <v>16.7073024523161</v>
      </c>
      <c r="T26" s="314">
        <f>I26*S26</f>
        <v>2923.7779291553175</v>
      </c>
    </row>
    <row r="27" spans="1:20" ht="15.75">
      <c r="A27" s="5">
        <v>16</v>
      </c>
      <c r="B27" s="17" t="s">
        <v>24</v>
      </c>
      <c r="C27" s="371"/>
      <c r="D27" s="355"/>
      <c r="E27" s="323"/>
      <c r="F27" s="320"/>
      <c r="G27" s="320"/>
      <c r="H27" s="320"/>
      <c r="I27" s="320"/>
      <c r="J27" s="320"/>
      <c r="K27" s="315"/>
      <c r="L27" s="315"/>
      <c r="M27" s="374"/>
      <c r="N27" s="374"/>
      <c r="O27" s="320"/>
      <c r="P27" s="323"/>
      <c r="Q27" s="312"/>
      <c r="R27" s="315"/>
      <c r="S27" s="315"/>
      <c r="T27" s="315"/>
    </row>
    <row r="28" spans="1:20" ht="31.5">
      <c r="A28" s="5">
        <v>17</v>
      </c>
      <c r="B28" s="17" t="s">
        <v>77</v>
      </c>
      <c r="C28" s="371"/>
      <c r="D28" s="355"/>
      <c r="E28" s="323"/>
      <c r="F28" s="320"/>
      <c r="G28" s="320"/>
      <c r="H28" s="320"/>
      <c r="I28" s="320"/>
      <c r="J28" s="320"/>
      <c r="K28" s="315"/>
      <c r="L28" s="315"/>
      <c r="M28" s="374"/>
      <c r="N28" s="374"/>
      <c r="O28" s="320"/>
      <c r="P28" s="323"/>
      <c r="Q28" s="312"/>
      <c r="R28" s="315"/>
      <c r="S28" s="315"/>
      <c r="T28" s="315"/>
    </row>
    <row r="29" spans="1:20" ht="15.75">
      <c r="A29" s="5">
        <v>18</v>
      </c>
      <c r="B29" s="17" t="s">
        <v>25</v>
      </c>
      <c r="C29" s="371"/>
      <c r="D29" s="355"/>
      <c r="E29" s="323"/>
      <c r="F29" s="320"/>
      <c r="G29" s="320"/>
      <c r="H29" s="320"/>
      <c r="I29" s="320"/>
      <c r="J29" s="320"/>
      <c r="K29" s="315"/>
      <c r="L29" s="315"/>
      <c r="M29" s="374"/>
      <c r="N29" s="374"/>
      <c r="O29" s="320"/>
      <c r="P29" s="323"/>
      <c r="Q29" s="312"/>
      <c r="R29" s="315"/>
      <c r="S29" s="315"/>
      <c r="T29" s="315"/>
    </row>
    <row r="30" spans="1:20" ht="15.75">
      <c r="A30" s="5">
        <v>19</v>
      </c>
      <c r="B30" s="17" t="s">
        <v>17</v>
      </c>
      <c r="C30" s="371"/>
      <c r="D30" s="355"/>
      <c r="E30" s="323"/>
      <c r="F30" s="320"/>
      <c r="G30" s="320"/>
      <c r="H30" s="320"/>
      <c r="I30" s="320"/>
      <c r="J30" s="320"/>
      <c r="K30" s="315"/>
      <c r="L30" s="315"/>
      <c r="M30" s="374"/>
      <c r="N30" s="374"/>
      <c r="O30" s="320"/>
      <c r="P30" s="323"/>
      <c r="Q30" s="312"/>
      <c r="R30" s="315"/>
      <c r="S30" s="315"/>
      <c r="T30" s="315"/>
    </row>
    <row r="31" spans="1:20" ht="15.75">
      <c r="A31" s="5">
        <v>20</v>
      </c>
      <c r="B31" s="17" t="s">
        <v>172</v>
      </c>
      <c r="C31" s="372"/>
      <c r="D31" s="355"/>
      <c r="E31" s="324"/>
      <c r="F31" s="321"/>
      <c r="G31" s="321"/>
      <c r="H31" s="321"/>
      <c r="I31" s="321"/>
      <c r="J31" s="321"/>
      <c r="K31" s="316"/>
      <c r="L31" s="316"/>
      <c r="M31" s="374"/>
      <c r="N31" s="374"/>
      <c r="O31" s="321"/>
      <c r="P31" s="324"/>
      <c r="Q31" s="313"/>
      <c r="R31" s="316"/>
      <c r="S31" s="316"/>
      <c r="T31" s="316"/>
    </row>
    <row r="32" spans="1:20" ht="15.75">
      <c r="A32" s="5">
        <v>21</v>
      </c>
      <c r="B32" s="17" t="s">
        <v>1</v>
      </c>
      <c r="C32" s="348" t="s">
        <v>123</v>
      </c>
      <c r="D32" s="355"/>
      <c r="E32" s="322">
        <v>112</v>
      </c>
      <c r="F32" s="319">
        <v>71</v>
      </c>
      <c r="G32" s="319">
        <v>219</v>
      </c>
      <c r="H32" s="319">
        <v>254</v>
      </c>
      <c r="I32" s="319">
        <v>178</v>
      </c>
      <c r="J32" s="319">
        <v>254</v>
      </c>
      <c r="K32" s="314">
        <f>LMpielik_19_LMZino!O30</f>
        <v>19.17</v>
      </c>
      <c r="L32" s="314">
        <f>I32*K32</f>
        <v>3412.26</v>
      </c>
      <c r="M32" s="374"/>
      <c r="N32" s="374"/>
      <c r="O32" s="319">
        <f>F32+G32-H32</f>
        <v>36</v>
      </c>
      <c r="P32" s="322">
        <f>E32+I32-J32</f>
        <v>36</v>
      </c>
      <c r="Q32" s="311">
        <v>12</v>
      </c>
      <c r="R32" s="314">
        <v>14.38392857142857</v>
      </c>
      <c r="S32" s="314">
        <v>1.72607142857143</v>
      </c>
      <c r="T32" s="314">
        <f>I32*S32</f>
        <v>307.24071428571455</v>
      </c>
    </row>
    <row r="33" spans="1:20" ht="15.75">
      <c r="A33" s="5">
        <v>22</v>
      </c>
      <c r="B33" s="17" t="s">
        <v>173</v>
      </c>
      <c r="C33" s="350"/>
      <c r="D33" s="355"/>
      <c r="E33" s="324"/>
      <c r="F33" s="321"/>
      <c r="G33" s="321"/>
      <c r="H33" s="321"/>
      <c r="I33" s="321"/>
      <c r="J33" s="321"/>
      <c r="K33" s="316"/>
      <c r="L33" s="316"/>
      <c r="M33" s="374"/>
      <c r="N33" s="374"/>
      <c r="O33" s="321"/>
      <c r="P33" s="324"/>
      <c r="Q33" s="313"/>
      <c r="R33" s="316"/>
      <c r="S33" s="316"/>
      <c r="T33" s="316"/>
    </row>
    <row r="34" spans="1:20" ht="15.75">
      <c r="A34" s="5">
        <v>23</v>
      </c>
      <c r="B34" s="17" t="s">
        <v>26</v>
      </c>
      <c r="C34" s="342" t="s">
        <v>124</v>
      </c>
      <c r="D34" s="355"/>
      <c r="E34" s="322">
        <v>201</v>
      </c>
      <c r="F34" s="319">
        <v>68</v>
      </c>
      <c r="G34" s="343">
        <v>206</v>
      </c>
      <c r="H34" s="319">
        <v>256</v>
      </c>
      <c r="I34" s="319">
        <v>73</v>
      </c>
      <c r="J34" s="319">
        <v>256</v>
      </c>
      <c r="K34" s="344">
        <f>LMpielik_19_LMZino!O32</f>
        <v>68.8</v>
      </c>
      <c r="L34" s="314">
        <f>I34*K34</f>
        <v>5022.4</v>
      </c>
      <c r="M34" s="374"/>
      <c r="N34" s="374"/>
      <c r="O34" s="319">
        <f>F34+G34-H34</f>
        <v>18</v>
      </c>
      <c r="P34" s="322">
        <f>E34+I34-J34</f>
        <v>18</v>
      </c>
      <c r="Q34" s="311">
        <v>12</v>
      </c>
      <c r="R34" s="314">
        <f>K34/1.12</f>
        <v>61.42857142857142</v>
      </c>
      <c r="S34" s="314">
        <f>K34-R34</f>
        <v>7.371428571428574</v>
      </c>
      <c r="T34" s="314">
        <f>I34*S34</f>
        <v>538.1142857142859</v>
      </c>
    </row>
    <row r="35" spans="1:20" ht="31.5">
      <c r="A35" s="5">
        <v>24</v>
      </c>
      <c r="B35" s="17" t="s">
        <v>61</v>
      </c>
      <c r="C35" s="342"/>
      <c r="D35" s="355"/>
      <c r="E35" s="323"/>
      <c r="F35" s="320"/>
      <c r="G35" s="347"/>
      <c r="H35" s="320"/>
      <c r="I35" s="320"/>
      <c r="J35" s="320"/>
      <c r="K35" s="347"/>
      <c r="L35" s="315"/>
      <c r="M35" s="374"/>
      <c r="N35" s="374"/>
      <c r="O35" s="320"/>
      <c r="P35" s="323"/>
      <c r="Q35" s="312"/>
      <c r="R35" s="315"/>
      <c r="S35" s="315"/>
      <c r="T35" s="315"/>
    </row>
    <row r="36" spans="1:20" ht="15.75">
      <c r="A36" s="5">
        <v>25</v>
      </c>
      <c r="B36" s="17" t="s">
        <v>27</v>
      </c>
      <c r="C36" s="342"/>
      <c r="D36" s="355"/>
      <c r="E36" s="324"/>
      <c r="F36" s="321"/>
      <c r="G36" s="347"/>
      <c r="H36" s="321"/>
      <c r="I36" s="321"/>
      <c r="J36" s="321"/>
      <c r="K36" s="347"/>
      <c r="L36" s="316"/>
      <c r="M36" s="374"/>
      <c r="N36" s="374"/>
      <c r="O36" s="321"/>
      <c r="P36" s="324"/>
      <c r="Q36" s="313"/>
      <c r="R36" s="316"/>
      <c r="S36" s="316"/>
      <c r="T36" s="316"/>
    </row>
    <row r="37" spans="1:20" ht="31.5">
      <c r="A37" s="5">
        <v>26</v>
      </c>
      <c r="B37" s="17" t="s">
        <v>13</v>
      </c>
      <c r="C37" s="342" t="s">
        <v>120</v>
      </c>
      <c r="D37" s="356" t="s">
        <v>104</v>
      </c>
      <c r="E37" s="322">
        <v>391</v>
      </c>
      <c r="F37" s="319">
        <v>23</v>
      </c>
      <c r="G37" s="343">
        <v>82</v>
      </c>
      <c r="H37" s="319">
        <v>88</v>
      </c>
      <c r="I37" s="319"/>
      <c r="J37" s="319">
        <v>176</v>
      </c>
      <c r="K37" s="344">
        <f>LMpielik_19_LMZino!O35</f>
        <v>94.17</v>
      </c>
      <c r="L37" s="314">
        <f>I37*K37</f>
        <v>0</v>
      </c>
      <c r="M37" s="374"/>
      <c r="N37" s="374"/>
      <c r="O37" s="319">
        <f>F37+G37-H37</f>
        <v>17</v>
      </c>
      <c r="P37" s="322">
        <f>E37+I37-J37</f>
        <v>215</v>
      </c>
      <c r="Q37" s="311">
        <v>12</v>
      </c>
      <c r="R37" s="314">
        <f>K37/1.12</f>
        <v>84.08035714285714</v>
      </c>
      <c r="S37" s="314">
        <f>K37-R37</f>
        <v>10.089642857142863</v>
      </c>
      <c r="T37" s="314">
        <f>I37*S37</f>
        <v>0</v>
      </c>
    </row>
    <row r="38" spans="1:20" ht="31.5">
      <c r="A38" s="5">
        <v>27</v>
      </c>
      <c r="B38" s="17" t="s">
        <v>89</v>
      </c>
      <c r="C38" s="342"/>
      <c r="D38" s="356"/>
      <c r="E38" s="324"/>
      <c r="F38" s="321"/>
      <c r="G38" s="343"/>
      <c r="H38" s="321"/>
      <c r="I38" s="321"/>
      <c r="J38" s="321"/>
      <c r="K38" s="344"/>
      <c r="L38" s="316"/>
      <c r="M38" s="374"/>
      <c r="N38" s="374"/>
      <c r="O38" s="321"/>
      <c r="P38" s="324"/>
      <c r="Q38" s="313"/>
      <c r="R38" s="316"/>
      <c r="S38" s="316"/>
      <c r="T38" s="316"/>
    </row>
    <row r="39" spans="1:20" ht="31.5">
      <c r="A39" s="5">
        <v>28</v>
      </c>
      <c r="B39" s="102" t="s">
        <v>15</v>
      </c>
      <c r="C39" s="328" t="s">
        <v>125</v>
      </c>
      <c r="D39" s="329" t="s">
        <v>105</v>
      </c>
      <c r="E39" s="322">
        <v>637</v>
      </c>
      <c r="F39" s="319">
        <v>19</v>
      </c>
      <c r="G39" s="341">
        <v>101</v>
      </c>
      <c r="H39" s="338">
        <v>118</v>
      </c>
      <c r="I39" s="338"/>
      <c r="J39" s="338">
        <v>177</v>
      </c>
      <c r="K39" s="333">
        <f>LMpielik_19_LMZino!O37</f>
        <v>64.96</v>
      </c>
      <c r="L39" s="334">
        <f>I39*K39</f>
        <v>0</v>
      </c>
      <c r="M39" s="374"/>
      <c r="N39" s="374"/>
      <c r="O39" s="319">
        <f>F39+G39-H39</f>
        <v>2</v>
      </c>
      <c r="P39" s="322">
        <f>E39+I39-J39</f>
        <v>460</v>
      </c>
      <c r="Q39" s="311">
        <v>12</v>
      </c>
      <c r="R39" s="314">
        <f>K39/1.12</f>
        <v>57.999999999999986</v>
      </c>
      <c r="S39" s="314">
        <f>K39-R39</f>
        <v>6.960000000000008</v>
      </c>
      <c r="T39" s="314">
        <f>I39*S39</f>
        <v>0</v>
      </c>
    </row>
    <row r="40" spans="1:20" ht="15.75">
      <c r="A40" s="5">
        <v>29</v>
      </c>
      <c r="B40" s="102" t="s">
        <v>59</v>
      </c>
      <c r="C40" s="328"/>
      <c r="D40" s="329"/>
      <c r="E40" s="324"/>
      <c r="F40" s="321"/>
      <c r="G40" s="341"/>
      <c r="H40" s="340"/>
      <c r="I40" s="340"/>
      <c r="J40" s="340"/>
      <c r="K40" s="333"/>
      <c r="L40" s="336"/>
      <c r="M40" s="374"/>
      <c r="N40" s="374"/>
      <c r="O40" s="321"/>
      <c r="P40" s="324"/>
      <c r="Q40" s="313"/>
      <c r="R40" s="316"/>
      <c r="S40" s="316"/>
      <c r="T40" s="316"/>
    </row>
    <row r="41" spans="1:20" ht="15.75">
      <c r="A41" s="5">
        <v>30</v>
      </c>
      <c r="B41" s="102" t="s">
        <v>62</v>
      </c>
      <c r="C41" s="151" t="s">
        <v>122</v>
      </c>
      <c r="D41" s="150" t="s">
        <v>111</v>
      </c>
      <c r="E41" s="37">
        <v>1075</v>
      </c>
      <c r="F41" s="15">
        <v>7</v>
      </c>
      <c r="G41" s="149">
        <v>58</v>
      </c>
      <c r="H41" s="149">
        <v>65</v>
      </c>
      <c r="I41" s="149"/>
      <c r="J41" s="149">
        <v>65</v>
      </c>
      <c r="K41" s="152">
        <f>LMpielik_19_LMZino!O39</f>
        <v>8.54</v>
      </c>
      <c r="L41" s="16">
        <f>I41*K41</f>
        <v>0</v>
      </c>
      <c r="M41" s="374"/>
      <c r="N41" s="374"/>
      <c r="O41" s="15">
        <f>F41+G41-H41</f>
        <v>0</v>
      </c>
      <c r="P41" s="37">
        <f>E41+I41-J41</f>
        <v>1010</v>
      </c>
      <c r="Q41" s="5">
        <v>12</v>
      </c>
      <c r="R41" s="16">
        <f>K41/1.12</f>
        <v>7.624999999999998</v>
      </c>
      <c r="S41" s="16">
        <f>K41-R41</f>
        <v>0.9150000000000009</v>
      </c>
      <c r="T41" s="16">
        <f>I41*S41</f>
        <v>0</v>
      </c>
    </row>
    <row r="42" spans="1:20" ht="15.75">
      <c r="A42" s="5">
        <v>31</v>
      </c>
      <c r="B42" s="182" t="s">
        <v>226</v>
      </c>
      <c r="C42" s="368" t="s">
        <v>232</v>
      </c>
      <c r="D42" s="175"/>
      <c r="E42" s="23">
        <v>0</v>
      </c>
      <c r="F42" s="23">
        <v>0</v>
      </c>
      <c r="G42" s="166">
        <f>LMpielik_18_LMZino!I53</f>
        <v>15</v>
      </c>
      <c r="H42" s="23">
        <v>13</v>
      </c>
      <c r="I42" s="23">
        <v>17</v>
      </c>
      <c r="J42" s="23">
        <v>15</v>
      </c>
      <c r="K42" s="191">
        <f>LMpielik_19_LMZino!O40</f>
        <v>3000</v>
      </c>
      <c r="L42" s="16">
        <f>I42*K42</f>
        <v>51000</v>
      </c>
      <c r="M42" s="374"/>
      <c r="N42" s="374"/>
      <c r="O42" s="15">
        <f>F42+G42-H42</f>
        <v>2</v>
      </c>
      <c r="P42" s="37">
        <f>E42+I42-J42</f>
        <v>2</v>
      </c>
      <c r="Q42" s="5">
        <v>12</v>
      </c>
      <c r="R42" s="16">
        <f>K42/1.12</f>
        <v>2678.5714285714284</v>
      </c>
      <c r="S42" s="16">
        <f>K42-R42</f>
        <v>321.42857142857156</v>
      </c>
      <c r="T42" s="16">
        <f>I42*S42</f>
        <v>5464.2857142857165</v>
      </c>
    </row>
    <row r="43" spans="1:20" ht="15.75">
      <c r="A43" s="5">
        <v>32</v>
      </c>
      <c r="B43" s="102" t="s">
        <v>227</v>
      </c>
      <c r="C43" s="369"/>
      <c r="D43" s="175"/>
      <c r="E43" s="23">
        <v>0</v>
      </c>
      <c r="F43" s="23">
        <v>0</v>
      </c>
      <c r="G43" s="166">
        <f>LMpielik_18_LMZino!I54</f>
        <v>15</v>
      </c>
      <c r="H43" s="23">
        <v>13</v>
      </c>
      <c r="I43" s="23">
        <v>17</v>
      </c>
      <c r="J43" s="23">
        <v>15</v>
      </c>
      <c r="K43" s="191">
        <f>LMpielik_19_LMZino!O41</f>
        <v>2500</v>
      </c>
      <c r="L43" s="16">
        <f>I43*K43</f>
        <v>42500</v>
      </c>
      <c r="M43" s="374"/>
      <c r="N43" s="374"/>
      <c r="O43" s="15">
        <f>F43+G43-H43</f>
        <v>2</v>
      </c>
      <c r="P43" s="37">
        <f>E43+I43-J43</f>
        <v>2</v>
      </c>
      <c r="Q43" s="5">
        <v>12</v>
      </c>
      <c r="R43" s="16">
        <f>K43/1.12</f>
        <v>2232.142857142857</v>
      </c>
      <c r="S43" s="16">
        <f>K43-R43</f>
        <v>267.8571428571431</v>
      </c>
      <c r="T43" s="16">
        <f>I43*S43</f>
        <v>4553.571428571433</v>
      </c>
    </row>
    <row r="44" spans="1:20" ht="15.75">
      <c r="A44" s="354" t="s">
        <v>103</v>
      </c>
      <c r="B44" s="354"/>
      <c r="C44" s="354"/>
      <c r="D44" s="354"/>
      <c r="E44" s="11">
        <f aca="true" t="shared" si="3" ref="E44:L44">SUM(E45:E104)</f>
        <v>1532</v>
      </c>
      <c r="F44" s="11">
        <f t="shared" si="3"/>
        <v>1551</v>
      </c>
      <c r="G44" s="11">
        <f t="shared" si="3"/>
        <v>2663</v>
      </c>
      <c r="H44" s="11">
        <f t="shared" si="3"/>
        <v>3807</v>
      </c>
      <c r="I44" s="11">
        <f t="shared" si="3"/>
        <v>2821</v>
      </c>
      <c r="J44" s="11">
        <f t="shared" si="3"/>
        <v>3876</v>
      </c>
      <c r="K44" s="11">
        <f t="shared" si="3"/>
        <v>22781.501561660192</v>
      </c>
      <c r="L44" s="11">
        <f t="shared" si="3"/>
        <v>1983185.3736078704</v>
      </c>
      <c r="M44" s="374"/>
      <c r="N44" s="374"/>
      <c r="O44" s="11">
        <f>SUM(O45:O104)</f>
        <v>407</v>
      </c>
      <c r="P44" s="11">
        <f>SUM(P45:P104)</f>
        <v>477</v>
      </c>
      <c r="Q44" s="11" t="s">
        <v>112</v>
      </c>
      <c r="R44" s="21">
        <f>SUM(R45:R104)</f>
        <v>20340.62639433946</v>
      </c>
      <c r="S44" s="21">
        <f>SUM(S45:S104)</f>
        <v>2440.8751673207375</v>
      </c>
      <c r="T44" s="21">
        <f>SUM(T45:T104)</f>
        <v>210797.27717227204</v>
      </c>
    </row>
    <row r="45" spans="1:20" ht="15.75">
      <c r="A45" s="5">
        <v>33</v>
      </c>
      <c r="B45" s="17" t="s">
        <v>2</v>
      </c>
      <c r="C45" s="342" t="s">
        <v>132</v>
      </c>
      <c r="D45" s="326" t="s">
        <v>104</v>
      </c>
      <c r="E45" s="352">
        <v>73</v>
      </c>
      <c r="F45" s="343">
        <v>32</v>
      </c>
      <c r="G45" s="343">
        <v>119</v>
      </c>
      <c r="H45" s="319">
        <v>138</v>
      </c>
      <c r="I45" s="319">
        <v>147</v>
      </c>
      <c r="J45" s="319">
        <v>207</v>
      </c>
      <c r="K45" s="344">
        <f>LMpielik_19_LMZino!O46</f>
        <v>26.27090909090909</v>
      </c>
      <c r="L45" s="314">
        <f>I45*K45</f>
        <v>3861.823636363636</v>
      </c>
      <c r="M45" s="374"/>
      <c r="N45" s="374"/>
      <c r="O45" s="319">
        <f>F45+G45-H45</f>
        <v>13</v>
      </c>
      <c r="P45" s="322">
        <f>E45+I45-J45</f>
        <v>13</v>
      </c>
      <c r="Q45" s="311">
        <v>12</v>
      </c>
      <c r="R45" s="314">
        <f>K45/1.12</f>
        <v>23.456168831168828</v>
      </c>
      <c r="S45" s="314">
        <f>K45-R45</f>
        <v>2.8147402597402618</v>
      </c>
      <c r="T45" s="314">
        <f>I45*S45</f>
        <v>413.7668181818185</v>
      </c>
    </row>
    <row r="46" spans="1:20" ht="15.75">
      <c r="A46" s="5">
        <v>34</v>
      </c>
      <c r="B46" s="17" t="s">
        <v>90</v>
      </c>
      <c r="C46" s="342"/>
      <c r="D46" s="327"/>
      <c r="E46" s="353"/>
      <c r="F46" s="347"/>
      <c r="G46" s="343"/>
      <c r="H46" s="321"/>
      <c r="I46" s="321"/>
      <c r="J46" s="321"/>
      <c r="K46" s="344"/>
      <c r="L46" s="316"/>
      <c r="M46" s="374"/>
      <c r="N46" s="374"/>
      <c r="O46" s="313"/>
      <c r="P46" s="324"/>
      <c r="Q46" s="313"/>
      <c r="R46" s="316"/>
      <c r="S46" s="316"/>
      <c r="T46" s="316"/>
    </row>
    <row r="47" spans="1:20" ht="15.75">
      <c r="A47" s="5">
        <v>35</v>
      </c>
      <c r="B47" s="17" t="s">
        <v>7</v>
      </c>
      <c r="C47" s="342" t="s">
        <v>134</v>
      </c>
      <c r="D47" s="326" t="s">
        <v>104</v>
      </c>
      <c r="E47" s="352">
        <v>87</v>
      </c>
      <c r="F47" s="343">
        <v>124</v>
      </c>
      <c r="G47" s="343">
        <v>209</v>
      </c>
      <c r="H47" s="319">
        <v>288</v>
      </c>
      <c r="I47" s="319">
        <v>246</v>
      </c>
      <c r="J47" s="319">
        <v>288</v>
      </c>
      <c r="K47" s="344">
        <f>LMpielik_19_LMZino!O48</f>
        <v>20.95188405797101</v>
      </c>
      <c r="L47" s="314">
        <f>I47*K47</f>
        <v>5154.163478260869</v>
      </c>
      <c r="M47" s="374"/>
      <c r="N47" s="374"/>
      <c r="O47" s="319">
        <f>F47+G47-H47</f>
        <v>45</v>
      </c>
      <c r="P47" s="322">
        <f>E47+I47-J47</f>
        <v>45</v>
      </c>
      <c r="Q47" s="311">
        <v>12</v>
      </c>
      <c r="R47" s="314">
        <f>K47/1.12</f>
        <v>18.707039337474114</v>
      </c>
      <c r="S47" s="314">
        <f>K47-R47</f>
        <v>2.2448447204968964</v>
      </c>
      <c r="T47" s="314">
        <f>I47*S47</f>
        <v>552.2318012422365</v>
      </c>
    </row>
    <row r="48" spans="1:20" ht="31.5">
      <c r="A48" s="5">
        <v>36</v>
      </c>
      <c r="B48" s="17" t="s">
        <v>78</v>
      </c>
      <c r="C48" s="342"/>
      <c r="D48" s="326"/>
      <c r="E48" s="353"/>
      <c r="F48" s="347"/>
      <c r="G48" s="343"/>
      <c r="H48" s="320"/>
      <c r="I48" s="320"/>
      <c r="J48" s="320"/>
      <c r="K48" s="344"/>
      <c r="L48" s="315"/>
      <c r="M48" s="374"/>
      <c r="N48" s="374"/>
      <c r="O48" s="312"/>
      <c r="P48" s="323"/>
      <c r="Q48" s="312"/>
      <c r="R48" s="315"/>
      <c r="S48" s="315"/>
      <c r="T48" s="315"/>
    </row>
    <row r="49" spans="1:20" ht="15.75">
      <c r="A49" s="5">
        <v>37</v>
      </c>
      <c r="B49" s="17" t="s">
        <v>31</v>
      </c>
      <c r="C49" s="342"/>
      <c r="D49" s="326"/>
      <c r="E49" s="353"/>
      <c r="F49" s="347"/>
      <c r="G49" s="343"/>
      <c r="H49" s="321"/>
      <c r="I49" s="321"/>
      <c r="J49" s="321"/>
      <c r="K49" s="347"/>
      <c r="L49" s="316"/>
      <c r="M49" s="374"/>
      <c r="N49" s="374"/>
      <c r="O49" s="313"/>
      <c r="P49" s="324"/>
      <c r="Q49" s="313"/>
      <c r="R49" s="316"/>
      <c r="S49" s="316"/>
      <c r="T49" s="316"/>
    </row>
    <row r="50" spans="1:20" ht="15.75">
      <c r="A50" s="5">
        <v>38</v>
      </c>
      <c r="B50" s="17" t="s">
        <v>8</v>
      </c>
      <c r="C50" s="342" t="s">
        <v>133</v>
      </c>
      <c r="D50" s="326" t="s">
        <v>104</v>
      </c>
      <c r="E50" s="352">
        <v>125</v>
      </c>
      <c r="F50" s="343">
        <v>202</v>
      </c>
      <c r="G50" s="343">
        <v>389</v>
      </c>
      <c r="H50" s="319">
        <v>553</v>
      </c>
      <c r="I50" s="319">
        <v>466</v>
      </c>
      <c r="J50" s="319">
        <v>553</v>
      </c>
      <c r="K50" s="344">
        <f>LMpielik_19_LMZino!O51</f>
        <v>51.15751736111112</v>
      </c>
      <c r="L50" s="314">
        <f>I50*K50</f>
        <v>23839.40309027778</v>
      </c>
      <c r="M50" s="374"/>
      <c r="N50" s="374"/>
      <c r="O50" s="319">
        <f>F50+G50-H50</f>
        <v>38</v>
      </c>
      <c r="P50" s="322">
        <f>E50+I50-J50</f>
        <v>38</v>
      </c>
      <c r="Q50" s="311">
        <v>12</v>
      </c>
      <c r="R50" s="314">
        <f>K50/1.12</f>
        <v>45.67635478670635</v>
      </c>
      <c r="S50" s="314">
        <f>K50-R50</f>
        <v>5.48116257440477</v>
      </c>
      <c r="T50" s="314">
        <f>I50*S50</f>
        <v>2554.2217596726227</v>
      </c>
    </row>
    <row r="51" spans="1:20" ht="15.75">
      <c r="A51" s="5">
        <v>39</v>
      </c>
      <c r="B51" s="17" t="s">
        <v>32</v>
      </c>
      <c r="C51" s="342"/>
      <c r="D51" s="326"/>
      <c r="E51" s="353"/>
      <c r="F51" s="347"/>
      <c r="G51" s="343"/>
      <c r="H51" s="320"/>
      <c r="I51" s="320"/>
      <c r="J51" s="320"/>
      <c r="K51" s="344"/>
      <c r="L51" s="315"/>
      <c r="M51" s="374"/>
      <c r="N51" s="374"/>
      <c r="O51" s="312"/>
      <c r="P51" s="323"/>
      <c r="Q51" s="312"/>
      <c r="R51" s="315"/>
      <c r="S51" s="315"/>
      <c r="T51" s="315"/>
    </row>
    <row r="52" spans="1:20" ht="15.75">
      <c r="A52" s="5">
        <v>40</v>
      </c>
      <c r="B52" s="17" t="s">
        <v>33</v>
      </c>
      <c r="C52" s="342"/>
      <c r="D52" s="326"/>
      <c r="E52" s="353"/>
      <c r="F52" s="347"/>
      <c r="G52" s="343"/>
      <c r="H52" s="320"/>
      <c r="I52" s="320"/>
      <c r="J52" s="320"/>
      <c r="K52" s="344"/>
      <c r="L52" s="315"/>
      <c r="M52" s="374"/>
      <c r="N52" s="374"/>
      <c r="O52" s="312"/>
      <c r="P52" s="323"/>
      <c r="Q52" s="312"/>
      <c r="R52" s="315"/>
      <c r="S52" s="315"/>
      <c r="T52" s="315"/>
    </row>
    <row r="53" spans="1:20" ht="15.75">
      <c r="A53" s="5">
        <v>41</v>
      </c>
      <c r="B53" s="17" t="s">
        <v>79</v>
      </c>
      <c r="C53" s="342"/>
      <c r="D53" s="326"/>
      <c r="E53" s="353"/>
      <c r="F53" s="347"/>
      <c r="G53" s="343"/>
      <c r="H53" s="320"/>
      <c r="I53" s="320"/>
      <c r="J53" s="320"/>
      <c r="K53" s="344"/>
      <c r="L53" s="315"/>
      <c r="M53" s="374"/>
      <c r="N53" s="374"/>
      <c r="O53" s="312"/>
      <c r="P53" s="323"/>
      <c r="Q53" s="312"/>
      <c r="R53" s="315"/>
      <c r="S53" s="315"/>
      <c r="T53" s="315"/>
    </row>
    <row r="54" spans="1:20" ht="31.5">
      <c r="A54" s="5">
        <v>42</v>
      </c>
      <c r="B54" s="17" t="s">
        <v>80</v>
      </c>
      <c r="C54" s="342"/>
      <c r="D54" s="326"/>
      <c r="E54" s="353"/>
      <c r="F54" s="347"/>
      <c r="G54" s="343"/>
      <c r="H54" s="320"/>
      <c r="I54" s="320"/>
      <c r="J54" s="320"/>
      <c r="K54" s="344"/>
      <c r="L54" s="315"/>
      <c r="M54" s="374"/>
      <c r="N54" s="374"/>
      <c r="O54" s="312"/>
      <c r="P54" s="323"/>
      <c r="Q54" s="312"/>
      <c r="R54" s="315"/>
      <c r="S54" s="315"/>
      <c r="T54" s="315"/>
    </row>
    <row r="55" spans="1:20" ht="15.75">
      <c r="A55" s="5">
        <v>43</v>
      </c>
      <c r="B55" s="17" t="s">
        <v>81</v>
      </c>
      <c r="C55" s="342"/>
      <c r="D55" s="326"/>
      <c r="E55" s="353"/>
      <c r="F55" s="347"/>
      <c r="G55" s="343"/>
      <c r="H55" s="320"/>
      <c r="I55" s="320"/>
      <c r="J55" s="320"/>
      <c r="K55" s="344"/>
      <c r="L55" s="315"/>
      <c r="M55" s="374"/>
      <c r="N55" s="374"/>
      <c r="O55" s="312"/>
      <c r="P55" s="323"/>
      <c r="Q55" s="312"/>
      <c r="R55" s="315"/>
      <c r="S55" s="315"/>
      <c r="T55" s="315"/>
    </row>
    <row r="56" spans="1:20" ht="15.75">
      <c r="A56" s="5">
        <v>44</v>
      </c>
      <c r="B56" s="17" t="s">
        <v>34</v>
      </c>
      <c r="C56" s="342"/>
      <c r="D56" s="326"/>
      <c r="E56" s="353"/>
      <c r="F56" s="347"/>
      <c r="G56" s="343"/>
      <c r="H56" s="321"/>
      <c r="I56" s="321"/>
      <c r="J56" s="321"/>
      <c r="K56" s="344"/>
      <c r="L56" s="316"/>
      <c r="M56" s="374"/>
      <c r="N56" s="374"/>
      <c r="O56" s="313"/>
      <c r="P56" s="324"/>
      <c r="Q56" s="313"/>
      <c r="R56" s="316"/>
      <c r="S56" s="316"/>
      <c r="T56" s="316"/>
    </row>
    <row r="57" spans="1:20" ht="15.75">
      <c r="A57" s="5">
        <v>45</v>
      </c>
      <c r="B57" s="17" t="s">
        <v>10</v>
      </c>
      <c r="C57" s="342" t="s">
        <v>143</v>
      </c>
      <c r="D57" s="326" t="s">
        <v>104</v>
      </c>
      <c r="E57" s="345">
        <v>4</v>
      </c>
      <c r="F57" s="343">
        <v>16</v>
      </c>
      <c r="G57" s="343">
        <v>24</v>
      </c>
      <c r="H57" s="319">
        <v>36</v>
      </c>
      <c r="I57" s="319">
        <v>36</v>
      </c>
      <c r="J57" s="319">
        <v>36</v>
      </c>
      <c r="K57" s="344">
        <f>LMpielik_19_LMZino!O58</f>
        <v>512.7826746256425</v>
      </c>
      <c r="L57" s="314">
        <f>I57*K57</f>
        <v>18460.17628652313</v>
      </c>
      <c r="M57" s="374"/>
      <c r="N57" s="374"/>
      <c r="O57" s="319">
        <f>F57+G57-H57</f>
        <v>4</v>
      </c>
      <c r="P57" s="322">
        <f>E57+I57-J57</f>
        <v>4</v>
      </c>
      <c r="Q57" s="311">
        <v>12</v>
      </c>
      <c r="R57" s="314">
        <f>K57/1.12</f>
        <v>457.84167377289504</v>
      </c>
      <c r="S57" s="314">
        <f>K57-R57</f>
        <v>54.941000852747436</v>
      </c>
      <c r="T57" s="314">
        <f>I57*S57</f>
        <v>1977.8760306989077</v>
      </c>
    </row>
    <row r="58" spans="1:20" ht="15.75">
      <c r="A58" s="5">
        <v>46</v>
      </c>
      <c r="B58" s="17" t="s">
        <v>11</v>
      </c>
      <c r="C58" s="342"/>
      <c r="D58" s="351"/>
      <c r="E58" s="373"/>
      <c r="F58" s="347"/>
      <c r="G58" s="343"/>
      <c r="H58" s="320"/>
      <c r="I58" s="320"/>
      <c r="J58" s="320"/>
      <c r="K58" s="344"/>
      <c r="L58" s="315"/>
      <c r="M58" s="374"/>
      <c r="N58" s="374"/>
      <c r="O58" s="312"/>
      <c r="P58" s="323"/>
      <c r="Q58" s="312"/>
      <c r="R58" s="315"/>
      <c r="S58" s="315"/>
      <c r="T58" s="315"/>
    </row>
    <row r="59" spans="1:20" ht="15.75">
      <c r="A59" s="5">
        <v>47</v>
      </c>
      <c r="B59" s="17" t="s">
        <v>9</v>
      </c>
      <c r="C59" s="342"/>
      <c r="D59" s="351"/>
      <c r="E59" s="373"/>
      <c r="F59" s="347"/>
      <c r="G59" s="343"/>
      <c r="H59" s="320"/>
      <c r="I59" s="320"/>
      <c r="J59" s="320"/>
      <c r="K59" s="344"/>
      <c r="L59" s="315"/>
      <c r="M59" s="374"/>
      <c r="N59" s="374"/>
      <c r="O59" s="312"/>
      <c r="P59" s="323"/>
      <c r="Q59" s="312"/>
      <c r="R59" s="315"/>
      <c r="S59" s="315"/>
      <c r="T59" s="315"/>
    </row>
    <row r="60" spans="1:20" ht="15.75">
      <c r="A60" s="5">
        <v>48</v>
      </c>
      <c r="B60" s="17" t="s">
        <v>36</v>
      </c>
      <c r="C60" s="342"/>
      <c r="D60" s="351"/>
      <c r="E60" s="373"/>
      <c r="F60" s="347"/>
      <c r="G60" s="343"/>
      <c r="H60" s="320"/>
      <c r="I60" s="320"/>
      <c r="J60" s="320"/>
      <c r="K60" s="344"/>
      <c r="L60" s="315"/>
      <c r="M60" s="374"/>
      <c r="N60" s="374"/>
      <c r="O60" s="312"/>
      <c r="P60" s="323"/>
      <c r="Q60" s="312"/>
      <c r="R60" s="315"/>
      <c r="S60" s="315"/>
      <c r="T60" s="315"/>
    </row>
    <row r="61" spans="1:20" ht="15.75">
      <c r="A61" s="5">
        <v>49</v>
      </c>
      <c r="B61" s="17" t="s">
        <v>37</v>
      </c>
      <c r="C61" s="342"/>
      <c r="D61" s="351"/>
      <c r="E61" s="373"/>
      <c r="F61" s="347"/>
      <c r="G61" s="343"/>
      <c r="H61" s="320"/>
      <c r="I61" s="320"/>
      <c r="J61" s="320"/>
      <c r="K61" s="344"/>
      <c r="L61" s="315"/>
      <c r="M61" s="374"/>
      <c r="N61" s="374"/>
      <c r="O61" s="312"/>
      <c r="P61" s="323"/>
      <c r="Q61" s="312"/>
      <c r="R61" s="315"/>
      <c r="S61" s="315"/>
      <c r="T61" s="315"/>
    </row>
    <row r="62" spans="1:20" ht="15.75">
      <c r="A62" s="5">
        <v>50</v>
      </c>
      <c r="B62" s="17" t="s">
        <v>39</v>
      </c>
      <c r="C62" s="342"/>
      <c r="D62" s="351"/>
      <c r="E62" s="346"/>
      <c r="F62" s="347"/>
      <c r="G62" s="343"/>
      <c r="H62" s="321"/>
      <c r="I62" s="321"/>
      <c r="J62" s="321"/>
      <c r="K62" s="344"/>
      <c r="L62" s="316"/>
      <c r="M62" s="374"/>
      <c r="N62" s="374"/>
      <c r="O62" s="313"/>
      <c r="P62" s="324"/>
      <c r="Q62" s="313"/>
      <c r="R62" s="316"/>
      <c r="S62" s="316"/>
      <c r="T62" s="316"/>
    </row>
    <row r="63" spans="1:20" ht="31.5">
      <c r="A63" s="5">
        <v>51</v>
      </c>
      <c r="B63" s="17" t="s">
        <v>38</v>
      </c>
      <c r="C63" s="18" t="s">
        <v>137</v>
      </c>
      <c r="D63" s="23" t="s">
        <v>104</v>
      </c>
      <c r="E63" s="148">
        <v>6</v>
      </c>
      <c r="F63" s="15">
        <v>27</v>
      </c>
      <c r="G63" s="15">
        <v>38</v>
      </c>
      <c r="H63" s="15">
        <v>59</v>
      </c>
      <c r="I63" s="15">
        <v>59</v>
      </c>
      <c r="J63" s="15">
        <v>59</v>
      </c>
      <c r="K63" s="16">
        <f>LMpielik_19_LMZino!O64</f>
        <v>1666.5600000000002</v>
      </c>
      <c r="L63" s="16">
        <f>I63*K63</f>
        <v>98327.04000000001</v>
      </c>
      <c r="M63" s="374"/>
      <c r="N63" s="374"/>
      <c r="O63" s="15">
        <f>F63+G63-H63</f>
        <v>6</v>
      </c>
      <c r="P63" s="37">
        <f>E63+I63-J63</f>
        <v>6</v>
      </c>
      <c r="Q63" s="5">
        <v>12</v>
      </c>
      <c r="R63" s="16">
        <f>K63/1.12</f>
        <v>1488</v>
      </c>
      <c r="S63" s="16">
        <f>K63-R63</f>
        <v>178.56000000000017</v>
      </c>
      <c r="T63" s="16">
        <f>I63*S63</f>
        <v>10535.04000000001</v>
      </c>
    </row>
    <row r="64" spans="1:20" ht="15.75">
      <c r="A64" s="5">
        <v>52</v>
      </c>
      <c r="B64" s="17" t="s">
        <v>35</v>
      </c>
      <c r="C64" s="342" t="s">
        <v>141</v>
      </c>
      <c r="D64" s="347" t="s">
        <v>104</v>
      </c>
      <c r="E64" s="345">
        <v>29</v>
      </c>
      <c r="F64" s="319">
        <v>29</v>
      </c>
      <c r="G64" s="343">
        <v>119</v>
      </c>
      <c r="H64" s="319">
        <v>130</v>
      </c>
      <c r="I64" s="319">
        <v>119</v>
      </c>
      <c r="J64" s="319">
        <v>130</v>
      </c>
      <c r="K64" s="344">
        <f>LMpielik_19_LMZino!O65</f>
        <v>825.9867251751556</v>
      </c>
      <c r="L64" s="314">
        <f>I64*K64</f>
        <v>98292.42029584352</v>
      </c>
      <c r="M64" s="374"/>
      <c r="N64" s="374"/>
      <c r="O64" s="319">
        <f>F64+G64-H64</f>
        <v>18</v>
      </c>
      <c r="P64" s="322">
        <f>E64+I64-J64</f>
        <v>18</v>
      </c>
      <c r="Q64" s="311">
        <v>12</v>
      </c>
      <c r="R64" s="314">
        <f>K64/1.12</f>
        <v>737.4881474778174</v>
      </c>
      <c r="S64" s="314">
        <f>K64-R64</f>
        <v>88.49857769733819</v>
      </c>
      <c r="T64" s="314">
        <f>I64*S64</f>
        <v>10531.330745983245</v>
      </c>
    </row>
    <row r="65" spans="1:20" ht="15.75">
      <c r="A65" s="5">
        <v>53</v>
      </c>
      <c r="B65" s="17" t="s">
        <v>41</v>
      </c>
      <c r="C65" s="342"/>
      <c r="D65" s="347"/>
      <c r="E65" s="346"/>
      <c r="F65" s="321"/>
      <c r="G65" s="347"/>
      <c r="H65" s="321"/>
      <c r="I65" s="321"/>
      <c r="J65" s="321"/>
      <c r="K65" s="344"/>
      <c r="L65" s="316"/>
      <c r="M65" s="374"/>
      <c r="N65" s="374"/>
      <c r="O65" s="321"/>
      <c r="P65" s="324"/>
      <c r="Q65" s="313"/>
      <c r="R65" s="316"/>
      <c r="S65" s="316"/>
      <c r="T65" s="316"/>
    </row>
    <row r="66" spans="1:20" ht="15.75">
      <c r="A66" s="5">
        <v>54</v>
      </c>
      <c r="B66" s="17" t="s">
        <v>40</v>
      </c>
      <c r="C66" s="18" t="s">
        <v>142</v>
      </c>
      <c r="D66" s="23" t="s">
        <v>104</v>
      </c>
      <c r="E66" s="148">
        <v>15</v>
      </c>
      <c r="F66" s="15">
        <v>23</v>
      </c>
      <c r="G66" s="15">
        <v>20</v>
      </c>
      <c r="H66" s="15">
        <v>40</v>
      </c>
      <c r="I66" s="15">
        <v>28</v>
      </c>
      <c r="J66" s="15">
        <v>40</v>
      </c>
      <c r="K66" s="16">
        <f>LMpielik_19_LMZino!O67</f>
        <v>2279.2</v>
      </c>
      <c r="L66" s="16">
        <f>I66*K66</f>
        <v>63817.59999999999</v>
      </c>
      <c r="M66" s="374"/>
      <c r="N66" s="374"/>
      <c r="O66" s="15">
        <f>F66+G66-H66</f>
        <v>3</v>
      </c>
      <c r="P66" s="37">
        <f>E66+I66-J66</f>
        <v>3</v>
      </c>
      <c r="Q66" s="5">
        <v>12</v>
      </c>
      <c r="R66" s="16">
        <f>K66/1.12</f>
        <v>2034.9999999999995</v>
      </c>
      <c r="S66" s="16">
        <f>K66-R66</f>
        <v>244.20000000000027</v>
      </c>
      <c r="T66" s="16">
        <f>I66*S66</f>
        <v>6837.600000000008</v>
      </c>
    </row>
    <row r="67" spans="1:20" ht="15.75">
      <c r="A67" s="5">
        <v>55</v>
      </c>
      <c r="B67" s="17" t="s">
        <v>51</v>
      </c>
      <c r="C67" s="342" t="s">
        <v>140</v>
      </c>
      <c r="D67" s="326" t="s">
        <v>104</v>
      </c>
      <c r="E67" s="345">
        <v>96</v>
      </c>
      <c r="F67" s="319">
        <v>60</v>
      </c>
      <c r="G67" s="343">
        <v>155</v>
      </c>
      <c r="H67" s="319">
        <v>177</v>
      </c>
      <c r="I67" s="319">
        <v>119</v>
      </c>
      <c r="J67" s="319">
        <v>177</v>
      </c>
      <c r="K67" s="344">
        <f>LMpielik_19_LMZino!O72</f>
        <v>151.32</v>
      </c>
      <c r="L67" s="314">
        <f>I67*K67</f>
        <v>18007.079999999998</v>
      </c>
      <c r="M67" s="374"/>
      <c r="N67" s="374"/>
      <c r="O67" s="319">
        <f>F67+G67-H67</f>
        <v>38</v>
      </c>
      <c r="P67" s="322">
        <f>E67+I67-J67</f>
        <v>38</v>
      </c>
      <c r="Q67" s="311">
        <v>12</v>
      </c>
      <c r="R67" s="314">
        <f>K67/1.12</f>
        <v>135.10714285714283</v>
      </c>
      <c r="S67" s="314">
        <f>K67-R67</f>
        <v>16.21285714285716</v>
      </c>
      <c r="T67" s="314">
        <f>I67*S67</f>
        <v>1929.3300000000022</v>
      </c>
    </row>
    <row r="68" spans="1:20" ht="31.5">
      <c r="A68" s="5">
        <v>56</v>
      </c>
      <c r="B68" s="17" t="s">
        <v>82</v>
      </c>
      <c r="C68" s="342"/>
      <c r="D68" s="326"/>
      <c r="E68" s="346"/>
      <c r="F68" s="321"/>
      <c r="G68" s="343"/>
      <c r="H68" s="321"/>
      <c r="I68" s="321"/>
      <c r="J68" s="321"/>
      <c r="K68" s="344"/>
      <c r="L68" s="316"/>
      <c r="M68" s="374"/>
      <c r="N68" s="374"/>
      <c r="O68" s="321"/>
      <c r="P68" s="324"/>
      <c r="Q68" s="313"/>
      <c r="R68" s="316"/>
      <c r="S68" s="316"/>
      <c r="T68" s="316"/>
    </row>
    <row r="69" spans="1:20" ht="31.5">
      <c r="A69" s="5">
        <v>57</v>
      </c>
      <c r="B69" s="17" t="s">
        <v>50</v>
      </c>
      <c r="C69" s="342" t="s">
        <v>136</v>
      </c>
      <c r="D69" s="326" t="s">
        <v>104</v>
      </c>
      <c r="E69" s="345">
        <v>762</v>
      </c>
      <c r="F69" s="319">
        <v>569</v>
      </c>
      <c r="G69" s="343">
        <v>945</v>
      </c>
      <c r="H69" s="319">
        <v>1361</v>
      </c>
      <c r="I69" s="319">
        <v>752</v>
      </c>
      <c r="J69" s="319">
        <v>1361</v>
      </c>
      <c r="K69" s="344">
        <f>LMpielik_19_LMZino!O74</f>
        <v>136.8899444958372</v>
      </c>
      <c r="L69" s="314">
        <f>I69*K69</f>
        <v>102941.23826086958</v>
      </c>
      <c r="M69" s="374"/>
      <c r="N69" s="374"/>
      <c r="O69" s="319">
        <f>F69+G69-H69</f>
        <v>153</v>
      </c>
      <c r="P69" s="322">
        <f>E69+I69-J69</f>
        <v>153</v>
      </c>
      <c r="Q69" s="311">
        <v>12</v>
      </c>
      <c r="R69" s="314">
        <f>K69/1.12</f>
        <v>122.22316472842606</v>
      </c>
      <c r="S69" s="314">
        <f>K69-R69</f>
        <v>14.666779767411143</v>
      </c>
      <c r="T69" s="314">
        <f>I69*S69</f>
        <v>11029.418385093179</v>
      </c>
    </row>
    <row r="70" spans="1:20" ht="47.25">
      <c r="A70" s="5">
        <v>58</v>
      </c>
      <c r="B70" s="17" t="s">
        <v>83</v>
      </c>
      <c r="C70" s="342"/>
      <c r="D70" s="327"/>
      <c r="E70" s="346"/>
      <c r="F70" s="321"/>
      <c r="G70" s="343"/>
      <c r="H70" s="321"/>
      <c r="I70" s="321"/>
      <c r="J70" s="321"/>
      <c r="K70" s="344"/>
      <c r="L70" s="316"/>
      <c r="M70" s="374"/>
      <c r="N70" s="374"/>
      <c r="O70" s="321"/>
      <c r="P70" s="324"/>
      <c r="Q70" s="313"/>
      <c r="R70" s="316"/>
      <c r="S70" s="316"/>
      <c r="T70" s="316"/>
    </row>
    <row r="71" spans="1:20" ht="47.25">
      <c r="A71" s="5">
        <v>59</v>
      </c>
      <c r="B71" s="17" t="s">
        <v>92</v>
      </c>
      <c r="C71" s="348" t="s">
        <v>129</v>
      </c>
      <c r="D71" s="326" t="s">
        <v>109</v>
      </c>
      <c r="E71" s="345">
        <v>50</v>
      </c>
      <c r="F71" s="319">
        <v>27</v>
      </c>
      <c r="G71" s="343">
        <v>130</v>
      </c>
      <c r="H71" s="319">
        <v>137</v>
      </c>
      <c r="I71" s="319">
        <v>107</v>
      </c>
      <c r="J71" s="319">
        <v>137</v>
      </c>
      <c r="K71" s="344">
        <f>LMpielik_19_LMZino!O77</f>
        <v>1824.390377358491</v>
      </c>
      <c r="L71" s="314">
        <f>I71*K71</f>
        <v>195209.77037735854</v>
      </c>
      <c r="M71" s="374"/>
      <c r="N71" s="374"/>
      <c r="O71" s="319">
        <f>F71+G71-H71</f>
        <v>20</v>
      </c>
      <c r="P71" s="322">
        <f>E71+I71-J71</f>
        <v>20</v>
      </c>
      <c r="Q71" s="311">
        <v>12</v>
      </c>
      <c r="R71" s="314">
        <f>K71/1.12</f>
        <v>1628.9199797843667</v>
      </c>
      <c r="S71" s="314">
        <f>K71-R71</f>
        <v>195.47039757412426</v>
      </c>
      <c r="T71" s="314">
        <f>I71*S71</f>
        <v>20915.332540431296</v>
      </c>
    </row>
    <row r="72" spans="1:20" ht="63">
      <c r="A72" s="5">
        <v>60</v>
      </c>
      <c r="B72" s="17" t="s">
        <v>93</v>
      </c>
      <c r="C72" s="349"/>
      <c r="D72" s="327"/>
      <c r="E72" s="373"/>
      <c r="F72" s="320"/>
      <c r="G72" s="343"/>
      <c r="H72" s="320"/>
      <c r="I72" s="320"/>
      <c r="J72" s="320"/>
      <c r="K72" s="344"/>
      <c r="L72" s="315"/>
      <c r="M72" s="374"/>
      <c r="N72" s="374"/>
      <c r="O72" s="320"/>
      <c r="P72" s="323"/>
      <c r="Q72" s="312"/>
      <c r="R72" s="315"/>
      <c r="S72" s="315"/>
      <c r="T72" s="315"/>
    </row>
    <row r="73" spans="1:20" ht="63">
      <c r="A73" s="5">
        <v>61</v>
      </c>
      <c r="B73" s="17" t="s">
        <v>53</v>
      </c>
      <c r="C73" s="349"/>
      <c r="D73" s="327"/>
      <c r="E73" s="373"/>
      <c r="F73" s="320"/>
      <c r="G73" s="343"/>
      <c r="H73" s="320"/>
      <c r="I73" s="320"/>
      <c r="J73" s="320"/>
      <c r="K73" s="344"/>
      <c r="L73" s="315"/>
      <c r="M73" s="374"/>
      <c r="N73" s="374"/>
      <c r="O73" s="320"/>
      <c r="P73" s="323"/>
      <c r="Q73" s="312"/>
      <c r="R73" s="315"/>
      <c r="S73" s="315"/>
      <c r="T73" s="315"/>
    </row>
    <row r="74" spans="1:20" ht="63">
      <c r="A74" s="5">
        <v>62</v>
      </c>
      <c r="B74" s="17" t="s">
        <v>94</v>
      </c>
      <c r="C74" s="349"/>
      <c r="D74" s="327"/>
      <c r="E74" s="373"/>
      <c r="F74" s="320"/>
      <c r="G74" s="343"/>
      <c r="H74" s="320"/>
      <c r="I74" s="320"/>
      <c r="J74" s="320"/>
      <c r="K74" s="344"/>
      <c r="L74" s="315"/>
      <c r="M74" s="374"/>
      <c r="N74" s="374"/>
      <c r="O74" s="320"/>
      <c r="P74" s="323"/>
      <c r="Q74" s="312"/>
      <c r="R74" s="315"/>
      <c r="S74" s="315"/>
      <c r="T74" s="315"/>
    </row>
    <row r="75" spans="1:20" ht="63">
      <c r="A75" s="5">
        <v>63</v>
      </c>
      <c r="B75" s="17" t="s">
        <v>95</v>
      </c>
      <c r="C75" s="349"/>
      <c r="D75" s="327"/>
      <c r="E75" s="373"/>
      <c r="F75" s="320"/>
      <c r="G75" s="343"/>
      <c r="H75" s="320"/>
      <c r="I75" s="320"/>
      <c r="J75" s="320"/>
      <c r="K75" s="344"/>
      <c r="L75" s="315"/>
      <c r="M75" s="374"/>
      <c r="N75" s="374"/>
      <c r="O75" s="320"/>
      <c r="P75" s="323"/>
      <c r="Q75" s="312"/>
      <c r="R75" s="315"/>
      <c r="S75" s="315"/>
      <c r="T75" s="315"/>
    </row>
    <row r="76" spans="1:20" ht="63">
      <c r="A76" s="5">
        <v>64</v>
      </c>
      <c r="B76" s="17" t="s">
        <v>54</v>
      </c>
      <c r="C76" s="349"/>
      <c r="D76" s="327"/>
      <c r="E76" s="373"/>
      <c r="F76" s="320"/>
      <c r="G76" s="343"/>
      <c r="H76" s="320"/>
      <c r="I76" s="320"/>
      <c r="J76" s="320"/>
      <c r="K76" s="344"/>
      <c r="L76" s="315"/>
      <c r="M76" s="374"/>
      <c r="N76" s="374"/>
      <c r="O76" s="320"/>
      <c r="P76" s="323"/>
      <c r="Q76" s="312"/>
      <c r="R76" s="315"/>
      <c r="S76" s="315"/>
      <c r="T76" s="315"/>
    </row>
    <row r="77" spans="1:20" ht="78.75">
      <c r="A77" s="5">
        <v>65</v>
      </c>
      <c r="B77" s="17" t="s">
        <v>55</v>
      </c>
      <c r="C77" s="350"/>
      <c r="D77" s="327"/>
      <c r="E77" s="346"/>
      <c r="F77" s="321"/>
      <c r="G77" s="343"/>
      <c r="H77" s="321"/>
      <c r="I77" s="321"/>
      <c r="J77" s="321"/>
      <c r="K77" s="344"/>
      <c r="L77" s="316"/>
      <c r="M77" s="374"/>
      <c r="N77" s="374"/>
      <c r="O77" s="321"/>
      <c r="P77" s="324"/>
      <c r="Q77" s="313"/>
      <c r="R77" s="316"/>
      <c r="S77" s="316"/>
      <c r="T77" s="316"/>
    </row>
    <row r="78" spans="1:20" ht="47.25">
      <c r="A78" s="5">
        <v>66</v>
      </c>
      <c r="B78" s="17" t="s">
        <v>96</v>
      </c>
      <c r="C78" s="18" t="s">
        <v>138</v>
      </c>
      <c r="D78" s="22" t="s">
        <v>104</v>
      </c>
      <c r="E78" s="148">
        <v>10</v>
      </c>
      <c r="F78" s="15">
        <v>30</v>
      </c>
      <c r="G78" s="15">
        <v>20</v>
      </c>
      <c r="H78" s="15">
        <v>46</v>
      </c>
      <c r="I78" s="15">
        <v>40</v>
      </c>
      <c r="J78" s="15">
        <v>46</v>
      </c>
      <c r="K78" s="16">
        <f>LMpielik_19_LMZino!O84</f>
        <v>1218.56</v>
      </c>
      <c r="L78" s="16">
        <f>I78*K78</f>
        <v>48742.399999999994</v>
      </c>
      <c r="M78" s="374"/>
      <c r="N78" s="374"/>
      <c r="O78" s="15">
        <f>F78+G78-H78</f>
        <v>4</v>
      </c>
      <c r="P78" s="37">
        <f>E78+I78-J78</f>
        <v>4</v>
      </c>
      <c r="Q78" s="5">
        <v>12</v>
      </c>
      <c r="R78" s="16">
        <f>K78/1.12</f>
        <v>1087.9999999999998</v>
      </c>
      <c r="S78" s="16">
        <f>K78-R78</f>
        <v>130.56000000000017</v>
      </c>
      <c r="T78" s="16">
        <f>I78*S78</f>
        <v>5222.400000000007</v>
      </c>
    </row>
    <row r="79" spans="1:20" ht="31.5">
      <c r="A79" s="5">
        <v>67</v>
      </c>
      <c r="B79" s="17" t="s">
        <v>52</v>
      </c>
      <c r="C79" s="342" t="s">
        <v>128</v>
      </c>
      <c r="D79" s="326" t="s">
        <v>104</v>
      </c>
      <c r="E79" s="345">
        <v>86</v>
      </c>
      <c r="F79" s="319">
        <v>12</v>
      </c>
      <c r="G79" s="343">
        <v>53</v>
      </c>
      <c r="H79" s="319">
        <v>65</v>
      </c>
      <c r="I79" s="319"/>
      <c r="J79" s="319">
        <v>65</v>
      </c>
      <c r="K79" s="344">
        <f>LMpielik_19_LMZino!O86</f>
        <v>189.952</v>
      </c>
      <c r="L79" s="314">
        <f>I79*K79</f>
        <v>0</v>
      </c>
      <c r="M79" s="374"/>
      <c r="N79" s="374"/>
      <c r="O79" s="319">
        <f>F79+G79-H79</f>
        <v>0</v>
      </c>
      <c r="P79" s="322">
        <f>E79+I79-J79</f>
        <v>21</v>
      </c>
      <c r="Q79" s="311">
        <v>12</v>
      </c>
      <c r="R79" s="314">
        <f>K79/1.12</f>
        <v>169.6</v>
      </c>
      <c r="S79" s="314">
        <f>K79-R79</f>
        <v>20.352000000000004</v>
      </c>
      <c r="T79" s="314">
        <f>I79*S79</f>
        <v>0</v>
      </c>
    </row>
    <row r="80" spans="1:20" ht="47.25">
      <c r="A80" s="5">
        <v>68</v>
      </c>
      <c r="B80" s="17" t="s">
        <v>84</v>
      </c>
      <c r="C80" s="342"/>
      <c r="D80" s="327"/>
      <c r="E80" s="346"/>
      <c r="F80" s="321"/>
      <c r="G80" s="343"/>
      <c r="H80" s="321"/>
      <c r="I80" s="321"/>
      <c r="J80" s="321"/>
      <c r="K80" s="344"/>
      <c r="L80" s="316"/>
      <c r="M80" s="374"/>
      <c r="N80" s="374"/>
      <c r="O80" s="321"/>
      <c r="P80" s="324"/>
      <c r="Q80" s="313"/>
      <c r="R80" s="316"/>
      <c r="S80" s="316"/>
      <c r="T80" s="316"/>
    </row>
    <row r="81" spans="1:20" ht="31.5">
      <c r="A81" s="5">
        <v>69</v>
      </c>
      <c r="B81" s="17" t="s">
        <v>76</v>
      </c>
      <c r="C81" s="342" t="s">
        <v>130</v>
      </c>
      <c r="D81" s="326" t="s">
        <v>104</v>
      </c>
      <c r="E81" s="345">
        <v>65</v>
      </c>
      <c r="F81" s="319">
        <v>46</v>
      </c>
      <c r="G81" s="343">
        <v>86</v>
      </c>
      <c r="H81" s="319">
        <v>124</v>
      </c>
      <c r="I81" s="319">
        <v>67</v>
      </c>
      <c r="J81" s="319">
        <v>124</v>
      </c>
      <c r="K81" s="344">
        <f>LMpielik_19_LMZino!O88</f>
        <v>790.5277073170732</v>
      </c>
      <c r="L81" s="314">
        <f>I81*K81</f>
        <v>52965.356390243905</v>
      </c>
      <c r="M81" s="374"/>
      <c r="N81" s="374"/>
      <c r="O81" s="319">
        <f>F81+G81-H81</f>
        <v>8</v>
      </c>
      <c r="P81" s="322">
        <f>E81+I81-J81</f>
        <v>8</v>
      </c>
      <c r="Q81" s="311">
        <v>12</v>
      </c>
      <c r="R81" s="314">
        <f>K81/1.12</f>
        <v>705.8283101045296</v>
      </c>
      <c r="S81" s="314">
        <f>K81-R81</f>
        <v>84.69939721254366</v>
      </c>
      <c r="T81" s="314">
        <f>I81*S81</f>
        <v>5674.8596132404255</v>
      </c>
    </row>
    <row r="82" spans="1:20" ht="31.5">
      <c r="A82" s="5">
        <v>70</v>
      </c>
      <c r="B82" s="17" t="s">
        <v>97</v>
      </c>
      <c r="C82" s="342"/>
      <c r="D82" s="347"/>
      <c r="E82" s="373"/>
      <c r="F82" s="320"/>
      <c r="G82" s="343"/>
      <c r="H82" s="320"/>
      <c r="I82" s="320"/>
      <c r="J82" s="320"/>
      <c r="K82" s="344"/>
      <c r="L82" s="315"/>
      <c r="M82" s="374"/>
      <c r="N82" s="374"/>
      <c r="O82" s="320"/>
      <c r="P82" s="323"/>
      <c r="Q82" s="312"/>
      <c r="R82" s="315"/>
      <c r="S82" s="315"/>
      <c r="T82" s="315"/>
    </row>
    <row r="83" spans="1:20" ht="47.25">
      <c r="A83" s="5">
        <v>71</v>
      </c>
      <c r="B83" s="17" t="s">
        <v>98</v>
      </c>
      <c r="C83" s="342"/>
      <c r="D83" s="347"/>
      <c r="E83" s="373"/>
      <c r="F83" s="320"/>
      <c r="G83" s="343"/>
      <c r="H83" s="320"/>
      <c r="I83" s="320"/>
      <c r="J83" s="320"/>
      <c r="K83" s="344"/>
      <c r="L83" s="315"/>
      <c r="M83" s="374"/>
      <c r="N83" s="374"/>
      <c r="O83" s="320"/>
      <c r="P83" s="323"/>
      <c r="Q83" s="312"/>
      <c r="R83" s="315"/>
      <c r="S83" s="315"/>
      <c r="T83" s="315"/>
    </row>
    <row r="84" spans="1:20" ht="31.5">
      <c r="A84" s="5">
        <v>72</v>
      </c>
      <c r="B84" s="17" t="s">
        <v>47</v>
      </c>
      <c r="C84" s="342"/>
      <c r="D84" s="347"/>
      <c r="E84" s="373"/>
      <c r="F84" s="320"/>
      <c r="G84" s="343"/>
      <c r="H84" s="320"/>
      <c r="I84" s="320"/>
      <c r="J84" s="320"/>
      <c r="K84" s="344"/>
      <c r="L84" s="315"/>
      <c r="M84" s="374"/>
      <c r="N84" s="374"/>
      <c r="O84" s="320"/>
      <c r="P84" s="323"/>
      <c r="Q84" s="312"/>
      <c r="R84" s="315"/>
      <c r="S84" s="315"/>
      <c r="T84" s="315"/>
    </row>
    <row r="85" spans="1:20" ht="15.75">
      <c r="A85" s="5">
        <v>73</v>
      </c>
      <c r="B85" s="17" t="s">
        <v>48</v>
      </c>
      <c r="C85" s="342"/>
      <c r="D85" s="347"/>
      <c r="E85" s="373"/>
      <c r="F85" s="320"/>
      <c r="G85" s="343"/>
      <c r="H85" s="320"/>
      <c r="I85" s="320"/>
      <c r="J85" s="320"/>
      <c r="K85" s="344"/>
      <c r="L85" s="315"/>
      <c r="M85" s="374"/>
      <c r="N85" s="374"/>
      <c r="O85" s="320"/>
      <c r="P85" s="323"/>
      <c r="Q85" s="312"/>
      <c r="R85" s="315"/>
      <c r="S85" s="315"/>
      <c r="T85" s="315"/>
    </row>
    <row r="86" spans="1:20" ht="31.5">
      <c r="A86" s="5">
        <v>74</v>
      </c>
      <c r="B86" s="17" t="s">
        <v>91</v>
      </c>
      <c r="C86" s="342"/>
      <c r="D86" s="347"/>
      <c r="E86" s="373"/>
      <c r="F86" s="320"/>
      <c r="G86" s="343"/>
      <c r="H86" s="320"/>
      <c r="I86" s="320"/>
      <c r="J86" s="320"/>
      <c r="K86" s="347"/>
      <c r="L86" s="315"/>
      <c r="M86" s="374"/>
      <c r="N86" s="374"/>
      <c r="O86" s="320"/>
      <c r="P86" s="323"/>
      <c r="Q86" s="312"/>
      <c r="R86" s="315"/>
      <c r="S86" s="315"/>
      <c r="T86" s="315"/>
    </row>
    <row r="87" spans="1:20" ht="31.5">
      <c r="A87" s="5">
        <v>75</v>
      </c>
      <c r="B87" s="17" t="s">
        <v>49</v>
      </c>
      <c r="C87" s="342"/>
      <c r="D87" s="347"/>
      <c r="E87" s="346"/>
      <c r="F87" s="321"/>
      <c r="G87" s="343"/>
      <c r="H87" s="321"/>
      <c r="I87" s="321"/>
      <c r="J87" s="321"/>
      <c r="K87" s="347"/>
      <c r="L87" s="316"/>
      <c r="M87" s="374"/>
      <c r="N87" s="374"/>
      <c r="O87" s="321"/>
      <c r="P87" s="324"/>
      <c r="Q87" s="313"/>
      <c r="R87" s="316"/>
      <c r="S87" s="316"/>
      <c r="T87" s="316"/>
    </row>
    <row r="88" spans="1:20" ht="31.5">
      <c r="A88" s="5">
        <v>76</v>
      </c>
      <c r="B88" s="17" t="s">
        <v>99</v>
      </c>
      <c r="C88" s="342" t="s">
        <v>147</v>
      </c>
      <c r="D88" s="342" t="s">
        <v>104</v>
      </c>
      <c r="E88" s="345">
        <v>16</v>
      </c>
      <c r="F88" s="319">
        <v>92</v>
      </c>
      <c r="G88" s="343">
        <v>75</v>
      </c>
      <c r="H88" s="319">
        <v>155</v>
      </c>
      <c r="I88" s="319">
        <v>151</v>
      </c>
      <c r="J88" s="319">
        <v>155</v>
      </c>
      <c r="K88" s="344">
        <f>LMpielik_19_LMZino!O97</f>
        <v>414.03125</v>
      </c>
      <c r="L88" s="314">
        <f>I88*K88</f>
        <v>62518.71875</v>
      </c>
      <c r="M88" s="374"/>
      <c r="N88" s="374"/>
      <c r="O88" s="319">
        <f>F88+G88-H88</f>
        <v>12</v>
      </c>
      <c r="P88" s="322">
        <f>E88+I88-J88</f>
        <v>12</v>
      </c>
      <c r="Q88" s="311">
        <v>12</v>
      </c>
      <c r="R88" s="314">
        <f>K88/1.12</f>
        <v>369.6707589285714</v>
      </c>
      <c r="S88" s="314">
        <f>K88-R88</f>
        <v>44.36049107142861</v>
      </c>
      <c r="T88" s="314">
        <f>I88*S88</f>
        <v>6698.43415178572</v>
      </c>
    </row>
    <row r="89" spans="1:20" ht="47.25">
      <c r="A89" s="5">
        <v>77</v>
      </c>
      <c r="B89" s="17" t="s">
        <v>113</v>
      </c>
      <c r="C89" s="342"/>
      <c r="D89" s="342"/>
      <c r="E89" s="346"/>
      <c r="F89" s="321"/>
      <c r="G89" s="343"/>
      <c r="H89" s="321"/>
      <c r="I89" s="321"/>
      <c r="J89" s="321"/>
      <c r="K89" s="344"/>
      <c r="L89" s="316"/>
      <c r="M89" s="374"/>
      <c r="N89" s="374"/>
      <c r="O89" s="321"/>
      <c r="P89" s="324"/>
      <c r="Q89" s="313"/>
      <c r="R89" s="316"/>
      <c r="S89" s="316"/>
      <c r="T89" s="316"/>
    </row>
    <row r="90" spans="1:20" ht="15.75">
      <c r="A90" s="5">
        <v>78</v>
      </c>
      <c r="B90" s="13" t="s">
        <v>14</v>
      </c>
      <c r="C90" s="4" t="s">
        <v>145</v>
      </c>
      <c r="D90" s="24" t="s">
        <v>104</v>
      </c>
      <c r="E90" s="148">
        <v>9</v>
      </c>
      <c r="F90" s="15">
        <v>22</v>
      </c>
      <c r="G90" s="15">
        <v>61</v>
      </c>
      <c r="H90" s="15">
        <v>73</v>
      </c>
      <c r="I90" s="15">
        <v>74</v>
      </c>
      <c r="J90" s="15">
        <v>73</v>
      </c>
      <c r="K90" s="16">
        <f>LMpielik_19_LMZino!O103</f>
        <v>50.98</v>
      </c>
      <c r="L90" s="16">
        <f>I90*K90</f>
        <v>3772.52</v>
      </c>
      <c r="M90" s="374"/>
      <c r="N90" s="374"/>
      <c r="O90" s="15">
        <f>F90+G90-H90</f>
        <v>10</v>
      </c>
      <c r="P90" s="37">
        <f>E90+I90-J90</f>
        <v>10</v>
      </c>
      <c r="Q90" s="5">
        <v>12</v>
      </c>
      <c r="R90" s="16">
        <f>K90/1.12</f>
        <v>45.51785714285714</v>
      </c>
      <c r="S90" s="16">
        <f>K90-R90</f>
        <v>5.462142857142858</v>
      </c>
      <c r="T90" s="16">
        <f>I90*S90</f>
        <v>404.1985714285715</v>
      </c>
    </row>
    <row r="91" spans="1:20" ht="15.75">
      <c r="A91" s="5">
        <v>79</v>
      </c>
      <c r="B91" s="102" t="s">
        <v>42</v>
      </c>
      <c r="C91" s="328" t="s">
        <v>135</v>
      </c>
      <c r="D91" s="326" t="s">
        <v>106</v>
      </c>
      <c r="E91" s="345">
        <v>7</v>
      </c>
      <c r="F91" s="319">
        <v>9</v>
      </c>
      <c r="G91" s="341">
        <v>13</v>
      </c>
      <c r="H91" s="338">
        <v>20</v>
      </c>
      <c r="I91" s="338">
        <v>15</v>
      </c>
      <c r="J91" s="338">
        <v>20</v>
      </c>
      <c r="K91" s="333">
        <f>LMpielik_19_LMZino!O68</f>
        <v>1329.523612718544</v>
      </c>
      <c r="L91" s="334">
        <f>I91*K91</f>
        <v>19942.85419077816</v>
      </c>
      <c r="M91" s="374"/>
      <c r="N91" s="374"/>
      <c r="O91" s="319">
        <f>F91+G91-H91</f>
        <v>2</v>
      </c>
      <c r="P91" s="322">
        <f>E91+I91-J91</f>
        <v>2</v>
      </c>
      <c r="Q91" s="311">
        <v>12</v>
      </c>
      <c r="R91" s="314">
        <f>K91/1.12</f>
        <v>1187.0746542129855</v>
      </c>
      <c r="S91" s="314">
        <f>K91-R91</f>
        <v>142.4489585055585</v>
      </c>
      <c r="T91" s="314">
        <f>I91*S91</f>
        <v>2136.7343775833774</v>
      </c>
    </row>
    <row r="92" spans="1:20" ht="15.75">
      <c r="A92" s="5">
        <v>80</v>
      </c>
      <c r="B92" s="102" t="s">
        <v>43</v>
      </c>
      <c r="C92" s="328"/>
      <c r="D92" s="326"/>
      <c r="E92" s="373"/>
      <c r="F92" s="320"/>
      <c r="G92" s="341"/>
      <c r="H92" s="339"/>
      <c r="I92" s="339"/>
      <c r="J92" s="339"/>
      <c r="K92" s="333"/>
      <c r="L92" s="335"/>
      <c r="M92" s="374"/>
      <c r="N92" s="374"/>
      <c r="O92" s="320"/>
      <c r="P92" s="323"/>
      <c r="Q92" s="312"/>
      <c r="R92" s="315"/>
      <c r="S92" s="315"/>
      <c r="T92" s="315"/>
    </row>
    <row r="93" spans="1:20" ht="15.75">
      <c r="A93" s="5">
        <v>81</v>
      </c>
      <c r="B93" s="102" t="s">
        <v>44</v>
      </c>
      <c r="C93" s="328"/>
      <c r="D93" s="326"/>
      <c r="E93" s="373"/>
      <c r="F93" s="320"/>
      <c r="G93" s="341"/>
      <c r="H93" s="339"/>
      <c r="I93" s="339"/>
      <c r="J93" s="339"/>
      <c r="K93" s="333"/>
      <c r="L93" s="335"/>
      <c r="M93" s="374"/>
      <c r="N93" s="374"/>
      <c r="O93" s="320"/>
      <c r="P93" s="323"/>
      <c r="Q93" s="312"/>
      <c r="R93" s="315"/>
      <c r="S93" s="315"/>
      <c r="T93" s="315"/>
    </row>
    <row r="94" spans="1:20" ht="31.5">
      <c r="A94" s="5">
        <v>82</v>
      </c>
      <c r="B94" s="102" t="s">
        <v>45</v>
      </c>
      <c r="C94" s="328"/>
      <c r="D94" s="326"/>
      <c r="E94" s="346"/>
      <c r="F94" s="321"/>
      <c r="G94" s="341"/>
      <c r="H94" s="340"/>
      <c r="I94" s="340"/>
      <c r="J94" s="340"/>
      <c r="K94" s="333"/>
      <c r="L94" s="336"/>
      <c r="M94" s="374"/>
      <c r="N94" s="374"/>
      <c r="O94" s="321"/>
      <c r="P94" s="324"/>
      <c r="Q94" s="313"/>
      <c r="R94" s="316"/>
      <c r="S94" s="316"/>
      <c r="T94" s="316"/>
    </row>
    <row r="95" spans="1:20" ht="31.5">
      <c r="A95" s="5">
        <v>83</v>
      </c>
      <c r="B95" s="102" t="s">
        <v>46</v>
      </c>
      <c r="C95" s="151" t="s">
        <v>46</v>
      </c>
      <c r="D95" s="154" t="s">
        <v>106</v>
      </c>
      <c r="E95" s="148">
        <v>15</v>
      </c>
      <c r="F95" s="15">
        <v>15</v>
      </c>
      <c r="G95" s="149">
        <v>14</v>
      </c>
      <c r="H95" s="149">
        <v>25</v>
      </c>
      <c r="I95" s="149">
        <v>14</v>
      </c>
      <c r="J95" s="149">
        <v>25</v>
      </c>
      <c r="K95" s="152">
        <f>LMpielik_19_LMZino!O96</f>
        <v>976.5300000000001</v>
      </c>
      <c r="L95" s="16">
        <f>I95*K95</f>
        <v>13671.420000000002</v>
      </c>
      <c r="M95" s="374"/>
      <c r="N95" s="374"/>
      <c r="O95" s="15">
        <f>F95+G95-H95</f>
        <v>4</v>
      </c>
      <c r="P95" s="37">
        <f>E95+I95-J95</f>
        <v>4</v>
      </c>
      <c r="Q95" s="5">
        <v>12</v>
      </c>
      <c r="R95" s="16">
        <f>K95/1.12</f>
        <v>871.9017857142857</v>
      </c>
      <c r="S95" s="16">
        <f>K95-R95</f>
        <v>104.62821428571442</v>
      </c>
      <c r="T95" s="16">
        <f>I95*S95</f>
        <v>1464.795000000002</v>
      </c>
    </row>
    <row r="96" spans="1:20" ht="15.75">
      <c r="A96" s="5">
        <v>84</v>
      </c>
      <c r="B96" s="102" t="s">
        <v>85</v>
      </c>
      <c r="C96" s="328" t="s">
        <v>131</v>
      </c>
      <c r="D96" s="328" t="s">
        <v>106</v>
      </c>
      <c r="E96" s="345">
        <v>11</v>
      </c>
      <c r="F96" s="319">
        <v>202</v>
      </c>
      <c r="G96" s="341">
        <v>158</v>
      </c>
      <c r="H96" s="338">
        <v>334</v>
      </c>
      <c r="I96" s="338">
        <v>349</v>
      </c>
      <c r="J96" s="338">
        <v>334</v>
      </c>
      <c r="K96" s="333">
        <f>LMpielik_19_LMZino!O99</f>
        <v>2931.2369594594597</v>
      </c>
      <c r="L96" s="334">
        <f>I96*K96</f>
        <v>1023001.6988513514</v>
      </c>
      <c r="M96" s="374"/>
      <c r="N96" s="374"/>
      <c r="O96" s="319">
        <f>F96+G96-H96</f>
        <v>26</v>
      </c>
      <c r="P96" s="322">
        <f>E96+I96-J96</f>
        <v>26</v>
      </c>
      <c r="Q96" s="311">
        <v>12</v>
      </c>
      <c r="R96" s="314">
        <f>K96/1.12</f>
        <v>2617.1758566602316</v>
      </c>
      <c r="S96" s="314">
        <f>K96-R96</f>
        <v>314.06110279922814</v>
      </c>
      <c r="T96" s="314">
        <f>I96*S96</f>
        <v>109607.32487693062</v>
      </c>
    </row>
    <row r="97" spans="1:20" ht="15.75">
      <c r="A97" s="5">
        <v>85</v>
      </c>
      <c r="B97" s="102" t="s">
        <v>58</v>
      </c>
      <c r="C97" s="328"/>
      <c r="D97" s="328"/>
      <c r="E97" s="373"/>
      <c r="F97" s="320"/>
      <c r="G97" s="341"/>
      <c r="H97" s="339"/>
      <c r="I97" s="339"/>
      <c r="J97" s="339"/>
      <c r="K97" s="333"/>
      <c r="L97" s="335"/>
      <c r="M97" s="374"/>
      <c r="N97" s="374"/>
      <c r="O97" s="320"/>
      <c r="P97" s="323"/>
      <c r="Q97" s="312"/>
      <c r="R97" s="315"/>
      <c r="S97" s="315"/>
      <c r="T97" s="315"/>
    </row>
    <row r="98" spans="1:20" ht="31.5">
      <c r="A98" s="5">
        <v>86</v>
      </c>
      <c r="B98" s="102" t="s">
        <v>86</v>
      </c>
      <c r="C98" s="328"/>
      <c r="D98" s="328"/>
      <c r="E98" s="373"/>
      <c r="F98" s="320"/>
      <c r="G98" s="341"/>
      <c r="H98" s="339"/>
      <c r="I98" s="339"/>
      <c r="J98" s="339"/>
      <c r="K98" s="333"/>
      <c r="L98" s="335"/>
      <c r="M98" s="374"/>
      <c r="N98" s="374"/>
      <c r="O98" s="320"/>
      <c r="P98" s="323"/>
      <c r="Q98" s="312"/>
      <c r="R98" s="315"/>
      <c r="S98" s="315"/>
      <c r="T98" s="315"/>
    </row>
    <row r="99" spans="1:20" ht="47.25">
      <c r="A99" s="5">
        <v>87</v>
      </c>
      <c r="B99" s="102" t="s">
        <v>100</v>
      </c>
      <c r="C99" s="328"/>
      <c r="D99" s="328"/>
      <c r="E99" s="346"/>
      <c r="F99" s="321"/>
      <c r="G99" s="341"/>
      <c r="H99" s="340"/>
      <c r="I99" s="340"/>
      <c r="J99" s="340"/>
      <c r="K99" s="333"/>
      <c r="L99" s="336"/>
      <c r="M99" s="374"/>
      <c r="N99" s="374"/>
      <c r="O99" s="321"/>
      <c r="P99" s="324"/>
      <c r="Q99" s="313"/>
      <c r="R99" s="316"/>
      <c r="S99" s="316"/>
      <c r="T99" s="316"/>
    </row>
    <row r="100" spans="1:20" ht="31.5">
      <c r="A100" s="5">
        <v>88</v>
      </c>
      <c r="B100" s="102" t="s">
        <v>57</v>
      </c>
      <c r="C100" s="151" t="s">
        <v>139</v>
      </c>
      <c r="D100" s="151" t="s">
        <v>105</v>
      </c>
      <c r="E100" s="148">
        <v>0</v>
      </c>
      <c r="F100" s="15">
        <v>14</v>
      </c>
      <c r="G100" s="149">
        <v>13</v>
      </c>
      <c r="H100" s="149">
        <v>24</v>
      </c>
      <c r="I100" s="149">
        <v>27</v>
      </c>
      <c r="J100" s="149">
        <v>24</v>
      </c>
      <c r="K100" s="152">
        <f>LMpielik_19_LMZino!O95</f>
        <v>4253.76</v>
      </c>
      <c r="L100" s="16">
        <f>I100*K100</f>
        <v>114851.52</v>
      </c>
      <c r="M100" s="374"/>
      <c r="N100" s="374"/>
      <c r="O100" s="15">
        <f>F100+G100-H100</f>
        <v>3</v>
      </c>
      <c r="P100" s="37">
        <f>E100+I100-J100</f>
        <v>3</v>
      </c>
      <c r="Q100" s="5">
        <v>12</v>
      </c>
      <c r="R100" s="16">
        <f>K100/1.12</f>
        <v>3798</v>
      </c>
      <c r="S100" s="16">
        <f>K100-R100</f>
        <v>455.7600000000002</v>
      </c>
      <c r="T100" s="16">
        <f>I100*S100</f>
        <v>12305.520000000006</v>
      </c>
    </row>
    <row r="101" spans="1:20" ht="63">
      <c r="A101" s="5">
        <v>89</v>
      </c>
      <c r="B101" s="102" t="s">
        <v>56</v>
      </c>
      <c r="C101" s="151" t="s">
        <v>56</v>
      </c>
      <c r="D101" s="150" t="s">
        <v>105</v>
      </c>
      <c r="E101" s="148">
        <v>0</v>
      </c>
      <c r="F101" s="15">
        <v>0</v>
      </c>
      <c r="G101" s="149">
        <f>LMpielik_18_LMZino!I110</f>
        <v>5</v>
      </c>
      <c r="H101" s="149">
        <v>5</v>
      </c>
      <c r="I101" s="149">
        <v>5</v>
      </c>
      <c r="J101" s="149">
        <v>5</v>
      </c>
      <c r="K101" s="152">
        <f>LMpielik_19_LMZino!O85</f>
        <v>3118.08</v>
      </c>
      <c r="L101" s="16">
        <f>I101*K101</f>
        <v>15590.4</v>
      </c>
      <c r="M101" s="374"/>
      <c r="N101" s="374"/>
      <c r="O101" s="15">
        <f>F101+G101-H101</f>
        <v>0</v>
      </c>
      <c r="P101" s="37">
        <f>E101+I101-J101</f>
        <v>0</v>
      </c>
      <c r="Q101" s="5">
        <v>12</v>
      </c>
      <c r="R101" s="16">
        <f>K101/1.12</f>
        <v>2783.9999999999995</v>
      </c>
      <c r="S101" s="16">
        <f>K101-R101</f>
        <v>334.0800000000004</v>
      </c>
      <c r="T101" s="16">
        <f>I101*S102</f>
        <v>6.8625000000000025</v>
      </c>
    </row>
    <row r="102" spans="1:20" ht="15.75">
      <c r="A102" s="5">
        <v>90</v>
      </c>
      <c r="B102" s="102" t="s">
        <v>28</v>
      </c>
      <c r="C102" s="328" t="s">
        <v>144</v>
      </c>
      <c r="D102" s="329" t="s">
        <v>105</v>
      </c>
      <c r="E102" s="345">
        <v>66</v>
      </c>
      <c r="F102" s="319">
        <v>0</v>
      </c>
      <c r="G102" s="341">
        <v>17</v>
      </c>
      <c r="H102" s="338">
        <v>17</v>
      </c>
      <c r="I102" s="338">
        <v>0</v>
      </c>
      <c r="J102" s="338">
        <v>17</v>
      </c>
      <c r="K102" s="333">
        <v>12.81</v>
      </c>
      <c r="L102" s="334">
        <f>J102*K102</f>
        <v>217.77</v>
      </c>
      <c r="M102" s="374"/>
      <c r="N102" s="374"/>
      <c r="O102" s="319">
        <f>F102+G102-H102</f>
        <v>0</v>
      </c>
      <c r="P102" s="322">
        <f>E102+I102-J102</f>
        <v>49</v>
      </c>
      <c r="Q102" s="311">
        <v>12</v>
      </c>
      <c r="R102" s="314">
        <f>K102/1.12</f>
        <v>11.4375</v>
      </c>
      <c r="S102" s="314">
        <f>K102-R102</f>
        <v>1.3725000000000005</v>
      </c>
      <c r="T102" s="314">
        <f>I102*S102</f>
        <v>0</v>
      </c>
    </row>
    <row r="103" spans="1:20" ht="15.75">
      <c r="A103" s="5">
        <v>91</v>
      </c>
      <c r="B103" s="102" t="s">
        <v>29</v>
      </c>
      <c r="C103" s="328"/>
      <c r="D103" s="329"/>
      <c r="E103" s="373"/>
      <c r="F103" s="320"/>
      <c r="G103" s="341"/>
      <c r="H103" s="339"/>
      <c r="I103" s="339"/>
      <c r="J103" s="339"/>
      <c r="K103" s="333"/>
      <c r="L103" s="335"/>
      <c r="M103" s="374"/>
      <c r="N103" s="374"/>
      <c r="O103" s="320"/>
      <c r="P103" s="323"/>
      <c r="Q103" s="312"/>
      <c r="R103" s="315"/>
      <c r="S103" s="315"/>
      <c r="T103" s="315"/>
    </row>
    <row r="104" spans="1:20" ht="15.75">
      <c r="A104" s="5">
        <v>92</v>
      </c>
      <c r="B104" s="102" t="s">
        <v>30</v>
      </c>
      <c r="C104" s="328"/>
      <c r="D104" s="329"/>
      <c r="E104" s="346"/>
      <c r="F104" s="321"/>
      <c r="G104" s="341"/>
      <c r="H104" s="340"/>
      <c r="I104" s="340"/>
      <c r="J104" s="340"/>
      <c r="K104" s="333"/>
      <c r="L104" s="336"/>
      <c r="M104" s="374"/>
      <c r="N104" s="374"/>
      <c r="O104" s="321"/>
      <c r="P104" s="324"/>
      <c r="Q104" s="313"/>
      <c r="R104" s="316"/>
      <c r="S104" s="316"/>
      <c r="T104" s="316"/>
    </row>
    <row r="105" spans="1:20" ht="15.75">
      <c r="A105" s="330" t="s">
        <v>185</v>
      </c>
      <c r="B105" s="331"/>
      <c r="C105" s="332"/>
      <c r="D105" s="133"/>
      <c r="E105" s="134">
        <f aca="true" t="shared" si="4" ref="E105:L105">SUM(E107:E108)+SUM(E110:E116)+E117+E119+SUM(E121:E123)</f>
        <v>12</v>
      </c>
      <c r="F105" s="134">
        <f t="shared" si="4"/>
        <v>178</v>
      </c>
      <c r="G105" s="134">
        <f t="shared" si="4"/>
        <v>254</v>
      </c>
      <c r="H105" s="134">
        <f t="shared" si="4"/>
        <v>373</v>
      </c>
      <c r="I105" s="134">
        <f t="shared" si="4"/>
        <v>420</v>
      </c>
      <c r="J105" s="134">
        <f t="shared" si="4"/>
        <v>373</v>
      </c>
      <c r="K105" s="164">
        <f t="shared" si="4"/>
        <v>18157.44</v>
      </c>
      <c r="L105" s="164">
        <f t="shared" si="4"/>
        <v>571956.0000000001</v>
      </c>
      <c r="M105" s="374"/>
      <c r="N105" s="374"/>
      <c r="O105" s="134">
        <f>SUM(O107:O108)+SUM(O110:O116)+O117+O119+SUM(O121:O123)</f>
        <v>59</v>
      </c>
      <c r="P105" s="134">
        <f>SUM(P107:P108)+SUM(P110:P116)+P117+P119+SUM(P121:P123)</f>
        <v>59</v>
      </c>
      <c r="Q105" s="228" t="s">
        <v>112</v>
      </c>
      <c r="R105" s="164">
        <f>SUM(R107:R108)+SUM(R110:R116)+R117+R119+SUM(R121:R123)</f>
        <v>16114.11570247934</v>
      </c>
      <c r="S105" s="164">
        <f>SUM(S107:S108)+SUM(S110:S116)+S117+S119+SUM(S121:S123)</f>
        <v>2043.3242975206622</v>
      </c>
      <c r="T105" s="164">
        <f>SUM(T107:T108)+SUM(T110:T116)+T117+T119+SUM(T121:T123)</f>
        <v>63238.68595041326</v>
      </c>
    </row>
    <row r="106" spans="1:20" ht="15.75" customHeight="1">
      <c r="A106" s="150"/>
      <c r="B106" s="132" t="s">
        <v>198</v>
      </c>
      <c r="C106" s="192"/>
      <c r="D106" s="150"/>
      <c r="E106" s="150"/>
      <c r="F106" s="150"/>
      <c r="G106" s="149"/>
      <c r="H106" s="149"/>
      <c r="I106" s="149"/>
      <c r="J106" s="149"/>
      <c r="K106" s="191"/>
      <c r="L106" s="193"/>
      <c r="M106" s="374"/>
      <c r="N106" s="374"/>
      <c r="O106" s="225"/>
      <c r="P106" s="229"/>
      <c r="Q106" s="175"/>
      <c r="R106" s="165"/>
      <c r="S106" s="165"/>
      <c r="T106" s="165"/>
    </row>
    <row r="107" spans="1:20" ht="15.75">
      <c r="A107" s="150">
        <v>93</v>
      </c>
      <c r="B107" s="131" t="s">
        <v>190</v>
      </c>
      <c r="C107" s="192"/>
      <c r="D107" s="150"/>
      <c r="E107" s="163">
        <v>2</v>
      </c>
      <c r="F107" s="156">
        <v>0</v>
      </c>
      <c r="G107" s="149">
        <f>LMpielik_18_LMZino!I138</f>
        <v>8</v>
      </c>
      <c r="H107" s="149">
        <v>6</v>
      </c>
      <c r="I107" s="149">
        <v>6</v>
      </c>
      <c r="J107" s="149">
        <v>6</v>
      </c>
      <c r="K107" s="191">
        <f>LMpielik_19_LMZino!O104</f>
        <v>235.2</v>
      </c>
      <c r="L107" s="193">
        <f>I107*K107</f>
        <v>1411.1999999999998</v>
      </c>
      <c r="M107" s="374"/>
      <c r="N107" s="374"/>
      <c r="O107" s="15">
        <v>2</v>
      </c>
      <c r="P107" s="174">
        <f aca="true" t="shared" si="5" ref="P107:P123">E107+I107-J107</f>
        <v>2</v>
      </c>
      <c r="Q107" s="23">
        <v>12</v>
      </c>
      <c r="R107" s="165">
        <f>K107/1.12</f>
        <v>209.99999999999997</v>
      </c>
      <c r="S107" s="165">
        <f>K107-R107</f>
        <v>25.200000000000017</v>
      </c>
      <c r="T107" s="165">
        <f>I107*S107</f>
        <v>151.2000000000001</v>
      </c>
    </row>
    <row r="108" spans="1:20" ht="15.75">
      <c r="A108" s="150">
        <v>94</v>
      </c>
      <c r="B108" s="131" t="s">
        <v>191</v>
      </c>
      <c r="C108" s="192"/>
      <c r="D108" s="150"/>
      <c r="E108" s="187">
        <v>0</v>
      </c>
      <c r="F108" s="194">
        <v>2</v>
      </c>
      <c r="G108" s="226">
        <f>LMpielik_18_LMZino!I139</f>
        <v>2</v>
      </c>
      <c r="H108" s="149">
        <v>2</v>
      </c>
      <c r="I108" s="149">
        <v>4</v>
      </c>
      <c r="J108" s="149">
        <v>2</v>
      </c>
      <c r="K108" s="191">
        <f>LMpielik_19_LMZino!O105</f>
        <v>275.52</v>
      </c>
      <c r="L108" s="193">
        <f>I108*K108</f>
        <v>1102.08</v>
      </c>
      <c r="M108" s="374"/>
      <c r="N108" s="374"/>
      <c r="O108" s="15">
        <f aca="true" t="shared" si="6" ref="O108:O123">F108+G108-H108</f>
        <v>2</v>
      </c>
      <c r="P108" s="174">
        <f t="shared" si="5"/>
        <v>2</v>
      </c>
      <c r="Q108" s="23">
        <v>12</v>
      </c>
      <c r="R108" s="165">
        <f>K108/1.12</f>
        <v>245.99999999999997</v>
      </c>
      <c r="S108" s="165">
        <f>K108-R108</f>
        <v>29.52000000000001</v>
      </c>
      <c r="T108" s="165">
        <f>I108*S108</f>
        <v>118.08000000000004</v>
      </c>
    </row>
    <row r="109" spans="1:20" ht="15.75">
      <c r="A109" s="150"/>
      <c r="B109" s="132" t="s">
        <v>192</v>
      </c>
      <c r="C109" s="192"/>
      <c r="D109" s="150"/>
      <c r="E109" s="150"/>
      <c r="F109" s="150"/>
      <c r="G109" s="149"/>
      <c r="H109" s="149"/>
      <c r="I109" s="149"/>
      <c r="J109" s="149"/>
      <c r="K109" s="191"/>
      <c r="L109" s="193"/>
      <c r="M109" s="374"/>
      <c r="N109" s="374"/>
      <c r="O109" s="15"/>
      <c r="P109" s="174"/>
      <c r="Q109" s="23"/>
      <c r="R109" s="165"/>
      <c r="S109" s="165"/>
      <c r="T109" s="165"/>
    </row>
    <row r="110" spans="1:20" ht="15.75">
      <c r="A110" s="150">
        <v>95</v>
      </c>
      <c r="B110" s="131" t="s">
        <v>193</v>
      </c>
      <c r="C110" s="192"/>
      <c r="D110" s="150"/>
      <c r="E110" s="163">
        <v>2</v>
      </c>
      <c r="F110" s="156">
        <v>18</v>
      </c>
      <c r="G110" s="149">
        <f>LMpielik_18_LMZino!I140</f>
        <v>36</v>
      </c>
      <c r="H110" s="149">
        <v>45</v>
      </c>
      <c r="I110" s="149">
        <v>52</v>
      </c>
      <c r="J110" s="149">
        <v>45</v>
      </c>
      <c r="K110" s="191">
        <f>LMpielik_19_LMZino!O106</f>
        <v>246.4</v>
      </c>
      <c r="L110" s="193">
        <f aca="true" t="shared" si="7" ref="L110:L115">I110*K110</f>
        <v>12812.800000000001</v>
      </c>
      <c r="M110" s="374"/>
      <c r="N110" s="374"/>
      <c r="O110" s="15">
        <f t="shared" si="6"/>
        <v>9</v>
      </c>
      <c r="P110" s="174">
        <f t="shared" si="5"/>
        <v>9</v>
      </c>
      <c r="Q110" s="23">
        <v>12</v>
      </c>
      <c r="R110" s="165">
        <f>K110/1.12</f>
        <v>219.99999999999997</v>
      </c>
      <c r="S110" s="165">
        <f aca="true" t="shared" si="8" ref="S110:S115">K110-R110</f>
        <v>26.400000000000034</v>
      </c>
      <c r="T110" s="165">
        <f aca="true" t="shared" si="9" ref="T110:T115">I110*S110</f>
        <v>1372.8000000000018</v>
      </c>
    </row>
    <row r="111" spans="1:20" ht="15.75">
      <c r="A111" s="150">
        <v>96</v>
      </c>
      <c r="B111" s="131" t="s">
        <v>194</v>
      </c>
      <c r="C111" s="192"/>
      <c r="D111" s="150"/>
      <c r="E111" s="187">
        <v>0</v>
      </c>
      <c r="F111" s="194">
        <v>3</v>
      </c>
      <c r="G111" s="226">
        <f>LMpielik_18_LMZino!I141</f>
        <v>3</v>
      </c>
      <c r="H111" s="149">
        <v>3</v>
      </c>
      <c r="I111" s="149">
        <v>6</v>
      </c>
      <c r="J111" s="149">
        <v>3</v>
      </c>
      <c r="K111" s="191">
        <f>LMpielik_19_LMZino!O107</f>
        <v>5958.4</v>
      </c>
      <c r="L111" s="193">
        <f t="shared" si="7"/>
        <v>35750.399999999994</v>
      </c>
      <c r="M111" s="374"/>
      <c r="N111" s="374"/>
      <c r="O111" s="15">
        <f t="shared" si="6"/>
        <v>3</v>
      </c>
      <c r="P111" s="174">
        <f t="shared" si="5"/>
        <v>3</v>
      </c>
      <c r="Q111" s="23">
        <v>12</v>
      </c>
      <c r="R111" s="165">
        <f aca="true" t="shared" si="10" ref="R111:R119">K111/1.12</f>
        <v>5319.999999999999</v>
      </c>
      <c r="S111" s="165">
        <f t="shared" si="8"/>
        <v>638.4000000000005</v>
      </c>
      <c r="T111" s="165">
        <f t="shared" si="9"/>
        <v>3830.4000000000033</v>
      </c>
    </row>
    <row r="112" spans="1:20" ht="15.75">
      <c r="A112" s="150">
        <v>97</v>
      </c>
      <c r="B112" s="131" t="s">
        <v>195</v>
      </c>
      <c r="C112" s="192"/>
      <c r="D112" s="150"/>
      <c r="E112" s="187">
        <v>2</v>
      </c>
      <c r="F112" s="194">
        <v>18</v>
      </c>
      <c r="G112" s="226">
        <f>LMpielik_18_LMZino!I142</f>
        <v>36</v>
      </c>
      <c r="H112" s="149">
        <v>45</v>
      </c>
      <c r="I112" s="149">
        <v>52</v>
      </c>
      <c r="J112" s="149">
        <v>45</v>
      </c>
      <c r="K112" s="191">
        <f>LMpielik_19_LMZino!O108</f>
        <v>1329.44</v>
      </c>
      <c r="L112" s="193">
        <f t="shared" si="7"/>
        <v>69130.88</v>
      </c>
      <c r="M112" s="374"/>
      <c r="N112" s="374"/>
      <c r="O112" s="15">
        <f t="shared" si="6"/>
        <v>9</v>
      </c>
      <c r="P112" s="174">
        <f t="shared" si="5"/>
        <v>9</v>
      </c>
      <c r="Q112" s="23">
        <v>12</v>
      </c>
      <c r="R112" s="165">
        <f t="shared" si="10"/>
        <v>1187</v>
      </c>
      <c r="S112" s="165">
        <f t="shared" si="8"/>
        <v>142.44000000000005</v>
      </c>
      <c r="T112" s="165">
        <f t="shared" si="9"/>
        <v>7406.880000000003</v>
      </c>
    </row>
    <row r="113" spans="1:20" ht="31.5">
      <c r="A113" s="190">
        <v>98</v>
      </c>
      <c r="B113" s="131" t="s">
        <v>196</v>
      </c>
      <c r="C113" s="192"/>
      <c r="D113" s="150"/>
      <c r="E113" s="187">
        <v>2</v>
      </c>
      <c r="F113" s="194">
        <v>31</v>
      </c>
      <c r="G113" s="226">
        <f>LMpielik_18_LMZino!I143</f>
        <v>48</v>
      </c>
      <c r="H113" s="149">
        <v>67</v>
      </c>
      <c r="I113" s="149">
        <v>77</v>
      </c>
      <c r="J113" s="149">
        <v>67</v>
      </c>
      <c r="K113" s="191">
        <f>LMpielik_19_LMZino!O109</f>
        <v>3008.32</v>
      </c>
      <c r="L113" s="193">
        <f t="shared" si="7"/>
        <v>231640.64</v>
      </c>
      <c r="M113" s="374"/>
      <c r="N113" s="374"/>
      <c r="O113" s="15">
        <f t="shared" si="6"/>
        <v>12</v>
      </c>
      <c r="P113" s="174">
        <f t="shared" si="5"/>
        <v>12</v>
      </c>
      <c r="Q113" s="23">
        <v>12</v>
      </c>
      <c r="R113" s="165">
        <f t="shared" si="10"/>
        <v>2686</v>
      </c>
      <c r="S113" s="165">
        <f t="shared" si="8"/>
        <v>322.32000000000016</v>
      </c>
      <c r="T113" s="165">
        <f t="shared" si="9"/>
        <v>24818.640000000014</v>
      </c>
    </row>
    <row r="114" spans="1:20" ht="31.5">
      <c r="A114" s="190">
        <v>99</v>
      </c>
      <c r="B114" s="131" t="s">
        <v>197</v>
      </c>
      <c r="C114" s="192"/>
      <c r="D114" s="150"/>
      <c r="E114" s="187">
        <v>2</v>
      </c>
      <c r="F114" s="194">
        <v>35</v>
      </c>
      <c r="G114" s="226">
        <f>LMpielik_18_LMZino!I144</f>
        <v>42</v>
      </c>
      <c r="H114" s="149">
        <v>66</v>
      </c>
      <c r="I114" s="149">
        <v>75</v>
      </c>
      <c r="J114" s="149">
        <v>66</v>
      </c>
      <c r="K114" s="191">
        <f>LMpielik_19_LMZino!O110</f>
        <v>397.6</v>
      </c>
      <c r="L114" s="193">
        <f t="shared" si="7"/>
        <v>29820</v>
      </c>
      <c r="M114" s="374"/>
      <c r="N114" s="374"/>
      <c r="O114" s="15">
        <f t="shared" si="6"/>
        <v>11</v>
      </c>
      <c r="P114" s="174">
        <f t="shared" si="5"/>
        <v>11</v>
      </c>
      <c r="Q114" s="23">
        <v>12</v>
      </c>
      <c r="R114" s="165">
        <f t="shared" si="10"/>
        <v>355</v>
      </c>
      <c r="S114" s="165">
        <f t="shared" si="8"/>
        <v>42.60000000000002</v>
      </c>
      <c r="T114" s="165">
        <f t="shared" si="9"/>
        <v>3195.000000000002</v>
      </c>
    </row>
    <row r="115" spans="1:20" ht="31.5">
      <c r="A115" s="190">
        <v>100</v>
      </c>
      <c r="B115" s="131" t="s">
        <v>207</v>
      </c>
      <c r="C115" s="192"/>
      <c r="D115" s="150"/>
      <c r="E115" s="187">
        <v>2</v>
      </c>
      <c r="F115" s="194">
        <v>16</v>
      </c>
      <c r="G115" s="226">
        <f>LMpielik_18_LMZino!I145</f>
        <v>24</v>
      </c>
      <c r="H115" s="149">
        <v>34</v>
      </c>
      <c r="I115" s="149">
        <v>38</v>
      </c>
      <c r="J115" s="149">
        <v>34</v>
      </c>
      <c r="K115" s="191">
        <f>LMpielik_19_LMZino!O111</f>
        <v>565.6</v>
      </c>
      <c r="L115" s="193">
        <f t="shared" si="7"/>
        <v>21492.8</v>
      </c>
      <c r="M115" s="374"/>
      <c r="N115" s="374"/>
      <c r="O115" s="15">
        <f t="shared" si="6"/>
        <v>6</v>
      </c>
      <c r="P115" s="174">
        <f t="shared" si="5"/>
        <v>6</v>
      </c>
      <c r="Q115" s="23">
        <v>12</v>
      </c>
      <c r="R115" s="165">
        <f t="shared" si="10"/>
        <v>505</v>
      </c>
      <c r="S115" s="165">
        <f t="shared" si="8"/>
        <v>60.60000000000002</v>
      </c>
      <c r="T115" s="165">
        <f t="shared" si="9"/>
        <v>2302.800000000001</v>
      </c>
    </row>
    <row r="116" spans="1:20" ht="15.75">
      <c r="A116" s="150"/>
      <c r="B116" s="132" t="s">
        <v>199</v>
      </c>
      <c r="C116" s="192"/>
      <c r="D116" s="150"/>
      <c r="E116" s="150"/>
      <c r="F116" s="150"/>
      <c r="G116" s="149"/>
      <c r="H116" s="149"/>
      <c r="I116" s="149"/>
      <c r="J116" s="149"/>
      <c r="K116" s="191"/>
      <c r="L116" s="193"/>
      <c r="M116" s="374"/>
      <c r="N116" s="374"/>
      <c r="O116" s="15"/>
      <c r="P116" s="174"/>
      <c r="Q116" s="23"/>
      <c r="R116" s="165"/>
      <c r="S116" s="165"/>
      <c r="T116" s="165"/>
    </row>
    <row r="117" spans="1:20" ht="31.5">
      <c r="A117" s="150">
        <v>101</v>
      </c>
      <c r="B117" s="131" t="s">
        <v>200</v>
      </c>
      <c r="C117" s="192"/>
      <c r="D117" s="150"/>
      <c r="E117" s="163">
        <v>0</v>
      </c>
      <c r="F117" s="156">
        <v>15</v>
      </c>
      <c r="G117" s="149">
        <f>LMpielik_18_LMZino!I146</f>
        <v>15</v>
      </c>
      <c r="H117" s="149">
        <v>29</v>
      </c>
      <c r="I117" s="149">
        <v>30</v>
      </c>
      <c r="J117" s="149">
        <v>29</v>
      </c>
      <c r="K117" s="191">
        <f>LMpielik_19_LMZino!O112</f>
        <v>4597.6</v>
      </c>
      <c r="L117" s="193">
        <f>I117*K117</f>
        <v>137928</v>
      </c>
      <c r="M117" s="374"/>
      <c r="N117" s="374"/>
      <c r="O117" s="15">
        <f t="shared" si="6"/>
        <v>1</v>
      </c>
      <c r="P117" s="174">
        <f t="shared" si="5"/>
        <v>1</v>
      </c>
      <c r="Q117" s="23">
        <v>12</v>
      </c>
      <c r="R117" s="165">
        <f t="shared" si="10"/>
        <v>4105</v>
      </c>
      <c r="S117" s="165">
        <f>K117-R117</f>
        <v>492.60000000000036</v>
      </c>
      <c r="T117" s="165">
        <f>I117*S117</f>
        <v>14778.000000000011</v>
      </c>
    </row>
    <row r="118" spans="1:20" ht="15.75">
      <c r="A118" s="150"/>
      <c r="B118" s="132" t="s">
        <v>201</v>
      </c>
      <c r="C118" s="192"/>
      <c r="D118" s="150"/>
      <c r="E118" s="150"/>
      <c r="F118" s="150"/>
      <c r="G118" s="149"/>
      <c r="H118" s="149"/>
      <c r="I118" s="149"/>
      <c r="J118" s="149"/>
      <c r="K118" s="191"/>
      <c r="L118" s="193"/>
      <c r="M118" s="374"/>
      <c r="N118" s="374"/>
      <c r="O118" s="15"/>
      <c r="P118" s="174"/>
      <c r="Q118" s="23"/>
      <c r="R118" s="165"/>
      <c r="S118" s="165"/>
      <c r="T118" s="165"/>
    </row>
    <row r="119" spans="1:20" ht="31.5">
      <c r="A119" s="150">
        <v>102</v>
      </c>
      <c r="B119" s="131" t="s">
        <v>202</v>
      </c>
      <c r="C119" s="192"/>
      <c r="D119" s="150"/>
      <c r="E119" s="163">
        <v>0</v>
      </c>
      <c r="F119" s="156">
        <v>10</v>
      </c>
      <c r="G119" s="149">
        <f>LMpielik_18_LMZino!I147</f>
        <v>10</v>
      </c>
      <c r="H119" s="149">
        <v>19</v>
      </c>
      <c r="I119" s="149">
        <v>20</v>
      </c>
      <c r="J119" s="149">
        <v>19</v>
      </c>
      <c r="K119" s="191">
        <f>LMpielik_19_LMZino!O113</f>
        <v>69.44</v>
      </c>
      <c r="L119" s="193">
        <f>I119*K119</f>
        <v>1388.8</v>
      </c>
      <c r="M119" s="374"/>
      <c r="N119" s="374"/>
      <c r="O119" s="15">
        <f t="shared" si="6"/>
        <v>1</v>
      </c>
      <c r="P119" s="174">
        <f t="shared" si="5"/>
        <v>1</v>
      </c>
      <c r="Q119" s="23">
        <v>12</v>
      </c>
      <c r="R119" s="165">
        <f t="shared" si="10"/>
        <v>61.99999999999999</v>
      </c>
      <c r="S119" s="165">
        <f>K119-R119</f>
        <v>7.440000000000005</v>
      </c>
      <c r="T119" s="165">
        <f>I119*S119</f>
        <v>148.8000000000001</v>
      </c>
    </row>
    <row r="120" spans="1:20" ht="15.75">
      <c r="A120" s="150"/>
      <c r="B120" s="132" t="s">
        <v>203</v>
      </c>
      <c r="C120" s="192"/>
      <c r="D120" s="150"/>
      <c r="E120" s="150"/>
      <c r="F120" s="150"/>
      <c r="G120" s="149"/>
      <c r="H120" s="149"/>
      <c r="I120" s="149"/>
      <c r="J120" s="149"/>
      <c r="K120" s="191"/>
      <c r="L120" s="193"/>
      <c r="M120" s="374"/>
      <c r="N120" s="374"/>
      <c r="O120" s="15"/>
      <c r="P120" s="174"/>
      <c r="Q120" s="23"/>
      <c r="R120" s="165"/>
      <c r="S120" s="165"/>
      <c r="T120" s="165"/>
    </row>
    <row r="121" spans="1:20" ht="15.75">
      <c r="A121" s="150">
        <v>103</v>
      </c>
      <c r="B121" s="131" t="s">
        <v>204</v>
      </c>
      <c r="C121" s="192"/>
      <c r="D121" s="150"/>
      <c r="E121" s="163">
        <v>0</v>
      </c>
      <c r="F121" s="156">
        <v>10</v>
      </c>
      <c r="G121" s="149">
        <f>LMpielik_18_LMZino!I148</f>
        <v>10</v>
      </c>
      <c r="H121" s="149">
        <v>19</v>
      </c>
      <c r="I121" s="189">
        <v>20</v>
      </c>
      <c r="J121" s="189">
        <v>19</v>
      </c>
      <c r="K121" s="191">
        <f>LMpielik_19_LMZino!O114</f>
        <v>930.72</v>
      </c>
      <c r="L121" s="193">
        <f>I121*K121</f>
        <v>18614.4</v>
      </c>
      <c r="M121" s="374"/>
      <c r="N121" s="374"/>
      <c r="O121" s="15">
        <f t="shared" si="6"/>
        <v>1</v>
      </c>
      <c r="P121" s="174">
        <f>E121+I121-J121</f>
        <v>1</v>
      </c>
      <c r="Q121" s="23">
        <v>21</v>
      </c>
      <c r="R121" s="165">
        <f>K121/1.21</f>
        <v>769.1900826446281</v>
      </c>
      <c r="S121" s="165">
        <f>K121-R121</f>
        <v>161.52991735537194</v>
      </c>
      <c r="T121" s="165">
        <f>I121*S121</f>
        <v>3230.5983471074387</v>
      </c>
    </row>
    <row r="122" spans="1:20" ht="15.75">
      <c r="A122" s="150">
        <v>104</v>
      </c>
      <c r="B122" s="131" t="s">
        <v>205</v>
      </c>
      <c r="C122" s="192"/>
      <c r="D122" s="150"/>
      <c r="E122" s="187">
        <v>0</v>
      </c>
      <c r="F122" s="194">
        <v>10</v>
      </c>
      <c r="G122" s="226">
        <f>LMpielik_18_LMZino!I149</f>
        <v>10</v>
      </c>
      <c r="H122" s="219">
        <v>19</v>
      </c>
      <c r="I122" s="189">
        <v>20</v>
      </c>
      <c r="J122" s="219">
        <v>19</v>
      </c>
      <c r="K122" s="191">
        <f>LMpielik_19_LMZino!O115</f>
        <v>166.88</v>
      </c>
      <c r="L122" s="193">
        <f>I122*K122</f>
        <v>3337.6</v>
      </c>
      <c r="M122" s="374"/>
      <c r="N122" s="374"/>
      <c r="O122" s="15">
        <f t="shared" si="6"/>
        <v>1</v>
      </c>
      <c r="P122" s="174">
        <f t="shared" si="5"/>
        <v>1</v>
      </c>
      <c r="Q122" s="23">
        <v>21</v>
      </c>
      <c r="R122" s="165">
        <f>K122/1.21</f>
        <v>137.91735537190084</v>
      </c>
      <c r="S122" s="165">
        <f>K122-R122</f>
        <v>28.962644628099156</v>
      </c>
      <c r="T122" s="165">
        <f>I122*S122</f>
        <v>579.2528925619831</v>
      </c>
    </row>
    <row r="123" spans="1:20" ht="15.75">
      <c r="A123" s="150">
        <v>105</v>
      </c>
      <c r="B123" s="131" t="s">
        <v>206</v>
      </c>
      <c r="C123" s="192"/>
      <c r="D123" s="150"/>
      <c r="E123" s="187">
        <v>0</v>
      </c>
      <c r="F123" s="194">
        <v>10</v>
      </c>
      <c r="G123" s="226">
        <f>LMpielik_18_LMZino!I150</f>
        <v>10</v>
      </c>
      <c r="H123" s="219">
        <v>19</v>
      </c>
      <c r="I123" s="189">
        <v>20</v>
      </c>
      <c r="J123" s="219">
        <v>19</v>
      </c>
      <c r="K123" s="191">
        <f>LMpielik_19_LMZino!O116</f>
        <v>376.32</v>
      </c>
      <c r="L123" s="193">
        <f>I123*K123</f>
        <v>7526.4</v>
      </c>
      <c r="M123" s="374"/>
      <c r="N123" s="374"/>
      <c r="O123" s="15">
        <f t="shared" si="6"/>
        <v>1</v>
      </c>
      <c r="P123" s="174">
        <f t="shared" si="5"/>
        <v>1</v>
      </c>
      <c r="Q123" s="23">
        <v>21</v>
      </c>
      <c r="R123" s="165">
        <f>K123/1.21</f>
        <v>311.0082644628099</v>
      </c>
      <c r="S123" s="165">
        <f>K123-R123</f>
        <v>65.31173553719009</v>
      </c>
      <c r="T123" s="165">
        <f>I123*S123</f>
        <v>1306.2347107438018</v>
      </c>
    </row>
    <row r="124" spans="1:20" ht="15.75">
      <c r="A124" s="325" t="s">
        <v>107</v>
      </c>
      <c r="B124" s="325"/>
      <c r="C124" s="325"/>
      <c r="D124" s="325"/>
      <c r="E124" s="25">
        <f aca="true" t="shared" si="11" ref="E124:L124">E125+E131+E135</f>
        <v>0</v>
      </c>
      <c r="F124" s="26">
        <f t="shared" si="11"/>
        <v>1581</v>
      </c>
      <c r="G124" s="26">
        <f t="shared" si="11"/>
        <v>4862</v>
      </c>
      <c r="H124" s="26">
        <f t="shared" si="11"/>
        <v>5726</v>
      </c>
      <c r="I124" s="26">
        <f t="shared" si="11"/>
        <v>6407</v>
      </c>
      <c r="J124" s="26">
        <f t="shared" si="11"/>
        <v>6407</v>
      </c>
      <c r="K124" s="100">
        <f t="shared" si="11"/>
        <v>7955.030000000001</v>
      </c>
      <c r="L124" s="27">
        <f t="shared" si="11"/>
        <v>1968490.15</v>
      </c>
      <c r="M124" s="374"/>
      <c r="N124" s="374"/>
      <c r="O124" s="26">
        <f>O125+O131+O135</f>
        <v>717</v>
      </c>
      <c r="P124" s="26">
        <f>P125+P131+P135</f>
        <v>0</v>
      </c>
      <c r="Q124" s="100" t="s">
        <v>112</v>
      </c>
      <c r="R124" s="100">
        <f>R125+R131+R135</f>
        <v>7102.705357142856</v>
      </c>
      <c r="S124" s="100">
        <f>S125+S131+S135</f>
        <v>852.3246428571438</v>
      </c>
      <c r="T124" s="100">
        <f>T125+T131+T135</f>
        <v>210909.6589285716</v>
      </c>
    </row>
    <row r="125" spans="1:20" ht="15.75">
      <c r="A125" s="28"/>
      <c r="B125" s="29" t="s">
        <v>68</v>
      </c>
      <c r="C125" s="42"/>
      <c r="D125" s="30"/>
      <c r="E125" s="31">
        <f aca="true" t="shared" si="12" ref="E125:K125">SUM(E126:E130)</f>
        <v>0</v>
      </c>
      <c r="F125" s="32">
        <f t="shared" si="12"/>
        <v>163</v>
      </c>
      <c r="G125" s="33">
        <f t="shared" si="12"/>
        <v>994</v>
      </c>
      <c r="H125" s="33">
        <f t="shared" si="12"/>
        <v>995</v>
      </c>
      <c r="I125" s="33">
        <f t="shared" si="12"/>
        <v>1075</v>
      </c>
      <c r="J125" s="33">
        <f t="shared" si="12"/>
        <v>1075</v>
      </c>
      <c r="K125" s="101">
        <f t="shared" si="12"/>
        <v>5753.030000000001</v>
      </c>
      <c r="L125" s="35">
        <f>SUM(L126:L130)</f>
        <v>1071010.15</v>
      </c>
      <c r="M125" s="374"/>
      <c r="N125" s="374"/>
      <c r="O125" s="33">
        <f aca="true" t="shared" si="13" ref="O125:T125">SUM(O126:O130)</f>
        <v>162</v>
      </c>
      <c r="P125" s="33">
        <f t="shared" si="13"/>
        <v>0</v>
      </c>
      <c r="Q125" s="101">
        <f t="shared" si="13"/>
        <v>60</v>
      </c>
      <c r="R125" s="101">
        <f t="shared" si="13"/>
        <v>5136.6339285714275</v>
      </c>
      <c r="S125" s="101">
        <f t="shared" si="13"/>
        <v>616.396071428572</v>
      </c>
      <c r="T125" s="101">
        <f t="shared" si="13"/>
        <v>114751.08750000008</v>
      </c>
    </row>
    <row r="126" spans="1:20" ht="15.75">
      <c r="A126" s="5">
        <v>106</v>
      </c>
      <c r="B126" s="36" t="s">
        <v>63</v>
      </c>
      <c r="C126" s="8"/>
      <c r="D126" s="326" t="s">
        <v>104</v>
      </c>
      <c r="E126" s="37">
        <v>0</v>
      </c>
      <c r="F126" s="15">
        <v>39</v>
      </c>
      <c r="G126" s="15">
        <f>LMpielik_18_LMZino!I152</f>
        <v>531</v>
      </c>
      <c r="H126" s="15">
        <v>481</v>
      </c>
      <c r="I126" s="15">
        <v>505</v>
      </c>
      <c r="J126" s="15">
        <v>505</v>
      </c>
      <c r="K126" s="16">
        <f>LMpielik_19_LMZino!O118</f>
        <v>43.03</v>
      </c>
      <c r="L126" s="153">
        <f aca="true" t="shared" si="14" ref="L126:L134">I126*K126</f>
        <v>21730.15</v>
      </c>
      <c r="M126" s="374"/>
      <c r="N126" s="374"/>
      <c r="O126" s="15">
        <f>F126+G126-H126</f>
        <v>89</v>
      </c>
      <c r="P126" s="174">
        <f>E126+I126-J126</f>
        <v>0</v>
      </c>
      <c r="Q126" s="23">
        <v>12</v>
      </c>
      <c r="R126" s="165">
        <f>K126/1.12</f>
        <v>38.419642857142854</v>
      </c>
      <c r="S126" s="165">
        <f>K126-R126</f>
        <v>4.610357142857147</v>
      </c>
      <c r="T126" s="165">
        <f>I126*S126</f>
        <v>2328.2303571428592</v>
      </c>
    </row>
    <row r="127" spans="1:20" ht="15.75">
      <c r="A127" s="5">
        <v>107</v>
      </c>
      <c r="B127" s="36" t="s">
        <v>64</v>
      </c>
      <c r="C127" s="8"/>
      <c r="D127" s="326"/>
      <c r="E127" s="37">
        <v>0</v>
      </c>
      <c r="F127" s="15">
        <v>80</v>
      </c>
      <c r="G127" s="15">
        <f>LMpielik_18_LMZino!I154</f>
        <v>363</v>
      </c>
      <c r="H127" s="15">
        <v>383</v>
      </c>
      <c r="I127" s="15">
        <v>425</v>
      </c>
      <c r="J127" s="15">
        <v>425</v>
      </c>
      <c r="K127" s="16">
        <f>LMpielik_19_LMZino!O119</f>
        <v>2070</v>
      </c>
      <c r="L127" s="153">
        <f t="shared" si="14"/>
        <v>879750</v>
      </c>
      <c r="M127" s="374"/>
      <c r="N127" s="374"/>
      <c r="O127" s="15">
        <f>F127+G127-H127</f>
        <v>60</v>
      </c>
      <c r="P127" s="174">
        <f>E127+I127-J127</f>
        <v>0</v>
      </c>
      <c r="Q127" s="23">
        <v>12</v>
      </c>
      <c r="R127" s="165">
        <f>K127/1.12</f>
        <v>1848.2142857142856</v>
      </c>
      <c r="S127" s="165">
        <f>K127-R127</f>
        <v>221.78571428571445</v>
      </c>
      <c r="T127" s="165">
        <f>I127*S127</f>
        <v>94258.92857142864</v>
      </c>
    </row>
    <row r="128" spans="1:20" ht="15.75">
      <c r="A128" s="5">
        <v>108</v>
      </c>
      <c r="B128" s="36" t="s">
        <v>65</v>
      </c>
      <c r="C128" s="4" t="s">
        <v>146</v>
      </c>
      <c r="D128" s="326"/>
      <c r="E128" s="37">
        <v>0</v>
      </c>
      <c r="F128" s="15">
        <v>16</v>
      </c>
      <c r="G128" s="15">
        <f>LMpielik_18_LMZino!I156</f>
        <v>46</v>
      </c>
      <c r="H128" s="15">
        <v>58</v>
      </c>
      <c r="I128" s="15">
        <v>61</v>
      </c>
      <c r="J128" s="15">
        <v>61</v>
      </c>
      <c r="K128" s="16">
        <f>LMpielik_19_LMZino!O120</f>
        <v>1230</v>
      </c>
      <c r="L128" s="153">
        <f t="shared" si="14"/>
        <v>75030</v>
      </c>
      <c r="M128" s="374"/>
      <c r="N128" s="374"/>
      <c r="O128" s="15">
        <f>F128+G128-H128</f>
        <v>4</v>
      </c>
      <c r="P128" s="174">
        <f>E128+I128-J128</f>
        <v>0</v>
      </c>
      <c r="Q128" s="23">
        <v>12</v>
      </c>
      <c r="R128" s="165">
        <f>K128/1.12</f>
        <v>1098.2142857142856</v>
      </c>
      <c r="S128" s="165">
        <f>K128-R128</f>
        <v>131.78571428571445</v>
      </c>
      <c r="T128" s="165">
        <f>I128*S128</f>
        <v>8038.928571428582</v>
      </c>
    </row>
    <row r="129" spans="1:20" ht="15.75">
      <c r="A129" s="5">
        <v>109</v>
      </c>
      <c r="B129" s="36" t="s">
        <v>66</v>
      </c>
      <c r="C129" s="8"/>
      <c r="D129" s="326"/>
      <c r="E129" s="37">
        <v>0</v>
      </c>
      <c r="F129" s="15">
        <v>18</v>
      </c>
      <c r="G129" s="15">
        <f>LMpielik_18_LMZino!I158</f>
        <v>36</v>
      </c>
      <c r="H129" s="15">
        <v>48</v>
      </c>
      <c r="I129" s="15">
        <v>56</v>
      </c>
      <c r="J129" s="15">
        <v>56</v>
      </c>
      <c r="K129" s="16">
        <f>LMpielik_19_LMZino!O121</f>
        <v>965</v>
      </c>
      <c r="L129" s="153">
        <f t="shared" si="14"/>
        <v>54040</v>
      </c>
      <c r="M129" s="374"/>
      <c r="N129" s="374"/>
      <c r="O129" s="15">
        <f>F129+G129-H129</f>
        <v>6</v>
      </c>
      <c r="P129" s="174">
        <f>E129+I129-J129</f>
        <v>0</v>
      </c>
      <c r="Q129" s="23">
        <v>12</v>
      </c>
      <c r="R129" s="165">
        <f>K129/1.12</f>
        <v>861.6071428571428</v>
      </c>
      <c r="S129" s="165">
        <f>K129-R129</f>
        <v>103.39285714285722</v>
      </c>
      <c r="T129" s="165">
        <f>I129*S129</f>
        <v>5790.000000000005</v>
      </c>
    </row>
    <row r="130" spans="1:20" ht="15.75">
      <c r="A130" s="5">
        <v>110</v>
      </c>
      <c r="B130" s="36" t="s">
        <v>67</v>
      </c>
      <c r="C130" s="8"/>
      <c r="D130" s="326"/>
      <c r="E130" s="37">
        <v>0</v>
      </c>
      <c r="F130" s="15">
        <v>10</v>
      </c>
      <c r="G130" s="15">
        <f>LMpielik_18_LMZino!I160</f>
        <v>18</v>
      </c>
      <c r="H130" s="15">
        <v>25</v>
      </c>
      <c r="I130" s="15">
        <v>28</v>
      </c>
      <c r="J130" s="15">
        <v>28</v>
      </c>
      <c r="K130" s="16">
        <f>LMpielik_19_LMZino!O122</f>
        <v>1445</v>
      </c>
      <c r="L130" s="153">
        <f t="shared" si="14"/>
        <v>40460</v>
      </c>
      <c r="M130" s="374"/>
      <c r="N130" s="374"/>
      <c r="O130" s="15">
        <f>F130+G130-H130</f>
        <v>3</v>
      </c>
      <c r="P130" s="174">
        <f>E130+I130-J130</f>
        <v>0</v>
      </c>
      <c r="Q130" s="23">
        <v>12</v>
      </c>
      <c r="R130" s="165">
        <f>K130/1.12</f>
        <v>1290.1785714285713</v>
      </c>
      <c r="S130" s="165">
        <f>K130-R130</f>
        <v>154.82142857142867</v>
      </c>
      <c r="T130" s="165">
        <f>I130*S130</f>
        <v>4335.000000000003</v>
      </c>
    </row>
    <row r="131" spans="1:20" ht="15.75">
      <c r="A131" s="28"/>
      <c r="B131" s="29" t="s">
        <v>69</v>
      </c>
      <c r="C131" s="43"/>
      <c r="D131" s="30"/>
      <c r="E131" s="31">
        <f aca="true" t="shared" si="15" ref="E131:K131">SUM(E132:E134)</f>
        <v>0</v>
      </c>
      <c r="F131" s="31">
        <f t="shared" si="15"/>
        <v>691</v>
      </c>
      <c r="G131" s="31">
        <f t="shared" si="15"/>
        <v>1824</v>
      </c>
      <c r="H131" s="31">
        <f t="shared" si="15"/>
        <v>2300</v>
      </c>
      <c r="I131" s="31">
        <f t="shared" si="15"/>
        <v>2901</v>
      </c>
      <c r="J131" s="31">
        <f t="shared" si="15"/>
        <v>2901</v>
      </c>
      <c r="K131" s="34">
        <f t="shared" si="15"/>
        <v>1642</v>
      </c>
      <c r="L131" s="35">
        <f>SUM(L132:L134)</f>
        <v>426750</v>
      </c>
      <c r="M131" s="374"/>
      <c r="N131" s="374"/>
      <c r="O131" s="31">
        <f aca="true" t="shared" si="16" ref="O131:T131">SUM(O132:O134)</f>
        <v>215</v>
      </c>
      <c r="P131" s="31">
        <f t="shared" si="16"/>
        <v>0</v>
      </c>
      <c r="Q131" s="34">
        <f t="shared" si="16"/>
        <v>36</v>
      </c>
      <c r="R131" s="34">
        <f t="shared" si="16"/>
        <v>1466.0714285714284</v>
      </c>
      <c r="S131" s="34">
        <f t="shared" si="16"/>
        <v>175.92857142857167</v>
      </c>
      <c r="T131" s="34">
        <f t="shared" si="16"/>
        <v>45723.21428571433</v>
      </c>
    </row>
    <row r="132" spans="1:20" ht="15.75">
      <c r="A132" s="5">
        <v>111</v>
      </c>
      <c r="B132" s="36" t="s">
        <v>70</v>
      </c>
      <c r="C132" s="8"/>
      <c r="D132" s="326" t="s">
        <v>104</v>
      </c>
      <c r="E132" s="37">
        <v>0</v>
      </c>
      <c r="F132" s="15">
        <v>11</v>
      </c>
      <c r="G132" s="15">
        <f>LMpielik_18_LMZino!I163</f>
        <v>17</v>
      </c>
      <c r="H132" s="15">
        <v>26</v>
      </c>
      <c r="I132" s="15">
        <v>32</v>
      </c>
      <c r="J132" s="15">
        <v>32</v>
      </c>
      <c r="K132" s="16">
        <f>LMpielik_19_LMZino!O124</f>
        <v>1343</v>
      </c>
      <c r="L132" s="153">
        <f t="shared" si="14"/>
        <v>42976</v>
      </c>
      <c r="M132" s="374"/>
      <c r="N132" s="374"/>
      <c r="O132" s="15">
        <f>F132+G132-H132</f>
        <v>2</v>
      </c>
      <c r="P132" s="174">
        <f>E132+I132-J132</f>
        <v>0</v>
      </c>
      <c r="Q132" s="23">
        <v>12</v>
      </c>
      <c r="R132" s="165">
        <f>K132/1.12</f>
        <v>1199.1071428571427</v>
      </c>
      <c r="S132" s="165">
        <f>K132-R132</f>
        <v>143.89285714285734</v>
      </c>
      <c r="T132" s="165">
        <f>I132*S132</f>
        <v>4604.571428571435</v>
      </c>
    </row>
    <row r="133" spans="1:20" ht="15.75">
      <c r="A133" s="5">
        <v>112</v>
      </c>
      <c r="B133" s="36" t="s">
        <v>71</v>
      </c>
      <c r="C133" s="8"/>
      <c r="D133" s="326"/>
      <c r="E133" s="37">
        <v>0</v>
      </c>
      <c r="F133" s="15">
        <v>482</v>
      </c>
      <c r="G133" s="15">
        <f>LMpielik_18_LMZino!I165</f>
        <v>1188</v>
      </c>
      <c r="H133" s="15">
        <v>1561</v>
      </c>
      <c r="I133" s="15">
        <v>1764</v>
      </c>
      <c r="J133" s="15">
        <v>1764</v>
      </c>
      <c r="K133" s="16">
        <f>LMpielik_19_LMZino!O125</f>
        <v>81</v>
      </c>
      <c r="L133" s="153">
        <f t="shared" si="14"/>
        <v>142884</v>
      </c>
      <c r="M133" s="374"/>
      <c r="N133" s="374"/>
      <c r="O133" s="15">
        <f>F133+G133-H133</f>
        <v>109</v>
      </c>
      <c r="P133" s="174">
        <f>E133+I133-J133</f>
        <v>0</v>
      </c>
      <c r="Q133" s="23">
        <v>12</v>
      </c>
      <c r="R133" s="165">
        <f>K133/1.12</f>
        <v>72.32142857142857</v>
      </c>
      <c r="S133" s="165">
        <f>K133-R133</f>
        <v>8.67857142857143</v>
      </c>
      <c r="T133" s="165">
        <f>I133*S133</f>
        <v>15309.000000000004</v>
      </c>
    </row>
    <row r="134" spans="1:20" ht="15.75">
      <c r="A134" s="5">
        <v>113</v>
      </c>
      <c r="B134" s="36" t="s">
        <v>72</v>
      </c>
      <c r="C134" s="8"/>
      <c r="D134" s="326"/>
      <c r="E134" s="37">
        <v>0</v>
      </c>
      <c r="F134" s="15">
        <v>198</v>
      </c>
      <c r="G134" s="15">
        <f>LMpielik_18_LMZino!I167</f>
        <v>619</v>
      </c>
      <c r="H134" s="15">
        <v>713</v>
      </c>
      <c r="I134" s="15">
        <v>1105</v>
      </c>
      <c r="J134" s="15">
        <v>1105</v>
      </c>
      <c r="K134" s="16">
        <f>LMpielik_19_LMZino!O126</f>
        <v>218</v>
      </c>
      <c r="L134" s="153">
        <f t="shared" si="14"/>
        <v>240890</v>
      </c>
      <c r="M134" s="374"/>
      <c r="N134" s="374"/>
      <c r="O134" s="15">
        <f>F134+G134-H134</f>
        <v>104</v>
      </c>
      <c r="P134" s="174">
        <f>E134+I134-J134</f>
        <v>0</v>
      </c>
      <c r="Q134" s="23">
        <v>12</v>
      </c>
      <c r="R134" s="165">
        <f>K134/1.12</f>
        <v>194.6428571428571</v>
      </c>
      <c r="S134" s="165">
        <f>K134-R134</f>
        <v>23.35714285714289</v>
      </c>
      <c r="T134" s="165">
        <f>I134*S134</f>
        <v>25809.64285714289</v>
      </c>
    </row>
    <row r="135" spans="1:20" ht="15.75">
      <c r="A135" s="28"/>
      <c r="B135" s="29" t="s">
        <v>73</v>
      </c>
      <c r="C135" s="44"/>
      <c r="D135" s="30"/>
      <c r="E135" s="31">
        <f aca="true" t="shared" si="17" ref="E135:K135">E136+E137</f>
        <v>0</v>
      </c>
      <c r="F135" s="31">
        <f t="shared" si="17"/>
        <v>727</v>
      </c>
      <c r="G135" s="31">
        <f t="shared" si="17"/>
        <v>2044</v>
      </c>
      <c r="H135" s="31">
        <f t="shared" si="17"/>
        <v>2431</v>
      </c>
      <c r="I135" s="31">
        <f t="shared" si="17"/>
        <v>2431</v>
      </c>
      <c r="J135" s="31">
        <f t="shared" si="17"/>
        <v>2431</v>
      </c>
      <c r="K135" s="34">
        <f t="shared" si="17"/>
        <v>560</v>
      </c>
      <c r="L135" s="35">
        <f>SUM(L136:L137)</f>
        <v>470730</v>
      </c>
      <c r="M135" s="374"/>
      <c r="N135" s="374"/>
      <c r="O135" s="31">
        <f aca="true" t="shared" si="18" ref="O135:T135">O136+O137</f>
        <v>340</v>
      </c>
      <c r="P135" s="31">
        <f t="shared" si="18"/>
        <v>0</v>
      </c>
      <c r="Q135" s="34">
        <f t="shared" si="18"/>
        <v>24</v>
      </c>
      <c r="R135" s="34">
        <f t="shared" si="18"/>
        <v>499.99999999999994</v>
      </c>
      <c r="S135" s="34">
        <f t="shared" si="18"/>
        <v>60.00000000000007</v>
      </c>
      <c r="T135" s="34">
        <f t="shared" si="18"/>
        <v>50435.35714285719</v>
      </c>
    </row>
    <row r="136" spans="1:20" ht="15.75">
      <c r="A136" s="5">
        <v>114</v>
      </c>
      <c r="B136" s="36" t="s">
        <v>74</v>
      </c>
      <c r="C136" s="8"/>
      <c r="D136" s="326" t="s">
        <v>104</v>
      </c>
      <c r="E136" s="37">
        <v>0</v>
      </c>
      <c r="F136" s="15">
        <v>131</v>
      </c>
      <c r="G136" s="15">
        <f>LMpielik_18_LMZino!I170</f>
        <v>560</v>
      </c>
      <c r="H136" s="15">
        <v>598</v>
      </c>
      <c r="I136" s="15">
        <v>598</v>
      </c>
      <c r="J136" s="15">
        <v>598</v>
      </c>
      <c r="K136" s="16">
        <f>LMpielik_19_LMZino!O128</f>
        <v>450</v>
      </c>
      <c r="L136" s="153">
        <f>I136*K136</f>
        <v>269100</v>
      </c>
      <c r="M136" s="374"/>
      <c r="N136" s="374"/>
      <c r="O136" s="15">
        <f>F136+G136-H136</f>
        <v>93</v>
      </c>
      <c r="P136" s="174">
        <f>E136+I136-J136</f>
        <v>0</v>
      </c>
      <c r="Q136" s="174">
        <v>12</v>
      </c>
      <c r="R136" s="165">
        <f>K136/1.12</f>
        <v>401.7857142857142</v>
      </c>
      <c r="S136" s="165">
        <f>K136-R136</f>
        <v>48.21428571428578</v>
      </c>
      <c r="T136" s="165">
        <f>I136*S136</f>
        <v>28832.142857142895</v>
      </c>
    </row>
    <row r="137" spans="1:20" ht="15.75">
      <c r="A137" s="5">
        <v>115</v>
      </c>
      <c r="B137" s="36" t="s">
        <v>75</v>
      </c>
      <c r="C137" s="8"/>
      <c r="D137" s="327"/>
      <c r="E137" s="37">
        <v>0</v>
      </c>
      <c r="F137" s="15">
        <v>596</v>
      </c>
      <c r="G137" s="15">
        <f>LMpielik_18_LMZino!I172</f>
        <v>1484</v>
      </c>
      <c r="H137" s="15">
        <v>1833</v>
      </c>
      <c r="I137" s="15">
        <v>1833</v>
      </c>
      <c r="J137" s="15">
        <v>1833</v>
      </c>
      <c r="K137" s="16">
        <f>LMpielik_19_LMZino!O129</f>
        <v>110</v>
      </c>
      <c r="L137" s="153">
        <f>I137*K137</f>
        <v>201630</v>
      </c>
      <c r="M137" s="374"/>
      <c r="N137" s="374"/>
      <c r="O137" s="15">
        <f>F137+G137-H137</f>
        <v>247</v>
      </c>
      <c r="P137" s="174">
        <f>E137+I137-J137</f>
        <v>0</v>
      </c>
      <c r="Q137" s="174">
        <v>12</v>
      </c>
      <c r="R137" s="165">
        <f>K137/1.12</f>
        <v>98.21428571428571</v>
      </c>
      <c r="S137" s="165">
        <f>K137-R137</f>
        <v>11.785714285714292</v>
      </c>
      <c r="T137" s="165">
        <f>I137*S137</f>
        <v>21603.214285714297</v>
      </c>
    </row>
    <row r="138" spans="1:20" ht="15.75">
      <c r="A138" s="210"/>
      <c r="B138" s="211" t="s">
        <v>228</v>
      </c>
      <c r="C138" s="212"/>
      <c r="D138" s="213"/>
      <c r="E138" s="214">
        <f>E139+E140</f>
        <v>0</v>
      </c>
      <c r="F138" s="214">
        <f aca="true" t="shared" si="19" ref="F138:L138">F139+F140</f>
        <v>0</v>
      </c>
      <c r="G138" s="214">
        <f t="shared" si="19"/>
        <v>420</v>
      </c>
      <c r="H138" s="214">
        <f t="shared" si="19"/>
        <v>350</v>
      </c>
      <c r="I138" s="214">
        <f t="shared" si="19"/>
        <v>420</v>
      </c>
      <c r="J138" s="214">
        <f t="shared" si="19"/>
        <v>420</v>
      </c>
      <c r="K138" s="215">
        <f t="shared" si="19"/>
        <v>1250</v>
      </c>
      <c r="L138" s="215">
        <f t="shared" si="19"/>
        <v>262500</v>
      </c>
      <c r="M138" s="374"/>
      <c r="N138" s="374"/>
      <c r="O138" s="216">
        <f>O139+O140</f>
        <v>70</v>
      </c>
      <c r="P138" s="216">
        <f>P139+P140</f>
        <v>0</v>
      </c>
      <c r="Q138" s="215" t="s">
        <v>112</v>
      </c>
      <c r="R138" s="215">
        <f>R139+R140</f>
        <v>1116.0714285714284</v>
      </c>
      <c r="S138" s="215">
        <f>S139+S140</f>
        <v>133.92857142857162</v>
      </c>
      <c r="T138" s="215">
        <f>T139+T140</f>
        <v>28125.000000000036</v>
      </c>
    </row>
    <row r="139" spans="1:20" ht="31.5">
      <c r="A139" s="5">
        <v>116</v>
      </c>
      <c r="B139" s="180" t="s">
        <v>224</v>
      </c>
      <c r="C139" s="8"/>
      <c r="D139" s="4"/>
      <c r="E139" s="37">
        <v>0</v>
      </c>
      <c r="F139" s="15">
        <v>0</v>
      </c>
      <c r="G139" s="15">
        <f>LMpielik_18_LMZino!I175</f>
        <v>210</v>
      </c>
      <c r="H139" s="15">
        <v>175</v>
      </c>
      <c r="I139" s="15">
        <v>210</v>
      </c>
      <c r="J139" s="15">
        <v>210</v>
      </c>
      <c r="K139" s="16">
        <f>LMpielik_19_LMZino!O131</f>
        <v>550</v>
      </c>
      <c r="L139" s="193">
        <f>I139*K139</f>
        <v>115500</v>
      </c>
      <c r="M139" s="374"/>
      <c r="N139" s="374"/>
      <c r="O139" s="15">
        <f>F139+G139-H139</f>
        <v>35</v>
      </c>
      <c r="P139" s="174">
        <f>E139+I139-J139</f>
        <v>0</v>
      </c>
      <c r="Q139" s="174">
        <v>12</v>
      </c>
      <c r="R139" s="165">
        <f>K139/1.12</f>
        <v>491.0714285714285</v>
      </c>
      <c r="S139" s="165">
        <f>K139-R139</f>
        <v>58.9285714285715</v>
      </c>
      <c r="T139" s="165">
        <f>I139*S139</f>
        <v>12375.000000000015</v>
      </c>
    </row>
    <row r="140" spans="1:20" ht="31.5">
      <c r="A140" s="5">
        <v>117</v>
      </c>
      <c r="B140" s="181" t="s">
        <v>225</v>
      </c>
      <c r="C140" s="8"/>
      <c r="D140" s="4"/>
      <c r="E140" s="37">
        <v>0</v>
      </c>
      <c r="F140" s="15">
        <v>0</v>
      </c>
      <c r="G140" s="15">
        <f>LMpielik_18_LMZino!I177</f>
        <v>210</v>
      </c>
      <c r="H140" s="15">
        <v>175</v>
      </c>
      <c r="I140" s="15">
        <v>210</v>
      </c>
      <c r="J140" s="15">
        <v>210</v>
      </c>
      <c r="K140" s="16">
        <f>LMpielik_19_LMZino!O132</f>
        <v>700</v>
      </c>
      <c r="L140" s="193">
        <f>I140*K140</f>
        <v>147000</v>
      </c>
      <c r="M140" s="369"/>
      <c r="N140" s="369"/>
      <c r="O140" s="15">
        <f>F140+G140-H140</f>
        <v>35</v>
      </c>
      <c r="P140" s="174">
        <f>E140+I140-J140</f>
        <v>0</v>
      </c>
      <c r="Q140" s="174">
        <v>12</v>
      </c>
      <c r="R140" s="165">
        <f>K140/1.12</f>
        <v>624.9999999999999</v>
      </c>
      <c r="S140" s="165">
        <f>K140-R140</f>
        <v>75.00000000000011</v>
      </c>
      <c r="T140" s="165">
        <f>I140*S140</f>
        <v>15750.000000000024</v>
      </c>
    </row>
    <row r="141" spans="1:20" ht="15.75">
      <c r="A141" s="243"/>
      <c r="B141" s="246" t="s">
        <v>248</v>
      </c>
      <c r="C141" s="244"/>
      <c r="D141" s="245"/>
      <c r="E141" s="38">
        <f>E124+E10+E138</f>
        <v>4921</v>
      </c>
      <c r="F141" s="38">
        <f aca="true" t="shared" si="20" ref="F141:L141">F124+F10+F138</f>
        <v>4223</v>
      </c>
      <c r="G141" s="38">
        <f t="shared" si="20"/>
        <v>10285</v>
      </c>
      <c r="H141" s="38">
        <f t="shared" si="20"/>
        <v>12957</v>
      </c>
      <c r="I141" s="38">
        <f t="shared" si="20"/>
        <v>11805</v>
      </c>
      <c r="J141" s="38">
        <f t="shared" si="20"/>
        <v>14175</v>
      </c>
      <c r="K141" s="39">
        <f t="shared" si="20"/>
        <v>57044.733873648336</v>
      </c>
      <c r="L141" s="39">
        <f t="shared" si="20"/>
        <v>5058619.54186332</v>
      </c>
      <c r="M141" s="40">
        <v>2182551</v>
      </c>
      <c r="N141" s="40">
        <f>L141-M141</f>
        <v>2876068.5418633204</v>
      </c>
      <c r="O141" s="38">
        <f>O124+O10+O138</f>
        <v>1551</v>
      </c>
      <c r="P141" s="38">
        <f>P124+P10+P138</f>
        <v>2551</v>
      </c>
      <c r="Q141" s="39" t="s">
        <v>112</v>
      </c>
      <c r="R141" s="39">
        <f>R124+R10+R138</f>
        <v>50832.18166109392</v>
      </c>
      <c r="S141" s="39">
        <f>S124+S10+S138</f>
        <v>6209.492212554417</v>
      </c>
      <c r="T141" s="39">
        <f>T124+T10+T138</f>
        <v>542437.8243643409</v>
      </c>
    </row>
    <row r="142" spans="1:20" ht="15.75">
      <c r="A142" s="175"/>
      <c r="B142" s="232" t="s">
        <v>250</v>
      </c>
      <c r="C142" s="175"/>
      <c r="D142" s="175"/>
      <c r="E142" s="230" t="s">
        <v>112</v>
      </c>
      <c r="F142" s="230" t="s">
        <v>112</v>
      </c>
      <c r="G142" s="230" t="s">
        <v>112</v>
      </c>
      <c r="H142" s="230" t="s">
        <v>112</v>
      </c>
      <c r="I142" s="230" t="s">
        <v>112</v>
      </c>
      <c r="J142" s="230" t="s">
        <v>112</v>
      </c>
      <c r="K142" s="230" t="s">
        <v>112</v>
      </c>
      <c r="L142" s="240">
        <f>M142+N142</f>
        <v>377551.32</v>
      </c>
      <c r="M142" s="240">
        <v>245257</v>
      </c>
      <c r="N142" s="242">
        <f>LMpielik_20_LMZino!C11</f>
        <v>132294.32</v>
      </c>
      <c r="O142" s="230" t="s">
        <v>112</v>
      </c>
      <c r="P142" s="230" t="s">
        <v>112</v>
      </c>
      <c r="Q142" s="230" t="s">
        <v>112</v>
      </c>
      <c r="R142" s="230" t="s">
        <v>112</v>
      </c>
      <c r="S142" s="230" t="s">
        <v>112</v>
      </c>
      <c r="T142" s="230" t="s">
        <v>112</v>
      </c>
    </row>
    <row r="143" spans="1:20" ht="15.75">
      <c r="A143" s="175"/>
      <c r="B143" s="232" t="s">
        <v>249</v>
      </c>
      <c r="C143" s="175"/>
      <c r="D143" s="175"/>
      <c r="E143" s="230" t="s">
        <v>112</v>
      </c>
      <c r="F143" s="230" t="s">
        <v>112</v>
      </c>
      <c r="G143" s="230" t="s">
        <v>112</v>
      </c>
      <c r="H143" s="230" t="s">
        <v>112</v>
      </c>
      <c r="I143" s="230" t="s">
        <v>112</v>
      </c>
      <c r="J143" s="230" t="s">
        <v>112</v>
      </c>
      <c r="K143" s="230" t="s">
        <v>112</v>
      </c>
      <c r="L143" s="240">
        <f>M143+N143</f>
        <v>369295.16000000003</v>
      </c>
      <c r="M143" s="240">
        <v>284574</v>
      </c>
      <c r="N143" s="242">
        <f>LMpielik_21_LMZino!C12</f>
        <v>84721.16</v>
      </c>
      <c r="O143" s="230" t="s">
        <v>112</v>
      </c>
      <c r="P143" s="230" t="s">
        <v>112</v>
      </c>
      <c r="Q143" s="230" t="s">
        <v>112</v>
      </c>
      <c r="R143" s="230" t="s">
        <v>112</v>
      </c>
      <c r="S143" s="230" t="s">
        <v>112</v>
      </c>
      <c r="T143" s="230" t="s">
        <v>112</v>
      </c>
    </row>
    <row r="144" spans="1:20" ht="15.75">
      <c r="A144" s="175"/>
      <c r="B144" s="232" t="s">
        <v>251</v>
      </c>
      <c r="C144" s="233"/>
      <c r="D144" s="233"/>
      <c r="E144" s="230" t="s">
        <v>112</v>
      </c>
      <c r="F144" s="230" t="s">
        <v>112</v>
      </c>
      <c r="G144" s="230" t="s">
        <v>112</v>
      </c>
      <c r="H144" s="230" t="s">
        <v>112</v>
      </c>
      <c r="I144" s="230" t="s">
        <v>112</v>
      </c>
      <c r="J144" s="230" t="s">
        <v>112</v>
      </c>
      <c r="K144" s="230" t="s">
        <v>112</v>
      </c>
      <c r="L144" s="234">
        <f>L141+L142+L143</f>
        <v>5805466.021863321</v>
      </c>
      <c r="M144" s="234">
        <f>M141+M142+M143</f>
        <v>2712382</v>
      </c>
      <c r="N144" s="234">
        <f>N141+N142+N143</f>
        <v>3093084.0218633204</v>
      </c>
      <c r="O144" s="230" t="s">
        <v>112</v>
      </c>
      <c r="P144" s="230" t="s">
        <v>112</v>
      </c>
      <c r="Q144" s="230" t="s">
        <v>112</v>
      </c>
      <c r="R144" s="230" t="s">
        <v>112</v>
      </c>
      <c r="S144" s="230" t="s">
        <v>112</v>
      </c>
      <c r="T144" s="230" t="s">
        <v>112</v>
      </c>
    </row>
    <row r="146" spans="2:12" ht="15.75">
      <c r="B146" s="262" t="s">
        <v>300</v>
      </c>
      <c r="C146" s="262"/>
      <c r="D146" s="262"/>
      <c r="E146" s="262"/>
      <c r="F146" s="262"/>
      <c r="G146" s="262"/>
      <c r="H146" s="262"/>
      <c r="I146" s="262"/>
      <c r="J146" s="262" t="s">
        <v>301</v>
      </c>
      <c r="L146" s="183"/>
    </row>
    <row r="147" spans="2:10" ht="15.75">
      <c r="B147" s="41" t="s">
        <v>384</v>
      </c>
      <c r="C147" s="41"/>
      <c r="D147" s="41"/>
      <c r="E147" s="262"/>
      <c r="F147" s="262"/>
      <c r="G147" s="262"/>
      <c r="H147" s="262"/>
      <c r="I147" s="262"/>
      <c r="J147" s="262"/>
    </row>
    <row r="148" spans="2:10" ht="15.75">
      <c r="B148" s="41" t="s">
        <v>302</v>
      </c>
      <c r="C148" s="41"/>
      <c r="D148" s="41"/>
      <c r="E148" s="262"/>
      <c r="F148" s="262"/>
      <c r="G148" s="262"/>
      <c r="H148" s="262"/>
      <c r="I148" s="262"/>
      <c r="J148" s="262"/>
    </row>
    <row r="149" spans="2:10" ht="15.75">
      <c r="B149" s="41" t="s">
        <v>303</v>
      </c>
      <c r="C149" s="41"/>
      <c r="D149" s="41"/>
      <c r="E149" s="262"/>
      <c r="F149" s="262"/>
      <c r="G149" s="262"/>
      <c r="H149" s="262"/>
      <c r="I149" s="262"/>
      <c r="J149" s="262"/>
    </row>
  </sheetData>
  <sheetProtection/>
  <mergeCells count="392">
    <mergeCell ref="E57:E62"/>
    <mergeCell ref="M10:M140"/>
    <mergeCell ref="N10:N140"/>
    <mergeCell ref="E69:E70"/>
    <mergeCell ref="F69:F70"/>
    <mergeCell ref="E67:E68"/>
    <mergeCell ref="F67:F68"/>
    <mergeCell ref="E64:E65"/>
    <mergeCell ref="F64:F65"/>
    <mergeCell ref="F88:F89"/>
    <mergeCell ref="E81:E87"/>
    <mergeCell ref="F81:F87"/>
    <mergeCell ref="E79:E80"/>
    <mergeCell ref="F79:F80"/>
    <mergeCell ref="E71:E77"/>
    <mergeCell ref="F71:F77"/>
    <mergeCell ref="E102:E104"/>
    <mergeCell ref="F102:F104"/>
    <mergeCell ref="E96:E99"/>
    <mergeCell ref="F96:F99"/>
    <mergeCell ref="E91:E94"/>
    <mergeCell ref="F91:F94"/>
    <mergeCell ref="E19:E20"/>
    <mergeCell ref="F19:F20"/>
    <mergeCell ref="E17:E18"/>
    <mergeCell ref="F17:F18"/>
    <mergeCell ref="E14:E15"/>
    <mergeCell ref="F14:F15"/>
    <mergeCell ref="K32:K33"/>
    <mergeCell ref="L32:L33"/>
    <mergeCell ref="O32:O33"/>
    <mergeCell ref="P32:P33"/>
    <mergeCell ref="E34:E36"/>
    <mergeCell ref="F34:F36"/>
    <mergeCell ref="P34:P36"/>
    <mergeCell ref="K26:K31"/>
    <mergeCell ref="L26:L31"/>
    <mergeCell ref="O26:O31"/>
    <mergeCell ref="P26:P31"/>
    <mergeCell ref="C32:C33"/>
    <mergeCell ref="E32:E33"/>
    <mergeCell ref="F32:F33"/>
    <mergeCell ref="G32:G33"/>
    <mergeCell ref="H32:H33"/>
    <mergeCell ref="I32:I33"/>
    <mergeCell ref="C42:C43"/>
    <mergeCell ref="C26:C31"/>
    <mergeCell ref="E26:E31"/>
    <mergeCell ref="F26:F31"/>
    <mergeCell ref="G26:G31"/>
    <mergeCell ref="H26:H31"/>
    <mergeCell ref="F37:F38"/>
    <mergeCell ref="E37:E38"/>
    <mergeCell ref="E39:E40"/>
    <mergeCell ref="F39:F40"/>
    <mergeCell ref="H81:H87"/>
    <mergeCell ref="I81:I87"/>
    <mergeCell ref="J81:J87"/>
    <mergeCell ref="H79:H80"/>
    <mergeCell ref="I79:I80"/>
    <mergeCell ref="J79:J80"/>
    <mergeCell ref="I69:I70"/>
    <mergeCell ref="J69:J70"/>
    <mergeCell ref="H50:H56"/>
    <mergeCell ref="I50:I56"/>
    <mergeCell ref="J50:J56"/>
    <mergeCell ref="H57:H62"/>
    <mergeCell ref="I57:I62"/>
    <mergeCell ref="J64:J65"/>
    <mergeCell ref="H67:H68"/>
    <mergeCell ref="I64:I65"/>
    <mergeCell ref="H39:H40"/>
    <mergeCell ref="I39:I40"/>
    <mergeCell ref="J39:J40"/>
    <mergeCell ref="J57:J62"/>
    <mergeCell ref="H45:H46"/>
    <mergeCell ref="I45:I46"/>
    <mergeCell ref="J45:J46"/>
    <mergeCell ref="H47:H49"/>
    <mergeCell ref="H17:H18"/>
    <mergeCell ref="I17:I18"/>
    <mergeCell ref="J17:J18"/>
    <mergeCell ref="H21:H25"/>
    <mergeCell ref="I37:I38"/>
    <mergeCell ref="J37:J38"/>
    <mergeCell ref="I26:I31"/>
    <mergeCell ref="J26:J31"/>
    <mergeCell ref="J32:J33"/>
    <mergeCell ref="P7:P8"/>
    <mergeCell ref="A5:L5"/>
    <mergeCell ref="A7:A8"/>
    <mergeCell ref="B7:B8"/>
    <mergeCell ref="C7:C8"/>
    <mergeCell ref="D7:D8"/>
    <mergeCell ref="E7:E8"/>
    <mergeCell ref="F7:N7"/>
    <mergeCell ref="O7:O8"/>
    <mergeCell ref="A10:D10"/>
    <mergeCell ref="B11:D11"/>
    <mergeCell ref="C14:C15"/>
    <mergeCell ref="D14:D20"/>
    <mergeCell ref="G14:G15"/>
    <mergeCell ref="K14:K15"/>
    <mergeCell ref="H19:H20"/>
    <mergeCell ref="H14:H15"/>
    <mergeCell ref="I14:I15"/>
    <mergeCell ref="J14:J15"/>
    <mergeCell ref="L14:L15"/>
    <mergeCell ref="C17:C18"/>
    <mergeCell ref="G17:G18"/>
    <mergeCell ref="K17:K18"/>
    <mergeCell ref="L17:L18"/>
    <mergeCell ref="C21:C25"/>
    <mergeCell ref="D21:D25"/>
    <mergeCell ref="G21:G25"/>
    <mergeCell ref="C19:C20"/>
    <mergeCell ref="G19:G20"/>
    <mergeCell ref="L19:L20"/>
    <mergeCell ref="K21:K25"/>
    <mergeCell ref="L21:L25"/>
    <mergeCell ref="K19:K20"/>
    <mergeCell ref="I19:I20"/>
    <mergeCell ref="J19:J20"/>
    <mergeCell ref="I21:I25"/>
    <mergeCell ref="J21:J25"/>
    <mergeCell ref="C37:C38"/>
    <mergeCell ref="D37:D38"/>
    <mergeCell ref="G37:G38"/>
    <mergeCell ref="C34:C36"/>
    <mergeCell ref="G34:G36"/>
    <mergeCell ref="E21:E25"/>
    <mergeCell ref="F21:F25"/>
    <mergeCell ref="G39:G40"/>
    <mergeCell ref="L34:L36"/>
    <mergeCell ref="K37:K38"/>
    <mergeCell ref="L37:L38"/>
    <mergeCell ref="K34:K36"/>
    <mergeCell ref="D26:D36"/>
    <mergeCell ref="H34:H36"/>
    <mergeCell ref="I34:I36"/>
    <mergeCell ref="J34:J36"/>
    <mergeCell ref="H37:H38"/>
    <mergeCell ref="K39:K40"/>
    <mergeCell ref="L39:L40"/>
    <mergeCell ref="A44:D44"/>
    <mergeCell ref="C45:C46"/>
    <mergeCell ref="D45:D46"/>
    <mergeCell ref="E45:E46"/>
    <mergeCell ref="F45:F46"/>
    <mergeCell ref="G45:G46"/>
    <mergeCell ref="C39:C40"/>
    <mergeCell ref="D39:D40"/>
    <mergeCell ref="C47:C49"/>
    <mergeCell ref="D47:D49"/>
    <mergeCell ref="E47:E49"/>
    <mergeCell ref="F47:F49"/>
    <mergeCell ref="G47:G49"/>
    <mergeCell ref="K47:K49"/>
    <mergeCell ref="I47:I49"/>
    <mergeCell ref="G50:G56"/>
    <mergeCell ref="K50:K56"/>
    <mergeCell ref="L50:L56"/>
    <mergeCell ref="J47:J49"/>
    <mergeCell ref="K45:K46"/>
    <mergeCell ref="L45:L46"/>
    <mergeCell ref="L64:L65"/>
    <mergeCell ref="K57:K62"/>
    <mergeCell ref="L57:L62"/>
    <mergeCell ref="C64:C65"/>
    <mergeCell ref="H64:H65"/>
    <mergeCell ref="L47:L49"/>
    <mergeCell ref="C50:C56"/>
    <mergeCell ref="D50:D56"/>
    <mergeCell ref="E50:E56"/>
    <mergeCell ref="F50:F56"/>
    <mergeCell ref="D64:D65"/>
    <mergeCell ref="G64:G65"/>
    <mergeCell ref="I67:I68"/>
    <mergeCell ref="K67:K68"/>
    <mergeCell ref="L67:L68"/>
    <mergeCell ref="C57:C62"/>
    <mergeCell ref="D57:D62"/>
    <mergeCell ref="F57:F62"/>
    <mergeCell ref="G57:G62"/>
    <mergeCell ref="K64:K65"/>
    <mergeCell ref="C69:C70"/>
    <mergeCell ref="D69:D70"/>
    <mergeCell ref="G69:G70"/>
    <mergeCell ref="K69:K70"/>
    <mergeCell ref="L69:L70"/>
    <mergeCell ref="C67:C68"/>
    <mergeCell ref="D67:D68"/>
    <mergeCell ref="J67:J68"/>
    <mergeCell ref="H69:H70"/>
    <mergeCell ref="G67:G68"/>
    <mergeCell ref="L79:L80"/>
    <mergeCell ref="C71:C77"/>
    <mergeCell ref="D71:D77"/>
    <mergeCell ref="G71:G77"/>
    <mergeCell ref="K71:K77"/>
    <mergeCell ref="H71:H77"/>
    <mergeCell ref="J71:J77"/>
    <mergeCell ref="I71:I77"/>
    <mergeCell ref="C81:C87"/>
    <mergeCell ref="D81:D87"/>
    <mergeCell ref="G81:G87"/>
    <mergeCell ref="K81:K87"/>
    <mergeCell ref="L81:L87"/>
    <mergeCell ref="L71:L77"/>
    <mergeCell ref="C79:C80"/>
    <mergeCell ref="D79:D80"/>
    <mergeCell ref="G79:G80"/>
    <mergeCell ref="K79:K80"/>
    <mergeCell ref="C91:C94"/>
    <mergeCell ref="D91:D94"/>
    <mergeCell ref="G91:G94"/>
    <mergeCell ref="K91:K94"/>
    <mergeCell ref="C88:C89"/>
    <mergeCell ref="D88:D89"/>
    <mergeCell ref="G88:G89"/>
    <mergeCell ref="J91:J94"/>
    <mergeCell ref="K88:K89"/>
    <mergeCell ref="E88:E89"/>
    <mergeCell ref="L88:L89"/>
    <mergeCell ref="H88:H89"/>
    <mergeCell ref="I88:I89"/>
    <mergeCell ref="J88:J89"/>
    <mergeCell ref="H91:H94"/>
    <mergeCell ref="I91:I94"/>
    <mergeCell ref="J102:J104"/>
    <mergeCell ref="C96:C99"/>
    <mergeCell ref="D96:D99"/>
    <mergeCell ref="G96:G99"/>
    <mergeCell ref="G102:G104"/>
    <mergeCell ref="H102:H104"/>
    <mergeCell ref="I102:I104"/>
    <mergeCell ref="H96:H99"/>
    <mergeCell ref="I96:I99"/>
    <mergeCell ref="J96:J99"/>
    <mergeCell ref="K102:K104"/>
    <mergeCell ref="L102:L104"/>
    <mergeCell ref="L91:L94"/>
    <mergeCell ref="L96:L99"/>
    <mergeCell ref="K96:K99"/>
    <mergeCell ref="R1:T1"/>
    <mergeCell ref="O14:O15"/>
    <mergeCell ref="O67:O68"/>
    <mergeCell ref="O81:O87"/>
    <mergeCell ref="O34:O36"/>
    <mergeCell ref="A124:D124"/>
    <mergeCell ref="D126:D130"/>
    <mergeCell ref="D132:D134"/>
    <mergeCell ref="D136:D137"/>
    <mergeCell ref="C102:C104"/>
    <mergeCell ref="D102:D104"/>
    <mergeCell ref="A105:C105"/>
    <mergeCell ref="P14:P15"/>
    <mergeCell ref="O17:O18"/>
    <mergeCell ref="P17:P18"/>
    <mergeCell ref="O19:O20"/>
    <mergeCell ref="P19:P20"/>
    <mergeCell ref="O21:O25"/>
    <mergeCell ref="P21:P25"/>
    <mergeCell ref="O37:O38"/>
    <mergeCell ref="P37:P38"/>
    <mergeCell ref="O39:O40"/>
    <mergeCell ref="P39:P40"/>
    <mergeCell ref="P45:P46"/>
    <mergeCell ref="P47:P49"/>
    <mergeCell ref="O47:O49"/>
    <mergeCell ref="O45:O46"/>
    <mergeCell ref="P50:P56"/>
    <mergeCell ref="P57:P62"/>
    <mergeCell ref="O64:O65"/>
    <mergeCell ref="P64:P65"/>
    <mergeCell ref="O50:O56"/>
    <mergeCell ref="O57:O62"/>
    <mergeCell ref="P96:P99"/>
    <mergeCell ref="P67:P68"/>
    <mergeCell ref="O69:O70"/>
    <mergeCell ref="P69:P70"/>
    <mergeCell ref="O71:O77"/>
    <mergeCell ref="P71:P77"/>
    <mergeCell ref="O79:O80"/>
    <mergeCell ref="P79:P80"/>
    <mergeCell ref="R14:R15"/>
    <mergeCell ref="S14:S15"/>
    <mergeCell ref="O102:O104"/>
    <mergeCell ref="P102:P104"/>
    <mergeCell ref="P81:P87"/>
    <mergeCell ref="O88:O89"/>
    <mergeCell ref="P88:P89"/>
    <mergeCell ref="O91:O94"/>
    <mergeCell ref="P91:P94"/>
    <mergeCell ref="O96:O99"/>
    <mergeCell ref="T7:T8"/>
    <mergeCell ref="Q7:Q8"/>
    <mergeCell ref="R7:R8"/>
    <mergeCell ref="S7:S8"/>
    <mergeCell ref="Q14:Q15"/>
    <mergeCell ref="Q17:Q18"/>
    <mergeCell ref="T14:T15"/>
    <mergeCell ref="R17:R18"/>
    <mergeCell ref="S17:S18"/>
    <mergeCell ref="T17:T18"/>
    <mergeCell ref="R19:R20"/>
    <mergeCell ref="S19:S20"/>
    <mergeCell ref="T19:T20"/>
    <mergeCell ref="Q21:Q25"/>
    <mergeCell ref="R21:R25"/>
    <mergeCell ref="S21:S25"/>
    <mergeCell ref="T21:T25"/>
    <mergeCell ref="Q19:Q20"/>
    <mergeCell ref="Q26:Q31"/>
    <mergeCell ref="R26:R31"/>
    <mergeCell ref="S26:S31"/>
    <mergeCell ref="T26:T31"/>
    <mergeCell ref="Q32:Q33"/>
    <mergeCell ref="R32:R33"/>
    <mergeCell ref="S32:S33"/>
    <mergeCell ref="T32:T33"/>
    <mergeCell ref="Q34:Q36"/>
    <mergeCell ref="R34:R36"/>
    <mergeCell ref="S34:S36"/>
    <mergeCell ref="T34:T36"/>
    <mergeCell ref="Q37:Q38"/>
    <mergeCell ref="R37:R38"/>
    <mergeCell ref="S37:S38"/>
    <mergeCell ref="T37:T38"/>
    <mergeCell ref="Q39:Q40"/>
    <mergeCell ref="R39:R40"/>
    <mergeCell ref="S39:S40"/>
    <mergeCell ref="T39:T40"/>
    <mergeCell ref="Q45:Q46"/>
    <mergeCell ref="R45:R46"/>
    <mergeCell ref="S45:S46"/>
    <mergeCell ref="T45:T46"/>
    <mergeCell ref="Q47:Q49"/>
    <mergeCell ref="R47:R49"/>
    <mergeCell ref="S47:S49"/>
    <mergeCell ref="T47:T49"/>
    <mergeCell ref="Q50:Q56"/>
    <mergeCell ref="R50:R56"/>
    <mergeCell ref="S50:S56"/>
    <mergeCell ref="T50:T56"/>
    <mergeCell ref="Q57:Q62"/>
    <mergeCell ref="R57:R62"/>
    <mergeCell ref="S57:S62"/>
    <mergeCell ref="T57:T62"/>
    <mergeCell ref="Q64:Q65"/>
    <mergeCell ref="R64:R65"/>
    <mergeCell ref="S64:S65"/>
    <mergeCell ref="T64:T65"/>
    <mergeCell ref="T79:T80"/>
    <mergeCell ref="Q67:Q68"/>
    <mergeCell ref="R67:R68"/>
    <mergeCell ref="S67:S68"/>
    <mergeCell ref="T67:T68"/>
    <mergeCell ref="Q69:Q70"/>
    <mergeCell ref="R69:R70"/>
    <mergeCell ref="S69:S70"/>
    <mergeCell ref="T69:T70"/>
    <mergeCell ref="R88:R89"/>
    <mergeCell ref="S88:S89"/>
    <mergeCell ref="T88:T89"/>
    <mergeCell ref="Q71:Q77"/>
    <mergeCell ref="R71:R77"/>
    <mergeCell ref="S71:S77"/>
    <mergeCell ref="T71:T77"/>
    <mergeCell ref="Q79:Q80"/>
    <mergeCell ref="R79:R80"/>
    <mergeCell ref="S79:S80"/>
    <mergeCell ref="T91:T94"/>
    <mergeCell ref="Q96:Q99"/>
    <mergeCell ref="R96:R99"/>
    <mergeCell ref="S96:S99"/>
    <mergeCell ref="T96:T99"/>
    <mergeCell ref="Q81:Q87"/>
    <mergeCell ref="R81:R87"/>
    <mergeCell ref="S81:S87"/>
    <mergeCell ref="T81:T87"/>
    <mergeCell ref="Q88:Q89"/>
    <mergeCell ref="Q2:T2"/>
    <mergeCell ref="O3:T3"/>
    <mergeCell ref="C4:E4"/>
    <mergeCell ref="Q102:Q104"/>
    <mergeCell ref="R102:R104"/>
    <mergeCell ref="S102:S104"/>
    <mergeCell ref="T102:T104"/>
    <mergeCell ref="Q91:Q94"/>
    <mergeCell ref="R91:R94"/>
    <mergeCell ref="S91:S94"/>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oddFooter>&amp;CLMpielik_16_070815_LMZino</oddFooter>
  </headerFooter>
</worksheet>
</file>

<file path=xl/worksheets/sheet2.xml><?xml version="1.0" encoding="utf-8"?>
<worksheet xmlns="http://schemas.openxmlformats.org/spreadsheetml/2006/main" xmlns:r="http://schemas.openxmlformats.org/officeDocument/2006/relationships">
  <dimension ref="A1:T150"/>
  <sheetViews>
    <sheetView workbookViewId="0" topLeftCell="A120">
      <selection activeCell="C158" sqref="C158"/>
    </sheetView>
  </sheetViews>
  <sheetFormatPr defaultColWidth="9.140625" defaultRowHeight="12.75"/>
  <cols>
    <col min="1" max="1" width="6.140625" style="0" customWidth="1"/>
    <col min="2" max="2" width="49.57421875" style="0" customWidth="1"/>
    <col min="3" max="3" width="21.00390625" style="0" customWidth="1"/>
    <col min="4" max="4" width="0" style="0" hidden="1" customWidth="1"/>
    <col min="5" max="5" width="10.140625" style="0" customWidth="1"/>
    <col min="6" max="6" width="11.7109375" style="0" customWidth="1"/>
    <col min="7" max="7" width="12.7109375" style="0" customWidth="1"/>
    <col min="8" max="8" width="11.00390625" style="0" customWidth="1"/>
    <col min="9" max="9" width="9.28125" style="0" customWidth="1"/>
    <col min="10" max="10" width="9.421875" style="0" customWidth="1"/>
    <col min="11" max="11" width="12.00390625" style="0" customWidth="1"/>
    <col min="12" max="12" width="13.8515625" style="0" customWidth="1"/>
    <col min="13" max="13" width="13.421875" style="0" customWidth="1"/>
    <col min="14" max="14" width="13.57421875" style="0" customWidth="1"/>
    <col min="15" max="15" width="11.7109375" style="0" customWidth="1"/>
    <col min="16" max="16" width="12.8515625" style="0" customWidth="1"/>
    <col min="17" max="17" width="10.140625" style="0" customWidth="1"/>
    <col min="18" max="18" width="11.421875" style="0" customWidth="1"/>
    <col min="20" max="20" width="12.00390625" style="0" customWidth="1"/>
  </cols>
  <sheetData>
    <row r="1" spans="18:20" ht="15.75">
      <c r="R1" s="337" t="s">
        <v>285</v>
      </c>
      <c r="S1" s="337"/>
      <c r="T1" s="337"/>
    </row>
    <row r="2" spans="13:20" ht="15.75">
      <c r="M2" s="155"/>
      <c r="N2" s="155"/>
      <c r="Q2" s="308" t="s">
        <v>304</v>
      </c>
      <c r="R2" s="308"/>
      <c r="S2" s="308"/>
      <c r="T2" s="308"/>
    </row>
    <row r="3" spans="13:20" ht="33.75" customHeight="1">
      <c r="M3" s="155"/>
      <c r="N3" s="155"/>
      <c r="O3" s="309" t="s">
        <v>305</v>
      </c>
      <c r="P3" s="309"/>
      <c r="Q3" s="309"/>
      <c r="R3" s="309"/>
      <c r="S3" s="309"/>
      <c r="T3" s="309"/>
    </row>
    <row r="4" spans="3:5" ht="18.75">
      <c r="C4" s="310" t="s">
        <v>292</v>
      </c>
      <c r="D4" s="310"/>
      <c r="E4" s="310"/>
    </row>
    <row r="5" spans="1:12" ht="18.75">
      <c r="A5" s="255" t="s">
        <v>282</v>
      </c>
      <c r="B5" s="255"/>
      <c r="C5" s="255"/>
      <c r="D5" s="255"/>
      <c r="E5" s="255"/>
      <c r="F5" s="255"/>
      <c r="G5" s="255"/>
      <c r="H5" s="255"/>
      <c r="I5" s="255"/>
      <c r="J5" s="255"/>
      <c r="K5" s="255"/>
      <c r="L5" s="255"/>
    </row>
    <row r="6" spans="1:11" ht="12.75">
      <c r="A6" s="2"/>
      <c r="E6" s="2"/>
      <c r="G6" s="1"/>
      <c r="H6" s="1"/>
      <c r="I6" s="1"/>
      <c r="J6" s="1"/>
      <c r="K6" s="3"/>
    </row>
    <row r="7" spans="1:20" ht="15.75">
      <c r="A7" s="327" t="s">
        <v>12</v>
      </c>
      <c r="B7" s="327" t="s">
        <v>101</v>
      </c>
      <c r="C7" s="347" t="s">
        <v>116</v>
      </c>
      <c r="D7" s="362" t="s">
        <v>110</v>
      </c>
      <c r="E7" s="363" t="s">
        <v>279</v>
      </c>
      <c r="F7" s="364" t="s">
        <v>278</v>
      </c>
      <c r="G7" s="365"/>
      <c r="H7" s="365"/>
      <c r="I7" s="365"/>
      <c r="J7" s="365"/>
      <c r="K7" s="365"/>
      <c r="L7" s="365"/>
      <c r="M7" s="365"/>
      <c r="N7" s="366"/>
      <c r="O7" s="367" t="s">
        <v>281</v>
      </c>
      <c r="P7" s="360" t="s">
        <v>230</v>
      </c>
      <c r="Q7" s="318" t="s">
        <v>240</v>
      </c>
      <c r="R7" s="318" t="s">
        <v>241</v>
      </c>
      <c r="S7" s="318" t="s">
        <v>242</v>
      </c>
      <c r="T7" s="317" t="s">
        <v>243</v>
      </c>
    </row>
    <row r="8" spans="1:20" ht="110.25">
      <c r="A8" s="327"/>
      <c r="B8" s="327"/>
      <c r="C8" s="347"/>
      <c r="D8" s="362"/>
      <c r="E8" s="363"/>
      <c r="F8" s="6" t="s">
        <v>280</v>
      </c>
      <c r="G8" s="6" t="s">
        <v>307</v>
      </c>
      <c r="H8" s="7" t="s">
        <v>162</v>
      </c>
      <c r="I8" s="7" t="s">
        <v>163</v>
      </c>
      <c r="J8" s="7" t="s">
        <v>164</v>
      </c>
      <c r="K8" s="7" t="s">
        <v>308</v>
      </c>
      <c r="L8" s="8" t="s">
        <v>148</v>
      </c>
      <c r="M8" s="8" t="s">
        <v>150</v>
      </c>
      <c r="N8" s="8" t="s">
        <v>149</v>
      </c>
      <c r="O8" s="367"/>
      <c r="P8" s="361"/>
      <c r="Q8" s="318"/>
      <c r="R8" s="318"/>
      <c r="S8" s="318"/>
      <c r="T8" s="317"/>
    </row>
    <row r="9" spans="1:20" ht="31.5">
      <c r="A9" s="168">
        <v>1</v>
      </c>
      <c r="B9" s="168">
        <v>2</v>
      </c>
      <c r="C9" s="15">
        <v>3</v>
      </c>
      <c r="D9" s="169"/>
      <c r="E9" s="170">
        <v>4</v>
      </c>
      <c r="F9" s="170">
        <v>5</v>
      </c>
      <c r="G9" s="170">
        <v>6</v>
      </c>
      <c r="H9" s="171">
        <v>7</v>
      </c>
      <c r="I9" s="171">
        <v>8</v>
      </c>
      <c r="J9" s="171">
        <v>9</v>
      </c>
      <c r="K9" s="171">
        <v>10</v>
      </c>
      <c r="L9" s="172">
        <v>11</v>
      </c>
      <c r="M9" s="172">
        <v>12</v>
      </c>
      <c r="N9" s="172">
        <v>13</v>
      </c>
      <c r="O9" s="173" t="s">
        <v>229</v>
      </c>
      <c r="P9" s="41" t="s">
        <v>244</v>
      </c>
      <c r="Q9" s="227">
        <v>16</v>
      </c>
      <c r="R9" s="227" t="s">
        <v>245</v>
      </c>
      <c r="S9" s="227" t="s">
        <v>246</v>
      </c>
      <c r="T9" s="227" t="s">
        <v>247</v>
      </c>
    </row>
    <row r="10" spans="1:20" ht="15.75">
      <c r="A10" s="357" t="s">
        <v>108</v>
      </c>
      <c r="B10" s="357"/>
      <c r="C10" s="357"/>
      <c r="D10" s="357"/>
      <c r="E10" s="9">
        <f aca="true" t="shared" si="0" ref="E10:J10">E11+E44+E105</f>
        <v>2551</v>
      </c>
      <c r="F10" s="9">
        <f t="shared" si="0"/>
        <v>764</v>
      </c>
      <c r="G10" s="9">
        <f t="shared" si="0"/>
        <v>5003</v>
      </c>
      <c r="H10" s="9">
        <f t="shared" si="0"/>
        <v>4992</v>
      </c>
      <c r="I10" s="9">
        <f t="shared" si="0"/>
        <v>4694</v>
      </c>
      <c r="J10" s="9">
        <f t="shared" si="0"/>
        <v>5135</v>
      </c>
      <c r="K10" s="10">
        <f>K11+K44+K105</f>
        <v>47839.70387364834</v>
      </c>
      <c r="L10" s="10">
        <f>L11+L44+L105</f>
        <v>1892161.664260328</v>
      </c>
      <c r="M10" s="368"/>
      <c r="N10" s="368"/>
      <c r="O10" s="9">
        <f>O11+O44+O105</f>
        <v>775</v>
      </c>
      <c r="P10" s="9">
        <f>P11+P44+P105</f>
        <v>2110</v>
      </c>
      <c r="Q10" s="10" t="s">
        <v>112</v>
      </c>
      <c r="R10" s="10">
        <f>R11+R44+R105</f>
        <v>42613.40487537964</v>
      </c>
      <c r="S10" s="10">
        <f>S11+S44+S105</f>
        <v>5223.238998268702</v>
      </c>
      <c r="T10" s="10">
        <f>T11+T44+T105</f>
        <v>202160.6723602419</v>
      </c>
    </row>
    <row r="11" spans="1:20" ht="15.75">
      <c r="A11" s="28"/>
      <c r="B11" s="358" t="s">
        <v>102</v>
      </c>
      <c r="C11" s="358"/>
      <c r="D11" s="359"/>
      <c r="E11" s="11">
        <f>SUM(E12:E43)</f>
        <v>2015</v>
      </c>
      <c r="F11" s="11">
        <f aca="true" t="shared" si="1" ref="F11:L11">SUM(F12:F43)</f>
        <v>298</v>
      </c>
      <c r="G11" s="11">
        <f>SUM(G12:G43)</f>
        <v>2086</v>
      </c>
      <c r="H11" s="11">
        <f t="shared" si="1"/>
        <v>2084</v>
      </c>
      <c r="I11" s="11">
        <f t="shared" si="1"/>
        <v>1815</v>
      </c>
      <c r="J11" s="11">
        <f t="shared" si="1"/>
        <v>2227</v>
      </c>
      <c r="K11" s="21">
        <f t="shared" si="1"/>
        <v>6900.762311988143</v>
      </c>
      <c r="L11" s="21">
        <f t="shared" si="1"/>
        <v>221353.84982568878</v>
      </c>
      <c r="M11" s="374"/>
      <c r="N11" s="374"/>
      <c r="O11" s="12">
        <f>SUM(O12:O43)</f>
        <v>300</v>
      </c>
      <c r="P11" s="12">
        <f>SUM(P12:P43)</f>
        <v>1603</v>
      </c>
      <c r="Q11" s="99" t="s">
        <v>112</v>
      </c>
      <c r="R11" s="99">
        <f>SUM(R12:R43)</f>
        <v>6158.662778560842</v>
      </c>
      <c r="S11" s="99">
        <f>SUM(S12:S43)</f>
        <v>739.0395334273015</v>
      </c>
      <c r="T11" s="99">
        <f>SUM(T12:T43)</f>
        <v>23853.576409895242</v>
      </c>
    </row>
    <row r="12" spans="1:20" ht="15.75">
      <c r="A12" s="5">
        <v>1</v>
      </c>
      <c r="B12" s="102" t="s">
        <v>3</v>
      </c>
      <c r="C12" s="4" t="s">
        <v>121</v>
      </c>
      <c r="D12" s="14" t="s">
        <v>104</v>
      </c>
      <c r="E12" s="37">
        <f>LMpielik_16_LMZino!P12</f>
        <v>35</v>
      </c>
      <c r="F12" s="15">
        <f>LMpielik_16_LMZino!O12</f>
        <v>35</v>
      </c>
      <c r="G12" s="15">
        <f>LMpielik_18_LMZino!I10</f>
        <v>212</v>
      </c>
      <c r="H12" s="248">
        <v>212</v>
      </c>
      <c r="I12" s="15">
        <v>212</v>
      </c>
      <c r="J12" s="15">
        <v>212</v>
      </c>
      <c r="K12" s="16">
        <f>LMpielik_19_LMZino!O10</f>
        <v>226.45</v>
      </c>
      <c r="L12" s="16">
        <f>I12*K12</f>
        <v>48007.399999999994</v>
      </c>
      <c r="M12" s="374"/>
      <c r="N12" s="374"/>
      <c r="O12" s="248">
        <f aca="true" t="shared" si="2" ref="O12:O17">F12+G12-H12</f>
        <v>35</v>
      </c>
      <c r="P12" s="37">
        <f>E12+I12-J12</f>
        <v>35</v>
      </c>
      <c r="Q12" s="5">
        <v>12</v>
      </c>
      <c r="R12" s="16">
        <f>K12/1.12</f>
        <v>202.18749999999997</v>
      </c>
      <c r="S12" s="16">
        <f>K12-R12</f>
        <v>24.262500000000017</v>
      </c>
      <c r="T12" s="16">
        <f>I12*S12</f>
        <v>5143.650000000003</v>
      </c>
    </row>
    <row r="13" spans="1:20" ht="31.5">
      <c r="A13" s="4">
        <v>2</v>
      </c>
      <c r="B13" s="102" t="s">
        <v>16</v>
      </c>
      <c r="C13" s="18" t="s">
        <v>127</v>
      </c>
      <c r="D13" s="19" t="s">
        <v>104</v>
      </c>
      <c r="E13" s="37">
        <f>LMpielik_16_LMZino!P13</f>
        <v>27</v>
      </c>
      <c r="F13" s="15">
        <f>LMpielik_16_LMZino!O13</f>
        <v>7</v>
      </c>
      <c r="G13" s="15">
        <f>LMpielik_18_LMZino!I12</f>
        <v>38</v>
      </c>
      <c r="H13" s="15">
        <v>38</v>
      </c>
      <c r="I13" s="15">
        <v>18</v>
      </c>
      <c r="J13" s="15">
        <v>38</v>
      </c>
      <c r="K13" s="16">
        <f>LMpielik_19_LMZino!O11</f>
        <v>16.11</v>
      </c>
      <c r="L13" s="16">
        <f>I13*K13</f>
        <v>289.98</v>
      </c>
      <c r="M13" s="374"/>
      <c r="N13" s="374"/>
      <c r="O13" s="15">
        <f t="shared" si="2"/>
        <v>7</v>
      </c>
      <c r="P13" s="37">
        <f>E13+I13-J13</f>
        <v>7</v>
      </c>
      <c r="Q13" s="5">
        <v>12</v>
      </c>
      <c r="R13" s="16">
        <f>K13/1.12</f>
        <v>14.38392857142857</v>
      </c>
      <c r="S13" s="16">
        <f>K13-R13</f>
        <v>1.72607142857143</v>
      </c>
      <c r="T13" s="16">
        <f>I13*S13</f>
        <v>31.06928571428574</v>
      </c>
    </row>
    <row r="14" spans="1:20" ht="15.75">
      <c r="A14" s="5">
        <v>3</v>
      </c>
      <c r="B14" s="102" t="s">
        <v>4</v>
      </c>
      <c r="C14" s="342" t="s">
        <v>4</v>
      </c>
      <c r="D14" s="355" t="s">
        <v>104</v>
      </c>
      <c r="E14" s="322">
        <f>LMpielik_16_LMZino!P14:P15</f>
        <v>38</v>
      </c>
      <c r="F14" s="319">
        <f>LMpielik_16_LMZino!O14:O15</f>
        <v>38</v>
      </c>
      <c r="G14" s="343">
        <v>299</v>
      </c>
      <c r="H14" s="319">
        <v>299</v>
      </c>
      <c r="I14" s="319">
        <v>299</v>
      </c>
      <c r="J14" s="319">
        <v>299</v>
      </c>
      <c r="K14" s="344">
        <f>LMpielik_19_LMZino!O12</f>
        <v>112.85555555555555</v>
      </c>
      <c r="L14" s="314">
        <f>I14*K14</f>
        <v>33743.811111111114</v>
      </c>
      <c r="M14" s="374"/>
      <c r="N14" s="374"/>
      <c r="O14" s="319">
        <f t="shared" si="2"/>
        <v>38</v>
      </c>
      <c r="P14" s="322">
        <f>E14+I14-J14</f>
        <v>38</v>
      </c>
      <c r="Q14" s="311">
        <v>12</v>
      </c>
      <c r="R14" s="314">
        <f>K14/1.12</f>
        <v>100.76388888888887</v>
      </c>
      <c r="S14" s="314">
        <f>K14-R14</f>
        <v>12.091666666666683</v>
      </c>
      <c r="T14" s="314">
        <f>I14*S14</f>
        <v>3615.4083333333383</v>
      </c>
    </row>
    <row r="15" spans="1:20" ht="15.75">
      <c r="A15" s="5">
        <v>4</v>
      </c>
      <c r="B15" s="102" t="s">
        <v>60</v>
      </c>
      <c r="C15" s="342"/>
      <c r="D15" s="355"/>
      <c r="E15" s="324"/>
      <c r="F15" s="321"/>
      <c r="G15" s="343"/>
      <c r="H15" s="321"/>
      <c r="I15" s="321"/>
      <c r="J15" s="321"/>
      <c r="K15" s="347"/>
      <c r="L15" s="316"/>
      <c r="M15" s="374"/>
      <c r="N15" s="374"/>
      <c r="O15" s="321"/>
      <c r="P15" s="324"/>
      <c r="Q15" s="313"/>
      <c r="R15" s="316"/>
      <c r="S15" s="316"/>
      <c r="T15" s="316"/>
    </row>
    <row r="16" spans="1:20" ht="31.5">
      <c r="A16" s="5">
        <v>5</v>
      </c>
      <c r="B16" s="102" t="s">
        <v>0</v>
      </c>
      <c r="C16" s="18" t="s">
        <v>0</v>
      </c>
      <c r="D16" s="355"/>
      <c r="E16" s="37">
        <f>LMpielik_16_LMZino!P16</f>
        <v>13</v>
      </c>
      <c r="F16" s="15">
        <f>LMpielik_16_LMZino!O16</f>
        <v>13</v>
      </c>
      <c r="G16" s="15">
        <f>LMpielik_18_LMZino!I17</f>
        <v>159</v>
      </c>
      <c r="H16" s="15">
        <v>159</v>
      </c>
      <c r="I16" s="15">
        <v>159</v>
      </c>
      <c r="J16" s="15">
        <v>159</v>
      </c>
      <c r="K16" s="16">
        <f>LMpielik_19_LMZino!O14</f>
        <v>70.56</v>
      </c>
      <c r="L16" s="16">
        <f>I16*K16</f>
        <v>11219.04</v>
      </c>
      <c r="M16" s="374"/>
      <c r="N16" s="374"/>
      <c r="O16" s="15">
        <f t="shared" si="2"/>
        <v>13</v>
      </c>
      <c r="P16" s="37">
        <f>E16+I16-J16</f>
        <v>13</v>
      </c>
      <c r="Q16" s="5">
        <v>12</v>
      </c>
      <c r="R16" s="16">
        <f>K16/1.12</f>
        <v>62.99999999999999</v>
      </c>
      <c r="S16" s="16">
        <f>K16-R16</f>
        <v>7.560000000000009</v>
      </c>
      <c r="T16" s="16">
        <f>I16*S16</f>
        <v>1202.0400000000016</v>
      </c>
    </row>
    <row r="17" spans="1:20" ht="15.75">
      <c r="A17" s="20">
        <v>6</v>
      </c>
      <c r="B17" s="102" t="s">
        <v>18</v>
      </c>
      <c r="C17" s="342" t="s">
        <v>118</v>
      </c>
      <c r="D17" s="355"/>
      <c r="E17" s="322">
        <f>LMpielik_16_LMZino!P17:P18</f>
        <v>43</v>
      </c>
      <c r="F17" s="319">
        <f>LMpielik_16_LMZino!O17:O18</f>
        <v>0</v>
      </c>
      <c r="G17" s="343">
        <v>22</v>
      </c>
      <c r="H17" s="319">
        <v>20</v>
      </c>
      <c r="I17" s="319"/>
      <c r="J17" s="319">
        <v>22</v>
      </c>
      <c r="K17" s="344">
        <f>LMpielik_19_LMZino!O15</f>
        <v>536.5746835443039</v>
      </c>
      <c r="L17" s="314">
        <f>I17*K17</f>
        <v>0</v>
      </c>
      <c r="M17" s="374"/>
      <c r="N17" s="374"/>
      <c r="O17" s="319">
        <f t="shared" si="2"/>
        <v>2</v>
      </c>
      <c r="P17" s="322">
        <f>E17+I17-J17</f>
        <v>21</v>
      </c>
      <c r="Q17" s="311">
        <v>12</v>
      </c>
      <c r="R17" s="314">
        <f>K17/1.12</f>
        <v>479.0845388788427</v>
      </c>
      <c r="S17" s="314">
        <f>K17-R17</f>
        <v>57.49014466546117</v>
      </c>
      <c r="T17" s="314">
        <f>I17*S17</f>
        <v>0</v>
      </c>
    </row>
    <row r="18" spans="1:20" ht="15.75">
      <c r="A18" s="20">
        <v>7</v>
      </c>
      <c r="B18" s="102" t="s">
        <v>6</v>
      </c>
      <c r="C18" s="342"/>
      <c r="D18" s="355"/>
      <c r="E18" s="324"/>
      <c r="F18" s="321"/>
      <c r="G18" s="343"/>
      <c r="H18" s="321"/>
      <c r="I18" s="321"/>
      <c r="J18" s="321"/>
      <c r="K18" s="347"/>
      <c r="L18" s="316"/>
      <c r="M18" s="374"/>
      <c r="N18" s="374"/>
      <c r="O18" s="321"/>
      <c r="P18" s="324"/>
      <c r="Q18" s="313"/>
      <c r="R18" s="316"/>
      <c r="S18" s="316"/>
      <c r="T18" s="316"/>
    </row>
    <row r="19" spans="1:20" ht="15.75">
      <c r="A19" s="5">
        <v>8</v>
      </c>
      <c r="B19" s="17" t="s">
        <v>5</v>
      </c>
      <c r="C19" s="342" t="s">
        <v>126</v>
      </c>
      <c r="D19" s="355"/>
      <c r="E19" s="322">
        <f>LMpielik_16_LMZino!P19:P20</f>
        <v>32</v>
      </c>
      <c r="F19" s="319">
        <f>LMpielik_16_LMZino!O19:O20</f>
        <v>32</v>
      </c>
      <c r="G19" s="343">
        <v>154</v>
      </c>
      <c r="H19" s="319">
        <v>154</v>
      </c>
      <c r="I19" s="319">
        <v>154</v>
      </c>
      <c r="J19" s="319">
        <v>154</v>
      </c>
      <c r="K19" s="344">
        <f>LMpielik_19_LMZino!O17</f>
        <v>16.74</v>
      </c>
      <c r="L19" s="314">
        <v>628.29</v>
      </c>
      <c r="M19" s="374"/>
      <c r="N19" s="374"/>
      <c r="O19" s="319">
        <f>F19+G19-H19</f>
        <v>32</v>
      </c>
      <c r="P19" s="322">
        <f>E19+I19-J19</f>
        <v>32</v>
      </c>
      <c r="Q19" s="311">
        <v>12</v>
      </c>
      <c r="R19" s="314">
        <f>K19/1.12</f>
        <v>14.94642857142857</v>
      </c>
      <c r="S19" s="314">
        <f>K19-R19</f>
        <v>1.793571428571429</v>
      </c>
      <c r="T19" s="314">
        <f>I19*S19</f>
        <v>276.2100000000001</v>
      </c>
    </row>
    <row r="20" spans="1:20" ht="15.75">
      <c r="A20" s="5">
        <v>9</v>
      </c>
      <c r="B20" s="17" t="s">
        <v>19</v>
      </c>
      <c r="C20" s="342"/>
      <c r="D20" s="355"/>
      <c r="E20" s="324"/>
      <c r="F20" s="321"/>
      <c r="G20" s="343"/>
      <c r="H20" s="321"/>
      <c r="I20" s="321"/>
      <c r="J20" s="321"/>
      <c r="K20" s="347"/>
      <c r="L20" s="316"/>
      <c r="M20" s="374"/>
      <c r="N20" s="374"/>
      <c r="O20" s="321"/>
      <c r="P20" s="324"/>
      <c r="Q20" s="313"/>
      <c r="R20" s="316"/>
      <c r="S20" s="316"/>
      <c r="T20" s="316"/>
    </row>
    <row r="21" spans="1:20" ht="15.75">
      <c r="A21" s="5">
        <v>10</v>
      </c>
      <c r="B21" s="17" t="s">
        <v>20</v>
      </c>
      <c r="C21" s="342" t="s">
        <v>117</v>
      </c>
      <c r="D21" s="347" t="s">
        <v>104</v>
      </c>
      <c r="E21" s="322">
        <f>LMpielik_16_LMZino!P21:P25</f>
        <v>60</v>
      </c>
      <c r="F21" s="319">
        <f>LMpielik_16_LMZino!O21:O25</f>
        <v>72</v>
      </c>
      <c r="G21" s="343">
        <v>359</v>
      </c>
      <c r="H21" s="319">
        <v>359</v>
      </c>
      <c r="I21" s="319">
        <v>371</v>
      </c>
      <c r="J21" s="319">
        <v>359</v>
      </c>
      <c r="K21" s="344">
        <f>LMpielik_19_LMZino!O19</f>
        <v>9.89725</v>
      </c>
      <c r="L21" s="314">
        <f>I21*K21</f>
        <v>3671.87975</v>
      </c>
      <c r="M21" s="374"/>
      <c r="N21" s="374"/>
      <c r="O21" s="319">
        <f>F21+G21-H21</f>
        <v>72</v>
      </c>
      <c r="P21" s="322">
        <f>E21+I21-J21</f>
        <v>72</v>
      </c>
      <c r="Q21" s="311">
        <v>12</v>
      </c>
      <c r="R21" s="314">
        <f>K21/1.12</f>
        <v>8.836830357142857</v>
      </c>
      <c r="S21" s="314">
        <f>K21-R21</f>
        <v>1.060419642857143</v>
      </c>
      <c r="T21" s="314">
        <f>I21*S21</f>
        <v>393.4156875000001</v>
      </c>
    </row>
    <row r="22" spans="1:20" ht="31.5">
      <c r="A22" s="5">
        <v>11</v>
      </c>
      <c r="B22" s="17" t="s">
        <v>87</v>
      </c>
      <c r="C22" s="342"/>
      <c r="D22" s="347"/>
      <c r="E22" s="323"/>
      <c r="F22" s="320"/>
      <c r="G22" s="347"/>
      <c r="H22" s="320"/>
      <c r="I22" s="320"/>
      <c r="J22" s="320"/>
      <c r="K22" s="344"/>
      <c r="L22" s="315"/>
      <c r="M22" s="374"/>
      <c r="N22" s="374"/>
      <c r="O22" s="320"/>
      <c r="P22" s="323"/>
      <c r="Q22" s="312"/>
      <c r="R22" s="315"/>
      <c r="S22" s="315"/>
      <c r="T22" s="315"/>
    </row>
    <row r="23" spans="1:20" ht="15.75">
      <c r="A23" s="5">
        <v>12</v>
      </c>
      <c r="B23" s="17" t="s">
        <v>21</v>
      </c>
      <c r="C23" s="342"/>
      <c r="D23" s="347"/>
      <c r="E23" s="323"/>
      <c r="F23" s="320"/>
      <c r="G23" s="347"/>
      <c r="H23" s="320"/>
      <c r="I23" s="320"/>
      <c r="J23" s="320"/>
      <c r="K23" s="344"/>
      <c r="L23" s="315"/>
      <c r="M23" s="374"/>
      <c r="N23" s="374"/>
      <c r="O23" s="320"/>
      <c r="P23" s="323"/>
      <c r="Q23" s="312"/>
      <c r="R23" s="315"/>
      <c r="S23" s="315"/>
      <c r="T23" s="315"/>
    </row>
    <row r="24" spans="1:20" ht="31.5">
      <c r="A24" s="5">
        <v>13</v>
      </c>
      <c r="B24" s="17" t="s">
        <v>88</v>
      </c>
      <c r="C24" s="342"/>
      <c r="D24" s="347"/>
      <c r="E24" s="323"/>
      <c r="F24" s="320"/>
      <c r="G24" s="347"/>
      <c r="H24" s="320"/>
      <c r="I24" s="320"/>
      <c r="J24" s="320"/>
      <c r="K24" s="344"/>
      <c r="L24" s="315"/>
      <c r="M24" s="374"/>
      <c r="N24" s="374"/>
      <c r="O24" s="320"/>
      <c r="P24" s="323"/>
      <c r="Q24" s="312"/>
      <c r="R24" s="315"/>
      <c r="S24" s="315"/>
      <c r="T24" s="315"/>
    </row>
    <row r="25" spans="1:20" ht="15.75">
      <c r="A25" s="5">
        <v>14</v>
      </c>
      <c r="B25" s="17" t="s">
        <v>22</v>
      </c>
      <c r="C25" s="342"/>
      <c r="D25" s="347"/>
      <c r="E25" s="324"/>
      <c r="F25" s="321"/>
      <c r="G25" s="347"/>
      <c r="H25" s="321"/>
      <c r="I25" s="321"/>
      <c r="J25" s="321"/>
      <c r="K25" s="344"/>
      <c r="L25" s="316"/>
      <c r="M25" s="374"/>
      <c r="N25" s="374"/>
      <c r="O25" s="321"/>
      <c r="P25" s="324"/>
      <c r="Q25" s="313"/>
      <c r="R25" s="316"/>
      <c r="S25" s="316"/>
      <c r="T25" s="316"/>
    </row>
    <row r="26" spans="1:20" ht="15.75">
      <c r="A26" s="5">
        <v>15</v>
      </c>
      <c r="B26" s="17" t="s">
        <v>23</v>
      </c>
      <c r="C26" s="370" t="s">
        <v>119</v>
      </c>
      <c r="D26" s="355" t="s">
        <v>104</v>
      </c>
      <c r="E26" s="322">
        <f>LMpielik_16_LMZino!P26:P31</f>
        <v>24</v>
      </c>
      <c r="F26" s="319">
        <f>LMpielik_16_LMZino!O26:O31</f>
        <v>24</v>
      </c>
      <c r="G26" s="319">
        <v>147</v>
      </c>
      <c r="H26" s="319">
        <v>147</v>
      </c>
      <c r="I26" s="319">
        <v>147</v>
      </c>
      <c r="J26" s="319">
        <v>147</v>
      </c>
      <c r="K26" s="314">
        <f>LMpielik_19_LMZino!O24</f>
        <v>155.93482288828338</v>
      </c>
      <c r="L26" s="314">
        <f>I26*K26</f>
        <v>22922.418964577657</v>
      </c>
      <c r="M26" s="374"/>
      <c r="N26" s="374"/>
      <c r="O26" s="319">
        <f>F26+G26-H26</f>
        <v>24</v>
      </c>
      <c r="P26" s="322">
        <f>E26+I26-J26</f>
        <v>24</v>
      </c>
      <c r="Q26" s="311">
        <v>12</v>
      </c>
      <c r="R26" s="314">
        <f>K26/1.12</f>
        <v>139.22752043596728</v>
      </c>
      <c r="S26" s="314">
        <f>K26-R26</f>
        <v>16.7073024523161</v>
      </c>
      <c r="T26" s="314">
        <f>I26*S26</f>
        <v>2455.9734604904666</v>
      </c>
    </row>
    <row r="27" spans="1:20" ht="15.75">
      <c r="A27" s="5">
        <v>16</v>
      </c>
      <c r="B27" s="17" t="s">
        <v>24</v>
      </c>
      <c r="C27" s="371"/>
      <c r="D27" s="355"/>
      <c r="E27" s="323"/>
      <c r="F27" s="320"/>
      <c r="G27" s="320"/>
      <c r="H27" s="320"/>
      <c r="I27" s="320"/>
      <c r="J27" s="320"/>
      <c r="K27" s="315"/>
      <c r="L27" s="315"/>
      <c r="M27" s="374"/>
      <c r="N27" s="374"/>
      <c r="O27" s="320"/>
      <c r="P27" s="323"/>
      <c r="Q27" s="312"/>
      <c r="R27" s="315"/>
      <c r="S27" s="315"/>
      <c r="T27" s="315"/>
    </row>
    <row r="28" spans="1:20" ht="31.5">
      <c r="A28" s="5">
        <v>17</v>
      </c>
      <c r="B28" s="17" t="s">
        <v>77</v>
      </c>
      <c r="C28" s="371"/>
      <c r="D28" s="355"/>
      <c r="E28" s="323"/>
      <c r="F28" s="320"/>
      <c r="G28" s="320"/>
      <c r="H28" s="320"/>
      <c r="I28" s="320"/>
      <c r="J28" s="320"/>
      <c r="K28" s="315"/>
      <c r="L28" s="315"/>
      <c r="M28" s="374"/>
      <c r="N28" s="374"/>
      <c r="O28" s="320"/>
      <c r="P28" s="323"/>
      <c r="Q28" s="312"/>
      <c r="R28" s="315"/>
      <c r="S28" s="315"/>
      <c r="T28" s="315"/>
    </row>
    <row r="29" spans="1:20" ht="15.75">
      <c r="A29" s="5">
        <v>18</v>
      </c>
      <c r="B29" s="17" t="s">
        <v>25</v>
      </c>
      <c r="C29" s="371"/>
      <c r="D29" s="355"/>
      <c r="E29" s="323"/>
      <c r="F29" s="320"/>
      <c r="G29" s="320"/>
      <c r="H29" s="320"/>
      <c r="I29" s="320"/>
      <c r="J29" s="320"/>
      <c r="K29" s="315"/>
      <c r="L29" s="315"/>
      <c r="M29" s="374"/>
      <c r="N29" s="374"/>
      <c r="O29" s="320"/>
      <c r="P29" s="323"/>
      <c r="Q29" s="312"/>
      <c r="R29" s="315"/>
      <c r="S29" s="315"/>
      <c r="T29" s="315"/>
    </row>
    <row r="30" spans="1:20" ht="15.75">
      <c r="A30" s="5">
        <v>19</v>
      </c>
      <c r="B30" s="17" t="s">
        <v>17</v>
      </c>
      <c r="C30" s="371"/>
      <c r="D30" s="355"/>
      <c r="E30" s="323"/>
      <c r="F30" s="320"/>
      <c r="G30" s="320"/>
      <c r="H30" s="320"/>
      <c r="I30" s="320"/>
      <c r="J30" s="320"/>
      <c r="K30" s="315"/>
      <c r="L30" s="315"/>
      <c r="M30" s="374"/>
      <c r="N30" s="374"/>
      <c r="O30" s="320"/>
      <c r="P30" s="323"/>
      <c r="Q30" s="312"/>
      <c r="R30" s="315"/>
      <c r="S30" s="315"/>
      <c r="T30" s="315"/>
    </row>
    <row r="31" spans="1:20" ht="15.75">
      <c r="A31" s="5">
        <v>20</v>
      </c>
      <c r="B31" s="17" t="s">
        <v>172</v>
      </c>
      <c r="C31" s="372"/>
      <c r="D31" s="355"/>
      <c r="E31" s="324"/>
      <c r="F31" s="321"/>
      <c r="G31" s="321"/>
      <c r="H31" s="321"/>
      <c r="I31" s="321"/>
      <c r="J31" s="321"/>
      <c r="K31" s="316"/>
      <c r="L31" s="316"/>
      <c r="M31" s="374"/>
      <c r="N31" s="374"/>
      <c r="O31" s="321"/>
      <c r="P31" s="324"/>
      <c r="Q31" s="313"/>
      <c r="R31" s="316"/>
      <c r="S31" s="316"/>
      <c r="T31" s="316"/>
    </row>
    <row r="32" spans="1:20" ht="15.75">
      <c r="A32" s="5">
        <v>21</v>
      </c>
      <c r="B32" s="17" t="s">
        <v>1</v>
      </c>
      <c r="C32" s="348" t="s">
        <v>123</v>
      </c>
      <c r="D32" s="355"/>
      <c r="E32" s="322">
        <f>LMpielik_16_LMZino!P32:P33</f>
        <v>36</v>
      </c>
      <c r="F32" s="319">
        <f>LMpielik_16_LMZino!O32:O33</f>
        <v>36</v>
      </c>
      <c r="G32" s="319">
        <v>219</v>
      </c>
      <c r="H32" s="319">
        <v>219</v>
      </c>
      <c r="I32" s="319">
        <v>219</v>
      </c>
      <c r="J32" s="319">
        <v>219</v>
      </c>
      <c r="K32" s="314">
        <f>LMpielik_19_LMZino!O30</f>
        <v>19.17</v>
      </c>
      <c r="L32" s="314">
        <f>I32*K32</f>
        <v>4198.2300000000005</v>
      </c>
      <c r="M32" s="374"/>
      <c r="N32" s="374"/>
      <c r="O32" s="319">
        <f>F32+G32-H32</f>
        <v>36</v>
      </c>
      <c r="P32" s="322">
        <f>E32+I32-J32</f>
        <v>36</v>
      </c>
      <c r="Q32" s="311">
        <v>12</v>
      </c>
      <c r="R32" s="314">
        <v>14.38392857142857</v>
      </c>
      <c r="S32" s="314">
        <v>1.72607142857143</v>
      </c>
      <c r="T32" s="314">
        <f>I32*S32</f>
        <v>378.00964285714315</v>
      </c>
    </row>
    <row r="33" spans="1:20" ht="15.75">
      <c r="A33" s="5">
        <v>22</v>
      </c>
      <c r="B33" s="17" t="s">
        <v>173</v>
      </c>
      <c r="C33" s="350"/>
      <c r="D33" s="355"/>
      <c r="E33" s="324"/>
      <c r="F33" s="321"/>
      <c r="G33" s="321"/>
      <c r="H33" s="321"/>
      <c r="I33" s="321"/>
      <c r="J33" s="321"/>
      <c r="K33" s="316"/>
      <c r="L33" s="316"/>
      <c r="M33" s="374"/>
      <c r="N33" s="374"/>
      <c r="O33" s="321"/>
      <c r="P33" s="324"/>
      <c r="Q33" s="313"/>
      <c r="R33" s="316"/>
      <c r="S33" s="316"/>
      <c r="T33" s="316"/>
    </row>
    <row r="34" spans="1:20" ht="15.75">
      <c r="A34" s="5">
        <v>23</v>
      </c>
      <c r="B34" s="17" t="s">
        <v>26</v>
      </c>
      <c r="C34" s="342" t="s">
        <v>124</v>
      </c>
      <c r="D34" s="355"/>
      <c r="E34" s="322">
        <f>LMpielik_16_LMZino!P34:P36</f>
        <v>18</v>
      </c>
      <c r="F34" s="319">
        <f>LMpielik_16_LMZino!O34:O36</f>
        <v>18</v>
      </c>
      <c r="G34" s="343">
        <v>206</v>
      </c>
      <c r="H34" s="319">
        <v>206</v>
      </c>
      <c r="I34" s="319">
        <v>206</v>
      </c>
      <c r="J34" s="319">
        <v>206</v>
      </c>
      <c r="K34" s="344">
        <f>LMpielik_19_LMZino!O32</f>
        <v>68.8</v>
      </c>
      <c r="L34" s="314">
        <f>I34*K34</f>
        <v>14172.8</v>
      </c>
      <c r="M34" s="374"/>
      <c r="N34" s="374"/>
      <c r="O34" s="319">
        <f>F34+G34-H34</f>
        <v>18</v>
      </c>
      <c r="P34" s="322">
        <f>E34+I34-J34</f>
        <v>18</v>
      </c>
      <c r="Q34" s="311">
        <v>12</v>
      </c>
      <c r="R34" s="314">
        <f>K34/1.12</f>
        <v>61.42857142857142</v>
      </c>
      <c r="S34" s="314">
        <f>K34-R34</f>
        <v>7.371428571428574</v>
      </c>
      <c r="T34" s="314">
        <f>I34*S34</f>
        <v>1518.5142857142862</v>
      </c>
    </row>
    <row r="35" spans="1:20" ht="31.5">
      <c r="A35" s="5">
        <v>24</v>
      </c>
      <c r="B35" s="17" t="s">
        <v>61</v>
      </c>
      <c r="C35" s="342"/>
      <c r="D35" s="355"/>
      <c r="E35" s="323"/>
      <c r="F35" s="320"/>
      <c r="G35" s="347"/>
      <c r="H35" s="320"/>
      <c r="I35" s="320"/>
      <c r="J35" s="320"/>
      <c r="K35" s="347"/>
      <c r="L35" s="315"/>
      <c r="M35" s="374"/>
      <c r="N35" s="374"/>
      <c r="O35" s="320"/>
      <c r="P35" s="323"/>
      <c r="Q35" s="312"/>
      <c r="R35" s="315"/>
      <c r="S35" s="315"/>
      <c r="T35" s="315"/>
    </row>
    <row r="36" spans="1:20" ht="15.75">
      <c r="A36" s="5">
        <v>25</v>
      </c>
      <c r="B36" s="17" t="s">
        <v>27</v>
      </c>
      <c r="C36" s="342"/>
      <c r="D36" s="355"/>
      <c r="E36" s="324"/>
      <c r="F36" s="321"/>
      <c r="G36" s="347"/>
      <c r="H36" s="321"/>
      <c r="I36" s="321"/>
      <c r="J36" s="321"/>
      <c r="K36" s="347"/>
      <c r="L36" s="316"/>
      <c r="M36" s="374"/>
      <c r="N36" s="374"/>
      <c r="O36" s="321"/>
      <c r="P36" s="324"/>
      <c r="Q36" s="313"/>
      <c r="R36" s="316"/>
      <c r="S36" s="316"/>
      <c r="T36" s="316"/>
    </row>
    <row r="37" spans="1:20" ht="31.5">
      <c r="A37" s="5">
        <v>26</v>
      </c>
      <c r="B37" s="17" t="s">
        <v>13</v>
      </c>
      <c r="C37" s="342" t="s">
        <v>120</v>
      </c>
      <c r="D37" s="356" t="s">
        <v>104</v>
      </c>
      <c r="E37" s="322">
        <f>LMpielik_16_LMZino!P37:P38</f>
        <v>215</v>
      </c>
      <c r="F37" s="319">
        <f>LMpielik_16_LMZino!O37:O38</f>
        <v>17</v>
      </c>
      <c r="G37" s="343">
        <v>82</v>
      </c>
      <c r="H37" s="319">
        <v>82</v>
      </c>
      <c r="I37" s="319"/>
      <c r="J37" s="319">
        <v>164</v>
      </c>
      <c r="K37" s="344">
        <f>LMpielik_19_LMZino!O35</f>
        <v>94.17</v>
      </c>
      <c r="L37" s="314">
        <f>I37*K37</f>
        <v>0</v>
      </c>
      <c r="M37" s="374"/>
      <c r="N37" s="374"/>
      <c r="O37" s="319">
        <f>F37+G37-H37</f>
        <v>17</v>
      </c>
      <c r="P37" s="322">
        <f>E37+I37-J37</f>
        <v>51</v>
      </c>
      <c r="Q37" s="311">
        <v>12</v>
      </c>
      <c r="R37" s="314">
        <f>K37/1.12</f>
        <v>84.08035714285714</v>
      </c>
      <c r="S37" s="314">
        <f>K37-R37</f>
        <v>10.089642857142863</v>
      </c>
      <c r="T37" s="314">
        <f>I37*S37</f>
        <v>0</v>
      </c>
    </row>
    <row r="38" spans="1:20" ht="31.5">
      <c r="A38" s="5">
        <v>27</v>
      </c>
      <c r="B38" s="17" t="s">
        <v>89</v>
      </c>
      <c r="C38" s="342"/>
      <c r="D38" s="356"/>
      <c r="E38" s="324"/>
      <c r="F38" s="321"/>
      <c r="G38" s="343"/>
      <c r="H38" s="321"/>
      <c r="I38" s="321"/>
      <c r="J38" s="321"/>
      <c r="K38" s="344"/>
      <c r="L38" s="316"/>
      <c r="M38" s="374"/>
      <c r="N38" s="374"/>
      <c r="O38" s="321"/>
      <c r="P38" s="324"/>
      <c r="Q38" s="313"/>
      <c r="R38" s="316"/>
      <c r="S38" s="316"/>
      <c r="T38" s="316"/>
    </row>
    <row r="39" spans="1:20" ht="31.5">
      <c r="A39" s="5">
        <v>28</v>
      </c>
      <c r="B39" s="102" t="s">
        <v>15</v>
      </c>
      <c r="C39" s="328" t="s">
        <v>125</v>
      </c>
      <c r="D39" s="329" t="s">
        <v>105</v>
      </c>
      <c r="E39" s="322">
        <f>LMpielik_16_LMZino!P39:P40</f>
        <v>460</v>
      </c>
      <c r="F39" s="319">
        <f>LMpielik_16_LMZino!O39:O40</f>
        <v>2</v>
      </c>
      <c r="G39" s="341">
        <v>101</v>
      </c>
      <c r="H39" s="338">
        <v>101</v>
      </c>
      <c r="I39" s="338"/>
      <c r="J39" s="338">
        <v>160</v>
      </c>
      <c r="K39" s="333">
        <f>LMpielik_19_LMZino!O37</f>
        <v>64.96</v>
      </c>
      <c r="L39" s="334">
        <f>I39*K39</f>
        <v>0</v>
      </c>
      <c r="M39" s="374"/>
      <c r="N39" s="374"/>
      <c r="O39" s="319">
        <f>F39+G39-H39</f>
        <v>2</v>
      </c>
      <c r="P39" s="322">
        <f>E39+I39-J39</f>
        <v>300</v>
      </c>
      <c r="Q39" s="311">
        <v>12</v>
      </c>
      <c r="R39" s="314">
        <f>K39/1.12</f>
        <v>57.999999999999986</v>
      </c>
      <c r="S39" s="314">
        <f>K39-R39</f>
        <v>6.960000000000008</v>
      </c>
      <c r="T39" s="314">
        <f>I39*S39</f>
        <v>0</v>
      </c>
    </row>
    <row r="40" spans="1:20" ht="15.75">
      <c r="A40" s="5">
        <v>29</v>
      </c>
      <c r="B40" s="102" t="s">
        <v>59</v>
      </c>
      <c r="C40" s="328"/>
      <c r="D40" s="329"/>
      <c r="E40" s="324"/>
      <c r="F40" s="321"/>
      <c r="G40" s="341"/>
      <c r="H40" s="340"/>
      <c r="I40" s="340"/>
      <c r="J40" s="340"/>
      <c r="K40" s="333"/>
      <c r="L40" s="336"/>
      <c r="M40" s="374"/>
      <c r="N40" s="374"/>
      <c r="O40" s="321"/>
      <c r="P40" s="324"/>
      <c r="Q40" s="313"/>
      <c r="R40" s="316"/>
      <c r="S40" s="316"/>
      <c r="T40" s="316"/>
    </row>
    <row r="41" spans="1:20" ht="15.75">
      <c r="A41" s="5">
        <v>30</v>
      </c>
      <c r="B41" s="102" t="s">
        <v>62</v>
      </c>
      <c r="C41" s="252" t="s">
        <v>122</v>
      </c>
      <c r="D41" s="253" t="s">
        <v>111</v>
      </c>
      <c r="E41" s="37">
        <f>LMpielik_16_LMZino!P41</f>
        <v>1010</v>
      </c>
      <c r="F41" s="15">
        <f>LMpielik_16_LMZino!O41</f>
        <v>0</v>
      </c>
      <c r="G41" s="248">
        <v>58</v>
      </c>
      <c r="H41" s="248">
        <v>58</v>
      </c>
      <c r="I41" s="248"/>
      <c r="J41" s="248">
        <v>58</v>
      </c>
      <c r="K41" s="249">
        <f>LMpielik_19_LMZino!O39</f>
        <v>8.54</v>
      </c>
      <c r="L41" s="16">
        <f>I41*K41</f>
        <v>0</v>
      </c>
      <c r="M41" s="374"/>
      <c r="N41" s="374"/>
      <c r="O41" s="15">
        <f>F41+G41-H41</f>
        <v>0</v>
      </c>
      <c r="P41" s="37">
        <f>E41+I41-J41</f>
        <v>952</v>
      </c>
      <c r="Q41" s="5">
        <v>12</v>
      </c>
      <c r="R41" s="16">
        <f>K41/1.12</f>
        <v>7.624999999999998</v>
      </c>
      <c r="S41" s="16">
        <f>K41-R41</f>
        <v>0.9150000000000009</v>
      </c>
      <c r="T41" s="16">
        <f>I41*S41</f>
        <v>0</v>
      </c>
    </row>
    <row r="42" spans="1:20" ht="15.75">
      <c r="A42" s="5">
        <v>31</v>
      </c>
      <c r="B42" s="182" t="s">
        <v>226</v>
      </c>
      <c r="C42" s="368" t="s">
        <v>232</v>
      </c>
      <c r="D42" s="175"/>
      <c r="E42" s="174">
        <f>LMpielik_16_LMZino!P42</f>
        <v>2</v>
      </c>
      <c r="F42" s="15">
        <f>LMpielik_16_LMZino!O42</f>
        <v>2</v>
      </c>
      <c r="G42" s="166">
        <f>LMpielik_18_LMZino!I53</f>
        <v>15</v>
      </c>
      <c r="H42" s="23">
        <v>15</v>
      </c>
      <c r="I42" s="23">
        <v>15</v>
      </c>
      <c r="J42" s="23">
        <v>15</v>
      </c>
      <c r="K42" s="249">
        <f>LMpielik_19_LMZino!O40</f>
        <v>3000</v>
      </c>
      <c r="L42" s="16">
        <f>I42*K42</f>
        <v>45000</v>
      </c>
      <c r="M42" s="374"/>
      <c r="N42" s="374"/>
      <c r="O42" s="15">
        <f>F42+G42-H42</f>
        <v>2</v>
      </c>
      <c r="P42" s="37">
        <f>E42+I42-J42</f>
        <v>2</v>
      </c>
      <c r="Q42" s="5">
        <v>12</v>
      </c>
      <c r="R42" s="16">
        <f>K42/1.12</f>
        <v>2678.5714285714284</v>
      </c>
      <c r="S42" s="16">
        <f>K42-R42</f>
        <v>321.42857142857156</v>
      </c>
      <c r="T42" s="16">
        <f>I42*S42</f>
        <v>4821.428571428573</v>
      </c>
    </row>
    <row r="43" spans="1:20" ht="15.75">
      <c r="A43" s="5">
        <v>32</v>
      </c>
      <c r="B43" s="102" t="s">
        <v>227</v>
      </c>
      <c r="C43" s="369"/>
      <c r="D43" s="175"/>
      <c r="E43" s="174">
        <f>LMpielik_16_LMZino!P43</f>
        <v>2</v>
      </c>
      <c r="F43" s="15">
        <f>LMpielik_16_LMZino!O43</f>
        <v>2</v>
      </c>
      <c r="G43" s="166">
        <f>LMpielik_18_LMZino!I54</f>
        <v>15</v>
      </c>
      <c r="H43" s="23">
        <v>15</v>
      </c>
      <c r="I43" s="23">
        <v>15</v>
      </c>
      <c r="J43" s="23">
        <v>15</v>
      </c>
      <c r="K43" s="249">
        <f>LMpielik_19_LMZino!O41</f>
        <v>2500</v>
      </c>
      <c r="L43" s="16">
        <f>I43*K43</f>
        <v>37500</v>
      </c>
      <c r="M43" s="374"/>
      <c r="N43" s="374"/>
      <c r="O43" s="15">
        <f>F43+G43-H43</f>
        <v>2</v>
      </c>
      <c r="P43" s="37">
        <f>E43+I43-J43</f>
        <v>2</v>
      </c>
      <c r="Q43" s="5">
        <v>12</v>
      </c>
      <c r="R43" s="16">
        <f>K43/1.12</f>
        <v>2232.142857142857</v>
      </c>
      <c r="S43" s="16">
        <f>K43-R43</f>
        <v>267.8571428571431</v>
      </c>
      <c r="T43" s="16">
        <f>I43*S43</f>
        <v>4017.8571428571468</v>
      </c>
    </row>
    <row r="44" spans="1:20" ht="15.75">
      <c r="A44" s="354" t="s">
        <v>103</v>
      </c>
      <c r="B44" s="354"/>
      <c r="C44" s="354"/>
      <c r="D44" s="354"/>
      <c r="E44" s="11">
        <f aca="true" t="shared" si="3" ref="E44:L44">SUM(E45:E104)</f>
        <v>477</v>
      </c>
      <c r="F44" s="11">
        <f t="shared" si="3"/>
        <v>407</v>
      </c>
      <c r="G44" s="11">
        <f t="shared" si="3"/>
        <v>2663</v>
      </c>
      <c r="H44" s="11">
        <f t="shared" si="3"/>
        <v>2654</v>
      </c>
      <c r="I44" s="11">
        <f t="shared" si="3"/>
        <v>2625</v>
      </c>
      <c r="J44" s="11">
        <f t="shared" si="3"/>
        <v>2654</v>
      </c>
      <c r="K44" s="11">
        <f t="shared" si="3"/>
        <v>22781.501561660192</v>
      </c>
      <c r="L44" s="11">
        <f t="shared" si="3"/>
        <v>1334699.174434639</v>
      </c>
      <c r="M44" s="374"/>
      <c r="N44" s="374"/>
      <c r="O44" s="11">
        <f>SUM(O45:O104)</f>
        <v>416</v>
      </c>
      <c r="P44" s="11">
        <f>SUM(P45:P104)</f>
        <v>448</v>
      </c>
      <c r="Q44" s="11" t="s">
        <v>112</v>
      </c>
      <c r="R44" s="21">
        <f>SUM(R45:R104)</f>
        <v>20340.62639433946</v>
      </c>
      <c r="S44" s="21">
        <f>SUM(S45:S104)</f>
        <v>2440.8751673207375</v>
      </c>
      <c r="T44" s="21">
        <f>SUM(T45:T104)</f>
        <v>141316.61297514004</v>
      </c>
    </row>
    <row r="45" spans="1:20" ht="15.75">
      <c r="A45" s="5">
        <v>33</v>
      </c>
      <c r="B45" s="17" t="s">
        <v>2</v>
      </c>
      <c r="C45" s="342" t="s">
        <v>132</v>
      </c>
      <c r="D45" s="326" t="s">
        <v>104</v>
      </c>
      <c r="E45" s="352">
        <f>LMpielik_16_LMZino!P45:P46</f>
        <v>13</v>
      </c>
      <c r="F45" s="343">
        <f>LMpielik_16_LMZino!O45:O46</f>
        <v>13</v>
      </c>
      <c r="G45" s="343">
        <v>119</v>
      </c>
      <c r="H45" s="319">
        <v>119</v>
      </c>
      <c r="I45" s="319">
        <v>119</v>
      </c>
      <c r="J45" s="319">
        <v>119</v>
      </c>
      <c r="K45" s="344">
        <f>LMpielik_19_LMZino!O46</f>
        <v>26.27090909090909</v>
      </c>
      <c r="L45" s="314">
        <f>I45*K45</f>
        <v>3126.2381818181816</v>
      </c>
      <c r="M45" s="374"/>
      <c r="N45" s="374"/>
      <c r="O45" s="319">
        <f>F45+G45-H45</f>
        <v>13</v>
      </c>
      <c r="P45" s="322">
        <f>E45+I45-J45</f>
        <v>13</v>
      </c>
      <c r="Q45" s="311">
        <v>12</v>
      </c>
      <c r="R45" s="314">
        <f>K45/1.12</f>
        <v>23.456168831168828</v>
      </c>
      <c r="S45" s="314">
        <f>K45-R45</f>
        <v>2.8147402597402618</v>
      </c>
      <c r="T45" s="314">
        <f>I45*S45</f>
        <v>334.9540909090912</v>
      </c>
    </row>
    <row r="46" spans="1:20" ht="15.75">
      <c r="A46" s="5">
        <v>34</v>
      </c>
      <c r="B46" s="17" t="s">
        <v>90</v>
      </c>
      <c r="C46" s="342"/>
      <c r="D46" s="327"/>
      <c r="E46" s="353"/>
      <c r="F46" s="347"/>
      <c r="G46" s="343"/>
      <c r="H46" s="321"/>
      <c r="I46" s="321"/>
      <c r="J46" s="321"/>
      <c r="K46" s="344"/>
      <c r="L46" s="316"/>
      <c r="M46" s="374"/>
      <c r="N46" s="374"/>
      <c r="O46" s="313"/>
      <c r="P46" s="324"/>
      <c r="Q46" s="313"/>
      <c r="R46" s="316"/>
      <c r="S46" s="316"/>
      <c r="T46" s="316"/>
    </row>
    <row r="47" spans="1:20" ht="15.75">
      <c r="A47" s="5">
        <v>35</v>
      </c>
      <c r="B47" s="17" t="s">
        <v>7</v>
      </c>
      <c r="C47" s="342" t="s">
        <v>134</v>
      </c>
      <c r="D47" s="326" t="s">
        <v>104</v>
      </c>
      <c r="E47" s="352">
        <f>LMpielik_16_LMZino!P47:P49</f>
        <v>45</v>
      </c>
      <c r="F47" s="343">
        <f>LMpielik_16_LMZino!O47:O49</f>
        <v>45</v>
      </c>
      <c r="G47" s="343">
        <v>209</v>
      </c>
      <c r="H47" s="319">
        <v>209</v>
      </c>
      <c r="I47" s="319">
        <v>209</v>
      </c>
      <c r="J47" s="319">
        <v>209</v>
      </c>
      <c r="K47" s="344">
        <f>LMpielik_19_LMZino!O48</f>
        <v>20.95188405797101</v>
      </c>
      <c r="L47" s="314">
        <f>I47*K47</f>
        <v>4378.943768115942</v>
      </c>
      <c r="M47" s="374"/>
      <c r="N47" s="374"/>
      <c r="O47" s="319">
        <f>F47+G47-H47</f>
        <v>45</v>
      </c>
      <c r="P47" s="322">
        <f>E47+I47-J47</f>
        <v>45</v>
      </c>
      <c r="Q47" s="311">
        <v>12</v>
      </c>
      <c r="R47" s="314">
        <f>K47/1.12</f>
        <v>18.707039337474114</v>
      </c>
      <c r="S47" s="314">
        <f>K47-R47</f>
        <v>2.2448447204968964</v>
      </c>
      <c r="T47" s="314">
        <f>I47*S47</f>
        <v>469.17254658385133</v>
      </c>
    </row>
    <row r="48" spans="1:20" ht="31.5">
      <c r="A48" s="5">
        <v>36</v>
      </c>
      <c r="B48" s="17" t="s">
        <v>78</v>
      </c>
      <c r="C48" s="342"/>
      <c r="D48" s="326"/>
      <c r="E48" s="353"/>
      <c r="F48" s="347"/>
      <c r="G48" s="343"/>
      <c r="H48" s="320"/>
      <c r="I48" s="320"/>
      <c r="J48" s="320"/>
      <c r="K48" s="344"/>
      <c r="L48" s="315"/>
      <c r="M48" s="374"/>
      <c r="N48" s="374"/>
      <c r="O48" s="312"/>
      <c r="P48" s="323"/>
      <c r="Q48" s="312"/>
      <c r="R48" s="315"/>
      <c r="S48" s="315"/>
      <c r="T48" s="315"/>
    </row>
    <row r="49" spans="1:20" ht="15.75">
      <c r="A49" s="5">
        <v>37</v>
      </c>
      <c r="B49" s="17" t="s">
        <v>31</v>
      </c>
      <c r="C49" s="342"/>
      <c r="D49" s="326"/>
      <c r="E49" s="353"/>
      <c r="F49" s="347"/>
      <c r="G49" s="343"/>
      <c r="H49" s="321"/>
      <c r="I49" s="321"/>
      <c r="J49" s="321"/>
      <c r="K49" s="347"/>
      <c r="L49" s="316"/>
      <c r="M49" s="374"/>
      <c r="N49" s="374"/>
      <c r="O49" s="313"/>
      <c r="P49" s="324"/>
      <c r="Q49" s="313"/>
      <c r="R49" s="316"/>
      <c r="S49" s="316"/>
      <c r="T49" s="316"/>
    </row>
    <row r="50" spans="1:20" ht="15.75">
      <c r="A50" s="5">
        <v>38</v>
      </c>
      <c r="B50" s="17" t="s">
        <v>8</v>
      </c>
      <c r="C50" s="342" t="s">
        <v>133</v>
      </c>
      <c r="D50" s="326" t="s">
        <v>104</v>
      </c>
      <c r="E50" s="352">
        <f>LMpielik_16_LMZino!P50:P56</f>
        <v>38</v>
      </c>
      <c r="F50" s="343">
        <f>LMpielik_16_LMZino!O50:O56</f>
        <v>38</v>
      </c>
      <c r="G50" s="343">
        <v>389</v>
      </c>
      <c r="H50" s="319">
        <v>389</v>
      </c>
      <c r="I50" s="319">
        <v>389</v>
      </c>
      <c r="J50" s="319">
        <v>389</v>
      </c>
      <c r="K50" s="344">
        <f>LMpielik_19_LMZino!O51</f>
        <v>51.15751736111112</v>
      </c>
      <c r="L50" s="314">
        <f>I50*K50</f>
        <v>19900.274253472224</v>
      </c>
      <c r="M50" s="374"/>
      <c r="N50" s="374"/>
      <c r="O50" s="319">
        <f>F50+G50-H50</f>
        <v>38</v>
      </c>
      <c r="P50" s="322">
        <f>E50+I50-J50</f>
        <v>38</v>
      </c>
      <c r="Q50" s="311">
        <v>12</v>
      </c>
      <c r="R50" s="314">
        <f>K50/1.12</f>
        <v>45.67635478670635</v>
      </c>
      <c r="S50" s="314">
        <f>K50-R50</f>
        <v>5.48116257440477</v>
      </c>
      <c r="T50" s="314">
        <f>I50*S50</f>
        <v>2132.1722414434557</v>
      </c>
    </row>
    <row r="51" spans="1:20" ht="15.75">
      <c r="A51" s="5">
        <v>39</v>
      </c>
      <c r="B51" s="17" t="s">
        <v>32</v>
      </c>
      <c r="C51" s="342"/>
      <c r="D51" s="326"/>
      <c r="E51" s="353"/>
      <c r="F51" s="347"/>
      <c r="G51" s="343"/>
      <c r="H51" s="320"/>
      <c r="I51" s="320"/>
      <c r="J51" s="320"/>
      <c r="K51" s="344"/>
      <c r="L51" s="315"/>
      <c r="M51" s="374"/>
      <c r="N51" s="374"/>
      <c r="O51" s="312"/>
      <c r="P51" s="323"/>
      <c r="Q51" s="312"/>
      <c r="R51" s="315"/>
      <c r="S51" s="315"/>
      <c r="T51" s="315"/>
    </row>
    <row r="52" spans="1:20" ht="15.75">
      <c r="A52" s="5">
        <v>40</v>
      </c>
      <c r="B52" s="17" t="s">
        <v>33</v>
      </c>
      <c r="C52" s="342"/>
      <c r="D52" s="326"/>
      <c r="E52" s="353"/>
      <c r="F52" s="347"/>
      <c r="G52" s="343"/>
      <c r="H52" s="320"/>
      <c r="I52" s="320"/>
      <c r="J52" s="320"/>
      <c r="K52" s="344"/>
      <c r="L52" s="315"/>
      <c r="M52" s="374"/>
      <c r="N52" s="374"/>
      <c r="O52" s="312"/>
      <c r="P52" s="323"/>
      <c r="Q52" s="312"/>
      <c r="R52" s="315"/>
      <c r="S52" s="315"/>
      <c r="T52" s="315"/>
    </row>
    <row r="53" spans="1:20" ht="15.75">
      <c r="A53" s="5">
        <v>41</v>
      </c>
      <c r="B53" s="17" t="s">
        <v>79</v>
      </c>
      <c r="C53" s="342"/>
      <c r="D53" s="326"/>
      <c r="E53" s="353"/>
      <c r="F53" s="347"/>
      <c r="G53" s="343"/>
      <c r="H53" s="320"/>
      <c r="I53" s="320"/>
      <c r="J53" s="320"/>
      <c r="K53" s="344"/>
      <c r="L53" s="315"/>
      <c r="M53" s="374"/>
      <c r="N53" s="374"/>
      <c r="O53" s="312"/>
      <c r="P53" s="323"/>
      <c r="Q53" s="312"/>
      <c r="R53" s="315"/>
      <c r="S53" s="315"/>
      <c r="T53" s="315"/>
    </row>
    <row r="54" spans="1:20" ht="31.5">
      <c r="A54" s="5">
        <v>42</v>
      </c>
      <c r="B54" s="17" t="s">
        <v>80</v>
      </c>
      <c r="C54" s="342"/>
      <c r="D54" s="326"/>
      <c r="E54" s="353"/>
      <c r="F54" s="347"/>
      <c r="G54" s="343"/>
      <c r="H54" s="320"/>
      <c r="I54" s="320"/>
      <c r="J54" s="320"/>
      <c r="K54" s="344"/>
      <c r="L54" s="315"/>
      <c r="M54" s="374"/>
      <c r="N54" s="374"/>
      <c r="O54" s="312"/>
      <c r="P54" s="323"/>
      <c r="Q54" s="312"/>
      <c r="R54" s="315"/>
      <c r="S54" s="315"/>
      <c r="T54" s="315"/>
    </row>
    <row r="55" spans="1:20" ht="15.75">
      <c r="A55" s="5">
        <v>43</v>
      </c>
      <c r="B55" s="17" t="s">
        <v>81</v>
      </c>
      <c r="C55" s="342"/>
      <c r="D55" s="326"/>
      <c r="E55" s="353"/>
      <c r="F55" s="347"/>
      <c r="G55" s="343"/>
      <c r="H55" s="320"/>
      <c r="I55" s="320"/>
      <c r="J55" s="320"/>
      <c r="K55" s="344"/>
      <c r="L55" s="315"/>
      <c r="M55" s="374"/>
      <c r="N55" s="374"/>
      <c r="O55" s="312"/>
      <c r="P55" s="323"/>
      <c r="Q55" s="312"/>
      <c r="R55" s="315"/>
      <c r="S55" s="315"/>
      <c r="T55" s="315"/>
    </row>
    <row r="56" spans="1:20" ht="15.75">
      <c r="A56" s="5">
        <v>44</v>
      </c>
      <c r="B56" s="17" t="s">
        <v>34</v>
      </c>
      <c r="C56" s="342"/>
      <c r="D56" s="326"/>
      <c r="E56" s="353"/>
      <c r="F56" s="347"/>
      <c r="G56" s="343"/>
      <c r="H56" s="321"/>
      <c r="I56" s="321"/>
      <c r="J56" s="321"/>
      <c r="K56" s="344"/>
      <c r="L56" s="316"/>
      <c r="M56" s="374"/>
      <c r="N56" s="374"/>
      <c r="O56" s="313"/>
      <c r="P56" s="324"/>
      <c r="Q56" s="313"/>
      <c r="R56" s="316"/>
      <c r="S56" s="316"/>
      <c r="T56" s="316"/>
    </row>
    <row r="57" spans="1:20" ht="15.75">
      <c r="A57" s="5">
        <v>45</v>
      </c>
      <c r="B57" s="17" t="s">
        <v>10</v>
      </c>
      <c r="C57" s="342" t="s">
        <v>143</v>
      </c>
      <c r="D57" s="326" t="s">
        <v>104</v>
      </c>
      <c r="E57" s="345">
        <f>LMpielik_16_LMZino!P57:P62</f>
        <v>4</v>
      </c>
      <c r="F57" s="343">
        <f>LMpielik_16_LMZino!O57:O62</f>
        <v>4</v>
      </c>
      <c r="G57" s="343">
        <v>24</v>
      </c>
      <c r="H57" s="319">
        <v>24</v>
      </c>
      <c r="I57" s="319">
        <v>24</v>
      </c>
      <c r="J57" s="319">
        <v>24</v>
      </c>
      <c r="K57" s="344">
        <f>LMpielik_19_LMZino!O58</f>
        <v>512.7826746256425</v>
      </c>
      <c r="L57" s="314">
        <f>I57*K57</f>
        <v>12306.78419101542</v>
      </c>
      <c r="M57" s="374"/>
      <c r="N57" s="374"/>
      <c r="O57" s="319">
        <f>F57+G57-H57</f>
        <v>4</v>
      </c>
      <c r="P57" s="322">
        <f>E57+I57-J57</f>
        <v>4</v>
      </c>
      <c r="Q57" s="311">
        <v>12</v>
      </c>
      <c r="R57" s="314">
        <f>K57/1.12</f>
        <v>457.84167377289504</v>
      </c>
      <c r="S57" s="314">
        <f>K57-R57</f>
        <v>54.941000852747436</v>
      </c>
      <c r="T57" s="314">
        <f>I57*S57</f>
        <v>1318.5840204659385</v>
      </c>
    </row>
    <row r="58" spans="1:20" ht="15.75">
      <c r="A58" s="5">
        <v>46</v>
      </c>
      <c r="B58" s="17" t="s">
        <v>11</v>
      </c>
      <c r="C58" s="342"/>
      <c r="D58" s="351"/>
      <c r="E58" s="373"/>
      <c r="F58" s="347"/>
      <c r="G58" s="343"/>
      <c r="H58" s="320"/>
      <c r="I58" s="320"/>
      <c r="J58" s="320"/>
      <c r="K58" s="344"/>
      <c r="L58" s="315"/>
      <c r="M58" s="374"/>
      <c r="N58" s="374"/>
      <c r="O58" s="312"/>
      <c r="P58" s="323"/>
      <c r="Q58" s="312"/>
      <c r="R58" s="315"/>
      <c r="S58" s="315"/>
      <c r="T58" s="315"/>
    </row>
    <row r="59" spans="1:20" ht="15.75">
      <c r="A59" s="5">
        <v>47</v>
      </c>
      <c r="B59" s="17" t="s">
        <v>9</v>
      </c>
      <c r="C59" s="342"/>
      <c r="D59" s="351"/>
      <c r="E59" s="373"/>
      <c r="F59" s="347"/>
      <c r="G59" s="343"/>
      <c r="H59" s="320"/>
      <c r="I59" s="320"/>
      <c r="J59" s="320"/>
      <c r="K59" s="344"/>
      <c r="L59" s="315"/>
      <c r="M59" s="374"/>
      <c r="N59" s="374"/>
      <c r="O59" s="312"/>
      <c r="P59" s="323"/>
      <c r="Q59" s="312"/>
      <c r="R59" s="315"/>
      <c r="S59" s="315"/>
      <c r="T59" s="315"/>
    </row>
    <row r="60" spans="1:20" ht="15.75">
      <c r="A60" s="5">
        <v>48</v>
      </c>
      <c r="B60" s="17" t="s">
        <v>36</v>
      </c>
      <c r="C60" s="342"/>
      <c r="D60" s="351"/>
      <c r="E60" s="373"/>
      <c r="F60" s="347"/>
      <c r="G60" s="343"/>
      <c r="H60" s="320"/>
      <c r="I60" s="320"/>
      <c r="J60" s="320"/>
      <c r="K60" s="344"/>
      <c r="L60" s="315"/>
      <c r="M60" s="374"/>
      <c r="N60" s="374"/>
      <c r="O60" s="312"/>
      <c r="P60" s="323"/>
      <c r="Q60" s="312"/>
      <c r="R60" s="315"/>
      <c r="S60" s="315"/>
      <c r="T60" s="315"/>
    </row>
    <row r="61" spans="1:20" ht="15.75">
      <c r="A61" s="5">
        <v>49</v>
      </c>
      <c r="B61" s="17" t="s">
        <v>37</v>
      </c>
      <c r="C61" s="342"/>
      <c r="D61" s="351"/>
      <c r="E61" s="373"/>
      <c r="F61" s="347"/>
      <c r="G61" s="343"/>
      <c r="H61" s="320"/>
      <c r="I61" s="320"/>
      <c r="J61" s="320"/>
      <c r="K61" s="344"/>
      <c r="L61" s="315"/>
      <c r="M61" s="374"/>
      <c r="N61" s="374"/>
      <c r="O61" s="312"/>
      <c r="P61" s="323"/>
      <c r="Q61" s="312"/>
      <c r="R61" s="315"/>
      <c r="S61" s="315"/>
      <c r="T61" s="315"/>
    </row>
    <row r="62" spans="1:20" ht="15.75">
      <c r="A62" s="5">
        <v>50</v>
      </c>
      <c r="B62" s="17" t="s">
        <v>39</v>
      </c>
      <c r="C62" s="342"/>
      <c r="D62" s="351"/>
      <c r="E62" s="346"/>
      <c r="F62" s="347"/>
      <c r="G62" s="343"/>
      <c r="H62" s="321"/>
      <c r="I62" s="321"/>
      <c r="J62" s="321"/>
      <c r="K62" s="344"/>
      <c r="L62" s="316"/>
      <c r="M62" s="374"/>
      <c r="N62" s="374"/>
      <c r="O62" s="313"/>
      <c r="P62" s="324"/>
      <c r="Q62" s="313"/>
      <c r="R62" s="316"/>
      <c r="S62" s="316"/>
      <c r="T62" s="316"/>
    </row>
    <row r="63" spans="1:20" ht="31.5">
      <c r="A63" s="5">
        <v>51</v>
      </c>
      <c r="B63" s="17" t="s">
        <v>38</v>
      </c>
      <c r="C63" s="18" t="s">
        <v>137</v>
      </c>
      <c r="D63" s="23" t="s">
        <v>104</v>
      </c>
      <c r="E63" s="148">
        <f>LMpielik_16_LMZino!P63</f>
        <v>6</v>
      </c>
      <c r="F63" s="15">
        <f>LMpielik_16_LMZino!O63</f>
        <v>6</v>
      </c>
      <c r="G63" s="15">
        <v>38</v>
      </c>
      <c r="H63" s="15">
        <v>38</v>
      </c>
      <c r="I63" s="15">
        <v>38</v>
      </c>
      <c r="J63" s="15">
        <v>38</v>
      </c>
      <c r="K63" s="16">
        <f>LMpielik_19_LMZino!O64</f>
        <v>1666.5600000000002</v>
      </c>
      <c r="L63" s="16">
        <f>I63*K63</f>
        <v>63329.280000000006</v>
      </c>
      <c r="M63" s="374"/>
      <c r="N63" s="374"/>
      <c r="O63" s="15">
        <f>F63+G63-H63</f>
        <v>6</v>
      </c>
      <c r="P63" s="37">
        <f>E63+I63-J63</f>
        <v>6</v>
      </c>
      <c r="Q63" s="5">
        <v>12</v>
      </c>
      <c r="R63" s="16">
        <f>K63/1.12</f>
        <v>1488</v>
      </c>
      <c r="S63" s="16">
        <f>K63-R63</f>
        <v>178.56000000000017</v>
      </c>
      <c r="T63" s="16">
        <f>I63*S63</f>
        <v>6785.280000000006</v>
      </c>
    </row>
    <row r="64" spans="1:20" ht="15.75">
      <c r="A64" s="5">
        <v>52</v>
      </c>
      <c r="B64" s="17" t="s">
        <v>35</v>
      </c>
      <c r="C64" s="342" t="s">
        <v>141</v>
      </c>
      <c r="D64" s="347" t="s">
        <v>104</v>
      </c>
      <c r="E64" s="345">
        <f>LMpielik_16_LMZino!P64:P65</f>
        <v>18</v>
      </c>
      <c r="F64" s="319">
        <f>LMpielik_16_LMZino!O64:O65</f>
        <v>18</v>
      </c>
      <c r="G64" s="343">
        <v>119</v>
      </c>
      <c r="H64" s="319">
        <v>119</v>
      </c>
      <c r="I64" s="319">
        <v>119</v>
      </c>
      <c r="J64" s="319">
        <v>119</v>
      </c>
      <c r="K64" s="344">
        <f>LMpielik_19_LMZino!O65</f>
        <v>825.9867251751556</v>
      </c>
      <c r="L64" s="314">
        <f>I64*K64</f>
        <v>98292.42029584352</v>
      </c>
      <c r="M64" s="374"/>
      <c r="N64" s="374"/>
      <c r="O64" s="319">
        <f>F64+G64-H64</f>
        <v>18</v>
      </c>
      <c r="P64" s="322">
        <f>E64+I64-J64</f>
        <v>18</v>
      </c>
      <c r="Q64" s="311">
        <v>12</v>
      </c>
      <c r="R64" s="314">
        <f>K64/1.12</f>
        <v>737.4881474778174</v>
      </c>
      <c r="S64" s="314">
        <f>K64-R64</f>
        <v>88.49857769733819</v>
      </c>
      <c r="T64" s="314">
        <f>I64*S64</f>
        <v>10531.330745983245</v>
      </c>
    </row>
    <row r="65" spans="1:20" ht="15.75">
      <c r="A65" s="5">
        <v>53</v>
      </c>
      <c r="B65" s="17" t="s">
        <v>41</v>
      </c>
      <c r="C65" s="342"/>
      <c r="D65" s="347"/>
      <c r="E65" s="346"/>
      <c r="F65" s="321"/>
      <c r="G65" s="347"/>
      <c r="H65" s="321"/>
      <c r="I65" s="321"/>
      <c r="J65" s="321"/>
      <c r="K65" s="344"/>
      <c r="L65" s="316"/>
      <c r="M65" s="374"/>
      <c r="N65" s="374"/>
      <c r="O65" s="321"/>
      <c r="P65" s="324"/>
      <c r="Q65" s="313"/>
      <c r="R65" s="316"/>
      <c r="S65" s="316"/>
      <c r="T65" s="316"/>
    </row>
    <row r="66" spans="1:20" ht="15.75">
      <c r="A66" s="5">
        <v>54</v>
      </c>
      <c r="B66" s="17" t="s">
        <v>40</v>
      </c>
      <c r="C66" s="18" t="s">
        <v>142</v>
      </c>
      <c r="D66" s="23" t="s">
        <v>104</v>
      </c>
      <c r="E66" s="148">
        <f>LMpielik_16_LMZino!P66</f>
        <v>3</v>
      </c>
      <c r="F66" s="15">
        <f>LMpielik_16_LMZino!O66</f>
        <v>3</v>
      </c>
      <c r="G66" s="15">
        <v>20</v>
      </c>
      <c r="H66" s="15">
        <v>20</v>
      </c>
      <c r="I66" s="15">
        <v>20</v>
      </c>
      <c r="J66" s="15">
        <v>20</v>
      </c>
      <c r="K66" s="16">
        <f>LMpielik_19_LMZino!O67</f>
        <v>2279.2</v>
      </c>
      <c r="L66" s="16">
        <f>I66*K66</f>
        <v>45584</v>
      </c>
      <c r="M66" s="374"/>
      <c r="N66" s="374"/>
      <c r="O66" s="15">
        <f>F66+G66-H66</f>
        <v>3</v>
      </c>
      <c r="P66" s="37">
        <f>E66+I66-J66</f>
        <v>3</v>
      </c>
      <c r="Q66" s="5">
        <v>12</v>
      </c>
      <c r="R66" s="16">
        <f>K66/1.12</f>
        <v>2034.9999999999995</v>
      </c>
      <c r="S66" s="16">
        <f>K66-R66</f>
        <v>244.20000000000027</v>
      </c>
      <c r="T66" s="16">
        <f>I66*S66</f>
        <v>4884.0000000000055</v>
      </c>
    </row>
    <row r="67" spans="1:20" ht="15.75">
      <c r="A67" s="5">
        <v>55</v>
      </c>
      <c r="B67" s="17" t="s">
        <v>51</v>
      </c>
      <c r="C67" s="342" t="s">
        <v>140</v>
      </c>
      <c r="D67" s="326" t="s">
        <v>104</v>
      </c>
      <c r="E67" s="345">
        <f>LMpielik_16_LMZino!P67:P68</f>
        <v>38</v>
      </c>
      <c r="F67" s="319">
        <f>LMpielik_16_LMZino!O67:O68</f>
        <v>38</v>
      </c>
      <c r="G67" s="343">
        <v>155</v>
      </c>
      <c r="H67" s="319">
        <v>155</v>
      </c>
      <c r="I67" s="319">
        <v>155</v>
      </c>
      <c r="J67" s="319">
        <v>155</v>
      </c>
      <c r="K67" s="344">
        <f>LMpielik_19_LMZino!O72</f>
        <v>151.32</v>
      </c>
      <c r="L67" s="314">
        <f>I67*K67</f>
        <v>23454.6</v>
      </c>
      <c r="M67" s="374"/>
      <c r="N67" s="374"/>
      <c r="O67" s="319">
        <f>F67+G67-H67</f>
        <v>38</v>
      </c>
      <c r="P67" s="322">
        <f>E67+I67-J67</f>
        <v>38</v>
      </c>
      <c r="Q67" s="311">
        <v>12</v>
      </c>
      <c r="R67" s="314">
        <f>K67/1.12</f>
        <v>135.10714285714283</v>
      </c>
      <c r="S67" s="314">
        <f>K67-R67</f>
        <v>16.21285714285716</v>
      </c>
      <c r="T67" s="314">
        <f>I67*S67</f>
        <v>2512.99285714286</v>
      </c>
    </row>
    <row r="68" spans="1:20" ht="31.5">
      <c r="A68" s="5">
        <v>56</v>
      </c>
      <c r="B68" s="17" t="s">
        <v>82</v>
      </c>
      <c r="C68" s="342"/>
      <c r="D68" s="326"/>
      <c r="E68" s="346"/>
      <c r="F68" s="321"/>
      <c r="G68" s="343"/>
      <c r="H68" s="321"/>
      <c r="I68" s="321"/>
      <c r="J68" s="321"/>
      <c r="K68" s="344"/>
      <c r="L68" s="316"/>
      <c r="M68" s="374"/>
      <c r="N68" s="374"/>
      <c r="O68" s="321"/>
      <c r="P68" s="324"/>
      <c r="Q68" s="313"/>
      <c r="R68" s="316"/>
      <c r="S68" s="316"/>
      <c r="T68" s="316"/>
    </row>
    <row r="69" spans="1:20" ht="31.5">
      <c r="A69" s="5">
        <v>57</v>
      </c>
      <c r="B69" s="17" t="s">
        <v>50</v>
      </c>
      <c r="C69" s="342" t="s">
        <v>136</v>
      </c>
      <c r="D69" s="326" t="s">
        <v>104</v>
      </c>
      <c r="E69" s="345">
        <f>LMpielik_16_LMZino!P69:P70</f>
        <v>153</v>
      </c>
      <c r="F69" s="319">
        <f>LMpielik_16_LMZino!O69:O70</f>
        <v>153</v>
      </c>
      <c r="G69" s="343">
        <v>945</v>
      </c>
      <c r="H69" s="319">
        <v>945</v>
      </c>
      <c r="I69" s="319">
        <v>945</v>
      </c>
      <c r="J69" s="319">
        <v>945</v>
      </c>
      <c r="K69" s="344">
        <f>LMpielik_19_LMZino!O74</f>
        <v>136.8899444958372</v>
      </c>
      <c r="L69" s="314">
        <f>I69*K69</f>
        <v>129360.99754856616</v>
      </c>
      <c r="M69" s="374"/>
      <c r="N69" s="374"/>
      <c r="O69" s="319">
        <f>F69+G69-H69</f>
        <v>153</v>
      </c>
      <c r="P69" s="322">
        <f>E69+I69-J69</f>
        <v>153</v>
      </c>
      <c r="Q69" s="311">
        <v>12</v>
      </c>
      <c r="R69" s="314">
        <f>K69/1.12</f>
        <v>122.22316472842606</v>
      </c>
      <c r="S69" s="314">
        <f>K69-R69</f>
        <v>14.666779767411143</v>
      </c>
      <c r="T69" s="314">
        <f>I69*S69</f>
        <v>13860.10688020353</v>
      </c>
    </row>
    <row r="70" spans="1:20" ht="47.25">
      <c r="A70" s="5">
        <v>58</v>
      </c>
      <c r="B70" s="17" t="s">
        <v>83</v>
      </c>
      <c r="C70" s="342"/>
      <c r="D70" s="327"/>
      <c r="E70" s="346"/>
      <c r="F70" s="321"/>
      <c r="G70" s="343"/>
      <c r="H70" s="321"/>
      <c r="I70" s="321"/>
      <c r="J70" s="321"/>
      <c r="K70" s="344"/>
      <c r="L70" s="316"/>
      <c r="M70" s="374"/>
      <c r="N70" s="374"/>
      <c r="O70" s="321"/>
      <c r="P70" s="324"/>
      <c r="Q70" s="313"/>
      <c r="R70" s="316"/>
      <c r="S70" s="316"/>
      <c r="T70" s="316"/>
    </row>
    <row r="71" spans="1:20" ht="47.25">
      <c r="A71" s="5">
        <v>59</v>
      </c>
      <c r="B71" s="17" t="s">
        <v>92</v>
      </c>
      <c r="C71" s="348" t="s">
        <v>129</v>
      </c>
      <c r="D71" s="326" t="s">
        <v>109</v>
      </c>
      <c r="E71" s="345">
        <f>LMpielik_16_LMZino!P71:P77</f>
        <v>20</v>
      </c>
      <c r="F71" s="319">
        <f>LMpielik_16_LMZino!O71:O77</f>
        <v>20</v>
      </c>
      <c r="G71" s="343">
        <v>130</v>
      </c>
      <c r="H71" s="319">
        <v>130</v>
      </c>
      <c r="I71" s="319">
        <v>130</v>
      </c>
      <c r="J71" s="319">
        <v>130</v>
      </c>
      <c r="K71" s="344">
        <f>LMpielik_19_LMZino!O77</f>
        <v>1824.390377358491</v>
      </c>
      <c r="L71" s="314">
        <f>I71*K71</f>
        <v>237170.74905660382</v>
      </c>
      <c r="M71" s="374"/>
      <c r="N71" s="374"/>
      <c r="O71" s="319">
        <f>F71+G71-H71</f>
        <v>20</v>
      </c>
      <c r="P71" s="322">
        <f>E71+I71-J71</f>
        <v>20</v>
      </c>
      <c r="Q71" s="311">
        <v>12</v>
      </c>
      <c r="R71" s="314">
        <f>K71/1.12</f>
        <v>1628.9199797843667</v>
      </c>
      <c r="S71" s="314">
        <f>K71-R71</f>
        <v>195.47039757412426</v>
      </c>
      <c r="T71" s="314">
        <f>I71*S71</f>
        <v>25411.151684636156</v>
      </c>
    </row>
    <row r="72" spans="1:20" ht="63">
      <c r="A72" s="5">
        <v>60</v>
      </c>
      <c r="B72" s="17" t="s">
        <v>93</v>
      </c>
      <c r="C72" s="349"/>
      <c r="D72" s="327"/>
      <c r="E72" s="373"/>
      <c r="F72" s="320"/>
      <c r="G72" s="343"/>
      <c r="H72" s="320"/>
      <c r="I72" s="320"/>
      <c r="J72" s="320"/>
      <c r="K72" s="344"/>
      <c r="L72" s="315"/>
      <c r="M72" s="374"/>
      <c r="N72" s="374"/>
      <c r="O72" s="320"/>
      <c r="P72" s="323"/>
      <c r="Q72" s="312"/>
      <c r="R72" s="315"/>
      <c r="S72" s="315"/>
      <c r="T72" s="315"/>
    </row>
    <row r="73" spans="1:20" ht="63">
      <c r="A73" s="5">
        <v>61</v>
      </c>
      <c r="B73" s="17" t="s">
        <v>53</v>
      </c>
      <c r="C73" s="349"/>
      <c r="D73" s="327"/>
      <c r="E73" s="373"/>
      <c r="F73" s="320"/>
      <c r="G73" s="343"/>
      <c r="H73" s="320"/>
      <c r="I73" s="320"/>
      <c r="J73" s="320"/>
      <c r="K73" s="344"/>
      <c r="L73" s="315"/>
      <c r="M73" s="374"/>
      <c r="N73" s="374"/>
      <c r="O73" s="320"/>
      <c r="P73" s="323"/>
      <c r="Q73" s="312"/>
      <c r="R73" s="315"/>
      <c r="S73" s="315"/>
      <c r="T73" s="315"/>
    </row>
    <row r="74" spans="1:20" ht="63">
      <c r="A74" s="5">
        <v>62</v>
      </c>
      <c r="B74" s="17" t="s">
        <v>94</v>
      </c>
      <c r="C74" s="349"/>
      <c r="D74" s="327"/>
      <c r="E74" s="373"/>
      <c r="F74" s="320"/>
      <c r="G74" s="343"/>
      <c r="H74" s="320"/>
      <c r="I74" s="320"/>
      <c r="J74" s="320"/>
      <c r="K74" s="344"/>
      <c r="L74" s="315"/>
      <c r="M74" s="374"/>
      <c r="N74" s="374"/>
      <c r="O74" s="320"/>
      <c r="P74" s="323"/>
      <c r="Q74" s="312"/>
      <c r="R74" s="315"/>
      <c r="S74" s="315"/>
      <c r="T74" s="315"/>
    </row>
    <row r="75" spans="1:20" ht="63">
      <c r="A75" s="5">
        <v>63</v>
      </c>
      <c r="B75" s="17" t="s">
        <v>95</v>
      </c>
      <c r="C75" s="349"/>
      <c r="D75" s="327"/>
      <c r="E75" s="373"/>
      <c r="F75" s="320"/>
      <c r="G75" s="343"/>
      <c r="H75" s="320"/>
      <c r="I75" s="320"/>
      <c r="J75" s="320"/>
      <c r="K75" s="344"/>
      <c r="L75" s="315"/>
      <c r="M75" s="374"/>
      <c r="N75" s="374"/>
      <c r="O75" s="320"/>
      <c r="P75" s="323"/>
      <c r="Q75" s="312"/>
      <c r="R75" s="315"/>
      <c r="S75" s="315"/>
      <c r="T75" s="315"/>
    </row>
    <row r="76" spans="1:20" ht="63">
      <c r="A76" s="5">
        <v>64</v>
      </c>
      <c r="B76" s="17" t="s">
        <v>54</v>
      </c>
      <c r="C76" s="349"/>
      <c r="D76" s="327"/>
      <c r="E76" s="373"/>
      <c r="F76" s="320"/>
      <c r="G76" s="343"/>
      <c r="H76" s="320"/>
      <c r="I76" s="320"/>
      <c r="J76" s="320"/>
      <c r="K76" s="344"/>
      <c r="L76" s="315"/>
      <c r="M76" s="374"/>
      <c r="N76" s="374"/>
      <c r="O76" s="320"/>
      <c r="P76" s="323"/>
      <c r="Q76" s="312"/>
      <c r="R76" s="315"/>
      <c r="S76" s="315"/>
      <c r="T76" s="315"/>
    </row>
    <row r="77" spans="1:20" ht="78.75">
      <c r="A77" s="5">
        <v>65</v>
      </c>
      <c r="B77" s="17" t="s">
        <v>55</v>
      </c>
      <c r="C77" s="350"/>
      <c r="D77" s="327"/>
      <c r="E77" s="346"/>
      <c r="F77" s="321"/>
      <c r="G77" s="343"/>
      <c r="H77" s="321"/>
      <c r="I77" s="321"/>
      <c r="J77" s="321"/>
      <c r="K77" s="344"/>
      <c r="L77" s="316"/>
      <c r="M77" s="374"/>
      <c r="N77" s="374"/>
      <c r="O77" s="321"/>
      <c r="P77" s="324"/>
      <c r="Q77" s="313"/>
      <c r="R77" s="316"/>
      <c r="S77" s="316"/>
      <c r="T77" s="316"/>
    </row>
    <row r="78" spans="1:20" ht="47.25">
      <c r="A78" s="5">
        <v>66</v>
      </c>
      <c r="B78" s="17" t="s">
        <v>96</v>
      </c>
      <c r="C78" s="18" t="s">
        <v>138</v>
      </c>
      <c r="D78" s="22" t="s">
        <v>104</v>
      </c>
      <c r="E78" s="148">
        <f>LMpielik_16_LMZino!P78</f>
        <v>4</v>
      </c>
      <c r="F78" s="15">
        <f>LMpielik_16_LMZino!O78</f>
        <v>4</v>
      </c>
      <c r="G78" s="15">
        <v>20</v>
      </c>
      <c r="H78" s="15">
        <v>20</v>
      </c>
      <c r="I78" s="15">
        <v>20</v>
      </c>
      <c r="J78" s="15">
        <v>20</v>
      </c>
      <c r="K78" s="16">
        <f>LMpielik_19_LMZino!O84</f>
        <v>1218.56</v>
      </c>
      <c r="L78" s="16">
        <f>I78*K78</f>
        <v>24371.199999999997</v>
      </c>
      <c r="M78" s="374"/>
      <c r="N78" s="374"/>
      <c r="O78" s="15">
        <f>F78+G78-H78</f>
        <v>4</v>
      </c>
      <c r="P78" s="37">
        <f>E78+I78-J78</f>
        <v>4</v>
      </c>
      <c r="Q78" s="5">
        <v>12</v>
      </c>
      <c r="R78" s="16">
        <f>K78/1.12</f>
        <v>1087.9999999999998</v>
      </c>
      <c r="S78" s="16">
        <f>K78-R78</f>
        <v>130.56000000000017</v>
      </c>
      <c r="T78" s="16">
        <f>I78*S78</f>
        <v>2611.2000000000035</v>
      </c>
    </row>
    <row r="79" spans="1:20" ht="31.5">
      <c r="A79" s="5">
        <v>67</v>
      </c>
      <c r="B79" s="17" t="s">
        <v>52</v>
      </c>
      <c r="C79" s="342" t="s">
        <v>128</v>
      </c>
      <c r="D79" s="326" t="s">
        <v>104</v>
      </c>
      <c r="E79" s="345">
        <f>LMpielik_16_LMZino!P79:P80</f>
        <v>21</v>
      </c>
      <c r="F79" s="319">
        <f>LMpielik_16_LMZino!O79:O80</f>
        <v>0</v>
      </c>
      <c r="G79" s="343">
        <v>53</v>
      </c>
      <c r="H79" s="319">
        <v>44</v>
      </c>
      <c r="I79" s="319">
        <v>32</v>
      </c>
      <c r="J79" s="319">
        <v>44</v>
      </c>
      <c r="K79" s="344">
        <f>LMpielik_19_LMZino!O86</f>
        <v>189.952</v>
      </c>
      <c r="L79" s="314">
        <f>I79*K79</f>
        <v>6078.464</v>
      </c>
      <c r="M79" s="374"/>
      <c r="N79" s="374"/>
      <c r="O79" s="319">
        <f>F79+G79-H79</f>
        <v>9</v>
      </c>
      <c r="P79" s="322">
        <f>E79+I79-J79</f>
        <v>9</v>
      </c>
      <c r="Q79" s="311">
        <v>12</v>
      </c>
      <c r="R79" s="314">
        <f>K79/1.12</f>
        <v>169.6</v>
      </c>
      <c r="S79" s="314">
        <f>K79-R79</f>
        <v>20.352000000000004</v>
      </c>
      <c r="T79" s="314">
        <f>I79*S79</f>
        <v>651.2640000000001</v>
      </c>
    </row>
    <row r="80" spans="1:20" ht="47.25">
      <c r="A80" s="5">
        <v>68</v>
      </c>
      <c r="B80" s="17" t="s">
        <v>84</v>
      </c>
      <c r="C80" s="342"/>
      <c r="D80" s="327"/>
      <c r="E80" s="346"/>
      <c r="F80" s="321"/>
      <c r="G80" s="343"/>
      <c r="H80" s="321"/>
      <c r="I80" s="321"/>
      <c r="J80" s="321"/>
      <c r="K80" s="344"/>
      <c r="L80" s="316"/>
      <c r="M80" s="374"/>
      <c r="N80" s="374"/>
      <c r="O80" s="321"/>
      <c r="P80" s="324"/>
      <c r="Q80" s="313"/>
      <c r="R80" s="316"/>
      <c r="S80" s="316"/>
      <c r="T80" s="316"/>
    </row>
    <row r="81" spans="1:20" ht="31.5">
      <c r="A81" s="5">
        <v>69</v>
      </c>
      <c r="B81" s="17" t="s">
        <v>76</v>
      </c>
      <c r="C81" s="342" t="s">
        <v>130</v>
      </c>
      <c r="D81" s="326" t="s">
        <v>104</v>
      </c>
      <c r="E81" s="345">
        <f>LMpielik_16_LMZino!P81:P87</f>
        <v>8</v>
      </c>
      <c r="F81" s="319">
        <f>LMpielik_16_LMZino!O81:O87</f>
        <v>8</v>
      </c>
      <c r="G81" s="343">
        <v>86</v>
      </c>
      <c r="H81" s="319">
        <v>86</v>
      </c>
      <c r="I81" s="319">
        <v>86</v>
      </c>
      <c r="J81" s="319">
        <v>86</v>
      </c>
      <c r="K81" s="344">
        <f>LMpielik_19_LMZino!O88</f>
        <v>790.5277073170732</v>
      </c>
      <c r="L81" s="314">
        <f>I81*K81</f>
        <v>67985.3828292683</v>
      </c>
      <c r="M81" s="374"/>
      <c r="N81" s="374"/>
      <c r="O81" s="319">
        <f>F81+G81-H81</f>
        <v>8</v>
      </c>
      <c r="P81" s="322">
        <f>E81+I81-J81</f>
        <v>8</v>
      </c>
      <c r="Q81" s="311">
        <v>12</v>
      </c>
      <c r="R81" s="314">
        <f>K81/1.12</f>
        <v>705.8283101045296</v>
      </c>
      <c r="S81" s="314">
        <f>K81-R81</f>
        <v>84.69939721254366</v>
      </c>
      <c r="T81" s="314">
        <f>I81*S81</f>
        <v>7284.148160278754</v>
      </c>
    </row>
    <row r="82" spans="1:20" ht="31.5">
      <c r="A82" s="5">
        <v>70</v>
      </c>
      <c r="B82" s="17" t="s">
        <v>97</v>
      </c>
      <c r="C82" s="342"/>
      <c r="D82" s="347"/>
      <c r="E82" s="373"/>
      <c r="F82" s="320"/>
      <c r="G82" s="343"/>
      <c r="H82" s="320"/>
      <c r="I82" s="320"/>
      <c r="J82" s="320"/>
      <c r="K82" s="344"/>
      <c r="L82" s="315"/>
      <c r="M82" s="374"/>
      <c r="N82" s="374"/>
      <c r="O82" s="320"/>
      <c r="P82" s="323"/>
      <c r="Q82" s="312"/>
      <c r="R82" s="315"/>
      <c r="S82" s="315"/>
      <c r="T82" s="315"/>
    </row>
    <row r="83" spans="1:20" ht="47.25">
      <c r="A83" s="5">
        <v>71</v>
      </c>
      <c r="B83" s="17" t="s">
        <v>98</v>
      </c>
      <c r="C83" s="342"/>
      <c r="D83" s="347"/>
      <c r="E83" s="373"/>
      <c r="F83" s="320"/>
      <c r="G83" s="343"/>
      <c r="H83" s="320"/>
      <c r="I83" s="320"/>
      <c r="J83" s="320"/>
      <c r="K83" s="344"/>
      <c r="L83" s="315"/>
      <c r="M83" s="374"/>
      <c r="N83" s="374"/>
      <c r="O83" s="320"/>
      <c r="P83" s="323"/>
      <c r="Q83" s="312"/>
      <c r="R83" s="315"/>
      <c r="S83" s="315"/>
      <c r="T83" s="315"/>
    </row>
    <row r="84" spans="1:20" ht="31.5">
      <c r="A84" s="5">
        <v>72</v>
      </c>
      <c r="B84" s="17" t="s">
        <v>47</v>
      </c>
      <c r="C84" s="342"/>
      <c r="D84" s="347"/>
      <c r="E84" s="373"/>
      <c r="F84" s="320"/>
      <c r="G84" s="343"/>
      <c r="H84" s="320"/>
      <c r="I84" s="320"/>
      <c r="J84" s="320"/>
      <c r="K84" s="344"/>
      <c r="L84" s="315"/>
      <c r="M84" s="374"/>
      <c r="N84" s="374"/>
      <c r="O84" s="320"/>
      <c r="P84" s="323"/>
      <c r="Q84" s="312"/>
      <c r="R84" s="315"/>
      <c r="S84" s="315"/>
      <c r="T84" s="315"/>
    </row>
    <row r="85" spans="1:20" ht="15.75">
      <c r="A85" s="5">
        <v>73</v>
      </c>
      <c r="B85" s="17" t="s">
        <v>48</v>
      </c>
      <c r="C85" s="342"/>
      <c r="D85" s="347"/>
      <c r="E85" s="373"/>
      <c r="F85" s="320"/>
      <c r="G85" s="343"/>
      <c r="H85" s="320"/>
      <c r="I85" s="320"/>
      <c r="J85" s="320"/>
      <c r="K85" s="344"/>
      <c r="L85" s="315"/>
      <c r="M85" s="374"/>
      <c r="N85" s="374"/>
      <c r="O85" s="320"/>
      <c r="P85" s="323"/>
      <c r="Q85" s="312"/>
      <c r="R85" s="315"/>
      <c r="S85" s="315"/>
      <c r="T85" s="315"/>
    </row>
    <row r="86" spans="1:20" ht="31.5">
      <c r="A86" s="5">
        <v>74</v>
      </c>
      <c r="B86" s="17" t="s">
        <v>91</v>
      </c>
      <c r="C86" s="342"/>
      <c r="D86" s="347"/>
      <c r="E86" s="373"/>
      <c r="F86" s="320"/>
      <c r="G86" s="343"/>
      <c r="H86" s="320"/>
      <c r="I86" s="320"/>
      <c r="J86" s="320"/>
      <c r="K86" s="347"/>
      <c r="L86" s="315"/>
      <c r="M86" s="374"/>
      <c r="N86" s="374"/>
      <c r="O86" s="320"/>
      <c r="P86" s="323"/>
      <c r="Q86" s="312"/>
      <c r="R86" s="315"/>
      <c r="S86" s="315"/>
      <c r="T86" s="315"/>
    </row>
    <row r="87" spans="1:20" ht="31.5">
      <c r="A87" s="5">
        <v>75</v>
      </c>
      <c r="B87" s="17" t="s">
        <v>49</v>
      </c>
      <c r="C87" s="342"/>
      <c r="D87" s="347"/>
      <c r="E87" s="346"/>
      <c r="F87" s="321"/>
      <c r="G87" s="343"/>
      <c r="H87" s="321"/>
      <c r="I87" s="321"/>
      <c r="J87" s="321"/>
      <c r="K87" s="347"/>
      <c r="L87" s="316"/>
      <c r="M87" s="374"/>
      <c r="N87" s="374"/>
      <c r="O87" s="321"/>
      <c r="P87" s="324"/>
      <c r="Q87" s="313"/>
      <c r="R87" s="316"/>
      <c r="S87" s="316"/>
      <c r="T87" s="316"/>
    </row>
    <row r="88" spans="1:20" ht="31.5">
      <c r="A88" s="5">
        <v>76</v>
      </c>
      <c r="B88" s="17" t="s">
        <v>99</v>
      </c>
      <c r="C88" s="342" t="s">
        <v>147</v>
      </c>
      <c r="D88" s="342" t="s">
        <v>104</v>
      </c>
      <c r="E88" s="345">
        <f>LMpielik_16_LMZino!P88:P89</f>
        <v>12</v>
      </c>
      <c r="F88" s="319">
        <f>LMpielik_16_LMZino!O88:O89</f>
        <v>12</v>
      </c>
      <c r="G88" s="343">
        <v>75</v>
      </c>
      <c r="H88" s="319">
        <v>75</v>
      </c>
      <c r="I88" s="319">
        <v>75</v>
      </c>
      <c r="J88" s="319">
        <v>75</v>
      </c>
      <c r="K88" s="344">
        <f>LMpielik_19_LMZino!O97</f>
        <v>414.03125</v>
      </c>
      <c r="L88" s="314">
        <f>I88*K88</f>
        <v>31052.34375</v>
      </c>
      <c r="M88" s="374"/>
      <c r="N88" s="374"/>
      <c r="O88" s="319">
        <f>F88+G88-H88</f>
        <v>12</v>
      </c>
      <c r="P88" s="322">
        <f>E88+I88-J88</f>
        <v>12</v>
      </c>
      <c r="Q88" s="311">
        <v>12</v>
      </c>
      <c r="R88" s="314">
        <f>K88/1.12</f>
        <v>369.6707589285714</v>
      </c>
      <c r="S88" s="314">
        <f>K88-R88</f>
        <v>44.36049107142861</v>
      </c>
      <c r="T88" s="314">
        <f>I88*S88</f>
        <v>3327.036830357146</v>
      </c>
    </row>
    <row r="89" spans="1:20" ht="47.25">
      <c r="A89" s="5">
        <v>77</v>
      </c>
      <c r="B89" s="17" t="s">
        <v>113</v>
      </c>
      <c r="C89" s="342"/>
      <c r="D89" s="342"/>
      <c r="E89" s="346"/>
      <c r="F89" s="321"/>
      <c r="G89" s="343"/>
      <c r="H89" s="321"/>
      <c r="I89" s="321"/>
      <c r="J89" s="321"/>
      <c r="K89" s="344"/>
      <c r="L89" s="316"/>
      <c r="M89" s="374"/>
      <c r="N89" s="374"/>
      <c r="O89" s="321"/>
      <c r="P89" s="324"/>
      <c r="Q89" s="313"/>
      <c r="R89" s="316"/>
      <c r="S89" s="316"/>
      <c r="T89" s="316"/>
    </row>
    <row r="90" spans="1:20" ht="15.75">
      <c r="A90" s="5">
        <v>78</v>
      </c>
      <c r="B90" s="13" t="s">
        <v>14</v>
      </c>
      <c r="C90" s="4" t="s">
        <v>145</v>
      </c>
      <c r="D90" s="24" t="s">
        <v>104</v>
      </c>
      <c r="E90" s="148">
        <f>LMpielik_16_LMZino!P90</f>
        <v>10</v>
      </c>
      <c r="F90" s="15">
        <f>LMpielik_16_LMZino!O90</f>
        <v>10</v>
      </c>
      <c r="G90" s="15">
        <v>61</v>
      </c>
      <c r="H90" s="15">
        <v>61</v>
      </c>
      <c r="I90" s="15">
        <v>61</v>
      </c>
      <c r="J90" s="15">
        <v>61</v>
      </c>
      <c r="K90" s="16">
        <f>LMpielik_19_LMZino!O103</f>
        <v>50.98</v>
      </c>
      <c r="L90" s="16">
        <f>I90*K90</f>
        <v>3109.7799999999997</v>
      </c>
      <c r="M90" s="374"/>
      <c r="N90" s="374"/>
      <c r="O90" s="15">
        <f>F90+G90-H90</f>
        <v>10</v>
      </c>
      <c r="P90" s="37">
        <f>E90+I90-J90</f>
        <v>10</v>
      </c>
      <c r="Q90" s="5">
        <v>12</v>
      </c>
      <c r="R90" s="16">
        <f>K90/1.12</f>
        <v>45.51785714285714</v>
      </c>
      <c r="S90" s="16">
        <f>K90-R90</f>
        <v>5.462142857142858</v>
      </c>
      <c r="T90" s="16">
        <f>I90*S90</f>
        <v>333.19071428571436</v>
      </c>
    </row>
    <row r="91" spans="1:20" ht="15.75">
      <c r="A91" s="5">
        <v>79</v>
      </c>
      <c r="B91" s="102" t="s">
        <v>42</v>
      </c>
      <c r="C91" s="328" t="s">
        <v>135</v>
      </c>
      <c r="D91" s="326" t="s">
        <v>106</v>
      </c>
      <c r="E91" s="345">
        <f>LMpielik_16_LMZino!P91:P94</f>
        <v>2</v>
      </c>
      <c r="F91" s="319">
        <f>LMpielik_16_LMZino!O91:O94</f>
        <v>2</v>
      </c>
      <c r="G91" s="341">
        <v>13</v>
      </c>
      <c r="H91" s="338">
        <v>13</v>
      </c>
      <c r="I91" s="338">
        <v>13</v>
      </c>
      <c r="J91" s="338">
        <v>13</v>
      </c>
      <c r="K91" s="333">
        <f>LMpielik_19_LMZino!O68</f>
        <v>1329.523612718544</v>
      </c>
      <c r="L91" s="334">
        <f>I91*K91</f>
        <v>17283.80696534107</v>
      </c>
      <c r="M91" s="374"/>
      <c r="N91" s="374"/>
      <c r="O91" s="319">
        <f>F91+G91-H91</f>
        <v>2</v>
      </c>
      <c r="P91" s="322">
        <f>E91+I91-J91</f>
        <v>2</v>
      </c>
      <c r="Q91" s="311">
        <v>12</v>
      </c>
      <c r="R91" s="314">
        <f>K91/1.12</f>
        <v>1187.0746542129855</v>
      </c>
      <c r="S91" s="314">
        <f>K91-R91</f>
        <v>142.4489585055585</v>
      </c>
      <c r="T91" s="314">
        <f>I91*S91</f>
        <v>1851.8364605722604</v>
      </c>
    </row>
    <row r="92" spans="1:20" ht="15.75">
      <c r="A92" s="5">
        <v>80</v>
      </c>
      <c r="B92" s="102" t="s">
        <v>43</v>
      </c>
      <c r="C92" s="328"/>
      <c r="D92" s="326"/>
      <c r="E92" s="373"/>
      <c r="F92" s="320"/>
      <c r="G92" s="341"/>
      <c r="H92" s="339"/>
      <c r="I92" s="339"/>
      <c r="J92" s="339"/>
      <c r="K92" s="333"/>
      <c r="L92" s="335"/>
      <c r="M92" s="374"/>
      <c r="N92" s="374"/>
      <c r="O92" s="320"/>
      <c r="P92" s="323"/>
      <c r="Q92" s="312"/>
      <c r="R92" s="315"/>
      <c r="S92" s="315"/>
      <c r="T92" s="315"/>
    </row>
    <row r="93" spans="1:20" ht="15.75">
      <c r="A93" s="5">
        <v>81</v>
      </c>
      <c r="B93" s="102" t="s">
        <v>44</v>
      </c>
      <c r="C93" s="328"/>
      <c r="D93" s="326"/>
      <c r="E93" s="373"/>
      <c r="F93" s="320"/>
      <c r="G93" s="341"/>
      <c r="H93" s="339"/>
      <c r="I93" s="339"/>
      <c r="J93" s="339"/>
      <c r="K93" s="333"/>
      <c r="L93" s="335"/>
      <c r="M93" s="374"/>
      <c r="N93" s="374"/>
      <c r="O93" s="320"/>
      <c r="P93" s="323"/>
      <c r="Q93" s="312"/>
      <c r="R93" s="315"/>
      <c r="S93" s="315"/>
      <c r="T93" s="315"/>
    </row>
    <row r="94" spans="1:20" ht="31.5">
      <c r="A94" s="5">
        <v>82</v>
      </c>
      <c r="B94" s="102" t="s">
        <v>45</v>
      </c>
      <c r="C94" s="328"/>
      <c r="D94" s="326"/>
      <c r="E94" s="346"/>
      <c r="F94" s="321"/>
      <c r="G94" s="341"/>
      <c r="H94" s="340"/>
      <c r="I94" s="340"/>
      <c r="J94" s="340"/>
      <c r="K94" s="333"/>
      <c r="L94" s="336"/>
      <c r="M94" s="374"/>
      <c r="N94" s="374"/>
      <c r="O94" s="321"/>
      <c r="P94" s="324"/>
      <c r="Q94" s="313"/>
      <c r="R94" s="316"/>
      <c r="S94" s="316"/>
      <c r="T94" s="316"/>
    </row>
    <row r="95" spans="1:20" ht="31.5">
      <c r="A95" s="5">
        <v>83</v>
      </c>
      <c r="B95" s="102" t="s">
        <v>46</v>
      </c>
      <c r="C95" s="252" t="s">
        <v>46</v>
      </c>
      <c r="D95" s="251" t="s">
        <v>106</v>
      </c>
      <c r="E95" s="148">
        <f>LMpielik_16_LMZino!P95</f>
        <v>4</v>
      </c>
      <c r="F95" s="15">
        <f>LMpielik_16_LMZino!O95</f>
        <v>4</v>
      </c>
      <c r="G95" s="248">
        <v>14</v>
      </c>
      <c r="H95" s="248">
        <v>14</v>
      </c>
      <c r="I95" s="248">
        <v>14</v>
      </c>
      <c r="J95" s="248">
        <v>14</v>
      </c>
      <c r="K95" s="249">
        <f>LMpielik_19_LMZino!O96</f>
        <v>976.5300000000001</v>
      </c>
      <c r="L95" s="16">
        <f>I95*K95</f>
        <v>13671.420000000002</v>
      </c>
      <c r="M95" s="374"/>
      <c r="N95" s="374"/>
      <c r="O95" s="15">
        <f>F95+G95-H95</f>
        <v>4</v>
      </c>
      <c r="P95" s="37">
        <f>E95+I95-J95</f>
        <v>4</v>
      </c>
      <c r="Q95" s="5">
        <v>12</v>
      </c>
      <c r="R95" s="16">
        <f>K95/1.12</f>
        <v>871.9017857142857</v>
      </c>
      <c r="S95" s="16">
        <f>K95-R95</f>
        <v>104.62821428571442</v>
      </c>
      <c r="T95" s="16">
        <f>I95*S95</f>
        <v>1464.795000000002</v>
      </c>
    </row>
    <row r="96" spans="1:20" ht="15.75">
      <c r="A96" s="5">
        <v>84</v>
      </c>
      <c r="B96" s="102" t="s">
        <v>85</v>
      </c>
      <c r="C96" s="328" t="s">
        <v>131</v>
      </c>
      <c r="D96" s="328" t="s">
        <v>106</v>
      </c>
      <c r="E96" s="345">
        <f>LMpielik_16_LMZino!P96:P99</f>
        <v>26</v>
      </c>
      <c r="F96" s="319">
        <f>LMpielik_16_LMZino!O96:O99</f>
        <v>26</v>
      </c>
      <c r="G96" s="341">
        <v>158</v>
      </c>
      <c r="H96" s="338">
        <v>158</v>
      </c>
      <c r="I96" s="338">
        <v>158</v>
      </c>
      <c r="J96" s="338">
        <v>158</v>
      </c>
      <c r="K96" s="333">
        <f>LMpielik_19_LMZino!O99</f>
        <v>2931.2369594594597</v>
      </c>
      <c r="L96" s="334">
        <f>I96*K96</f>
        <v>463135.43959459465</v>
      </c>
      <c r="M96" s="374"/>
      <c r="N96" s="374"/>
      <c r="O96" s="319">
        <f>F96+G96-H96</f>
        <v>26</v>
      </c>
      <c r="P96" s="322">
        <f>E96+I96-J96</f>
        <v>26</v>
      </c>
      <c r="Q96" s="311">
        <v>12</v>
      </c>
      <c r="R96" s="314">
        <f>K96/1.12</f>
        <v>2617.1758566602316</v>
      </c>
      <c r="S96" s="314">
        <f>K96-R96</f>
        <v>314.06110279922814</v>
      </c>
      <c r="T96" s="314">
        <f>I96*S96</f>
        <v>49621.65424227805</v>
      </c>
    </row>
    <row r="97" spans="1:20" ht="15.75">
      <c r="A97" s="5">
        <v>85</v>
      </c>
      <c r="B97" s="102" t="s">
        <v>58</v>
      </c>
      <c r="C97" s="328"/>
      <c r="D97" s="328"/>
      <c r="E97" s="373"/>
      <c r="F97" s="320"/>
      <c r="G97" s="341"/>
      <c r="H97" s="339"/>
      <c r="I97" s="339"/>
      <c r="J97" s="339"/>
      <c r="K97" s="333"/>
      <c r="L97" s="335"/>
      <c r="M97" s="374"/>
      <c r="N97" s="374"/>
      <c r="O97" s="320"/>
      <c r="P97" s="323"/>
      <c r="Q97" s="312"/>
      <c r="R97" s="315"/>
      <c r="S97" s="315"/>
      <c r="T97" s="315"/>
    </row>
    <row r="98" spans="1:20" ht="31.5">
      <c r="A98" s="5">
        <v>86</v>
      </c>
      <c r="B98" s="102" t="s">
        <v>86</v>
      </c>
      <c r="C98" s="328"/>
      <c r="D98" s="328"/>
      <c r="E98" s="373"/>
      <c r="F98" s="320"/>
      <c r="G98" s="341"/>
      <c r="H98" s="339"/>
      <c r="I98" s="339"/>
      <c r="J98" s="339"/>
      <c r="K98" s="333"/>
      <c r="L98" s="335"/>
      <c r="M98" s="374"/>
      <c r="N98" s="374"/>
      <c r="O98" s="320"/>
      <c r="P98" s="323"/>
      <c r="Q98" s="312"/>
      <c r="R98" s="315"/>
      <c r="S98" s="315"/>
      <c r="T98" s="315"/>
    </row>
    <row r="99" spans="1:20" ht="47.25">
      <c r="A99" s="5">
        <v>87</v>
      </c>
      <c r="B99" s="102" t="s">
        <v>100</v>
      </c>
      <c r="C99" s="328"/>
      <c r="D99" s="328"/>
      <c r="E99" s="346"/>
      <c r="F99" s="321"/>
      <c r="G99" s="341"/>
      <c r="H99" s="340"/>
      <c r="I99" s="340"/>
      <c r="J99" s="340"/>
      <c r="K99" s="333"/>
      <c r="L99" s="336"/>
      <c r="M99" s="374"/>
      <c r="N99" s="374"/>
      <c r="O99" s="321"/>
      <c r="P99" s="324"/>
      <c r="Q99" s="313"/>
      <c r="R99" s="316"/>
      <c r="S99" s="316"/>
      <c r="T99" s="316"/>
    </row>
    <row r="100" spans="1:20" ht="31.5">
      <c r="A100" s="5">
        <v>88</v>
      </c>
      <c r="B100" s="102" t="s">
        <v>57</v>
      </c>
      <c r="C100" s="252" t="s">
        <v>139</v>
      </c>
      <c r="D100" s="252" t="s">
        <v>105</v>
      </c>
      <c r="E100" s="148">
        <f>LMpielik_16_LMZino!P100</f>
        <v>3</v>
      </c>
      <c r="F100" s="15">
        <f>LMpielik_16_LMZino!O100</f>
        <v>3</v>
      </c>
      <c r="G100" s="248">
        <v>13</v>
      </c>
      <c r="H100" s="248">
        <v>13</v>
      </c>
      <c r="I100" s="248">
        <v>13</v>
      </c>
      <c r="J100" s="248">
        <v>13</v>
      </c>
      <c r="K100" s="249">
        <f>LMpielik_19_LMZino!O95</f>
        <v>4253.76</v>
      </c>
      <c r="L100" s="16">
        <f>I100*K100</f>
        <v>55298.880000000005</v>
      </c>
      <c r="M100" s="374"/>
      <c r="N100" s="374"/>
      <c r="O100" s="15">
        <f>F100+G100-H100</f>
        <v>3</v>
      </c>
      <c r="P100" s="37">
        <f>E100+I100-J100</f>
        <v>3</v>
      </c>
      <c r="Q100" s="5">
        <v>12</v>
      </c>
      <c r="R100" s="16">
        <f>K100/1.12</f>
        <v>3798</v>
      </c>
      <c r="S100" s="16">
        <f>K100-R100</f>
        <v>455.7600000000002</v>
      </c>
      <c r="T100" s="16">
        <f>I100*S100</f>
        <v>5924.880000000003</v>
      </c>
    </row>
    <row r="101" spans="1:20" ht="63">
      <c r="A101" s="5">
        <v>89</v>
      </c>
      <c r="B101" s="102" t="s">
        <v>56</v>
      </c>
      <c r="C101" s="252" t="s">
        <v>56</v>
      </c>
      <c r="D101" s="253" t="s">
        <v>105</v>
      </c>
      <c r="E101" s="148">
        <f>LMpielik_16_LMZino!P101</f>
        <v>0</v>
      </c>
      <c r="F101" s="15">
        <f>LMpielik_16_LMZino!O101</f>
        <v>0</v>
      </c>
      <c r="G101" s="248">
        <f>LMpielik_18_LMZino!I110</f>
        <v>5</v>
      </c>
      <c r="H101" s="248">
        <v>5</v>
      </c>
      <c r="I101" s="248">
        <v>5</v>
      </c>
      <c r="J101" s="248">
        <v>5</v>
      </c>
      <c r="K101" s="249">
        <f>LMpielik_19_LMZino!O85</f>
        <v>3118.08</v>
      </c>
      <c r="L101" s="16">
        <f>I101*K101</f>
        <v>15590.4</v>
      </c>
      <c r="M101" s="374"/>
      <c r="N101" s="374"/>
      <c r="O101" s="15">
        <f>F101+G101-H101</f>
        <v>0</v>
      </c>
      <c r="P101" s="37">
        <f>E101+I101-J101</f>
        <v>0</v>
      </c>
      <c r="Q101" s="5">
        <v>12</v>
      </c>
      <c r="R101" s="16">
        <f>K101/1.12</f>
        <v>2783.9999999999995</v>
      </c>
      <c r="S101" s="16">
        <f>K101-R101</f>
        <v>334.0800000000004</v>
      </c>
      <c r="T101" s="16">
        <f>I101*S102</f>
        <v>6.8625000000000025</v>
      </c>
    </row>
    <row r="102" spans="1:20" ht="15.75">
      <c r="A102" s="5">
        <v>90</v>
      </c>
      <c r="B102" s="102" t="s">
        <v>28</v>
      </c>
      <c r="C102" s="328" t="s">
        <v>144</v>
      </c>
      <c r="D102" s="329" t="s">
        <v>105</v>
      </c>
      <c r="E102" s="345">
        <f>LMpielik_16_LMZino!P102:P104</f>
        <v>49</v>
      </c>
      <c r="F102" s="319">
        <f>LMpielik_16_LMZino!O102:O104</f>
        <v>0</v>
      </c>
      <c r="G102" s="341">
        <v>17</v>
      </c>
      <c r="H102" s="338">
        <v>17</v>
      </c>
      <c r="I102" s="338">
        <v>0</v>
      </c>
      <c r="J102" s="338">
        <v>17</v>
      </c>
      <c r="K102" s="333">
        <v>12.81</v>
      </c>
      <c r="L102" s="334">
        <f>J102*K102</f>
        <v>217.77</v>
      </c>
      <c r="M102" s="374"/>
      <c r="N102" s="374"/>
      <c r="O102" s="319">
        <f>F102+G102-H102</f>
        <v>0</v>
      </c>
      <c r="P102" s="322">
        <f>E102+I102-J102</f>
        <v>32</v>
      </c>
      <c r="Q102" s="311">
        <v>12</v>
      </c>
      <c r="R102" s="314">
        <f>K102/1.12</f>
        <v>11.4375</v>
      </c>
      <c r="S102" s="314">
        <f>K102-R102</f>
        <v>1.3725000000000005</v>
      </c>
      <c r="T102" s="314">
        <f>I102*S102</f>
        <v>0</v>
      </c>
    </row>
    <row r="103" spans="1:20" ht="15.75">
      <c r="A103" s="5">
        <v>91</v>
      </c>
      <c r="B103" s="102" t="s">
        <v>29</v>
      </c>
      <c r="C103" s="328"/>
      <c r="D103" s="329"/>
      <c r="E103" s="373"/>
      <c r="F103" s="320"/>
      <c r="G103" s="341"/>
      <c r="H103" s="339"/>
      <c r="I103" s="339"/>
      <c r="J103" s="339"/>
      <c r="K103" s="333"/>
      <c r="L103" s="335"/>
      <c r="M103" s="374"/>
      <c r="N103" s="374"/>
      <c r="O103" s="320"/>
      <c r="P103" s="323"/>
      <c r="Q103" s="312"/>
      <c r="R103" s="315"/>
      <c r="S103" s="315"/>
      <c r="T103" s="315"/>
    </row>
    <row r="104" spans="1:20" ht="15.75">
      <c r="A104" s="5">
        <v>92</v>
      </c>
      <c r="B104" s="102" t="s">
        <v>30</v>
      </c>
      <c r="C104" s="328"/>
      <c r="D104" s="329"/>
      <c r="E104" s="346"/>
      <c r="F104" s="321"/>
      <c r="G104" s="341"/>
      <c r="H104" s="340"/>
      <c r="I104" s="340"/>
      <c r="J104" s="340"/>
      <c r="K104" s="333"/>
      <c r="L104" s="336"/>
      <c r="M104" s="374"/>
      <c r="N104" s="374"/>
      <c r="O104" s="321"/>
      <c r="P104" s="324"/>
      <c r="Q104" s="313"/>
      <c r="R104" s="316"/>
      <c r="S104" s="316"/>
      <c r="T104" s="316"/>
    </row>
    <row r="105" spans="1:20" ht="15.75">
      <c r="A105" s="330" t="s">
        <v>185</v>
      </c>
      <c r="B105" s="331"/>
      <c r="C105" s="332"/>
      <c r="D105" s="247"/>
      <c r="E105" s="134">
        <f aca="true" t="shared" si="4" ref="E105:L105">SUM(E107:E108)+SUM(E110:E116)+E117+E119+SUM(E121:E123)</f>
        <v>59</v>
      </c>
      <c r="F105" s="134">
        <f t="shared" si="4"/>
        <v>59</v>
      </c>
      <c r="G105" s="134">
        <f t="shared" si="4"/>
        <v>254</v>
      </c>
      <c r="H105" s="134">
        <f t="shared" si="4"/>
        <v>254</v>
      </c>
      <c r="I105" s="134">
        <f t="shared" si="4"/>
        <v>254</v>
      </c>
      <c r="J105" s="134">
        <f t="shared" si="4"/>
        <v>254</v>
      </c>
      <c r="K105" s="164">
        <f t="shared" si="4"/>
        <v>18157.44</v>
      </c>
      <c r="L105" s="164">
        <f t="shared" si="4"/>
        <v>336108.6400000001</v>
      </c>
      <c r="M105" s="374"/>
      <c r="N105" s="374"/>
      <c r="O105" s="134">
        <f>SUM(O107:O108)+SUM(O110:O116)+O117+O119+SUM(O121:O123)</f>
        <v>59</v>
      </c>
      <c r="P105" s="134">
        <f>SUM(P107:P108)+SUM(P110:P116)+P117+P119+SUM(P121:P123)</f>
        <v>59</v>
      </c>
      <c r="Q105" s="228" t="s">
        <v>112</v>
      </c>
      <c r="R105" s="164">
        <f>SUM(R107:R108)+SUM(R110:R116)+R117+R119+SUM(R121:R123)</f>
        <v>16114.11570247934</v>
      </c>
      <c r="S105" s="164">
        <f>SUM(S107:S108)+SUM(S110:S116)+S117+S119+SUM(S121:S123)</f>
        <v>2043.3242975206622</v>
      </c>
      <c r="T105" s="164">
        <f>SUM(T107:T108)+SUM(T110:T116)+T117+T119+SUM(T121:T123)</f>
        <v>36990.482975206636</v>
      </c>
    </row>
    <row r="106" spans="1:20" ht="15.75">
      <c r="A106" s="253"/>
      <c r="B106" s="132" t="s">
        <v>198</v>
      </c>
      <c r="C106" s="252"/>
      <c r="D106" s="253"/>
      <c r="E106" s="253"/>
      <c r="F106" s="253"/>
      <c r="G106" s="248"/>
      <c r="H106" s="248"/>
      <c r="I106" s="248"/>
      <c r="J106" s="248"/>
      <c r="K106" s="249"/>
      <c r="L106" s="250"/>
      <c r="M106" s="374"/>
      <c r="N106" s="374"/>
      <c r="O106" s="225"/>
      <c r="P106" s="229"/>
      <c r="Q106" s="175"/>
      <c r="R106" s="165"/>
      <c r="S106" s="165"/>
      <c r="T106" s="165"/>
    </row>
    <row r="107" spans="1:20" ht="15.75">
      <c r="A107" s="253">
        <v>93</v>
      </c>
      <c r="B107" s="131" t="s">
        <v>190</v>
      </c>
      <c r="C107" s="252"/>
      <c r="D107" s="253"/>
      <c r="E107" s="187">
        <f>LMpielik_16_LMZino!P107</f>
        <v>2</v>
      </c>
      <c r="F107" s="248">
        <f>LMpielik_16_LMZino!O107</f>
        <v>2</v>
      </c>
      <c r="G107" s="248">
        <f>LMpielik_18_LMZino!I138</f>
        <v>8</v>
      </c>
      <c r="H107" s="248">
        <v>8</v>
      </c>
      <c r="I107" s="248">
        <v>8</v>
      </c>
      <c r="J107" s="248">
        <v>8</v>
      </c>
      <c r="K107" s="249">
        <f>LMpielik_19_LMZino!O104</f>
        <v>235.2</v>
      </c>
      <c r="L107" s="250">
        <f>I107*K107</f>
        <v>1881.6</v>
      </c>
      <c r="M107" s="374"/>
      <c r="N107" s="374"/>
      <c r="O107" s="15">
        <f>F107+G107-H107</f>
        <v>2</v>
      </c>
      <c r="P107" s="174">
        <f aca="true" t="shared" si="5" ref="P107:P123">E107+I107-J107</f>
        <v>2</v>
      </c>
      <c r="Q107" s="23">
        <v>12</v>
      </c>
      <c r="R107" s="165">
        <f>K107/1.12</f>
        <v>209.99999999999997</v>
      </c>
      <c r="S107" s="165">
        <f>K107-R107</f>
        <v>25.200000000000017</v>
      </c>
      <c r="T107" s="165">
        <f>I107*S107</f>
        <v>201.60000000000014</v>
      </c>
    </row>
    <row r="108" spans="1:20" ht="15.75">
      <c r="A108" s="253">
        <v>94</v>
      </c>
      <c r="B108" s="131" t="s">
        <v>191</v>
      </c>
      <c r="C108" s="252"/>
      <c r="D108" s="253"/>
      <c r="E108" s="187">
        <f>LMpielik_16_LMZino!P108</f>
        <v>2</v>
      </c>
      <c r="F108" s="248">
        <f>LMpielik_16_LMZino!O108</f>
        <v>2</v>
      </c>
      <c r="G108" s="248">
        <f>LMpielik_18_LMZino!I139</f>
        <v>2</v>
      </c>
      <c r="H108" s="248">
        <v>2</v>
      </c>
      <c r="I108" s="248">
        <v>2</v>
      </c>
      <c r="J108" s="248">
        <v>2</v>
      </c>
      <c r="K108" s="249">
        <f>LMpielik_19_LMZino!O105</f>
        <v>275.52</v>
      </c>
      <c r="L108" s="250">
        <f>I108*K108</f>
        <v>551.04</v>
      </c>
      <c r="M108" s="374"/>
      <c r="N108" s="374"/>
      <c r="O108" s="15">
        <f aca="true" t="shared" si="6" ref="O108:O123">F108+G108-H108</f>
        <v>2</v>
      </c>
      <c r="P108" s="174">
        <f t="shared" si="5"/>
        <v>2</v>
      </c>
      <c r="Q108" s="23">
        <v>12</v>
      </c>
      <c r="R108" s="165">
        <f>K108/1.12</f>
        <v>245.99999999999997</v>
      </c>
      <c r="S108" s="165">
        <f>K108-R108</f>
        <v>29.52000000000001</v>
      </c>
      <c r="T108" s="165">
        <f>I108*S108</f>
        <v>59.04000000000002</v>
      </c>
    </row>
    <row r="109" spans="1:20" ht="15.75">
      <c r="A109" s="253"/>
      <c r="B109" s="132" t="s">
        <v>192</v>
      </c>
      <c r="C109" s="252"/>
      <c r="D109" s="253"/>
      <c r="E109" s="253"/>
      <c r="F109" s="253"/>
      <c r="G109" s="248"/>
      <c r="H109" s="248"/>
      <c r="I109" s="248"/>
      <c r="J109" s="248"/>
      <c r="K109" s="249"/>
      <c r="L109" s="250"/>
      <c r="M109" s="374"/>
      <c r="N109" s="374"/>
      <c r="O109" s="15"/>
      <c r="P109" s="174"/>
      <c r="Q109" s="23"/>
      <c r="R109" s="165"/>
      <c r="S109" s="165"/>
      <c r="T109" s="165"/>
    </row>
    <row r="110" spans="1:20" ht="15.75">
      <c r="A110" s="253">
        <v>95</v>
      </c>
      <c r="B110" s="131" t="s">
        <v>193</v>
      </c>
      <c r="C110" s="252"/>
      <c r="D110" s="253"/>
      <c r="E110" s="187">
        <f>LMpielik_16_LMZino!P110</f>
        <v>9</v>
      </c>
      <c r="F110" s="248">
        <f>LMpielik_16_LMZino!O110</f>
        <v>9</v>
      </c>
      <c r="G110" s="248">
        <f>LMpielik_18_LMZino!I140</f>
        <v>36</v>
      </c>
      <c r="H110" s="248">
        <v>36</v>
      </c>
      <c r="I110" s="248">
        <v>36</v>
      </c>
      <c r="J110" s="248">
        <v>36</v>
      </c>
      <c r="K110" s="249">
        <f>LMpielik_19_LMZino!O106</f>
        <v>246.4</v>
      </c>
      <c r="L110" s="250">
        <f aca="true" t="shared" si="7" ref="L110:L115">I110*K110</f>
        <v>8870.4</v>
      </c>
      <c r="M110" s="374"/>
      <c r="N110" s="374"/>
      <c r="O110" s="15">
        <f t="shared" si="6"/>
        <v>9</v>
      </c>
      <c r="P110" s="174">
        <f t="shared" si="5"/>
        <v>9</v>
      </c>
      <c r="Q110" s="23">
        <v>12</v>
      </c>
      <c r="R110" s="165">
        <f>K110/1.12</f>
        <v>219.99999999999997</v>
      </c>
      <c r="S110" s="165">
        <f aca="true" t="shared" si="8" ref="S110:S115">K110-R110</f>
        <v>26.400000000000034</v>
      </c>
      <c r="T110" s="165">
        <f aca="true" t="shared" si="9" ref="T110:T115">I110*S110</f>
        <v>950.4000000000012</v>
      </c>
    </row>
    <row r="111" spans="1:20" ht="15.75">
      <c r="A111" s="253">
        <v>96</v>
      </c>
      <c r="B111" s="131" t="s">
        <v>194</v>
      </c>
      <c r="C111" s="252"/>
      <c r="D111" s="253"/>
      <c r="E111" s="187">
        <f>LMpielik_16_LMZino!P111</f>
        <v>3</v>
      </c>
      <c r="F111" s="248">
        <f>LMpielik_16_LMZino!O111</f>
        <v>3</v>
      </c>
      <c r="G111" s="248">
        <f>LMpielik_18_LMZino!I141</f>
        <v>3</v>
      </c>
      <c r="H111" s="248">
        <v>3</v>
      </c>
      <c r="I111" s="248">
        <v>3</v>
      </c>
      <c r="J111" s="248">
        <v>3</v>
      </c>
      <c r="K111" s="249">
        <f>LMpielik_19_LMZino!O107</f>
        <v>5958.4</v>
      </c>
      <c r="L111" s="250">
        <f t="shared" si="7"/>
        <v>17875.199999999997</v>
      </c>
      <c r="M111" s="374"/>
      <c r="N111" s="374"/>
      <c r="O111" s="15">
        <f t="shared" si="6"/>
        <v>3</v>
      </c>
      <c r="P111" s="174">
        <f t="shared" si="5"/>
        <v>3</v>
      </c>
      <c r="Q111" s="23">
        <v>12</v>
      </c>
      <c r="R111" s="165">
        <f aca="true" t="shared" si="10" ref="R111:R119">K111/1.12</f>
        <v>5319.999999999999</v>
      </c>
      <c r="S111" s="165">
        <f t="shared" si="8"/>
        <v>638.4000000000005</v>
      </c>
      <c r="T111" s="165">
        <f t="shared" si="9"/>
        <v>1915.2000000000016</v>
      </c>
    </row>
    <row r="112" spans="1:20" ht="15.75">
      <c r="A112" s="253">
        <v>97</v>
      </c>
      <c r="B112" s="131" t="s">
        <v>195</v>
      </c>
      <c r="C112" s="252"/>
      <c r="D112" s="253"/>
      <c r="E112" s="187">
        <f>LMpielik_16_LMZino!P112</f>
        <v>9</v>
      </c>
      <c r="F112" s="248">
        <f>LMpielik_16_LMZino!O112</f>
        <v>9</v>
      </c>
      <c r="G112" s="248">
        <f>LMpielik_18_LMZino!I142</f>
        <v>36</v>
      </c>
      <c r="H112" s="248">
        <v>36</v>
      </c>
      <c r="I112" s="248">
        <v>36</v>
      </c>
      <c r="J112" s="248">
        <v>36</v>
      </c>
      <c r="K112" s="249">
        <f>LMpielik_19_LMZino!O108</f>
        <v>1329.44</v>
      </c>
      <c r="L112" s="250">
        <f t="shared" si="7"/>
        <v>47859.840000000004</v>
      </c>
      <c r="M112" s="374"/>
      <c r="N112" s="374"/>
      <c r="O112" s="15">
        <f t="shared" si="6"/>
        <v>9</v>
      </c>
      <c r="P112" s="174">
        <f t="shared" si="5"/>
        <v>9</v>
      </c>
      <c r="Q112" s="23">
        <v>12</v>
      </c>
      <c r="R112" s="165">
        <f t="shared" si="10"/>
        <v>1187</v>
      </c>
      <c r="S112" s="165">
        <f t="shared" si="8"/>
        <v>142.44000000000005</v>
      </c>
      <c r="T112" s="165">
        <f t="shared" si="9"/>
        <v>5127.840000000002</v>
      </c>
    </row>
    <row r="113" spans="1:20" ht="31.5">
      <c r="A113" s="253">
        <v>98</v>
      </c>
      <c r="B113" s="131" t="s">
        <v>196</v>
      </c>
      <c r="C113" s="252"/>
      <c r="D113" s="253"/>
      <c r="E113" s="187">
        <f>LMpielik_16_LMZino!P113</f>
        <v>12</v>
      </c>
      <c r="F113" s="248">
        <f>LMpielik_16_LMZino!O113</f>
        <v>12</v>
      </c>
      <c r="G113" s="248">
        <f>LMpielik_18_LMZino!I143</f>
        <v>48</v>
      </c>
      <c r="H113" s="248">
        <v>48</v>
      </c>
      <c r="I113" s="248">
        <v>48</v>
      </c>
      <c r="J113" s="248">
        <v>48</v>
      </c>
      <c r="K113" s="249">
        <f>LMpielik_19_LMZino!O109</f>
        <v>3008.32</v>
      </c>
      <c r="L113" s="250">
        <f t="shared" si="7"/>
        <v>144399.36000000002</v>
      </c>
      <c r="M113" s="374"/>
      <c r="N113" s="374"/>
      <c r="O113" s="15">
        <f t="shared" si="6"/>
        <v>12</v>
      </c>
      <c r="P113" s="174">
        <f t="shared" si="5"/>
        <v>12</v>
      </c>
      <c r="Q113" s="23">
        <v>12</v>
      </c>
      <c r="R113" s="165">
        <f t="shared" si="10"/>
        <v>2686</v>
      </c>
      <c r="S113" s="165">
        <f t="shared" si="8"/>
        <v>322.32000000000016</v>
      </c>
      <c r="T113" s="165">
        <f t="shared" si="9"/>
        <v>15471.360000000008</v>
      </c>
    </row>
    <row r="114" spans="1:20" ht="31.5">
      <c r="A114" s="253">
        <v>99</v>
      </c>
      <c r="B114" s="131" t="s">
        <v>197</v>
      </c>
      <c r="C114" s="252"/>
      <c r="D114" s="253"/>
      <c r="E114" s="187">
        <f>LMpielik_16_LMZino!P114</f>
        <v>11</v>
      </c>
      <c r="F114" s="248">
        <f>LMpielik_16_LMZino!O114</f>
        <v>11</v>
      </c>
      <c r="G114" s="248">
        <f>LMpielik_18_LMZino!I144</f>
        <v>42</v>
      </c>
      <c r="H114" s="248">
        <v>42</v>
      </c>
      <c r="I114" s="248">
        <v>42</v>
      </c>
      <c r="J114" s="248">
        <v>42</v>
      </c>
      <c r="K114" s="249">
        <f>LMpielik_19_LMZino!O110</f>
        <v>397.6</v>
      </c>
      <c r="L114" s="250">
        <f t="shared" si="7"/>
        <v>16699.2</v>
      </c>
      <c r="M114" s="374"/>
      <c r="N114" s="374"/>
      <c r="O114" s="15">
        <f t="shared" si="6"/>
        <v>11</v>
      </c>
      <c r="P114" s="174">
        <f t="shared" si="5"/>
        <v>11</v>
      </c>
      <c r="Q114" s="23">
        <v>12</v>
      </c>
      <c r="R114" s="165">
        <f t="shared" si="10"/>
        <v>355</v>
      </c>
      <c r="S114" s="165">
        <f t="shared" si="8"/>
        <v>42.60000000000002</v>
      </c>
      <c r="T114" s="165">
        <f t="shared" si="9"/>
        <v>1789.200000000001</v>
      </c>
    </row>
    <row r="115" spans="1:20" ht="31.5">
      <c r="A115" s="253">
        <v>100</v>
      </c>
      <c r="B115" s="131" t="s">
        <v>207</v>
      </c>
      <c r="C115" s="252"/>
      <c r="D115" s="253"/>
      <c r="E115" s="187">
        <f>LMpielik_16_LMZino!P115</f>
        <v>6</v>
      </c>
      <c r="F115" s="248">
        <f>LMpielik_16_LMZino!O115</f>
        <v>6</v>
      </c>
      <c r="G115" s="248">
        <f>LMpielik_18_LMZino!I145</f>
        <v>24</v>
      </c>
      <c r="H115" s="248">
        <v>24</v>
      </c>
      <c r="I115" s="248">
        <v>24</v>
      </c>
      <c r="J115" s="248">
        <v>24</v>
      </c>
      <c r="K115" s="249">
        <f>LMpielik_19_LMZino!O111</f>
        <v>565.6</v>
      </c>
      <c r="L115" s="250">
        <f t="shared" si="7"/>
        <v>13574.400000000001</v>
      </c>
      <c r="M115" s="374"/>
      <c r="N115" s="374"/>
      <c r="O115" s="15">
        <f t="shared" si="6"/>
        <v>6</v>
      </c>
      <c r="P115" s="174">
        <f t="shared" si="5"/>
        <v>6</v>
      </c>
      <c r="Q115" s="23">
        <v>12</v>
      </c>
      <c r="R115" s="165">
        <f t="shared" si="10"/>
        <v>505</v>
      </c>
      <c r="S115" s="165">
        <f t="shared" si="8"/>
        <v>60.60000000000002</v>
      </c>
      <c r="T115" s="165">
        <f t="shared" si="9"/>
        <v>1454.4000000000005</v>
      </c>
    </row>
    <row r="116" spans="1:20" ht="15.75">
      <c r="A116" s="253"/>
      <c r="B116" s="132" t="s">
        <v>199</v>
      </c>
      <c r="C116" s="252"/>
      <c r="D116" s="253"/>
      <c r="E116" s="253"/>
      <c r="F116" s="253"/>
      <c r="G116" s="248"/>
      <c r="H116" s="248"/>
      <c r="I116" s="248"/>
      <c r="J116" s="248"/>
      <c r="K116" s="249"/>
      <c r="L116" s="250"/>
      <c r="M116" s="374"/>
      <c r="N116" s="374"/>
      <c r="O116" s="15"/>
      <c r="P116" s="174"/>
      <c r="Q116" s="23"/>
      <c r="R116" s="165"/>
      <c r="S116" s="165"/>
      <c r="T116" s="165"/>
    </row>
    <row r="117" spans="1:20" ht="31.5">
      <c r="A117" s="253">
        <v>101</v>
      </c>
      <c r="B117" s="131" t="s">
        <v>200</v>
      </c>
      <c r="C117" s="252"/>
      <c r="D117" s="253"/>
      <c r="E117" s="187">
        <f>LMpielik_16_LMZino!P117</f>
        <v>1</v>
      </c>
      <c r="F117" s="248">
        <f>LMpielik_16_LMZino!O117</f>
        <v>1</v>
      </c>
      <c r="G117" s="248">
        <f>LMpielik_18_LMZino!I146</f>
        <v>15</v>
      </c>
      <c r="H117" s="248">
        <v>15</v>
      </c>
      <c r="I117" s="248">
        <v>15</v>
      </c>
      <c r="J117" s="248">
        <v>15</v>
      </c>
      <c r="K117" s="249">
        <f>LMpielik_19_LMZino!O112</f>
        <v>4597.6</v>
      </c>
      <c r="L117" s="250">
        <f>I117*K117</f>
        <v>68964</v>
      </c>
      <c r="M117" s="374"/>
      <c r="N117" s="374"/>
      <c r="O117" s="15">
        <f t="shared" si="6"/>
        <v>1</v>
      </c>
      <c r="P117" s="174">
        <f t="shared" si="5"/>
        <v>1</v>
      </c>
      <c r="Q117" s="23">
        <v>12</v>
      </c>
      <c r="R117" s="165">
        <f t="shared" si="10"/>
        <v>4105</v>
      </c>
      <c r="S117" s="165">
        <f>K117-R117</f>
        <v>492.60000000000036</v>
      </c>
      <c r="T117" s="165">
        <f>I117*S117</f>
        <v>7389.0000000000055</v>
      </c>
    </row>
    <row r="118" spans="1:20" ht="15.75">
      <c r="A118" s="253"/>
      <c r="B118" s="132" t="s">
        <v>201</v>
      </c>
      <c r="C118" s="252"/>
      <c r="D118" s="253"/>
      <c r="E118" s="253"/>
      <c r="F118" s="253"/>
      <c r="G118" s="248"/>
      <c r="H118" s="248"/>
      <c r="I118" s="248"/>
      <c r="J118" s="248"/>
      <c r="K118" s="249"/>
      <c r="L118" s="250"/>
      <c r="M118" s="374"/>
      <c r="N118" s="374"/>
      <c r="O118" s="15"/>
      <c r="P118" s="174"/>
      <c r="Q118" s="23"/>
      <c r="R118" s="165"/>
      <c r="S118" s="165"/>
      <c r="T118" s="165"/>
    </row>
    <row r="119" spans="1:20" ht="31.5">
      <c r="A119" s="253">
        <v>102</v>
      </c>
      <c r="B119" s="131" t="s">
        <v>202</v>
      </c>
      <c r="C119" s="252"/>
      <c r="D119" s="253"/>
      <c r="E119" s="187">
        <f>LMpielik_16_LMZino!P119</f>
        <v>1</v>
      </c>
      <c r="F119" s="248">
        <f>LMpielik_16_LMZino!O119</f>
        <v>1</v>
      </c>
      <c r="G119" s="248">
        <f>LMpielik_18_LMZino!I147</f>
        <v>10</v>
      </c>
      <c r="H119" s="248">
        <v>10</v>
      </c>
      <c r="I119" s="248">
        <v>10</v>
      </c>
      <c r="J119" s="248">
        <v>10</v>
      </c>
      <c r="K119" s="249">
        <f>LMpielik_19_LMZino!O113</f>
        <v>69.44</v>
      </c>
      <c r="L119" s="250">
        <f>I119*K119</f>
        <v>694.4</v>
      </c>
      <c r="M119" s="374"/>
      <c r="N119" s="374"/>
      <c r="O119" s="15">
        <f t="shared" si="6"/>
        <v>1</v>
      </c>
      <c r="P119" s="174">
        <f t="shared" si="5"/>
        <v>1</v>
      </c>
      <c r="Q119" s="23">
        <v>12</v>
      </c>
      <c r="R119" s="165">
        <f t="shared" si="10"/>
        <v>61.99999999999999</v>
      </c>
      <c r="S119" s="165">
        <f>K119-R119</f>
        <v>7.440000000000005</v>
      </c>
      <c r="T119" s="165">
        <f>I119*S119</f>
        <v>74.40000000000005</v>
      </c>
    </row>
    <row r="120" spans="1:20" ht="15.75">
      <c r="A120" s="253"/>
      <c r="B120" s="132" t="s">
        <v>203</v>
      </c>
      <c r="C120" s="252"/>
      <c r="D120" s="253"/>
      <c r="E120" s="253"/>
      <c r="F120" s="253"/>
      <c r="G120" s="248"/>
      <c r="H120" s="248"/>
      <c r="I120" s="248"/>
      <c r="J120" s="248"/>
      <c r="K120" s="249"/>
      <c r="L120" s="250"/>
      <c r="M120" s="374"/>
      <c r="N120" s="374"/>
      <c r="O120" s="15"/>
      <c r="P120" s="174"/>
      <c r="Q120" s="23"/>
      <c r="R120" s="165"/>
      <c r="S120" s="165"/>
      <c r="T120" s="165"/>
    </row>
    <row r="121" spans="1:20" ht="15.75">
      <c r="A121" s="253">
        <v>103</v>
      </c>
      <c r="B121" s="131" t="s">
        <v>204</v>
      </c>
      <c r="C121" s="252"/>
      <c r="D121" s="253"/>
      <c r="E121" s="187">
        <f>LMpielik_16_LMZino!P121</f>
        <v>1</v>
      </c>
      <c r="F121" s="248">
        <f>LMpielik_16_LMZino!O121</f>
        <v>1</v>
      </c>
      <c r="G121" s="248">
        <f>LMpielik_18_LMZino!I148</f>
        <v>10</v>
      </c>
      <c r="H121" s="248">
        <v>10</v>
      </c>
      <c r="I121" s="248">
        <v>10</v>
      </c>
      <c r="J121" s="248">
        <v>10</v>
      </c>
      <c r="K121" s="249">
        <f>LMpielik_19_LMZino!O114</f>
        <v>930.72</v>
      </c>
      <c r="L121" s="250">
        <f>I121*K121</f>
        <v>9307.2</v>
      </c>
      <c r="M121" s="374"/>
      <c r="N121" s="374"/>
      <c r="O121" s="15">
        <f t="shared" si="6"/>
        <v>1</v>
      </c>
      <c r="P121" s="174">
        <f>E121+I121-J121</f>
        <v>1</v>
      </c>
      <c r="Q121" s="23">
        <v>21</v>
      </c>
      <c r="R121" s="165">
        <f>K121/1.21</f>
        <v>769.1900826446281</v>
      </c>
      <c r="S121" s="165">
        <f>K121-R121</f>
        <v>161.52991735537194</v>
      </c>
      <c r="T121" s="165">
        <f>I121*S121</f>
        <v>1615.2991735537194</v>
      </c>
    </row>
    <row r="122" spans="1:20" ht="15.75">
      <c r="A122" s="253">
        <v>104</v>
      </c>
      <c r="B122" s="131" t="s">
        <v>205</v>
      </c>
      <c r="C122" s="252"/>
      <c r="D122" s="253"/>
      <c r="E122" s="187">
        <f>LMpielik_16_LMZino!P122</f>
        <v>1</v>
      </c>
      <c r="F122" s="248">
        <f>LMpielik_16_LMZino!O122</f>
        <v>1</v>
      </c>
      <c r="G122" s="248">
        <f>LMpielik_18_LMZino!I149</f>
        <v>10</v>
      </c>
      <c r="H122" s="248">
        <v>10</v>
      </c>
      <c r="I122" s="248">
        <v>10</v>
      </c>
      <c r="J122" s="248">
        <v>10</v>
      </c>
      <c r="K122" s="249">
        <f>LMpielik_19_LMZino!O115</f>
        <v>166.88</v>
      </c>
      <c r="L122" s="250">
        <f>I122*K122</f>
        <v>1668.8</v>
      </c>
      <c r="M122" s="374"/>
      <c r="N122" s="374"/>
      <c r="O122" s="15">
        <f t="shared" si="6"/>
        <v>1</v>
      </c>
      <c r="P122" s="174">
        <f t="shared" si="5"/>
        <v>1</v>
      </c>
      <c r="Q122" s="23">
        <v>21</v>
      </c>
      <c r="R122" s="165">
        <f>K122/1.21</f>
        <v>137.91735537190084</v>
      </c>
      <c r="S122" s="165">
        <f>K122-R122</f>
        <v>28.962644628099156</v>
      </c>
      <c r="T122" s="165">
        <f>I122*S122</f>
        <v>289.62644628099156</v>
      </c>
    </row>
    <row r="123" spans="1:20" ht="15.75">
      <c r="A123" s="253">
        <v>105</v>
      </c>
      <c r="B123" s="131" t="s">
        <v>206</v>
      </c>
      <c r="C123" s="252"/>
      <c r="D123" s="253"/>
      <c r="E123" s="187">
        <f>LMpielik_16_LMZino!P123</f>
        <v>1</v>
      </c>
      <c r="F123" s="248">
        <f>LMpielik_16_LMZino!O123</f>
        <v>1</v>
      </c>
      <c r="G123" s="248">
        <f>LMpielik_18_LMZino!I150</f>
        <v>10</v>
      </c>
      <c r="H123" s="248">
        <v>10</v>
      </c>
      <c r="I123" s="248">
        <v>10</v>
      </c>
      <c r="J123" s="248">
        <v>10</v>
      </c>
      <c r="K123" s="249">
        <f>LMpielik_19_LMZino!O116</f>
        <v>376.32</v>
      </c>
      <c r="L123" s="250">
        <f>I123*K123</f>
        <v>3763.2</v>
      </c>
      <c r="M123" s="374"/>
      <c r="N123" s="374"/>
      <c r="O123" s="15">
        <f t="shared" si="6"/>
        <v>1</v>
      </c>
      <c r="P123" s="174">
        <f t="shared" si="5"/>
        <v>1</v>
      </c>
      <c r="Q123" s="23">
        <v>21</v>
      </c>
      <c r="R123" s="165">
        <f>K123/1.21</f>
        <v>311.0082644628099</v>
      </c>
      <c r="S123" s="165">
        <f>K123-R123</f>
        <v>65.31173553719009</v>
      </c>
      <c r="T123" s="165">
        <f>I123*S123</f>
        <v>653.1173553719009</v>
      </c>
    </row>
    <row r="124" spans="1:20" ht="15.75">
      <c r="A124" s="325" t="s">
        <v>107</v>
      </c>
      <c r="B124" s="325"/>
      <c r="C124" s="325"/>
      <c r="D124" s="325"/>
      <c r="E124" s="25">
        <f aca="true" t="shared" si="11" ref="E124:L124">E125+E131+E135</f>
        <v>0</v>
      </c>
      <c r="F124" s="26">
        <f t="shared" si="11"/>
        <v>717</v>
      </c>
      <c r="G124" s="26">
        <f t="shared" si="11"/>
        <v>4862</v>
      </c>
      <c r="H124" s="26">
        <f t="shared" si="11"/>
        <v>4862</v>
      </c>
      <c r="I124" s="26">
        <f t="shared" si="11"/>
        <v>6463</v>
      </c>
      <c r="J124" s="26">
        <f t="shared" si="11"/>
        <v>6463</v>
      </c>
      <c r="K124" s="100">
        <f t="shared" si="11"/>
        <v>7955.030000000001</v>
      </c>
      <c r="L124" s="27">
        <f t="shared" si="11"/>
        <v>1970899.83</v>
      </c>
      <c r="M124" s="374"/>
      <c r="N124" s="374"/>
      <c r="O124" s="26">
        <f>O125+O131+O135</f>
        <v>717</v>
      </c>
      <c r="P124" s="26">
        <f>P125+P131+P135</f>
        <v>0</v>
      </c>
      <c r="Q124" s="100" t="s">
        <v>112</v>
      </c>
      <c r="R124" s="100">
        <f>R125+R131+R135</f>
        <v>7102.705357142856</v>
      </c>
      <c r="S124" s="100">
        <f>S125+S131+S135</f>
        <v>852.3246428571438</v>
      </c>
      <c r="T124" s="100">
        <f>T125+T131+T135</f>
        <v>211167.83892857158</v>
      </c>
    </row>
    <row r="125" spans="1:20" ht="15.75">
      <c r="A125" s="28"/>
      <c r="B125" s="29" t="s">
        <v>68</v>
      </c>
      <c r="C125" s="42"/>
      <c r="D125" s="30"/>
      <c r="E125" s="31">
        <f aca="true" t="shared" si="12" ref="E125:K125">SUM(E126:E130)</f>
        <v>0</v>
      </c>
      <c r="F125" s="32">
        <f t="shared" si="12"/>
        <v>162</v>
      </c>
      <c r="G125" s="33">
        <f t="shared" si="12"/>
        <v>994</v>
      </c>
      <c r="H125" s="33">
        <f t="shared" si="12"/>
        <v>994</v>
      </c>
      <c r="I125" s="33">
        <f t="shared" si="12"/>
        <v>1131</v>
      </c>
      <c r="J125" s="33">
        <f t="shared" si="12"/>
        <v>1131</v>
      </c>
      <c r="K125" s="101">
        <f t="shared" si="12"/>
        <v>5753.030000000001</v>
      </c>
      <c r="L125" s="35">
        <f>SUM(L126:L130)</f>
        <v>1073419.83</v>
      </c>
      <c r="M125" s="374"/>
      <c r="N125" s="374"/>
      <c r="O125" s="33">
        <f aca="true" t="shared" si="13" ref="O125:T125">SUM(O126:O130)</f>
        <v>162</v>
      </c>
      <c r="P125" s="33">
        <f t="shared" si="13"/>
        <v>0</v>
      </c>
      <c r="Q125" s="101">
        <f t="shared" si="13"/>
        <v>60</v>
      </c>
      <c r="R125" s="101">
        <f t="shared" si="13"/>
        <v>5136.6339285714275</v>
      </c>
      <c r="S125" s="101">
        <f t="shared" si="13"/>
        <v>616.396071428572</v>
      </c>
      <c r="T125" s="101">
        <f t="shared" si="13"/>
        <v>115009.26750000007</v>
      </c>
    </row>
    <row r="126" spans="1:20" ht="15.75">
      <c r="A126" s="5">
        <v>106</v>
      </c>
      <c r="B126" s="36" t="s">
        <v>63</v>
      </c>
      <c r="C126" s="8"/>
      <c r="D126" s="326" t="s">
        <v>104</v>
      </c>
      <c r="E126" s="37">
        <v>0</v>
      </c>
      <c r="F126" s="15">
        <f>LMpielik_16_LMZino!O126</f>
        <v>89</v>
      </c>
      <c r="G126" s="15">
        <f>LMpielik_18_LMZino!I152</f>
        <v>531</v>
      </c>
      <c r="H126" s="15">
        <v>531</v>
      </c>
      <c r="I126" s="15">
        <v>561</v>
      </c>
      <c r="J126" s="15">
        <v>561</v>
      </c>
      <c r="K126" s="16">
        <f>LMpielik_19_LMZino!O118</f>
        <v>43.03</v>
      </c>
      <c r="L126" s="250">
        <f aca="true" t="shared" si="14" ref="L126:L134">I126*K126</f>
        <v>24139.83</v>
      </c>
      <c r="M126" s="374"/>
      <c r="N126" s="374"/>
      <c r="O126" s="15">
        <f>F126+G126-H126</f>
        <v>89</v>
      </c>
      <c r="P126" s="174">
        <f>E126+I126-J126</f>
        <v>0</v>
      </c>
      <c r="Q126" s="23">
        <v>12</v>
      </c>
      <c r="R126" s="165">
        <f>K126/1.12</f>
        <v>38.419642857142854</v>
      </c>
      <c r="S126" s="165">
        <f>K126-R126</f>
        <v>4.610357142857147</v>
      </c>
      <c r="T126" s="165">
        <f>I126*S126</f>
        <v>2586.4103571428595</v>
      </c>
    </row>
    <row r="127" spans="1:20" ht="15.75">
      <c r="A127" s="5">
        <v>107</v>
      </c>
      <c r="B127" s="36" t="s">
        <v>64</v>
      </c>
      <c r="C127" s="8"/>
      <c r="D127" s="326"/>
      <c r="E127" s="37">
        <v>0</v>
      </c>
      <c r="F127" s="15">
        <f>LMpielik_16_LMZino!O127</f>
        <v>60</v>
      </c>
      <c r="G127" s="15">
        <f>LMpielik_18_LMZino!I154</f>
        <v>363</v>
      </c>
      <c r="H127" s="15">
        <v>363</v>
      </c>
      <c r="I127" s="15">
        <v>425</v>
      </c>
      <c r="J127" s="15">
        <v>425</v>
      </c>
      <c r="K127" s="16">
        <f>LMpielik_19_LMZino!O119</f>
        <v>2070</v>
      </c>
      <c r="L127" s="250">
        <f t="shared" si="14"/>
        <v>879750</v>
      </c>
      <c r="M127" s="374"/>
      <c r="N127" s="374"/>
      <c r="O127" s="15">
        <f>F127+G127-H127</f>
        <v>60</v>
      </c>
      <c r="P127" s="174">
        <f>E127+I127-J127</f>
        <v>0</v>
      </c>
      <c r="Q127" s="23">
        <v>12</v>
      </c>
      <c r="R127" s="165">
        <f>K127/1.12</f>
        <v>1848.2142857142856</v>
      </c>
      <c r="S127" s="165">
        <f>K127-R127</f>
        <v>221.78571428571445</v>
      </c>
      <c r="T127" s="165">
        <f>I127*S127</f>
        <v>94258.92857142864</v>
      </c>
    </row>
    <row r="128" spans="1:20" ht="15.75">
      <c r="A128" s="5">
        <v>108</v>
      </c>
      <c r="B128" s="36" t="s">
        <v>65</v>
      </c>
      <c r="C128" s="4" t="s">
        <v>146</v>
      </c>
      <c r="D128" s="326"/>
      <c r="E128" s="37">
        <v>0</v>
      </c>
      <c r="F128" s="15">
        <f>LMpielik_16_LMZino!O128</f>
        <v>4</v>
      </c>
      <c r="G128" s="15">
        <f>LMpielik_18_LMZino!I156</f>
        <v>46</v>
      </c>
      <c r="H128" s="15">
        <v>46</v>
      </c>
      <c r="I128" s="15">
        <v>61</v>
      </c>
      <c r="J128" s="15">
        <v>61</v>
      </c>
      <c r="K128" s="16">
        <f>LMpielik_19_LMZino!O120</f>
        <v>1230</v>
      </c>
      <c r="L128" s="250">
        <f t="shared" si="14"/>
        <v>75030</v>
      </c>
      <c r="M128" s="374"/>
      <c r="N128" s="374"/>
      <c r="O128" s="15">
        <f>F128+G128-H128</f>
        <v>4</v>
      </c>
      <c r="P128" s="174">
        <f>E128+I128-J128</f>
        <v>0</v>
      </c>
      <c r="Q128" s="23">
        <v>12</v>
      </c>
      <c r="R128" s="165">
        <f>K128/1.12</f>
        <v>1098.2142857142856</v>
      </c>
      <c r="S128" s="165">
        <f>K128-R128</f>
        <v>131.78571428571445</v>
      </c>
      <c r="T128" s="165">
        <f>I128*S128</f>
        <v>8038.928571428582</v>
      </c>
    </row>
    <row r="129" spans="1:20" ht="15.75">
      <c r="A129" s="5">
        <v>109</v>
      </c>
      <c r="B129" s="36" t="s">
        <v>66</v>
      </c>
      <c r="C129" s="8"/>
      <c r="D129" s="326"/>
      <c r="E129" s="37">
        <v>0</v>
      </c>
      <c r="F129" s="15">
        <f>LMpielik_16_LMZino!O129</f>
        <v>6</v>
      </c>
      <c r="G129" s="15">
        <f>LMpielik_18_LMZino!I158</f>
        <v>36</v>
      </c>
      <c r="H129" s="15">
        <v>36</v>
      </c>
      <c r="I129" s="15">
        <v>56</v>
      </c>
      <c r="J129" s="15">
        <v>56</v>
      </c>
      <c r="K129" s="16">
        <f>LMpielik_19_LMZino!O121</f>
        <v>965</v>
      </c>
      <c r="L129" s="250">
        <f t="shared" si="14"/>
        <v>54040</v>
      </c>
      <c r="M129" s="374"/>
      <c r="N129" s="374"/>
      <c r="O129" s="15">
        <f>F129+G129-H129</f>
        <v>6</v>
      </c>
      <c r="P129" s="174">
        <f>E129+I129-J129</f>
        <v>0</v>
      </c>
      <c r="Q129" s="23">
        <v>12</v>
      </c>
      <c r="R129" s="165">
        <f>K129/1.12</f>
        <v>861.6071428571428</v>
      </c>
      <c r="S129" s="165">
        <f>K129-R129</f>
        <v>103.39285714285722</v>
      </c>
      <c r="T129" s="165">
        <f>I129*S129</f>
        <v>5790.000000000005</v>
      </c>
    </row>
    <row r="130" spans="1:20" ht="15.75">
      <c r="A130" s="5">
        <v>110</v>
      </c>
      <c r="B130" s="36" t="s">
        <v>67</v>
      </c>
      <c r="C130" s="8"/>
      <c r="D130" s="326"/>
      <c r="E130" s="37">
        <v>0</v>
      </c>
      <c r="F130" s="15">
        <f>LMpielik_16_LMZino!O130</f>
        <v>3</v>
      </c>
      <c r="G130" s="15">
        <f>LMpielik_18_LMZino!I160</f>
        <v>18</v>
      </c>
      <c r="H130" s="15">
        <v>18</v>
      </c>
      <c r="I130" s="15">
        <v>28</v>
      </c>
      <c r="J130" s="15">
        <v>28</v>
      </c>
      <c r="K130" s="16">
        <f>LMpielik_19_LMZino!O122</f>
        <v>1445</v>
      </c>
      <c r="L130" s="250">
        <f t="shared" si="14"/>
        <v>40460</v>
      </c>
      <c r="M130" s="374"/>
      <c r="N130" s="374"/>
      <c r="O130" s="15">
        <f>F130+G130-H130</f>
        <v>3</v>
      </c>
      <c r="P130" s="174">
        <f>E130+I130-J130</f>
        <v>0</v>
      </c>
      <c r="Q130" s="23">
        <v>12</v>
      </c>
      <c r="R130" s="165">
        <f>K130/1.12</f>
        <v>1290.1785714285713</v>
      </c>
      <c r="S130" s="165">
        <f>K130-R130</f>
        <v>154.82142857142867</v>
      </c>
      <c r="T130" s="165">
        <f>I130*S130</f>
        <v>4335.000000000003</v>
      </c>
    </row>
    <row r="131" spans="1:20" ht="15.75">
      <c r="A131" s="28"/>
      <c r="B131" s="29" t="s">
        <v>69</v>
      </c>
      <c r="C131" s="43"/>
      <c r="D131" s="30"/>
      <c r="E131" s="31">
        <f aca="true" t="shared" si="15" ref="E131:K131">SUM(E132:E134)</f>
        <v>0</v>
      </c>
      <c r="F131" s="31">
        <f t="shared" si="15"/>
        <v>215</v>
      </c>
      <c r="G131" s="31">
        <f t="shared" si="15"/>
        <v>1824</v>
      </c>
      <c r="H131" s="31">
        <f t="shared" si="15"/>
        <v>1824</v>
      </c>
      <c r="I131" s="31">
        <f t="shared" si="15"/>
        <v>2901</v>
      </c>
      <c r="J131" s="31">
        <f t="shared" si="15"/>
        <v>2901</v>
      </c>
      <c r="K131" s="34">
        <f t="shared" si="15"/>
        <v>1642</v>
      </c>
      <c r="L131" s="35">
        <f>SUM(L132:L134)</f>
        <v>426750</v>
      </c>
      <c r="M131" s="374"/>
      <c r="N131" s="374"/>
      <c r="O131" s="31">
        <f aca="true" t="shared" si="16" ref="O131:T131">SUM(O132:O134)</f>
        <v>215</v>
      </c>
      <c r="P131" s="31">
        <f t="shared" si="16"/>
        <v>0</v>
      </c>
      <c r="Q131" s="34">
        <f t="shared" si="16"/>
        <v>36</v>
      </c>
      <c r="R131" s="34">
        <f t="shared" si="16"/>
        <v>1466.0714285714284</v>
      </c>
      <c r="S131" s="34">
        <f t="shared" si="16"/>
        <v>175.92857142857167</v>
      </c>
      <c r="T131" s="34">
        <f t="shared" si="16"/>
        <v>45723.21428571433</v>
      </c>
    </row>
    <row r="132" spans="1:20" ht="15.75">
      <c r="A132" s="5">
        <v>111</v>
      </c>
      <c r="B132" s="36" t="s">
        <v>70</v>
      </c>
      <c r="C132" s="8"/>
      <c r="D132" s="326" t="s">
        <v>104</v>
      </c>
      <c r="E132" s="37">
        <v>0</v>
      </c>
      <c r="F132" s="15">
        <f>LMpielik_16_LMZino!O132</f>
        <v>2</v>
      </c>
      <c r="G132" s="15">
        <f>LMpielik_18_LMZino!I163</f>
        <v>17</v>
      </c>
      <c r="H132" s="15">
        <v>17</v>
      </c>
      <c r="I132" s="15">
        <v>32</v>
      </c>
      <c r="J132" s="15">
        <v>32</v>
      </c>
      <c r="K132" s="16">
        <f>LMpielik_19_LMZino!O124</f>
        <v>1343</v>
      </c>
      <c r="L132" s="250">
        <f t="shared" si="14"/>
        <v>42976</v>
      </c>
      <c r="M132" s="374"/>
      <c r="N132" s="374"/>
      <c r="O132" s="15">
        <f>F132+G132-H132</f>
        <v>2</v>
      </c>
      <c r="P132" s="174">
        <f>E132+I132-J132</f>
        <v>0</v>
      </c>
      <c r="Q132" s="23">
        <v>12</v>
      </c>
      <c r="R132" s="165">
        <f>K132/1.12</f>
        <v>1199.1071428571427</v>
      </c>
      <c r="S132" s="165">
        <f>K132-R132</f>
        <v>143.89285714285734</v>
      </c>
      <c r="T132" s="165">
        <f>I132*S132</f>
        <v>4604.571428571435</v>
      </c>
    </row>
    <row r="133" spans="1:20" ht="15.75">
      <c r="A133" s="5">
        <v>112</v>
      </c>
      <c r="B133" s="36" t="s">
        <v>71</v>
      </c>
      <c r="C133" s="8"/>
      <c r="D133" s="326"/>
      <c r="E133" s="37">
        <v>0</v>
      </c>
      <c r="F133" s="15">
        <f>LMpielik_16_LMZino!O133</f>
        <v>109</v>
      </c>
      <c r="G133" s="15">
        <f>LMpielik_18_LMZino!I165</f>
        <v>1188</v>
      </c>
      <c r="H133" s="15">
        <v>1188</v>
      </c>
      <c r="I133" s="15">
        <v>1764</v>
      </c>
      <c r="J133" s="15">
        <v>1764</v>
      </c>
      <c r="K133" s="16">
        <f>LMpielik_19_LMZino!O125</f>
        <v>81</v>
      </c>
      <c r="L133" s="250">
        <f t="shared" si="14"/>
        <v>142884</v>
      </c>
      <c r="M133" s="374"/>
      <c r="N133" s="374"/>
      <c r="O133" s="15">
        <f>F133+G133-H133</f>
        <v>109</v>
      </c>
      <c r="P133" s="174">
        <f>E133+I133-J133</f>
        <v>0</v>
      </c>
      <c r="Q133" s="23">
        <v>12</v>
      </c>
      <c r="R133" s="165">
        <f>K133/1.12</f>
        <v>72.32142857142857</v>
      </c>
      <c r="S133" s="165">
        <f>K133-R133</f>
        <v>8.67857142857143</v>
      </c>
      <c r="T133" s="165">
        <f>I133*S133</f>
        <v>15309.000000000004</v>
      </c>
    </row>
    <row r="134" spans="1:20" ht="15.75">
      <c r="A134" s="5">
        <v>113</v>
      </c>
      <c r="B134" s="36" t="s">
        <v>72</v>
      </c>
      <c r="C134" s="8"/>
      <c r="D134" s="326"/>
      <c r="E134" s="37">
        <v>0</v>
      </c>
      <c r="F134" s="15">
        <f>LMpielik_16_LMZino!O134</f>
        <v>104</v>
      </c>
      <c r="G134" s="15">
        <f>LMpielik_18_LMZino!I167</f>
        <v>619</v>
      </c>
      <c r="H134" s="15">
        <v>619</v>
      </c>
      <c r="I134" s="15">
        <v>1105</v>
      </c>
      <c r="J134" s="15">
        <v>1105</v>
      </c>
      <c r="K134" s="16">
        <f>LMpielik_19_LMZino!O126</f>
        <v>218</v>
      </c>
      <c r="L134" s="250">
        <f t="shared" si="14"/>
        <v>240890</v>
      </c>
      <c r="M134" s="374"/>
      <c r="N134" s="374"/>
      <c r="O134" s="15">
        <f>F134+G134-H134</f>
        <v>104</v>
      </c>
      <c r="P134" s="174">
        <f>E134+I134-J134</f>
        <v>0</v>
      </c>
      <c r="Q134" s="23">
        <v>12</v>
      </c>
      <c r="R134" s="165">
        <f>K134/1.12</f>
        <v>194.6428571428571</v>
      </c>
      <c r="S134" s="165">
        <f>K134-R134</f>
        <v>23.35714285714289</v>
      </c>
      <c r="T134" s="165">
        <f>I134*S134</f>
        <v>25809.64285714289</v>
      </c>
    </row>
    <row r="135" spans="1:20" ht="15.75">
      <c r="A135" s="28"/>
      <c r="B135" s="29" t="s">
        <v>73</v>
      </c>
      <c r="C135" s="44"/>
      <c r="D135" s="30"/>
      <c r="E135" s="31">
        <f aca="true" t="shared" si="17" ref="E135:K135">E136+E137</f>
        <v>0</v>
      </c>
      <c r="F135" s="31">
        <f t="shared" si="17"/>
        <v>340</v>
      </c>
      <c r="G135" s="31">
        <f t="shared" si="17"/>
        <v>2044</v>
      </c>
      <c r="H135" s="31">
        <f t="shared" si="17"/>
        <v>2044</v>
      </c>
      <c r="I135" s="31">
        <f t="shared" si="17"/>
        <v>2431</v>
      </c>
      <c r="J135" s="31">
        <f t="shared" si="17"/>
        <v>2431</v>
      </c>
      <c r="K135" s="34">
        <f t="shared" si="17"/>
        <v>560</v>
      </c>
      <c r="L135" s="35">
        <f>SUM(L136:L137)</f>
        <v>470730</v>
      </c>
      <c r="M135" s="374"/>
      <c r="N135" s="374"/>
      <c r="O135" s="31">
        <f aca="true" t="shared" si="18" ref="O135:T135">O136+O137</f>
        <v>340</v>
      </c>
      <c r="P135" s="31">
        <f t="shared" si="18"/>
        <v>0</v>
      </c>
      <c r="Q135" s="34">
        <f t="shared" si="18"/>
        <v>24</v>
      </c>
      <c r="R135" s="34">
        <f t="shared" si="18"/>
        <v>499.99999999999994</v>
      </c>
      <c r="S135" s="34">
        <f t="shared" si="18"/>
        <v>60.00000000000007</v>
      </c>
      <c r="T135" s="34">
        <f t="shared" si="18"/>
        <v>50435.35714285719</v>
      </c>
    </row>
    <row r="136" spans="1:20" ht="15.75">
      <c r="A136" s="5">
        <v>114</v>
      </c>
      <c r="B136" s="36" t="s">
        <v>74</v>
      </c>
      <c r="C136" s="8"/>
      <c r="D136" s="326" t="s">
        <v>104</v>
      </c>
      <c r="E136" s="37">
        <v>0</v>
      </c>
      <c r="F136" s="15">
        <f>LMpielik_16_LMZino!O136</f>
        <v>93</v>
      </c>
      <c r="G136" s="15">
        <f>LMpielik_18_LMZino!I170</f>
        <v>560</v>
      </c>
      <c r="H136" s="15">
        <v>560</v>
      </c>
      <c r="I136" s="15">
        <v>598</v>
      </c>
      <c r="J136" s="15">
        <v>598</v>
      </c>
      <c r="K136" s="16">
        <f>LMpielik_19_LMZino!O128</f>
        <v>450</v>
      </c>
      <c r="L136" s="250">
        <f>I136*K136</f>
        <v>269100</v>
      </c>
      <c r="M136" s="374"/>
      <c r="N136" s="374"/>
      <c r="O136" s="15">
        <f>F136+G136-H136</f>
        <v>93</v>
      </c>
      <c r="P136" s="174">
        <f>E136+I136-J136</f>
        <v>0</v>
      </c>
      <c r="Q136" s="174">
        <v>12</v>
      </c>
      <c r="R136" s="165">
        <f>K136/1.12</f>
        <v>401.7857142857142</v>
      </c>
      <c r="S136" s="165">
        <f>K136-R136</f>
        <v>48.21428571428578</v>
      </c>
      <c r="T136" s="165">
        <f>I136*S136</f>
        <v>28832.142857142895</v>
      </c>
    </row>
    <row r="137" spans="1:20" ht="15.75">
      <c r="A137" s="5">
        <v>115</v>
      </c>
      <c r="B137" s="36" t="s">
        <v>75</v>
      </c>
      <c r="C137" s="8"/>
      <c r="D137" s="327"/>
      <c r="E137" s="37">
        <v>0</v>
      </c>
      <c r="F137" s="15">
        <f>LMpielik_16_LMZino!O137</f>
        <v>247</v>
      </c>
      <c r="G137" s="15">
        <f>LMpielik_18_LMZino!I172</f>
        <v>1484</v>
      </c>
      <c r="H137" s="15">
        <v>1484</v>
      </c>
      <c r="I137" s="15">
        <v>1833</v>
      </c>
      <c r="J137" s="15">
        <v>1833</v>
      </c>
      <c r="K137" s="16">
        <f>LMpielik_19_LMZino!O129</f>
        <v>110</v>
      </c>
      <c r="L137" s="250">
        <f>I137*K137</f>
        <v>201630</v>
      </c>
      <c r="M137" s="374"/>
      <c r="N137" s="374"/>
      <c r="O137" s="15">
        <f>F137+G137-H137</f>
        <v>247</v>
      </c>
      <c r="P137" s="174">
        <f>E137+I137-J137</f>
        <v>0</v>
      </c>
      <c r="Q137" s="174">
        <v>12</v>
      </c>
      <c r="R137" s="165">
        <f>K137/1.12</f>
        <v>98.21428571428571</v>
      </c>
      <c r="S137" s="165">
        <f>K137-R137</f>
        <v>11.785714285714292</v>
      </c>
      <c r="T137" s="165">
        <f>I137*S137</f>
        <v>21603.214285714297</v>
      </c>
    </row>
    <row r="138" spans="1:20" ht="15.75">
      <c r="A138" s="210"/>
      <c r="B138" s="211" t="s">
        <v>228</v>
      </c>
      <c r="C138" s="212"/>
      <c r="D138" s="213"/>
      <c r="E138" s="214">
        <f>E139+E140</f>
        <v>0</v>
      </c>
      <c r="F138" s="214">
        <f aca="true" t="shared" si="19" ref="F138:L138">F139+F140</f>
        <v>70</v>
      </c>
      <c r="G138" s="214">
        <f t="shared" si="19"/>
        <v>420</v>
      </c>
      <c r="H138" s="214">
        <f t="shared" si="19"/>
        <v>420</v>
      </c>
      <c r="I138" s="214">
        <f t="shared" si="19"/>
        <v>420</v>
      </c>
      <c r="J138" s="214">
        <f t="shared" si="19"/>
        <v>420</v>
      </c>
      <c r="K138" s="215">
        <f t="shared" si="19"/>
        <v>1250</v>
      </c>
      <c r="L138" s="215">
        <f t="shared" si="19"/>
        <v>262500</v>
      </c>
      <c r="M138" s="374"/>
      <c r="N138" s="374"/>
      <c r="O138" s="216">
        <f>O139+O140</f>
        <v>70</v>
      </c>
      <c r="P138" s="216">
        <f>P139+P140</f>
        <v>0</v>
      </c>
      <c r="Q138" s="215" t="s">
        <v>112</v>
      </c>
      <c r="R138" s="215">
        <f>R139+R140</f>
        <v>1116.0714285714284</v>
      </c>
      <c r="S138" s="215">
        <f>S139+S140</f>
        <v>133.92857142857162</v>
      </c>
      <c r="T138" s="215">
        <f>T139+T140</f>
        <v>28125.000000000036</v>
      </c>
    </row>
    <row r="139" spans="1:20" ht="31.5">
      <c r="A139" s="5">
        <v>116</v>
      </c>
      <c r="B139" s="180" t="s">
        <v>224</v>
      </c>
      <c r="C139" s="8"/>
      <c r="D139" s="4"/>
      <c r="E139" s="37">
        <v>0</v>
      </c>
      <c r="F139" s="15">
        <f>LMpielik_16_LMZino!O139</f>
        <v>35</v>
      </c>
      <c r="G139" s="15">
        <f>LMpielik_18_LMZino!I175</f>
        <v>210</v>
      </c>
      <c r="H139" s="15">
        <v>210</v>
      </c>
      <c r="I139" s="15">
        <v>210</v>
      </c>
      <c r="J139" s="15">
        <v>210</v>
      </c>
      <c r="K139" s="16">
        <f>LMpielik_19_LMZino!O131</f>
        <v>550</v>
      </c>
      <c r="L139" s="250">
        <f>I139*K139</f>
        <v>115500</v>
      </c>
      <c r="M139" s="374"/>
      <c r="N139" s="374"/>
      <c r="O139" s="15">
        <f>F139+G139-H139</f>
        <v>35</v>
      </c>
      <c r="P139" s="174">
        <f>E139+I139-J139</f>
        <v>0</v>
      </c>
      <c r="Q139" s="174">
        <v>12</v>
      </c>
      <c r="R139" s="165">
        <f>K139/1.12</f>
        <v>491.0714285714285</v>
      </c>
      <c r="S139" s="165">
        <f>K139-R139</f>
        <v>58.9285714285715</v>
      </c>
      <c r="T139" s="165">
        <f>I139*S139</f>
        <v>12375.000000000015</v>
      </c>
    </row>
    <row r="140" spans="1:20" ht="31.5">
      <c r="A140" s="5">
        <v>117</v>
      </c>
      <c r="B140" s="181" t="s">
        <v>225</v>
      </c>
      <c r="C140" s="8"/>
      <c r="D140" s="4"/>
      <c r="E140" s="37">
        <v>0</v>
      </c>
      <c r="F140" s="15">
        <f>LMpielik_16_LMZino!O140</f>
        <v>35</v>
      </c>
      <c r="G140" s="15">
        <f>LMpielik_18_LMZino!I177</f>
        <v>210</v>
      </c>
      <c r="H140" s="15">
        <v>210</v>
      </c>
      <c r="I140" s="15">
        <v>210</v>
      </c>
      <c r="J140" s="15">
        <v>210</v>
      </c>
      <c r="K140" s="16">
        <f>LMpielik_19_LMZino!O132</f>
        <v>700</v>
      </c>
      <c r="L140" s="250">
        <f>I140*K140</f>
        <v>147000</v>
      </c>
      <c r="M140" s="369"/>
      <c r="N140" s="369"/>
      <c r="O140" s="15">
        <f>F140+G140-H140</f>
        <v>35</v>
      </c>
      <c r="P140" s="174">
        <f>E140+I140-J140</f>
        <v>0</v>
      </c>
      <c r="Q140" s="174">
        <v>12</v>
      </c>
      <c r="R140" s="165">
        <f>K140/1.12</f>
        <v>624.9999999999999</v>
      </c>
      <c r="S140" s="165">
        <f>K140-R140</f>
        <v>75.00000000000011</v>
      </c>
      <c r="T140" s="165">
        <f>I140*S140</f>
        <v>15750.000000000024</v>
      </c>
    </row>
    <row r="141" spans="1:20" ht="15.75">
      <c r="A141" s="243"/>
      <c r="B141" s="246" t="s">
        <v>248</v>
      </c>
      <c r="C141" s="244"/>
      <c r="D141" s="245"/>
      <c r="E141" s="38">
        <f>E124+E10+E138</f>
        <v>2551</v>
      </c>
      <c r="F141" s="38">
        <f aca="true" t="shared" si="20" ref="F141:L141">F124+F10+F138</f>
        <v>1551</v>
      </c>
      <c r="G141" s="38">
        <f t="shared" si="20"/>
        <v>10285</v>
      </c>
      <c r="H141" s="38">
        <f t="shared" si="20"/>
        <v>10274</v>
      </c>
      <c r="I141" s="38">
        <f t="shared" si="20"/>
        <v>11577</v>
      </c>
      <c r="J141" s="38">
        <f t="shared" si="20"/>
        <v>12018</v>
      </c>
      <c r="K141" s="39">
        <f t="shared" si="20"/>
        <v>57044.733873648336</v>
      </c>
      <c r="L141" s="39">
        <f t="shared" si="20"/>
        <v>4125561.494260328</v>
      </c>
      <c r="M141" s="40">
        <v>2182551</v>
      </c>
      <c r="N141" s="40">
        <f>L141-M141</f>
        <v>1943010.494260328</v>
      </c>
      <c r="O141" s="38">
        <f>O124+O10+O138</f>
        <v>1562</v>
      </c>
      <c r="P141" s="38">
        <f>P124+P10+P138</f>
        <v>2110</v>
      </c>
      <c r="Q141" s="39" t="s">
        <v>112</v>
      </c>
      <c r="R141" s="39">
        <f>R124+R10+R138</f>
        <v>50832.18166109392</v>
      </c>
      <c r="S141" s="39">
        <f>S124+S10+S138</f>
        <v>6209.492212554417</v>
      </c>
      <c r="T141" s="39">
        <f>T124+T10+T138</f>
        <v>441453.51128881355</v>
      </c>
    </row>
    <row r="142" spans="1:20" ht="15.75">
      <c r="A142" s="175"/>
      <c r="B142" s="232" t="s">
        <v>250</v>
      </c>
      <c r="C142" s="175"/>
      <c r="D142" s="175"/>
      <c r="E142" s="230" t="s">
        <v>112</v>
      </c>
      <c r="F142" s="230" t="s">
        <v>112</v>
      </c>
      <c r="G142" s="230" t="s">
        <v>112</v>
      </c>
      <c r="H142" s="230" t="s">
        <v>112</v>
      </c>
      <c r="I142" s="230" t="s">
        <v>112</v>
      </c>
      <c r="J142" s="230" t="s">
        <v>112</v>
      </c>
      <c r="K142" s="230" t="s">
        <v>112</v>
      </c>
      <c r="L142" s="240">
        <f>M142+N142</f>
        <v>277551.32</v>
      </c>
      <c r="M142" s="240">
        <v>245257</v>
      </c>
      <c r="N142" s="242">
        <f>LMpielik_20_LMZino!D11</f>
        <v>32294.32</v>
      </c>
      <c r="O142" s="230" t="s">
        <v>112</v>
      </c>
      <c r="P142" s="230" t="s">
        <v>112</v>
      </c>
      <c r="Q142" s="230" t="s">
        <v>112</v>
      </c>
      <c r="R142" s="230" t="s">
        <v>112</v>
      </c>
      <c r="S142" s="230" t="s">
        <v>112</v>
      </c>
      <c r="T142" s="230" t="s">
        <v>112</v>
      </c>
    </row>
    <row r="143" spans="1:20" ht="15.75">
      <c r="A143" s="175"/>
      <c r="B143" s="232" t="s">
        <v>249</v>
      </c>
      <c r="C143" s="175"/>
      <c r="D143" s="175"/>
      <c r="E143" s="230" t="s">
        <v>112</v>
      </c>
      <c r="F143" s="230" t="s">
        <v>112</v>
      </c>
      <c r="G143" s="230" t="s">
        <v>112</v>
      </c>
      <c r="H143" s="230" t="s">
        <v>112</v>
      </c>
      <c r="I143" s="230" t="s">
        <v>112</v>
      </c>
      <c r="J143" s="230" t="s">
        <v>112</v>
      </c>
      <c r="K143" s="230" t="s">
        <v>112</v>
      </c>
      <c r="L143" s="240">
        <f>M143+N143</f>
        <v>369295.16000000003</v>
      </c>
      <c r="M143" s="240">
        <v>284574</v>
      </c>
      <c r="N143" s="242">
        <f>LMpielik_21_LMZino!D12</f>
        <v>84721.16</v>
      </c>
      <c r="O143" s="230" t="s">
        <v>112</v>
      </c>
      <c r="P143" s="230" t="s">
        <v>112</v>
      </c>
      <c r="Q143" s="230" t="s">
        <v>112</v>
      </c>
      <c r="R143" s="230" t="s">
        <v>112</v>
      </c>
      <c r="S143" s="230" t="s">
        <v>112</v>
      </c>
      <c r="T143" s="230" t="s">
        <v>112</v>
      </c>
    </row>
    <row r="144" spans="1:20" ht="15.75">
      <c r="A144" s="175"/>
      <c r="B144" s="232" t="s">
        <v>251</v>
      </c>
      <c r="C144" s="233"/>
      <c r="D144" s="233"/>
      <c r="E144" s="230" t="s">
        <v>112</v>
      </c>
      <c r="F144" s="230" t="s">
        <v>112</v>
      </c>
      <c r="G144" s="230" t="s">
        <v>112</v>
      </c>
      <c r="H144" s="230" t="s">
        <v>112</v>
      </c>
      <c r="I144" s="230" t="s">
        <v>112</v>
      </c>
      <c r="J144" s="230" t="s">
        <v>112</v>
      </c>
      <c r="K144" s="230" t="s">
        <v>112</v>
      </c>
      <c r="L144" s="234">
        <f>L141+L142+L143</f>
        <v>4772407.974260328</v>
      </c>
      <c r="M144" s="234">
        <f>M141+M142+M143</f>
        <v>2712382</v>
      </c>
      <c r="N144" s="234">
        <f>N141+N142+N143</f>
        <v>2060025.9742603279</v>
      </c>
      <c r="O144" s="230" t="s">
        <v>112</v>
      </c>
      <c r="P144" s="230" t="s">
        <v>112</v>
      </c>
      <c r="Q144" s="230" t="s">
        <v>112</v>
      </c>
      <c r="R144" s="230" t="s">
        <v>112</v>
      </c>
      <c r="S144" s="230" t="s">
        <v>112</v>
      </c>
      <c r="T144" s="230" t="s">
        <v>112</v>
      </c>
    </row>
    <row r="146" spans="2:10" ht="15.75">
      <c r="B146" s="262" t="s">
        <v>300</v>
      </c>
      <c r="C146" s="262"/>
      <c r="D146" s="262"/>
      <c r="E146" s="262"/>
      <c r="F146" s="262"/>
      <c r="G146" s="262"/>
      <c r="H146" s="262"/>
      <c r="I146" s="262"/>
      <c r="J146" s="262" t="s">
        <v>301</v>
      </c>
    </row>
    <row r="147" spans="2:10" ht="15.75">
      <c r="B147" s="262"/>
      <c r="C147" s="262"/>
      <c r="D147" s="262"/>
      <c r="E147" s="262"/>
      <c r="F147" s="262"/>
      <c r="G147" s="262"/>
      <c r="H147" s="262"/>
      <c r="I147" s="262"/>
      <c r="J147" s="262"/>
    </row>
    <row r="148" spans="2:10" ht="15.75">
      <c r="B148" s="41" t="s">
        <v>384</v>
      </c>
      <c r="C148" s="41"/>
      <c r="D148" s="41"/>
      <c r="E148" s="262"/>
      <c r="F148" s="262"/>
      <c r="G148" s="262"/>
      <c r="H148" s="262"/>
      <c r="I148" s="262"/>
      <c r="J148" s="262"/>
    </row>
    <row r="149" spans="2:10" ht="15.75">
      <c r="B149" s="41" t="s">
        <v>302</v>
      </c>
      <c r="C149" s="41"/>
      <c r="D149" s="41"/>
      <c r="E149" s="262"/>
      <c r="F149" s="262"/>
      <c r="G149" s="262"/>
      <c r="H149" s="262"/>
      <c r="I149" s="262"/>
      <c r="J149" s="262"/>
    </row>
    <row r="150" spans="2:10" ht="15.75">
      <c r="B150" s="41" t="s">
        <v>303</v>
      </c>
      <c r="C150" s="41"/>
      <c r="D150" s="41"/>
      <c r="E150" s="262"/>
      <c r="F150" s="262"/>
      <c r="G150" s="262"/>
      <c r="H150" s="262"/>
      <c r="I150" s="262"/>
      <c r="J150" s="262"/>
    </row>
  </sheetData>
  <sheetProtection/>
  <mergeCells count="391">
    <mergeCell ref="A124:D124"/>
    <mergeCell ref="D126:D130"/>
    <mergeCell ref="D132:D134"/>
    <mergeCell ref="D136:D137"/>
    <mergeCell ref="P102:P104"/>
    <mergeCell ref="Q102:Q104"/>
    <mergeCell ref="S102:S104"/>
    <mergeCell ref="T102:T104"/>
    <mergeCell ref="A105:C105"/>
    <mergeCell ref="H102:H104"/>
    <mergeCell ref="I102:I104"/>
    <mergeCell ref="J102:J104"/>
    <mergeCell ref="K102:K104"/>
    <mergeCell ref="L102:L104"/>
    <mergeCell ref="O102:O104"/>
    <mergeCell ref="Q96:Q99"/>
    <mergeCell ref="R96:R99"/>
    <mergeCell ref="S96:S99"/>
    <mergeCell ref="T96:T99"/>
    <mergeCell ref="C102:C104"/>
    <mergeCell ref="D102:D104"/>
    <mergeCell ref="E102:E104"/>
    <mergeCell ref="F102:F104"/>
    <mergeCell ref="G102:G104"/>
    <mergeCell ref="R102:R104"/>
    <mergeCell ref="I96:I99"/>
    <mergeCell ref="J96:J99"/>
    <mergeCell ref="K96:K99"/>
    <mergeCell ref="L96:L99"/>
    <mergeCell ref="O96:O99"/>
    <mergeCell ref="P96:P99"/>
    <mergeCell ref="Q91:Q94"/>
    <mergeCell ref="R91:R94"/>
    <mergeCell ref="S91:S94"/>
    <mergeCell ref="T91:T94"/>
    <mergeCell ref="C96:C99"/>
    <mergeCell ref="D96:D99"/>
    <mergeCell ref="E96:E99"/>
    <mergeCell ref="F96:F99"/>
    <mergeCell ref="G96:G99"/>
    <mergeCell ref="H96:H99"/>
    <mergeCell ref="I91:I94"/>
    <mergeCell ref="J91:J94"/>
    <mergeCell ref="K91:K94"/>
    <mergeCell ref="L91:L94"/>
    <mergeCell ref="O91:O94"/>
    <mergeCell ref="P91:P94"/>
    <mergeCell ref="Q88:Q89"/>
    <mergeCell ref="R88:R89"/>
    <mergeCell ref="S88:S89"/>
    <mergeCell ref="T88:T89"/>
    <mergeCell ref="C91:C94"/>
    <mergeCell ref="D91:D94"/>
    <mergeCell ref="E91:E94"/>
    <mergeCell ref="F91:F94"/>
    <mergeCell ref="G91:G94"/>
    <mergeCell ref="H91:H94"/>
    <mergeCell ref="I88:I89"/>
    <mergeCell ref="J88:J89"/>
    <mergeCell ref="K88:K89"/>
    <mergeCell ref="L88:L89"/>
    <mergeCell ref="O88:O89"/>
    <mergeCell ref="P88:P89"/>
    <mergeCell ref="Q81:Q87"/>
    <mergeCell ref="R81:R87"/>
    <mergeCell ref="S81:S87"/>
    <mergeCell ref="T81:T87"/>
    <mergeCell ref="C88:C89"/>
    <mergeCell ref="D88:D89"/>
    <mergeCell ref="E88:E89"/>
    <mergeCell ref="F88:F89"/>
    <mergeCell ref="G88:G89"/>
    <mergeCell ref="H88:H89"/>
    <mergeCell ref="I81:I87"/>
    <mergeCell ref="J81:J87"/>
    <mergeCell ref="K81:K87"/>
    <mergeCell ref="L81:L87"/>
    <mergeCell ref="O81:O87"/>
    <mergeCell ref="P81:P87"/>
    <mergeCell ref="Q79:Q80"/>
    <mergeCell ref="R79:R80"/>
    <mergeCell ref="S79:S80"/>
    <mergeCell ref="T79:T80"/>
    <mergeCell ref="C81:C87"/>
    <mergeCell ref="D81:D87"/>
    <mergeCell ref="E81:E87"/>
    <mergeCell ref="F81:F87"/>
    <mergeCell ref="G81:G87"/>
    <mergeCell ref="H81:H87"/>
    <mergeCell ref="I79:I80"/>
    <mergeCell ref="J79:J80"/>
    <mergeCell ref="K79:K80"/>
    <mergeCell ref="L79:L80"/>
    <mergeCell ref="O79:O80"/>
    <mergeCell ref="P79:P80"/>
    <mergeCell ref="Q71:Q77"/>
    <mergeCell ref="R71:R77"/>
    <mergeCell ref="S71:S77"/>
    <mergeCell ref="T71:T77"/>
    <mergeCell ref="C79:C80"/>
    <mergeCell ref="D79:D80"/>
    <mergeCell ref="E79:E80"/>
    <mergeCell ref="F79:F80"/>
    <mergeCell ref="G79:G80"/>
    <mergeCell ref="H79:H80"/>
    <mergeCell ref="I71:I77"/>
    <mergeCell ref="J71:J77"/>
    <mergeCell ref="K71:K77"/>
    <mergeCell ref="L71:L77"/>
    <mergeCell ref="O71:O77"/>
    <mergeCell ref="P71:P77"/>
    <mergeCell ref="Q69:Q70"/>
    <mergeCell ref="R69:R70"/>
    <mergeCell ref="S69:S70"/>
    <mergeCell ref="T69:T70"/>
    <mergeCell ref="C71:C77"/>
    <mergeCell ref="D71:D77"/>
    <mergeCell ref="E71:E77"/>
    <mergeCell ref="F71:F77"/>
    <mergeCell ref="G71:G77"/>
    <mergeCell ref="H71:H77"/>
    <mergeCell ref="I69:I70"/>
    <mergeCell ref="J69:J70"/>
    <mergeCell ref="K69:K70"/>
    <mergeCell ref="L69:L70"/>
    <mergeCell ref="O69:O70"/>
    <mergeCell ref="P69:P70"/>
    <mergeCell ref="Q67:Q68"/>
    <mergeCell ref="R67:R68"/>
    <mergeCell ref="S67:S68"/>
    <mergeCell ref="T67:T68"/>
    <mergeCell ref="C69:C70"/>
    <mergeCell ref="D69:D70"/>
    <mergeCell ref="E69:E70"/>
    <mergeCell ref="F69:F70"/>
    <mergeCell ref="G69:G70"/>
    <mergeCell ref="H69:H70"/>
    <mergeCell ref="I67:I68"/>
    <mergeCell ref="J67:J68"/>
    <mergeCell ref="K67:K68"/>
    <mergeCell ref="L67:L68"/>
    <mergeCell ref="O67:O68"/>
    <mergeCell ref="P67:P68"/>
    <mergeCell ref="Q64:Q65"/>
    <mergeCell ref="R64:R65"/>
    <mergeCell ref="S64:S65"/>
    <mergeCell ref="T64:T65"/>
    <mergeCell ref="C67:C68"/>
    <mergeCell ref="D67:D68"/>
    <mergeCell ref="E67:E68"/>
    <mergeCell ref="F67:F68"/>
    <mergeCell ref="G67:G68"/>
    <mergeCell ref="H67:H68"/>
    <mergeCell ref="I64:I65"/>
    <mergeCell ref="J64:J65"/>
    <mergeCell ref="K64:K65"/>
    <mergeCell ref="L64:L65"/>
    <mergeCell ref="O64:O65"/>
    <mergeCell ref="P64:P65"/>
    <mergeCell ref="Q57:Q62"/>
    <mergeCell ref="R57:R62"/>
    <mergeCell ref="S57:S62"/>
    <mergeCell ref="T57:T62"/>
    <mergeCell ref="C64:C65"/>
    <mergeCell ref="D64:D65"/>
    <mergeCell ref="E64:E65"/>
    <mergeCell ref="F64:F65"/>
    <mergeCell ref="G64:G65"/>
    <mergeCell ref="H64:H65"/>
    <mergeCell ref="I57:I62"/>
    <mergeCell ref="J57:J62"/>
    <mergeCell ref="K57:K62"/>
    <mergeCell ref="L57:L62"/>
    <mergeCell ref="O57:O62"/>
    <mergeCell ref="P57:P62"/>
    <mergeCell ref="Q50:Q56"/>
    <mergeCell ref="R50:R56"/>
    <mergeCell ref="S50:S56"/>
    <mergeCell ref="T50:T56"/>
    <mergeCell ref="C57:C62"/>
    <mergeCell ref="D57:D62"/>
    <mergeCell ref="E57:E62"/>
    <mergeCell ref="F57:F62"/>
    <mergeCell ref="G57:G62"/>
    <mergeCell ref="H57:H62"/>
    <mergeCell ref="I50:I56"/>
    <mergeCell ref="J50:J56"/>
    <mergeCell ref="K50:K56"/>
    <mergeCell ref="L50:L56"/>
    <mergeCell ref="O50:O56"/>
    <mergeCell ref="P50:P56"/>
    <mergeCell ref="Q47:Q49"/>
    <mergeCell ref="R47:R49"/>
    <mergeCell ref="S47:S49"/>
    <mergeCell ref="T47:T49"/>
    <mergeCell ref="C50:C56"/>
    <mergeCell ref="D50:D56"/>
    <mergeCell ref="E50:E56"/>
    <mergeCell ref="F50:F56"/>
    <mergeCell ref="G50:G56"/>
    <mergeCell ref="H50:H56"/>
    <mergeCell ref="I47:I49"/>
    <mergeCell ref="J47:J49"/>
    <mergeCell ref="K47:K49"/>
    <mergeCell ref="L47:L49"/>
    <mergeCell ref="O47:O49"/>
    <mergeCell ref="P47:P49"/>
    <mergeCell ref="Q45:Q46"/>
    <mergeCell ref="R45:R46"/>
    <mergeCell ref="S45:S46"/>
    <mergeCell ref="T45:T46"/>
    <mergeCell ref="C47:C49"/>
    <mergeCell ref="D47:D49"/>
    <mergeCell ref="E47:E49"/>
    <mergeCell ref="F47:F49"/>
    <mergeCell ref="G47:G49"/>
    <mergeCell ref="H47:H49"/>
    <mergeCell ref="I45:I46"/>
    <mergeCell ref="J45:J46"/>
    <mergeCell ref="K45:K46"/>
    <mergeCell ref="L45:L46"/>
    <mergeCell ref="O45:O46"/>
    <mergeCell ref="P45:P46"/>
    <mergeCell ref="C45:C46"/>
    <mergeCell ref="D45:D46"/>
    <mergeCell ref="E45:E46"/>
    <mergeCell ref="F45:F46"/>
    <mergeCell ref="G45:G46"/>
    <mergeCell ref="H45:H46"/>
    <mergeCell ref="C42:C43"/>
    <mergeCell ref="A44:D44"/>
    <mergeCell ref="I39:I40"/>
    <mergeCell ref="J39:J40"/>
    <mergeCell ref="K39:K40"/>
    <mergeCell ref="L39:L40"/>
    <mergeCell ref="C39:C40"/>
    <mergeCell ref="D39:D40"/>
    <mergeCell ref="E39:E40"/>
    <mergeCell ref="F39:F40"/>
    <mergeCell ref="O39:O40"/>
    <mergeCell ref="P39:P40"/>
    <mergeCell ref="Q37:Q38"/>
    <mergeCell ref="R37:R38"/>
    <mergeCell ref="S37:S38"/>
    <mergeCell ref="T37:T38"/>
    <mergeCell ref="Q39:Q40"/>
    <mergeCell ref="R39:R40"/>
    <mergeCell ref="S39:S40"/>
    <mergeCell ref="T39:T40"/>
    <mergeCell ref="G39:G40"/>
    <mergeCell ref="H39:H40"/>
    <mergeCell ref="I37:I38"/>
    <mergeCell ref="J37:J38"/>
    <mergeCell ref="K37:K38"/>
    <mergeCell ref="L37:L38"/>
    <mergeCell ref="O37:O38"/>
    <mergeCell ref="P37:P38"/>
    <mergeCell ref="C37:C38"/>
    <mergeCell ref="D37:D38"/>
    <mergeCell ref="E37:E38"/>
    <mergeCell ref="F37:F38"/>
    <mergeCell ref="G37:G38"/>
    <mergeCell ref="H37:H38"/>
    <mergeCell ref="O34:O36"/>
    <mergeCell ref="P34:P36"/>
    <mergeCell ref="Q34:Q36"/>
    <mergeCell ref="R34:R36"/>
    <mergeCell ref="S34:S36"/>
    <mergeCell ref="T34:T36"/>
    <mergeCell ref="T32:T33"/>
    <mergeCell ref="C34:C36"/>
    <mergeCell ref="E34:E36"/>
    <mergeCell ref="F34:F36"/>
    <mergeCell ref="G34:G36"/>
    <mergeCell ref="H34:H36"/>
    <mergeCell ref="I34:I36"/>
    <mergeCell ref="J34:J36"/>
    <mergeCell ref="K34:K36"/>
    <mergeCell ref="L34:L36"/>
    <mergeCell ref="L32:L33"/>
    <mergeCell ref="O32:O33"/>
    <mergeCell ref="P32:P33"/>
    <mergeCell ref="Q32:Q33"/>
    <mergeCell ref="R32:R33"/>
    <mergeCell ref="S32:S33"/>
    <mergeCell ref="S26:S31"/>
    <mergeCell ref="T26:T31"/>
    <mergeCell ref="C32:C33"/>
    <mergeCell ref="E32:E33"/>
    <mergeCell ref="F32:F33"/>
    <mergeCell ref="G32:G33"/>
    <mergeCell ref="H32:H33"/>
    <mergeCell ref="I32:I33"/>
    <mergeCell ref="J32:J33"/>
    <mergeCell ref="K32:K33"/>
    <mergeCell ref="K26:K31"/>
    <mergeCell ref="L26:L31"/>
    <mergeCell ref="O26:O31"/>
    <mergeCell ref="P26:P31"/>
    <mergeCell ref="Q26:Q31"/>
    <mergeCell ref="R26:R31"/>
    <mergeCell ref="S21:S25"/>
    <mergeCell ref="T21:T25"/>
    <mergeCell ref="C26:C31"/>
    <mergeCell ref="D26:D36"/>
    <mergeCell ref="E26:E31"/>
    <mergeCell ref="F26:F31"/>
    <mergeCell ref="G26:G31"/>
    <mergeCell ref="H26:H31"/>
    <mergeCell ref="I26:I31"/>
    <mergeCell ref="J26:J31"/>
    <mergeCell ref="K21:K25"/>
    <mergeCell ref="L21:L25"/>
    <mergeCell ref="O21:O25"/>
    <mergeCell ref="P21:P25"/>
    <mergeCell ref="Q21:Q25"/>
    <mergeCell ref="R21:R25"/>
    <mergeCell ref="S19:S20"/>
    <mergeCell ref="T19:T20"/>
    <mergeCell ref="C21:C25"/>
    <mergeCell ref="D21:D25"/>
    <mergeCell ref="E21:E25"/>
    <mergeCell ref="F21:F25"/>
    <mergeCell ref="G21:G25"/>
    <mergeCell ref="H21:H25"/>
    <mergeCell ref="I21:I25"/>
    <mergeCell ref="J21:J25"/>
    <mergeCell ref="K19:K20"/>
    <mergeCell ref="L19:L20"/>
    <mergeCell ref="O19:O20"/>
    <mergeCell ref="P19:P20"/>
    <mergeCell ref="Q19:Q20"/>
    <mergeCell ref="R19:R20"/>
    <mergeCell ref="R17:R18"/>
    <mergeCell ref="S17:S18"/>
    <mergeCell ref="T17:T18"/>
    <mergeCell ref="C19:C20"/>
    <mergeCell ref="E19:E20"/>
    <mergeCell ref="F19:F20"/>
    <mergeCell ref="G19:G20"/>
    <mergeCell ref="H19:H20"/>
    <mergeCell ref="I19:I20"/>
    <mergeCell ref="J19:J20"/>
    <mergeCell ref="J17:J18"/>
    <mergeCell ref="K17:K18"/>
    <mergeCell ref="L17:L18"/>
    <mergeCell ref="O17:O18"/>
    <mergeCell ref="P17:P18"/>
    <mergeCell ref="Q17:Q18"/>
    <mergeCell ref="Q14:Q15"/>
    <mergeCell ref="R14:R15"/>
    <mergeCell ref="S14:S15"/>
    <mergeCell ref="T14:T15"/>
    <mergeCell ref="C17:C18"/>
    <mergeCell ref="E17:E18"/>
    <mergeCell ref="F17:F18"/>
    <mergeCell ref="G17:G18"/>
    <mergeCell ref="H17:H18"/>
    <mergeCell ref="I17:I18"/>
    <mergeCell ref="I14:I15"/>
    <mergeCell ref="J14:J15"/>
    <mergeCell ref="K14:K15"/>
    <mergeCell ref="L14:L15"/>
    <mergeCell ref="O14:O15"/>
    <mergeCell ref="P14:P15"/>
    <mergeCell ref="A10:D10"/>
    <mergeCell ref="M10:M140"/>
    <mergeCell ref="N10:N140"/>
    <mergeCell ref="B11:D11"/>
    <mergeCell ref="C14:C15"/>
    <mergeCell ref="D14:D20"/>
    <mergeCell ref="E14:E15"/>
    <mergeCell ref="F14:F15"/>
    <mergeCell ref="G14:G15"/>
    <mergeCell ref="H14:H15"/>
    <mergeCell ref="C4:E4"/>
    <mergeCell ref="P7:P8"/>
    <mergeCell ref="Q7:Q8"/>
    <mergeCell ref="R7:R8"/>
    <mergeCell ref="S7:S8"/>
    <mergeCell ref="T7:T8"/>
    <mergeCell ref="Q2:T2"/>
    <mergeCell ref="O3:T3"/>
    <mergeCell ref="R1:T1"/>
    <mergeCell ref="A7:A8"/>
    <mergeCell ref="B7:B8"/>
    <mergeCell ref="C7:C8"/>
    <mergeCell ref="D7:D8"/>
    <mergeCell ref="E7:E8"/>
    <mergeCell ref="F7:N7"/>
    <mergeCell ref="O7:O8"/>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oddFooter>&amp;CLMpielik_17_070815_LMZino</oddFooter>
  </headerFooter>
</worksheet>
</file>

<file path=xl/worksheets/sheet3.xml><?xml version="1.0" encoding="utf-8"?>
<worksheet xmlns="http://schemas.openxmlformats.org/spreadsheetml/2006/main" xmlns:r="http://schemas.openxmlformats.org/officeDocument/2006/relationships">
  <dimension ref="A1:K186"/>
  <sheetViews>
    <sheetView workbookViewId="0" topLeftCell="A172">
      <selection activeCell="B200" sqref="B200"/>
    </sheetView>
  </sheetViews>
  <sheetFormatPr defaultColWidth="9.140625" defaultRowHeight="12.75"/>
  <cols>
    <col min="2" max="2" width="49.57421875" style="0" customWidth="1"/>
    <col min="3" max="3" width="14.140625" style="0" customWidth="1"/>
    <col min="5" max="5" width="10.57421875" style="0" bestFit="1" customWidth="1"/>
    <col min="8" max="8" width="11.140625" style="0" customWidth="1"/>
    <col min="9" max="9" width="12.8515625" style="0" customWidth="1"/>
    <col min="10" max="10" width="12.421875" style="0" hidden="1" customWidth="1"/>
    <col min="11" max="11" width="12.421875" style="0" customWidth="1"/>
  </cols>
  <sheetData>
    <row r="1" spans="10:11" ht="15.75">
      <c r="J1" s="407" t="s">
        <v>286</v>
      </c>
      <c r="K1" s="407"/>
    </row>
    <row r="2" spans="8:11" ht="15.75">
      <c r="H2" s="308" t="s">
        <v>304</v>
      </c>
      <c r="I2" s="308"/>
      <c r="J2" s="308"/>
      <c r="K2" s="308"/>
    </row>
    <row r="3" spans="4:11" ht="36.75" customHeight="1">
      <c r="D3" s="309" t="s">
        <v>305</v>
      </c>
      <c r="E3" s="309"/>
      <c r="F3" s="309"/>
      <c r="G3" s="309"/>
      <c r="H3" s="309"/>
      <c r="I3" s="309"/>
      <c r="J3" s="309"/>
      <c r="K3" s="309"/>
    </row>
    <row r="4" spans="1:11" ht="18.75">
      <c r="A4" s="45"/>
      <c r="B4" s="130" t="s">
        <v>283</v>
      </c>
      <c r="C4" s="130"/>
      <c r="D4" s="130"/>
      <c r="E4" s="130"/>
      <c r="F4" s="130"/>
      <c r="G4" s="130"/>
      <c r="H4" s="130"/>
      <c r="I4" s="130"/>
      <c r="J4" s="46"/>
      <c r="K4" s="46"/>
    </row>
    <row r="5" spans="1:11" ht="12.75">
      <c r="A5" s="45"/>
      <c r="B5" s="46"/>
      <c r="C5" s="45"/>
      <c r="D5" s="45"/>
      <c r="E5" s="45"/>
      <c r="F5" s="45"/>
      <c r="G5" s="45"/>
      <c r="H5" s="45"/>
      <c r="I5" s="45"/>
      <c r="J5" s="46"/>
      <c r="K5" s="46"/>
    </row>
    <row r="6" spans="1:11" ht="29.25" customHeight="1">
      <c r="A6" s="394" t="s">
        <v>114</v>
      </c>
      <c r="B6" s="396" t="s">
        <v>115</v>
      </c>
      <c r="C6" s="398" t="s">
        <v>116</v>
      </c>
      <c r="D6" s="400" t="s">
        <v>233</v>
      </c>
      <c r="E6" s="400"/>
      <c r="F6" s="400"/>
      <c r="G6" s="400"/>
      <c r="H6" s="400" t="s">
        <v>235</v>
      </c>
      <c r="I6" s="401" t="s">
        <v>236</v>
      </c>
      <c r="J6" s="398" t="s">
        <v>154</v>
      </c>
      <c r="K6" s="398" t="s">
        <v>155</v>
      </c>
    </row>
    <row r="7" spans="1:11" ht="70.5" customHeight="1">
      <c r="A7" s="395"/>
      <c r="B7" s="397"/>
      <c r="C7" s="383"/>
      <c r="D7" s="114" t="s">
        <v>166</v>
      </c>
      <c r="E7" s="114" t="s">
        <v>167</v>
      </c>
      <c r="F7" s="114" t="s">
        <v>168</v>
      </c>
      <c r="G7" s="114" t="s">
        <v>306</v>
      </c>
      <c r="H7" s="400"/>
      <c r="I7" s="402"/>
      <c r="J7" s="399"/>
      <c r="K7" s="399"/>
    </row>
    <row r="8" spans="1:11" ht="66" customHeight="1">
      <c r="A8" s="115">
        <v>1</v>
      </c>
      <c r="B8" s="116">
        <v>2</v>
      </c>
      <c r="C8" s="117">
        <v>3</v>
      </c>
      <c r="D8" s="98">
        <v>4</v>
      </c>
      <c r="E8" s="98">
        <v>5</v>
      </c>
      <c r="F8" s="98">
        <v>6</v>
      </c>
      <c r="G8" s="98">
        <v>7</v>
      </c>
      <c r="H8" s="98" t="s">
        <v>234</v>
      </c>
      <c r="I8" s="98" t="s">
        <v>297</v>
      </c>
      <c r="J8" s="118" t="s">
        <v>276</v>
      </c>
      <c r="K8" s="118" t="s">
        <v>296</v>
      </c>
    </row>
    <row r="9" spans="1:11" ht="12.75">
      <c r="A9" s="53"/>
      <c r="B9" s="54" t="s">
        <v>102</v>
      </c>
      <c r="C9" s="54"/>
      <c r="D9" s="109">
        <f>SUM(D10:D54)</f>
        <v>1627</v>
      </c>
      <c r="E9" s="109">
        <f>E10+E12+E14+E17+E19+E22+E25+E31+E38+E41+E45+E48+E51+E53+E54</f>
        <v>1890</v>
      </c>
      <c r="F9" s="109">
        <f>F10+F12+F14+F17+F19+F22+F25+F31+F38+F41+F45+F48+F51+F53+F54</f>
        <v>1942</v>
      </c>
      <c r="G9" s="109">
        <f>G10+G12+G14+G17+G19+G22+G25+G31+G38+G41+G45+G48+G51+G53+G54</f>
        <v>2394</v>
      </c>
      <c r="H9" s="109">
        <f>H10+H12+H14+H17+H19+H22+H25+H31+H38+H41+H45+H48+H51+H53+H54</f>
        <v>1819.6666666666665</v>
      </c>
      <c r="I9" s="109">
        <f>SUM(I10:I54)</f>
        <v>2086</v>
      </c>
      <c r="J9" s="95">
        <f>F9/E9</f>
        <v>1.0275132275132275</v>
      </c>
      <c r="K9" s="95">
        <f>F9/D9</f>
        <v>1.1936078672403196</v>
      </c>
    </row>
    <row r="10" spans="1:11" ht="12.75">
      <c r="A10" s="55">
        <v>1</v>
      </c>
      <c r="B10" s="56" t="s">
        <v>3</v>
      </c>
      <c r="C10" s="382" t="s">
        <v>121</v>
      </c>
      <c r="D10" s="86">
        <v>127</v>
      </c>
      <c r="E10" s="86">
        <v>120</v>
      </c>
      <c r="F10" s="66">
        <v>216</v>
      </c>
      <c r="G10" s="66">
        <f>58/4*12</f>
        <v>174</v>
      </c>
      <c r="H10" s="49">
        <f>(D10+E10+F10)/3</f>
        <v>154.33333333333334</v>
      </c>
      <c r="I10" s="66">
        <f>ROUND(H10*H11,0)</f>
        <v>212</v>
      </c>
      <c r="J10" s="96">
        <f>F10/E10</f>
        <v>1.8</v>
      </c>
      <c r="K10" s="96">
        <f>F10/D10</f>
        <v>1.7007874015748032</v>
      </c>
    </row>
    <row r="11" spans="1:11" ht="12.75">
      <c r="A11" s="55"/>
      <c r="B11" s="91" t="s">
        <v>165</v>
      </c>
      <c r="C11" s="383"/>
      <c r="D11" s="86"/>
      <c r="E11" s="103">
        <f>E10/D10</f>
        <v>0.9448818897637795</v>
      </c>
      <c r="F11" s="103">
        <f>F10/E10</f>
        <v>1.8</v>
      </c>
      <c r="G11" s="103">
        <f>G10/F10</f>
        <v>0.8055555555555556</v>
      </c>
      <c r="H11" s="188">
        <f>(E11+F11)/2</f>
        <v>1.3724409448818897</v>
      </c>
      <c r="I11" s="66"/>
      <c r="J11" s="96"/>
      <c r="K11" s="96"/>
    </row>
    <row r="12" spans="1:11" ht="12.75">
      <c r="A12" s="55">
        <v>2</v>
      </c>
      <c r="B12" s="56" t="s">
        <v>16</v>
      </c>
      <c r="C12" s="382" t="s">
        <v>127</v>
      </c>
      <c r="D12" s="86">
        <v>36</v>
      </c>
      <c r="E12" s="86">
        <v>40</v>
      </c>
      <c r="F12" s="66">
        <v>36</v>
      </c>
      <c r="G12" s="66">
        <f>15/4*12</f>
        <v>45</v>
      </c>
      <c r="H12" s="49">
        <f>(D12+E12+F12)/3</f>
        <v>37.333333333333336</v>
      </c>
      <c r="I12" s="66">
        <f>ROUND(H12*H13,0)</f>
        <v>38</v>
      </c>
      <c r="J12" s="96">
        <f>F12/E12</f>
        <v>0.9</v>
      </c>
      <c r="K12" s="96">
        <f>F12/D12</f>
        <v>1</v>
      </c>
    </row>
    <row r="13" spans="1:11" ht="12.75">
      <c r="A13" s="55"/>
      <c r="B13" s="91" t="s">
        <v>165</v>
      </c>
      <c r="C13" s="383"/>
      <c r="D13" s="220"/>
      <c r="E13" s="103">
        <f>E12/D12</f>
        <v>1.1111111111111112</v>
      </c>
      <c r="F13" s="103">
        <f>F12/E12</f>
        <v>0.9</v>
      </c>
      <c r="G13" s="103">
        <f>G12/F12</f>
        <v>1.25</v>
      </c>
      <c r="H13" s="188">
        <f>(E13+F13)/2</f>
        <v>1.0055555555555555</v>
      </c>
      <c r="I13" s="66"/>
      <c r="J13" s="96"/>
      <c r="K13" s="96"/>
    </row>
    <row r="14" spans="1:11" ht="12.75" customHeight="1">
      <c r="A14" s="55">
        <v>3</v>
      </c>
      <c r="B14" s="56" t="s">
        <v>4</v>
      </c>
      <c r="C14" s="382" t="s">
        <v>4</v>
      </c>
      <c r="D14" s="376">
        <v>320</v>
      </c>
      <c r="E14" s="376">
        <v>275</v>
      </c>
      <c r="F14" s="376">
        <v>309</v>
      </c>
      <c r="G14" s="376">
        <f>128/4*12</f>
        <v>384</v>
      </c>
      <c r="H14" s="379">
        <f>(D14+E14+F14)/3</f>
        <v>301.3333333333333</v>
      </c>
      <c r="I14" s="376">
        <f>ROUND(H14*H16,0)</f>
        <v>299</v>
      </c>
      <c r="J14" s="385">
        <f>F14/E14</f>
        <v>1.1236363636363635</v>
      </c>
      <c r="K14" s="385">
        <f>F14/D14</f>
        <v>0.965625</v>
      </c>
    </row>
    <row r="15" spans="1:11" ht="12.75" customHeight="1">
      <c r="A15" s="55">
        <v>4</v>
      </c>
      <c r="B15" s="56" t="s">
        <v>60</v>
      </c>
      <c r="C15" s="384"/>
      <c r="D15" s="377"/>
      <c r="E15" s="377"/>
      <c r="F15" s="377"/>
      <c r="G15" s="377"/>
      <c r="H15" s="380"/>
      <c r="I15" s="377"/>
      <c r="J15" s="387"/>
      <c r="K15" s="387"/>
    </row>
    <row r="16" spans="1:11" ht="12.75">
      <c r="A16" s="55"/>
      <c r="B16" s="91" t="s">
        <v>165</v>
      </c>
      <c r="C16" s="383"/>
      <c r="D16" s="221"/>
      <c r="E16" s="103">
        <f>E14/D14</f>
        <v>0.859375</v>
      </c>
      <c r="F16" s="103">
        <f>F14/E14</f>
        <v>1.1236363636363635</v>
      </c>
      <c r="G16" s="103">
        <f>G14/F14</f>
        <v>1.2427184466019416</v>
      </c>
      <c r="H16" s="188">
        <f>(E16+F16)/2</f>
        <v>0.9915056818181818</v>
      </c>
      <c r="I16" s="66"/>
      <c r="J16" s="96"/>
      <c r="K16" s="96"/>
    </row>
    <row r="17" spans="1:11" ht="12.75">
      <c r="A17" s="55">
        <v>5</v>
      </c>
      <c r="B17" s="56" t="s">
        <v>0</v>
      </c>
      <c r="C17" s="382" t="s">
        <v>0</v>
      </c>
      <c r="D17" s="86">
        <v>200</v>
      </c>
      <c r="E17" s="86">
        <v>194</v>
      </c>
      <c r="F17" s="66">
        <v>151</v>
      </c>
      <c r="G17" s="66">
        <f>66/4*12</f>
        <v>198</v>
      </c>
      <c r="H17" s="49">
        <f>(D17+E17+F17)/3</f>
        <v>181.66666666666666</v>
      </c>
      <c r="I17" s="66">
        <f>ROUND(H17*H18,0)</f>
        <v>159</v>
      </c>
      <c r="J17" s="96">
        <f>F17/E17</f>
        <v>0.7783505154639175</v>
      </c>
      <c r="K17" s="96">
        <f>F17/D17</f>
        <v>0.755</v>
      </c>
    </row>
    <row r="18" spans="1:11" ht="12.75">
      <c r="A18" s="55"/>
      <c r="B18" s="91" t="s">
        <v>165</v>
      </c>
      <c r="C18" s="383"/>
      <c r="D18" s="220"/>
      <c r="E18" s="103">
        <f>E17/D17</f>
        <v>0.97</v>
      </c>
      <c r="F18" s="103">
        <f>F17/E17</f>
        <v>0.7783505154639175</v>
      </c>
      <c r="G18" s="103">
        <f>G17/F17</f>
        <v>1.3112582781456954</v>
      </c>
      <c r="H18" s="188">
        <f>(E18+F18)/2</f>
        <v>0.8741752577319588</v>
      </c>
      <c r="I18" s="66"/>
      <c r="J18" s="96"/>
      <c r="K18" s="96"/>
    </row>
    <row r="19" spans="1:11" ht="12.75" customHeight="1">
      <c r="A19" s="55">
        <v>6</v>
      </c>
      <c r="B19" s="56" t="s">
        <v>18</v>
      </c>
      <c r="C19" s="382" t="s">
        <v>118</v>
      </c>
      <c r="D19" s="376">
        <v>54</v>
      </c>
      <c r="E19" s="376">
        <v>37</v>
      </c>
      <c r="F19" s="376">
        <v>19</v>
      </c>
      <c r="G19" s="376">
        <f>10/4*12</f>
        <v>30</v>
      </c>
      <c r="H19" s="379">
        <f>(D19+E19+F19)/3</f>
        <v>36.666666666666664</v>
      </c>
      <c r="I19" s="376">
        <f>ROUND(H19*H21,0)</f>
        <v>22</v>
      </c>
      <c r="J19" s="385">
        <f>F19/E19</f>
        <v>0.5135135135135135</v>
      </c>
      <c r="K19" s="385">
        <f>F19/D19</f>
        <v>0.35185185185185186</v>
      </c>
    </row>
    <row r="20" spans="1:11" ht="12.75" customHeight="1">
      <c r="A20" s="55">
        <v>7</v>
      </c>
      <c r="B20" s="60" t="s">
        <v>6</v>
      </c>
      <c r="C20" s="384"/>
      <c r="D20" s="377"/>
      <c r="E20" s="377"/>
      <c r="F20" s="377"/>
      <c r="G20" s="377"/>
      <c r="H20" s="380"/>
      <c r="I20" s="377"/>
      <c r="J20" s="387"/>
      <c r="K20" s="387"/>
    </row>
    <row r="21" spans="1:11" ht="12.75">
      <c r="A21" s="55"/>
      <c r="B21" s="91" t="s">
        <v>165</v>
      </c>
      <c r="C21" s="383"/>
      <c r="D21" s="222"/>
      <c r="E21" s="103">
        <f>E19/D19</f>
        <v>0.6851851851851852</v>
      </c>
      <c r="F21" s="103">
        <f>F19/E19</f>
        <v>0.5135135135135135</v>
      </c>
      <c r="G21" s="103">
        <f>G19/F19</f>
        <v>1.5789473684210527</v>
      </c>
      <c r="H21" s="188">
        <f>(E21+F21)/2</f>
        <v>0.5993493493493494</v>
      </c>
      <c r="I21" s="66"/>
      <c r="J21" s="96"/>
      <c r="K21" s="96"/>
    </row>
    <row r="22" spans="1:11" ht="12.75" customHeight="1">
      <c r="A22" s="55">
        <v>8</v>
      </c>
      <c r="B22" s="56" t="s">
        <v>5</v>
      </c>
      <c r="C22" s="382" t="s">
        <v>126</v>
      </c>
      <c r="D22" s="376">
        <v>101</v>
      </c>
      <c r="E22" s="376">
        <v>155</v>
      </c>
      <c r="F22" s="376">
        <v>132</v>
      </c>
      <c r="G22" s="376">
        <f>45/4*12</f>
        <v>135</v>
      </c>
      <c r="H22" s="379">
        <f>(D22+E22+F22)/3</f>
        <v>129.33333333333334</v>
      </c>
      <c r="I22" s="376">
        <f>ROUND(H22*H24,0)</f>
        <v>154</v>
      </c>
      <c r="J22" s="385">
        <f>F22/E22</f>
        <v>0.8516129032258064</v>
      </c>
      <c r="K22" s="385">
        <f>F22/D22</f>
        <v>1.306930693069307</v>
      </c>
    </row>
    <row r="23" spans="1:11" ht="12.75" customHeight="1">
      <c r="A23" s="55">
        <v>9</v>
      </c>
      <c r="B23" s="56" t="s">
        <v>19</v>
      </c>
      <c r="C23" s="384"/>
      <c r="D23" s="377"/>
      <c r="E23" s="377"/>
      <c r="F23" s="377"/>
      <c r="G23" s="377"/>
      <c r="H23" s="380"/>
      <c r="I23" s="377"/>
      <c r="J23" s="387"/>
      <c r="K23" s="387"/>
    </row>
    <row r="24" spans="1:11" ht="12.75">
      <c r="A24" s="55"/>
      <c r="B24" s="91" t="s">
        <v>165</v>
      </c>
      <c r="C24" s="383"/>
      <c r="D24" s="222"/>
      <c r="E24" s="103">
        <f>E22/D22</f>
        <v>1.5346534653465347</v>
      </c>
      <c r="F24" s="103">
        <f>F22/E22</f>
        <v>0.8516129032258064</v>
      </c>
      <c r="G24" s="103">
        <f>G22/F22</f>
        <v>1.0227272727272727</v>
      </c>
      <c r="H24" s="188">
        <f>(E24+F24)/2</f>
        <v>1.1931331842861705</v>
      </c>
      <c r="I24" s="66"/>
      <c r="J24" s="96"/>
      <c r="K24" s="96"/>
    </row>
    <row r="25" spans="1:11" ht="21" customHeight="1">
      <c r="A25" s="55">
        <v>10</v>
      </c>
      <c r="B25" s="56" t="s">
        <v>20</v>
      </c>
      <c r="C25" s="382" t="s">
        <v>117</v>
      </c>
      <c r="D25" s="376">
        <v>212</v>
      </c>
      <c r="E25" s="376">
        <v>340</v>
      </c>
      <c r="F25" s="376">
        <v>307</v>
      </c>
      <c r="G25" s="376">
        <f>130/4*12</f>
        <v>390</v>
      </c>
      <c r="H25" s="379">
        <f>(D25+E25+F25)/3</f>
        <v>286.3333333333333</v>
      </c>
      <c r="I25" s="376">
        <f>ROUND(H25*H30,0)</f>
        <v>359</v>
      </c>
      <c r="J25" s="385">
        <f>F25/E25</f>
        <v>0.9029411764705882</v>
      </c>
      <c r="K25" s="385">
        <f>F25/D25</f>
        <v>1.4481132075471699</v>
      </c>
    </row>
    <row r="26" spans="1:11" ht="25.5">
      <c r="A26" s="55">
        <v>11</v>
      </c>
      <c r="B26" s="56" t="s">
        <v>87</v>
      </c>
      <c r="C26" s="384"/>
      <c r="D26" s="378"/>
      <c r="E26" s="378"/>
      <c r="F26" s="378"/>
      <c r="G26" s="378"/>
      <c r="H26" s="381"/>
      <c r="I26" s="378"/>
      <c r="J26" s="386"/>
      <c r="K26" s="386"/>
    </row>
    <row r="27" spans="1:11" ht="18" customHeight="1">
      <c r="A27" s="55">
        <v>12</v>
      </c>
      <c r="B27" s="56" t="s">
        <v>21</v>
      </c>
      <c r="C27" s="384"/>
      <c r="D27" s="378"/>
      <c r="E27" s="378"/>
      <c r="F27" s="378"/>
      <c r="G27" s="378"/>
      <c r="H27" s="381"/>
      <c r="I27" s="378"/>
      <c r="J27" s="386"/>
      <c r="K27" s="386"/>
    </row>
    <row r="28" spans="1:11" ht="25.5">
      <c r="A28" s="55">
        <v>13</v>
      </c>
      <c r="B28" s="56" t="s">
        <v>88</v>
      </c>
      <c r="C28" s="384"/>
      <c r="D28" s="378"/>
      <c r="E28" s="378"/>
      <c r="F28" s="378"/>
      <c r="G28" s="378"/>
      <c r="H28" s="381"/>
      <c r="I28" s="378"/>
      <c r="J28" s="386"/>
      <c r="K28" s="386"/>
    </row>
    <row r="29" spans="1:11" ht="12.75" customHeight="1">
      <c r="A29" s="55">
        <v>14</v>
      </c>
      <c r="B29" s="56" t="s">
        <v>22</v>
      </c>
      <c r="C29" s="384"/>
      <c r="D29" s="377"/>
      <c r="E29" s="377"/>
      <c r="F29" s="377"/>
      <c r="G29" s="377"/>
      <c r="H29" s="380"/>
      <c r="I29" s="377"/>
      <c r="J29" s="387"/>
      <c r="K29" s="387"/>
    </row>
    <row r="30" spans="1:11" ht="12.75">
      <c r="A30" s="55"/>
      <c r="B30" s="91" t="s">
        <v>165</v>
      </c>
      <c r="C30" s="383"/>
      <c r="D30" s="222"/>
      <c r="E30" s="103">
        <f>E25/D25</f>
        <v>1.6037735849056605</v>
      </c>
      <c r="F30" s="103">
        <f>F25/E25</f>
        <v>0.9029411764705882</v>
      </c>
      <c r="G30" s="103">
        <f>G25/F25</f>
        <v>1.270358306188925</v>
      </c>
      <c r="H30" s="188">
        <f>(E30+F30)/2</f>
        <v>1.2533573806881244</v>
      </c>
      <c r="I30" s="66"/>
      <c r="J30" s="96"/>
      <c r="K30" s="96"/>
    </row>
    <row r="31" spans="1:11" ht="12.75" customHeight="1">
      <c r="A31" s="55">
        <v>15</v>
      </c>
      <c r="B31" s="56" t="s">
        <v>23</v>
      </c>
      <c r="C31" s="391" t="s">
        <v>119</v>
      </c>
      <c r="D31" s="388">
        <v>79</v>
      </c>
      <c r="E31" s="388">
        <v>105</v>
      </c>
      <c r="F31" s="388">
        <v>143</v>
      </c>
      <c r="G31" s="388">
        <f>65/4*12</f>
        <v>195</v>
      </c>
      <c r="H31" s="379">
        <f>(D31+E31+F31)/3</f>
        <v>109</v>
      </c>
      <c r="I31" s="376">
        <f>ROUND(H31*H37,0)</f>
        <v>147</v>
      </c>
      <c r="J31" s="385">
        <f>F31/E31</f>
        <v>1.361904761904762</v>
      </c>
      <c r="K31" s="385">
        <f>F31/D31</f>
        <v>1.8101265822784811</v>
      </c>
    </row>
    <row r="32" spans="1:11" ht="12.75" customHeight="1">
      <c r="A32" s="55">
        <v>16</v>
      </c>
      <c r="B32" s="56" t="s">
        <v>24</v>
      </c>
      <c r="C32" s="392"/>
      <c r="D32" s="389"/>
      <c r="E32" s="389"/>
      <c r="F32" s="389"/>
      <c r="G32" s="389"/>
      <c r="H32" s="381"/>
      <c r="I32" s="378"/>
      <c r="J32" s="386"/>
      <c r="K32" s="386"/>
    </row>
    <row r="33" spans="1:11" ht="12.75">
      <c r="A33" s="55">
        <v>17</v>
      </c>
      <c r="B33" s="56" t="s">
        <v>77</v>
      </c>
      <c r="C33" s="392"/>
      <c r="D33" s="389"/>
      <c r="E33" s="389"/>
      <c r="F33" s="389"/>
      <c r="G33" s="389"/>
      <c r="H33" s="381"/>
      <c r="I33" s="378"/>
      <c r="J33" s="386"/>
      <c r="K33" s="386"/>
    </row>
    <row r="34" spans="1:11" ht="12.75" customHeight="1">
      <c r="A34" s="55">
        <v>18</v>
      </c>
      <c r="B34" s="56" t="s">
        <v>25</v>
      </c>
      <c r="C34" s="392"/>
      <c r="D34" s="389"/>
      <c r="E34" s="389"/>
      <c r="F34" s="389"/>
      <c r="G34" s="389"/>
      <c r="H34" s="381"/>
      <c r="I34" s="378"/>
      <c r="J34" s="386"/>
      <c r="K34" s="386"/>
    </row>
    <row r="35" spans="1:11" ht="12.75" customHeight="1">
      <c r="A35" s="55">
        <v>19</v>
      </c>
      <c r="B35" s="56" t="s">
        <v>17</v>
      </c>
      <c r="C35" s="392"/>
      <c r="D35" s="389"/>
      <c r="E35" s="389"/>
      <c r="F35" s="389"/>
      <c r="G35" s="389"/>
      <c r="H35" s="381"/>
      <c r="I35" s="378"/>
      <c r="J35" s="386"/>
      <c r="K35" s="386"/>
    </row>
    <row r="36" spans="1:11" ht="12.75" customHeight="1">
      <c r="A36" s="55">
        <v>20</v>
      </c>
      <c r="B36" s="56" t="s">
        <v>172</v>
      </c>
      <c r="C36" s="392"/>
      <c r="D36" s="390"/>
      <c r="E36" s="390"/>
      <c r="F36" s="390"/>
      <c r="G36" s="390"/>
      <c r="H36" s="380"/>
      <c r="I36" s="377"/>
      <c r="J36" s="387"/>
      <c r="K36" s="387"/>
    </row>
    <row r="37" spans="1:11" ht="12.75">
      <c r="A37" s="55"/>
      <c r="B37" s="91" t="s">
        <v>165</v>
      </c>
      <c r="C37" s="393"/>
      <c r="D37" s="223"/>
      <c r="E37" s="103">
        <f>E31/D31</f>
        <v>1.3291139240506329</v>
      </c>
      <c r="F37" s="103">
        <f>F31/E31</f>
        <v>1.361904761904762</v>
      </c>
      <c r="G37" s="103">
        <f>G31/F31</f>
        <v>1.3636363636363635</v>
      </c>
      <c r="H37" s="188">
        <f>(E37+F37)/2</f>
        <v>1.3455093429776974</v>
      </c>
      <c r="I37" s="66"/>
      <c r="J37" s="96"/>
      <c r="K37" s="96"/>
    </row>
    <row r="38" spans="1:11" ht="12.75">
      <c r="A38" s="55">
        <v>21</v>
      </c>
      <c r="B38" s="56" t="s">
        <v>1</v>
      </c>
      <c r="C38" s="382" t="s">
        <v>123</v>
      </c>
      <c r="D38" s="376">
        <v>156</v>
      </c>
      <c r="E38" s="376">
        <v>230</v>
      </c>
      <c r="F38" s="376">
        <v>188</v>
      </c>
      <c r="G38" s="376">
        <f>76/4*12</f>
        <v>228</v>
      </c>
      <c r="H38" s="379">
        <f>(D38+E38+F38)/3</f>
        <v>191.33333333333334</v>
      </c>
      <c r="I38" s="376">
        <f>ROUND(H38*H40,0)</f>
        <v>219</v>
      </c>
      <c r="J38" s="385">
        <f>F38/E38</f>
        <v>0.8173913043478261</v>
      </c>
      <c r="K38" s="385">
        <f>F38/D38</f>
        <v>1.205128205128205</v>
      </c>
    </row>
    <row r="39" spans="1:11" ht="12.75">
      <c r="A39" s="55">
        <v>22</v>
      </c>
      <c r="B39" s="56" t="s">
        <v>208</v>
      </c>
      <c r="C39" s="384"/>
      <c r="D39" s="377"/>
      <c r="E39" s="377"/>
      <c r="F39" s="377"/>
      <c r="G39" s="377"/>
      <c r="H39" s="380"/>
      <c r="I39" s="377"/>
      <c r="J39" s="387"/>
      <c r="K39" s="387"/>
    </row>
    <row r="40" spans="1:11" ht="12.75">
      <c r="A40" s="55"/>
      <c r="B40" s="91" t="s">
        <v>165</v>
      </c>
      <c r="C40" s="383"/>
      <c r="D40" s="220"/>
      <c r="E40" s="103">
        <f>E38/D38</f>
        <v>1.4743589743589745</v>
      </c>
      <c r="F40" s="103">
        <f>F38/E38</f>
        <v>0.8173913043478261</v>
      </c>
      <c r="G40" s="103">
        <f>G38/F38</f>
        <v>1.2127659574468086</v>
      </c>
      <c r="H40" s="188">
        <f>(E40+F40)/2</f>
        <v>1.1458751393534004</v>
      </c>
      <c r="I40" s="66"/>
      <c r="J40" s="96"/>
      <c r="K40" s="96"/>
    </row>
    <row r="41" spans="1:11" ht="12.75" customHeight="1">
      <c r="A41" s="55">
        <v>23</v>
      </c>
      <c r="B41" s="56" t="s">
        <v>26</v>
      </c>
      <c r="C41" s="382" t="s">
        <v>124</v>
      </c>
      <c r="D41" s="382">
        <v>179</v>
      </c>
      <c r="E41" s="382">
        <v>197</v>
      </c>
      <c r="F41" s="382">
        <v>204</v>
      </c>
      <c r="G41" s="382">
        <f>93/4*12</f>
        <v>279</v>
      </c>
      <c r="H41" s="379">
        <f>(D41+E41+F41)/3</f>
        <v>193.33333333333334</v>
      </c>
      <c r="I41" s="376">
        <f>ROUND(H41*H44,0)</f>
        <v>206</v>
      </c>
      <c r="J41" s="385">
        <f>F41/E41</f>
        <v>1.0355329949238579</v>
      </c>
      <c r="K41" s="385">
        <f>F41/D41</f>
        <v>1.1396648044692737</v>
      </c>
    </row>
    <row r="42" spans="1:11" ht="25.5">
      <c r="A42" s="55">
        <v>24</v>
      </c>
      <c r="B42" s="56" t="s">
        <v>61</v>
      </c>
      <c r="C42" s="384"/>
      <c r="D42" s="384"/>
      <c r="E42" s="384"/>
      <c r="F42" s="384"/>
      <c r="G42" s="384"/>
      <c r="H42" s="381"/>
      <c r="I42" s="378"/>
      <c r="J42" s="386"/>
      <c r="K42" s="386"/>
    </row>
    <row r="43" spans="1:11" ht="12.75" customHeight="1">
      <c r="A43" s="55">
        <v>25</v>
      </c>
      <c r="B43" s="56" t="s">
        <v>27</v>
      </c>
      <c r="C43" s="384"/>
      <c r="D43" s="383"/>
      <c r="E43" s="383"/>
      <c r="F43" s="383"/>
      <c r="G43" s="383"/>
      <c r="H43" s="380"/>
      <c r="I43" s="377"/>
      <c r="J43" s="387"/>
      <c r="K43" s="387"/>
    </row>
    <row r="44" spans="1:11" ht="12.75">
      <c r="A44" s="55"/>
      <c r="B44" s="91" t="s">
        <v>165</v>
      </c>
      <c r="C44" s="383"/>
      <c r="D44" s="51"/>
      <c r="E44" s="103">
        <f>E41/D41</f>
        <v>1.100558659217877</v>
      </c>
      <c r="F44" s="103">
        <f>F41/E41</f>
        <v>1.0355329949238579</v>
      </c>
      <c r="G44" s="103">
        <f>G41/F41</f>
        <v>1.3676470588235294</v>
      </c>
      <c r="H44" s="188">
        <f>(E44+F44)/2</f>
        <v>1.0680458270708675</v>
      </c>
      <c r="I44" s="66"/>
      <c r="J44" s="96"/>
      <c r="K44" s="96"/>
    </row>
    <row r="45" spans="1:11" ht="25.5">
      <c r="A45" s="55">
        <v>26</v>
      </c>
      <c r="B45" s="56" t="s">
        <v>13</v>
      </c>
      <c r="C45" s="382" t="s">
        <v>120</v>
      </c>
      <c r="D45" s="382">
        <v>52</v>
      </c>
      <c r="E45" s="382">
        <v>60</v>
      </c>
      <c r="F45" s="382">
        <v>83</v>
      </c>
      <c r="G45" s="382">
        <f>29/4*12</f>
        <v>87</v>
      </c>
      <c r="H45" s="379">
        <f>(D45+E45+F45)/3</f>
        <v>65</v>
      </c>
      <c r="I45" s="376">
        <f>ROUND(H45*H47,0)</f>
        <v>82</v>
      </c>
      <c r="J45" s="385">
        <f>F45/E45</f>
        <v>1.3833333333333333</v>
      </c>
      <c r="K45" s="385">
        <f>F45/D45</f>
        <v>1.5961538461538463</v>
      </c>
    </row>
    <row r="46" spans="1:11" ht="25.5">
      <c r="A46" s="55">
        <v>27</v>
      </c>
      <c r="B46" s="56" t="s">
        <v>89</v>
      </c>
      <c r="C46" s="384"/>
      <c r="D46" s="383"/>
      <c r="E46" s="383"/>
      <c r="F46" s="383"/>
      <c r="G46" s="383"/>
      <c r="H46" s="380"/>
      <c r="I46" s="377"/>
      <c r="J46" s="387"/>
      <c r="K46" s="387"/>
    </row>
    <row r="47" spans="1:11" ht="12.75">
      <c r="A47" s="55"/>
      <c r="B47" s="91" t="s">
        <v>165</v>
      </c>
      <c r="C47" s="383"/>
      <c r="D47" s="51"/>
      <c r="E47" s="103">
        <f>E45/D45</f>
        <v>1.1538461538461537</v>
      </c>
      <c r="F47" s="103">
        <f>F45/E45</f>
        <v>1.3833333333333333</v>
      </c>
      <c r="G47" s="103">
        <f>G45/F45</f>
        <v>1.0481927710843373</v>
      </c>
      <c r="H47" s="188">
        <f>(E47+F47)/2</f>
        <v>1.2685897435897435</v>
      </c>
      <c r="I47" s="66"/>
      <c r="J47" s="96"/>
      <c r="K47" s="96"/>
    </row>
    <row r="48" spans="1:11" ht="12.75">
      <c r="A48" s="55">
        <v>28</v>
      </c>
      <c r="B48" s="60" t="s">
        <v>15</v>
      </c>
      <c r="C48" s="382" t="s">
        <v>125</v>
      </c>
      <c r="D48" s="382">
        <v>81</v>
      </c>
      <c r="E48" s="382">
        <v>96</v>
      </c>
      <c r="F48" s="382">
        <v>98</v>
      </c>
      <c r="G48" s="382">
        <f>52/4*12</f>
        <v>156</v>
      </c>
      <c r="H48" s="379">
        <f>(D48+E48+F48)/3</f>
        <v>91.66666666666667</v>
      </c>
      <c r="I48" s="376">
        <f>ROUND(H48*H50,0)</f>
        <v>101</v>
      </c>
      <c r="J48" s="385">
        <f>F48/E48</f>
        <v>1.0208333333333333</v>
      </c>
      <c r="K48" s="385">
        <f>F48/D48</f>
        <v>1.2098765432098766</v>
      </c>
    </row>
    <row r="49" spans="1:11" ht="12.75" customHeight="1">
      <c r="A49" s="55">
        <v>29</v>
      </c>
      <c r="B49" s="56" t="s">
        <v>59</v>
      </c>
      <c r="C49" s="384"/>
      <c r="D49" s="383"/>
      <c r="E49" s="383"/>
      <c r="F49" s="383"/>
      <c r="G49" s="383"/>
      <c r="H49" s="380"/>
      <c r="I49" s="377"/>
      <c r="J49" s="387"/>
      <c r="K49" s="387"/>
    </row>
    <row r="50" spans="1:11" ht="12.75">
      <c r="A50" s="55"/>
      <c r="B50" s="91" t="s">
        <v>165</v>
      </c>
      <c r="C50" s="383"/>
      <c r="D50" s="57"/>
      <c r="E50" s="103">
        <f>E48/D48</f>
        <v>1.1851851851851851</v>
      </c>
      <c r="F50" s="103">
        <f>F48/E48</f>
        <v>1.0208333333333333</v>
      </c>
      <c r="G50" s="103">
        <f>G48/F48</f>
        <v>1.5918367346938775</v>
      </c>
      <c r="H50" s="188">
        <f>(E50+F50)/2</f>
        <v>1.103009259259259</v>
      </c>
      <c r="I50" s="66"/>
      <c r="J50" s="96"/>
      <c r="K50" s="96"/>
    </row>
    <row r="51" spans="1:11" ht="13.5" thickBot="1">
      <c r="A51" s="55">
        <v>30</v>
      </c>
      <c r="B51" s="61" t="s">
        <v>62</v>
      </c>
      <c r="C51" s="382" t="s">
        <v>122</v>
      </c>
      <c r="D51" s="57">
        <v>30</v>
      </c>
      <c r="E51" s="57">
        <v>41</v>
      </c>
      <c r="F51" s="57">
        <v>56</v>
      </c>
      <c r="G51" s="57">
        <f>31/4*12</f>
        <v>93</v>
      </c>
      <c r="H51" s="49">
        <f>(D51+E51+F51)/3</f>
        <v>42.333333333333336</v>
      </c>
      <c r="I51" s="66">
        <f>ROUND(H51*H52,0)</f>
        <v>58</v>
      </c>
      <c r="J51" s="96">
        <f>F51/E51</f>
        <v>1.3658536585365855</v>
      </c>
      <c r="K51" s="96">
        <f>F51/D51</f>
        <v>1.8666666666666667</v>
      </c>
    </row>
    <row r="52" spans="1:11" ht="13.5" thickTop="1">
      <c r="A52" s="55"/>
      <c r="B52" s="91" t="s">
        <v>165</v>
      </c>
      <c r="C52" s="383"/>
      <c r="D52" s="57"/>
      <c r="E52" s="103">
        <f>E51/D51</f>
        <v>1.3666666666666667</v>
      </c>
      <c r="F52" s="103">
        <f>F51/E51</f>
        <v>1.3658536585365855</v>
      </c>
      <c r="G52" s="103">
        <f>G51/F51</f>
        <v>1.6607142857142858</v>
      </c>
      <c r="H52" s="188">
        <f>(E52+F52)/2</f>
        <v>1.366260162601626</v>
      </c>
      <c r="I52" s="66"/>
      <c r="J52" s="96"/>
      <c r="K52" s="96"/>
    </row>
    <row r="53" spans="1:11" ht="12.75">
      <c r="A53" s="55">
        <v>31</v>
      </c>
      <c r="B53" s="196" t="s">
        <v>231</v>
      </c>
      <c r="C53" s="382" t="s">
        <v>232</v>
      </c>
      <c r="D53" s="57">
        <v>0</v>
      </c>
      <c r="E53" s="57">
        <v>0</v>
      </c>
      <c r="F53" s="57">
        <v>0</v>
      </c>
      <c r="G53" s="57">
        <v>0</v>
      </c>
      <c r="H53" s="57">
        <v>0</v>
      </c>
      <c r="I53" s="57">
        <v>15</v>
      </c>
      <c r="J53" s="96">
        <v>0</v>
      </c>
      <c r="K53" s="96">
        <v>0</v>
      </c>
    </row>
    <row r="54" spans="1:11" ht="12.75">
      <c r="A54" s="55">
        <v>32</v>
      </c>
      <c r="B54" s="88" t="s">
        <v>227</v>
      </c>
      <c r="C54" s="383"/>
      <c r="D54" s="57">
        <v>0</v>
      </c>
      <c r="E54" s="57">
        <v>0</v>
      </c>
      <c r="F54" s="57">
        <v>0</v>
      </c>
      <c r="G54" s="57">
        <v>0</v>
      </c>
      <c r="H54" s="57">
        <v>0</v>
      </c>
      <c r="I54" s="57">
        <v>15</v>
      </c>
      <c r="J54" s="96">
        <v>0</v>
      </c>
      <c r="K54" s="96">
        <v>0</v>
      </c>
    </row>
    <row r="55" spans="1:11" ht="12.75">
      <c r="A55" s="62"/>
      <c r="B55" s="63" t="s">
        <v>103</v>
      </c>
      <c r="C55" s="64"/>
      <c r="D55" s="108">
        <f aca="true" t="shared" si="0" ref="D55:I55">D56+D60+D63+D67+D75+D82+D84+D87+D89+D94+D97+D100+D108+D110+D112+D115+D123+D125+D127+D130+D135</f>
        <v>2153</v>
      </c>
      <c r="E55" s="108">
        <f t="shared" si="0"/>
        <v>2481</v>
      </c>
      <c r="F55" s="108">
        <f t="shared" si="0"/>
        <v>2581</v>
      </c>
      <c r="G55" s="108">
        <f t="shared" si="0"/>
        <v>3302</v>
      </c>
      <c r="H55" s="108">
        <f t="shared" si="0"/>
        <v>2409.9999999999995</v>
      </c>
      <c r="I55" s="108">
        <f t="shared" si="0"/>
        <v>2663</v>
      </c>
      <c r="J55" s="48">
        <f>F55/E55</f>
        <v>1.0403063280935108</v>
      </c>
      <c r="K55" s="48">
        <f>F55/D55</f>
        <v>1.1987923827217835</v>
      </c>
    </row>
    <row r="56" spans="1:11" ht="12.75" customHeight="1">
      <c r="A56" s="55">
        <v>33</v>
      </c>
      <c r="B56" s="65" t="s">
        <v>28</v>
      </c>
      <c r="C56" s="382" t="s">
        <v>144</v>
      </c>
      <c r="D56" s="382">
        <v>44</v>
      </c>
      <c r="E56" s="382">
        <v>43</v>
      </c>
      <c r="F56" s="382">
        <v>6</v>
      </c>
      <c r="G56" s="382">
        <f>10/4*12</f>
        <v>30</v>
      </c>
      <c r="H56" s="379">
        <f>(D56+E56+F56)/3</f>
        <v>31</v>
      </c>
      <c r="I56" s="376">
        <f>ROUND(H56*H59,0)</f>
        <v>17</v>
      </c>
      <c r="J56" s="385">
        <f>F56/E56</f>
        <v>0.13953488372093023</v>
      </c>
      <c r="K56" s="385">
        <f>F56/D56</f>
        <v>0.13636363636363635</v>
      </c>
    </row>
    <row r="57" spans="1:11" ht="12.75" customHeight="1">
      <c r="A57" s="55">
        <v>34</v>
      </c>
      <c r="B57" s="65" t="s">
        <v>29</v>
      </c>
      <c r="C57" s="384"/>
      <c r="D57" s="384"/>
      <c r="E57" s="384"/>
      <c r="F57" s="384"/>
      <c r="G57" s="384"/>
      <c r="H57" s="381"/>
      <c r="I57" s="378"/>
      <c r="J57" s="386"/>
      <c r="K57" s="386"/>
    </row>
    <row r="58" spans="1:11" ht="12.75" customHeight="1">
      <c r="A58" s="55">
        <v>35</v>
      </c>
      <c r="B58" s="65" t="s">
        <v>30</v>
      </c>
      <c r="C58" s="384"/>
      <c r="D58" s="383"/>
      <c r="E58" s="383"/>
      <c r="F58" s="383"/>
      <c r="G58" s="383"/>
      <c r="H58" s="380"/>
      <c r="I58" s="377"/>
      <c r="J58" s="387"/>
      <c r="K58" s="387"/>
    </row>
    <row r="59" spans="1:11" ht="12.75">
      <c r="A59" s="55"/>
      <c r="B59" s="91" t="s">
        <v>165</v>
      </c>
      <c r="C59" s="383"/>
      <c r="D59" s="51"/>
      <c r="E59" s="103">
        <f>E56/D56</f>
        <v>0.9772727272727273</v>
      </c>
      <c r="F59" s="103">
        <f>F56/E56</f>
        <v>0.13953488372093023</v>
      </c>
      <c r="G59" s="103">
        <f>G56/F56</f>
        <v>5</v>
      </c>
      <c r="H59" s="188">
        <f>(E59+F59)/2</f>
        <v>0.5584038054968288</v>
      </c>
      <c r="I59" s="66"/>
      <c r="J59" s="96"/>
      <c r="K59" s="96"/>
    </row>
    <row r="60" spans="1:11" ht="12.75" customHeight="1">
      <c r="A60" s="55">
        <v>36</v>
      </c>
      <c r="B60" s="60" t="s">
        <v>2</v>
      </c>
      <c r="C60" s="382" t="s">
        <v>132</v>
      </c>
      <c r="D60" s="382">
        <v>95</v>
      </c>
      <c r="E60" s="382">
        <v>104</v>
      </c>
      <c r="F60" s="382">
        <v>119</v>
      </c>
      <c r="G60" s="382">
        <f>45/4*12</f>
        <v>135</v>
      </c>
      <c r="H60" s="379">
        <f>(D60+E60+F60)/3</f>
        <v>106</v>
      </c>
      <c r="I60" s="376">
        <f>ROUND(H60*H62,0)</f>
        <v>119</v>
      </c>
      <c r="J60" s="385">
        <f>F60/E60</f>
        <v>1.1442307692307692</v>
      </c>
      <c r="K60" s="385">
        <f>F60/D60</f>
        <v>1.2526315789473683</v>
      </c>
    </row>
    <row r="61" spans="1:11" ht="12.75" customHeight="1">
      <c r="A61" s="55">
        <v>37</v>
      </c>
      <c r="B61" s="56" t="s">
        <v>90</v>
      </c>
      <c r="C61" s="384"/>
      <c r="D61" s="383"/>
      <c r="E61" s="383"/>
      <c r="F61" s="383"/>
      <c r="G61" s="383"/>
      <c r="H61" s="380"/>
      <c r="I61" s="377"/>
      <c r="J61" s="387"/>
      <c r="K61" s="387"/>
    </row>
    <row r="62" spans="1:11" ht="12.75">
      <c r="A62" s="55"/>
      <c r="B62" s="91" t="s">
        <v>165</v>
      </c>
      <c r="C62" s="383"/>
      <c r="D62" s="51"/>
      <c r="E62" s="103">
        <f>E60/D60</f>
        <v>1.0947368421052632</v>
      </c>
      <c r="F62" s="103">
        <f>F60/E60</f>
        <v>1.1442307692307692</v>
      </c>
      <c r="G62" s="103">
        <f>G60/F60</f>
        <v>1.134453781512605</v>
      </c>
      <c r="H62" s="188">
        <f>(E62+F62)/2</f>
        <v>1.119483805668016</v>
      </c>
      <c r="I62" s="66"/>
      <c r="J62" s="96"/>
      <c r="K62" s="96"/>
    </row>
    <row r="63" spans="1:11" ht="12.75" customHeight="1">
      <c r="A63" s="55">
        <v>38</v>
      </c>
      <c r="B63" s="56" t="s">
        <v>7</v>
      </c>
      <c r="C63" s="382" t="s">
        <v>134</v>
      </c>
      <c r="D63" s="382">
        <v>190</v>
      </c>
      <c r="E63" s="382">
        <v>207</v>
      </c>
      <c r="F63" s="382">
        <v>205</v>
      </c>
      <c r="G63" s="382">
        <f>67/4*12</f>
        <v>201</v>
      </c>
      <c r="H63" s="379">
        <f>(D63+E63+F63)/3</f>
        <v>200.66666666666666</v>
      </c>
      <c r="I63" s="376">
        <f>ROUND(H63*H66,0)</f>
        <v>209</v>
      </c>
      <c r="J63" s="385">
        <f>F63/E63</f>
        <v>0.9903381642512077</v>
      </c>
      <c r="K63" s="385">
        <f>F63/D63</f>
        <v>1.0789473684210527</v>
      </c>
    </row>
    <row r="64" spans="1:11" ht="25.5">
      <c r="A64" s="55">
        <v>39</v>
      </c>
      <c r="B64" s="56" t="s">
        <v>78</v>
      </c>
      <c r="C64" s="384"/>
      <c r="D64" s="384"/>
      <c r="E64" s="384"/>
      <c r="F64" s="384"/>
      <c r="G64" s="384"/>
      <c r="H64" s="381"/>
      <c r="I64" s="378"/>
      <c r="J64" s="386"/>
      <c r="K64" s="386"/>
    </row>
    <row r="65" spans="1:11" ht="12.75" customHeight="1">
      <c r="A65" s="55">
        <v>40</v>
      </c>
      <c r="B65" s="56" t="s">
        <v>31</v>
      </c>
      <c r="C65" s="384"/>
      <c r="D65" s="383"/>
      <c r="E65" s="383"/>
      <c r="F65" s="383"/>
      <c r="G65" s="383"/>
      <c r="H65" s="380"/>
      <c r="I65" s="377"/>
      <c r="J65" s="387"/>
      <c r="K65" s="387"/>
    </row>
    <row r="66" spans="1:11" ht="12.75">
      <c r="A66" s="55"/>
      <c r="B66" s="91" t="s">
        <v>165</v>
      </c>
      <c r="C66" s="383"/>
      <c r="D66" s="51"/>
      <c r="E66" s="103">
        <f>E63/D63</f>
        <v>1.0894736842105264</v>
      </c>
      <c r="F66" s="103">
        <f>F63/E63</f>
        <v>0.9903381642512077</v>
      </c>
      <c r="G66" s="103">
        <f>G63/F63</f>
        <v>0.9804878048780488</v>
      </c>
      <c r="H66" s="188">
        <f>(E66+F66)/2</f>
        <v>1.039905924230867</v>
      </c>
      <c r="I66" s="66"/>
      <c r="J66" s="96"/>
      <c r="K66" s="96"/>
    </row>
    <row r="67" spans="1:11" ht="12.75" customHeight="1">
      <c r="A67" s="55">
        <v>41</v>
      </c>
      <c r="B67" s="56" t="s">
        <v>8</v>
      </c>
      <c r="C67" s="382" t="s">
        <v>133</v>
      </c>
      <c r="D67" s="382">
        <v>280</v>
      </c>
      <c r="E67" s="382">
        <v>367</v>
      </c>
      <c r="F67" s="382">
        <v>365</v>
      </c>
      <c r="G67" s="382">
        <f>181/4*12</f>
        <v>543</v>
      </c>
      <c r="H67" s="379">
        <f>(D67+E67+F67)/3</f>
        <v>337.3333333333333</v>
      </c>
      <c r="I67" s="376">
        <f>ROUND(H67*H74,0)</f>
        <v>389</v>
      </c>
      <c r="J67" s="385">
        <f>F67/E67</f>
        <v>0.9945504087193461</v>
      </c>
      <c r="K67" s="385">
        <f>F67/D67</f>
        <v>1.3035714285714286</v>
      </c>
    </row>
    <row r="68" spans="1:11" ht="12.75" customHeight="1">
      <c r="A68" s="55">
        <v>42</v>
      </c>
      <c r="B68" s="56" t="s">
        <v>32</v>
      </c>
      <c r="C68" s="384"/>
      <c r="D68" s="384"/>
      <c r="E68" s="384"/>
      <c r="F68" s="384"/>
      <c r="G68" s="384"/>
      <c r="H68" s="381"/>
      <c r="I68" s="378"/>
      <c r="J68" s="386"/>
      <c r="K68" s="386"/>
    </row>
    <row r="69" spans="1:11" ht="12.75" customHeight="1">
      <c r="A69" s="55">
        <v>43</v>
      </c>
      <c r="B69" s="56" t="s">
        <v>33</v>
      </c>
      <c r="C69" s="384"/>
      <c r="D69" s="384"/>
      <c r="E69" s="384"/>
      <c r="F69" s="384"/>
      <c r="G69" s="384"/>
      <c r="H69" s="381"/>
      <c r="I69" s="378"/>
      <c r="J69" s="386"/>
      <c r="K69" s="386"/>
    </row>
    <row r="70" spans="1:11" ht="12.75" customHeight="1">
      <c r="A70" s="55">
        <v>44</v>
      </c>
      <c r="B70" s="56" t="s">
        <v>79</v>
      </c>
      <c r="C70" s="384"/>
      <c r="D70" s="384"/>
      <c r="E70" s="384"/>
      <c r="F70" s="384"/>
      <c r="G70" s="384"/>
      <c r="H70" s="381"/>
      <c r="I70" s="378"/>
      <c r="J70" s="386"/>
      <c r="K70" s="386"/>
    </row>
    <row r="71" spans="1:11" ht="12.75">
      <c r="A71" s="55">
        <v>45</v>
      </c>
      <c r="B71" s="56" t="s">
        <v>80</v>
      </c>
      <c r="C71" s="384"/>
      <c r="D71" s="384"/>
      <c r="E71" s="384"/>
      <c r="F71" s="384"/>
      <c r="G71" s="384"/>
      <c r="H71" s="381"/>
      <c r="I71" s="378"/>
      <c r="J71" s="386"/>
      <c r="K71" s="386"/>
    </row>
    <row r="72" spans="1:11" ht="12.75" customHeight="1">
      <c r="A72" s="55">
        <v>46</v>
      </c>
      <c r="B72" s="56" t="s">
        <v>81</v>
      </c>
      <c r="C72" s="384"/>
      <c r="D72" s="384"/>
      <c r="E72" s="384"/>
      <c r="F72" s="384"/>
      <c r="G72" s="384"/>
      <c r="H72" s="381"/>
      <c r="I72" s="378"/>
      <c r="J72" s="386"/>
      <c r="K72" s="386"/>
    </row>
    <row r="73" spans="1:11" ht="12.75" customHeight="1">
      <c r="A73" s="55">
        <v>47</v>
      </c>
      <c r="B73" s="56" t="s">
        <v>34</v>
      </c>
      <c r="C73" s="384"/>
      <c r="D73" s="384"/>
      <c r="E73" s="384"/>
      <c r="F73" s="384"/>
      <c r="G73" s="383"/>
      <c r="H73" s="380"/>
      <c r="I73" s="377"/>
      <c r="J73" s="386"/>
      <c r="K73" s="386"/>
    </row>
    <row r="74" spans="1:11" ht="12.75">
      <c r="A74" s="55"/>
      <c r="B74" s="91" t="s">
        <v>165</v>
      </c>
      <c r="C74" s="383"/>
      <c r="D74" s="57"/>
      <c r="E74" s="103">
        <f>E67/D67</f>
        <v>1.3107142857142857</v>
      </c>
      <c r="F74" s="103">
        <f>F67/E67</f>
        <v>0.9945504087193461</v>
      </c>
      <c r="G74" s="103">
        <f>G67/F67</f>
        <v>1.4876712328767123</v>
      </c>
      <c r="H74" s="188">
        <f>(E74+F74)/2</f>
        <v>1.1526323472168158</v>
      </c>
      <c r="I74" s="66"/>
      <c r="J74" s="96"/>
      <c r="K74" s="96"/>
    </row>
    <row r="75" spans="1:11" ht="12.75" customHeight="1">
      <c r="A75" s="55">
        <v>48</v>
      </c>
      <c r="B75" s="65" t="s">
        <v>10</v>
      </c>
      <c r="C75" s="382" t="s">
        <v>143</v>
      </c>
      <c r="D75" s="382">
        <v>45</v>
      </c>
      <c r="E75" s="382">
        <v>34</v>
      </c>
      <c r="F75" s="376">
        <v>22</v>
      </c>
      <c r="G75" s="376">
        <f>6/4*12</f>
        <v>18</v>
      </c>
      <c r="H75" s="379">
        <f>(D75+E75+F75)/3</f>
        <v>33.666666666666664</v>
      </c>
      <c r="I75" s="376">
        <f>ROUND(H75*H81,0)</f>
        <v>24</v>
      </c>
      <c r="J75" s="385">
        <f>F75/E75</f>
        <v>0.6470588235294118</v>
      </c>
      <c r="K75" s="385">
        <f>F75/D75</f>
        <v>0.4888888888888889</v>
      </c>
    </row>
    <row r="76" spans="1:11" ht="12.75" customHeight="1">
      <c r="A76" s="55">
        <v>49</v>
      </c>
      <c r="B76" s="65" t="s">
        <v>11</v>
      </c>
      <c r="C76" s="384"/>
      <c r="D76" s="384"/>
      <c r="E76" s="384"/>
      <c r="F76" s="378"/>
      <c r="G76" s="378"/>
      <c r="H76" s="381"/>
      <c r="I76" s="378"/>
      <c r="J76" s="386"/>
      <c r="K76" s="386"/>
    </row>
    <row r="77" spans="1:11" ht="12.75" customHeight="1">
      <c r="A77" s="55">
        <v>50</v>
      </c>
      <c r="B77" s="65" t="s">
        <v>9</v>
      </c>
      <c r="C77" s="384"/>
      <c r="D77" s="384"/>
      <c r="E77" s="384"/>
      <c r="F77" s="378"/>
      <c r="G77" s="378"/>
      <c r="H77" s="381"/>
      <c r="I77" s="378"/>
      <c r="J77" s="386"/>
      <c r="K77" s="386"/>
    </row>
    <row r="78" spans="1:11" ht="12.75" customHeight="1">
      <c r="A78" s="55">
        <v>51</v>
      </c>
      <c r="B78" s="65" t="s">
        <v>36</v>
      </c>
      <c r="C78" s="384"/>
      <c r="D78" s="384"/>
      <c r="E78" s="384"/>
      <c r="F78" s="378"/>
      <c r="G78" s="378"/>
      <c r="H78" s="381"/>
      <c r="I78" s="378"/>
      <c r="J78" s="386"/>
      <c r="K78" s="386"/>
    </row>
    <row r="79" spans="1:11" ht="12.75" customHeight="1">
      <c r="A79" s="55">
        <v>52</v>
      </c>
      <c r="B79" s="65" t="s">
        <v>37</v>
      </c>
      <c r="C79" s="384"/>
      <c r="D79" s="384"/>
      <c r="E79" s="384"/>
      <c r="F79" s="378"/>
      <c r="G79" s="378"/>
      <c r="H79" s="381"/>
      <c r="I79" s="378"/>
      <c r="J79" s="386"/>
      <c r="K79" s="386"/>
    </row>
    <row r="80" spans="1:11" ht="12.75" customHeight="1">
      <c r="A80" s="55">
        <v>53</v>
      </c>
      <c r="B80" s="65" t="s">
        <v>39</v>
      </c>
      <c r="C80" s="384"/>
      <c r="D80" s="383"/>
      <c r="E80" s="383"/>
      <c r="F80" s="377"/>
      <c r="G80" s="377"/>
      <c r="H80" s="380"/>
      <c r="I80" s="377"/>
      <c r="J80" s="387"/>
      <c r="K80" s="387"/>
    </row>
    <row r="81" spans="1:11" ht="12.75">
      <c r="A81" s="55"/>
      <c r="B81" s="91" t="s">
        <v>165</v>
      </c>
      <c r="C81" s="383"/>
      <c r="D81" s="47"/>
      <c r="E81" s="103">
        <f>E75/D75</f>
        <v>0.7555555555555555</v>
      </c>
      <c r="F81" s="103">
        <f>F75/E75</f>
        <v>0.6470588235294118</v>
      </c>
      <c r="G81" s="103">
        <f>G75/F75</f>
        <v>0.8181818181818182</v>
      </c>
      <c r="H81" s="188">
        <f>(E81+F81)/2</f>
        <v>0.7013071895424836</v>
      </c>
      <c r="I81" s="66"/>
      <c r="J81" s="96"/>
      <c r="K81" s="96"/>
    </row>
    <row r="82" spans="1:11" ht="12.75">
      <c r="A82" s="55">
        <v>54</v>
      </c>
      <c r="B82" s="56" t="s">
        <v>38</v>
      </c>
      <c r="C82" s="382" t="s">
        <v>137</v>
      </c>
      <c r="D82" s="57">
        <v>53</v>
      </c>
      <c r="E82" s="57">
        <v>49</v>
      </c>
      <c r="F82" s="66">
        <v>36</v>
      </c>
      <c r="G82" s="66">
        <f>15/4*12</f>
        <v>45</v>
      </c>
      <c r="H82" s="49">
        <f>(D82+E82+F82)/3</f>
        <v>46</v>
      </c>
      <c r="I82" s="66">
        <f>ROUND(H82*H83,0)</f>
        <v>38</v>
      </c>
      <c r="J82" s="96">
        <f>F82/E82</f>
        <v>0.7346938775510204</v>
      </c>
      <c r="K82" s="96">
        <f>F82/D82</f>
        <v>0.6792452830188679</v>
      </c>
    </row>
    <row r="83" spans="1:11" ht="12.75">
      <c r="A83" s="55"/>
      <c r="B83" s="91" t="s">
        <v>165</v>
      </c>
      <c r="C83" s="383"/>
      <c r="D83" s="59"/>
      <c r="E83" s="103">
        <f>E82/D82</f>
        <v>0.9245283018867925</v>
      </c>
      <c r="F83" s="103">
        <f>F82/E82</f>
        <v>0.7346938775510204</v>
      </c>
      <c r="G83" s="103">
        <f>G82/F82</f>
        <v>1.25</v>
      </c>
      <c r="H83" s="188">
        <f>(E83+F83)/2</f>
        <v>0.8296110897189064</v>
      </c>
      <c r="I83" s="66"/>
      <c r="J83" s="96"/>
      <c r="K83" s="96"/>
    </row>
    <row r="84" spans="1:11" ht="12.75" customHeight="1">
      <c r="A84" s="55">
        <v>55</v>
      </c>
      <c r="B84" s="65" t="s">
        <v>35</v>
      </c>
      <c r="C84" s="382" t="s">
        <v>141</v>
      </c>
      <c r="D84" s="382">
        <v>97</v>
      </c>
      <c r="E84" s="382">
        <v>123</v>
      </c>
      <c r="F84" s="376">
        <v>110</v>
      </c>
      <c r="G84" s="376">
        <f>62/4*12</f>
        <v>186</v>
      </c>
      <c r="H84" s="379">
        <f>(D84+E84+F84)/3</f>
        <v>110</v>
      </c>
      <c r="I84" s="376">
        <f>ROUND(H84*H86,0)</f>
        <v>119</v>
      </c>
      <c r="J84" s="385">
        <f>F84/E84</f>
        <v>0.8943089430894309</v>
      </c>
      <c r="K84" s="385">
        <f>F84/D84</f>
        <v>1.134020618556701</v>
      </c>
    </row>
    <row r="85" spans="1:11" ht="12.75" customHeight="1">
      <c r="A85" s="55">
        <v>56</v>
      </c>
      <c r="B85" s="56" t="s">
        <v>41</v>
      </c>
      <c r="C85" s="384"/>
      <c r="D85" s="383"/>
      <c r="E85" s="383"/>
      <c r="F85" s="377"/>
      <c r="G85" s="377"/>
      <c r="H85" s="380"/>
      <c r="I85" s="377"/>
      <c r="J85" s="387"/>
      <c r="K85" s="387"/>
    </row>
    <row r="86" spans="1:11" ht="12.75">
      <c r="A86" s="55"/>
      <c r="B86" s="91" t="s">
        <v>165</v>
      </c>
      <c r="C86" s="383"/>
      <c r="D86" s="47"/>
      <c r="E86" s="103">
        <f>E84/D84</f>
        <v>1.268041237113402</v>
      </c>
      <c r="F86" s="103">
        <f>F84/E84</f>
        <v>0.8943089430894309</v>
      </c>
      <c r="G86" s="103">
        <f>G84/F84</f>
        <v>1.690909090909091</v>
      </c>
      <c r="H86" s="188">
        <f>(E86+F86)/2</f>
        <v>1.0811750901014165</v>
      </c>
      <c r="I86" s="66"/>
      <c r="J86" s="96"/>
      <c r="K86" s="96"/>
    </row>
    <row r="87" spans="1:11" ht="12.75">
      <c r="A87" s="55">
        <v>57</v>
      </c>
      <c r="B87" s="65" t="s">
        <v>40</v>
      </c>
      <c r="C87" s="382" t="s">
        <v>142</v>
      </c>
      <c r="D87" s="57">
        <v>3</v>
      </c>
      <c r="E87" s="57">
        <v>42</v>
      </c>
      <c r="F87" s="66">
        <v>14</v>
      </c>
      <c r="G87" s="66">
        <f>6/4*12</f>
        <v>18</v>
      </c>
      <c r="H87" s="49">
        <f>(D87+E87+F87)/3</f>
        <v>19.666666666666668</v>
      </c>
      <c r="I87" s="66">
        <v>20</v>
      </c>
      <c r="J87" s="96">
        <f>F87/E87</f>
        <v>0.3333333333333333</v>
      </c>
      <c r="K87" s="96">
        <f>F87/D87</f>
        <v>4.666666666666667</v>
      </c>
    </row>
    <row r="88" spans="1:11" ht="12.75">
      <c r="A88" s="55"/>
      <c r="B88" s="91" t="s">
        <v>165</v>
      </c>
      <c r="C88" s="383"/>
      <c r="D88" s="59"/>
      <c r="E88" s="103">
        <f>E87/D87</f>
        <v>14</v>
      </c>
      <c r="F88" s="103">
        <f>F87/E87</f>
        <v>0.3333333333333333</v>
      </c>
      <c r="G88" s="103">
        <f>G87/F87</f>
        <v>1.2857142857142858</v>
      </c>
      <c r="H88" s="188">
        <f>(E88+F88)/2</f>
        <v>7.166666666666667</v>
      </c>
      <c r="I88" s="66"/>
      <c r="J88" s="96"/>
      <c r="K88" s="96"/>
    </row>
    <row r="89" spans="1:11" ht="12.75" customHeight="1">
      <c r="A89" s="55">
        <v>58</v>
      </c>
      <c r="B89" s="56" t="s">
        <v>42</v>
      </c>
      <c r="C89" s="382" t="s">
        <v>135</v>
      </c>
      <c r="D89" s="382">
        <v>10</v>
      </c>
      <c r="E89" s="382">
        <v>12</v>
      </c>
      <c r="F89" s="382">
        <v>13</v>
      </c>
      <c r="G89" s="382">
        <f>2/4*12</f>
        <v>6</v>
      </c>
      <c r="H89" s="379">
        <f>(D89+E89+F89)/3</f>
        <v>11.666666666666666</v>
      </c>
      <c r="I89" s="376">
        <f>ROUND(H89*H93,0)</f>
        <v>13</v>
      </c>
      <c r="J89" s="385">
        <f>F89/E89</f>
        <v>1.0833333333333333</v>
      </c>
      <c r="K89" s="385">
        <f>F89/D89</f>
        <v>1.3</v>
      </c>
    </row>
    <row r="90" spans="1:11" ht="12.75" customHeight="1">
      <c r="A90" s="55">
        <v>59</v>
      </c>
      <c r="B90" s="56" t="s">
        <v>43</v>
      </c>
      <c r="C90" s="384"/>
      <c r="D90" s="384"/>
      <c r="E90" s="384"/>
      <c r="F90" s="384"/>
      <c r="G90" s="384"/>
      <c r="H90" s="381"/>
      <c r="I90" s="378"/>
      <c r="J90" s="386"/>
      <c r="K90" s="386"/>
    </row>
    <row r="91" spans="1:11" ht="12.75" customHeight="1">
      <c r="A91" s="55">
        <v>60</v>
      </c>
      <c r="B91" s="56" t="s">
        <v>44</v>
      </c>
      <c r="C91" s="384"/>
      <c r="D91" s="384"/>
      <c r="E91" s="384"/>
      <c r="F91" s="384"/>
      <c r="G91" s="384"/>
      <c r="H91" s="381"/>
      <c r="I91" s="378"/>
      <c r="J91" s="386"/>
      <c r="K91" s="386"/>
    </row>
    <row r="92" spans="1:11" ht="17.25" customHeight="1">
      <c r="A92" s="55">
        <v>61</v>
      </c>
      <c r="B92" s="56" t="s">
        <v>45</v>
      </c>
      <c r="C92" s="384"/>
      <c r="D92" s="383"/>
      <c r="E92" s="383"/>
      <c r="F92" s="383"/>
      <c r="G92" s="383"/>
      <c r="H92" s="380"/>
      <c r="I92" s="377"/>
      <c r="J92" s="387"/>
      <c r="K92" s="387"/>
    </row>
    <row r="93" spans="1:11" ht="12.75">
      <c r="A93" s="55"/>
      <c r="B93" s="91" t="s">
        <v>165</v>
      </c>
      <c r="C93" s="383"/>
      <c r="D93" s="51"/>
      <c r="E93" s="103">
        <f>E89/D89</f>
        <v>1.2</v>
      </c>
      <c r="F93" s="103">
        <f>F89/E89</f>
        <v>1.0833333333333333</v>
      </c>
      <c r="G93" s="103">
        <f>G89/F89</f>
        <v>0.46153846153846156</v>
      </c>
      <c r="H93" s="188">
        <f>(E93+F93)/2</f>
        <v>1.1416666666666666</v>
      </c>
      <c r="I93" s="66"/>
      <c r="J93" s="96"/>
      <c r="K93" s="96"/>
    </row>
    <row r="94" spans="1:11" ht="12.75" customHeight="1">
      <c r="A94" s="55">
        <v>62</v>
      </c>
      <c r="B94" s="56" t="s">
        <v>51</v>
      </c>
      <c r="C94" s="382" t="s">
        <v>140</v>
      </c>
      <c r="D94" s="382">
        <v>106</v>
      </c>
      <c r="E94" s="382">
        <v>135</v>
      </c>
      <c r="F94" s="382">
        <v>149</v>
      </c>
      <c r="G94" s="382">
        <f>46/4*12</f>
        <v>138</v>
      </c>
      <c r="H94" s="379">
        <f>(D94+E94+F94)/3</f>
        <v>130</v>
      </c>
      <c r="I94" s="376">
        <f>ROUND(H94*H96,0)</f>
        <v>155</v>
      </c>
      <c r="J94" s="385">
        <f>F94/E94</f>
        <v>1.1037037037037036</v>
      </c>
      <c r="K94" s="385">
        <f>F94/D94</f>
        <v>1.4056603773584906</v>
      </c>
    </row>
    <row r="95" spans="1:11" ht="25.5">
      <c r="A95" s="55">
        <v>63</v>
      </c>
      <c r="B95" s="56" t="s">
        <v>82</v>
      </c>
      <c r="C95" s="384"/>
      <c r="D95" s="384"/>
      <c r="E95" s="383"/>
      <c r="F95" s="383"/>
      <c r="G95" s="383"/>
      <c r="H95" s="380"/>
      <c r="I95" s="377"/>
      <c r="J95" s="386"/>
      <c r="K95" s="386"/>
    </row>
    <row r="96" spans="1:11" ht="12.75">
      <c r="A96" s="55"/>
      <c r="B96" s="91" t="s">
        <v>165</v>
      </c>
      <c r="C96" s="383"/>
      <c r="D96" s="97"/>
      <c r="E96" s="103">
        <f>E94/D94</f>
        <v>1.2735849056603774</v>
      </c>
      <c r="F96" s="103">
        <f>F94/E94</f>
        <v>1.1037037037037036</v>
      </c>
      <c r="G96" s="103">
        <f>G94/F94</f>
        <v>0.9261744966442953</v>
      </c>
      <c r="H96" s="188">
        <f>(E96+F96)/2</f>
        <v>1.1886443046820405</v>
      </c>
      <c r="I96" s="66"/>
      <c r="J96" s="96"/>
      <c r="K96" s="96"/>
    </row>
    <row r="97" spans="1:11" ht="25.5">
      <c r="A97" s="55">
        <v>64</v>
      </c>
      <c r="B97" s="56" t="s">
        <v>50</v>
      </c>
      <c r="C97" s="382" t="s">
        <v>136</v>
      </c>
      <c r="D97" s="382">
        <v>716</v>
      </c>
      <c r="E97" s="382">
        <v>817</v>
      </c>
      <c r="F97" s="382">
        <v>941</v>
      </c>
      <c r="G97" s="382">
        <f>379/4*12</f>
        <v>1137</v>
      </c>
      <c r="H97" s="379">
        <f>(D97+E97+F97)/3</f>
        <v>824.6666666666666</v>
      </c>
      <c r="I97" s="376">
        <f>ROUND(H97*H99,0)</f>
        <v>945</v>
      </c>
      <c r="J97" s="385">
        <f>F97/E97</f>
        <v>1.1517747858017136</v>
      </c>
      <c r="K97" s="385">
        <f>F97/D97</f>
        <v>1.3142458100558658</v>
      </c>
    </row>
    <row r="98" spans="1:11" ht="25.5">
      <c r="A98" s="55">
        <v>65</v>
      </c>
      <c r="B98" s="56" t="s">
        <v>83</v>
      </c>
      <c r="C98" s="384"/>
      <c r="D98" s="383"/>
      <c r="E98" s="383"/>
      <c r="F98" s="383"/>
      <c r="G98" s="383"/>
      <c r="H98" s="380"/>
      <c r="I98" s="377"/>
      <c r="J98" s="387"/>
      <c r="K98" s="387"/>
    </row>
    <row r="99" spans="1:11" ht="12.75">
      <c r="A99" s="55"/>
      <c r="B99" s="91" t="s">
        <v>165</v>
      </c>
      <c r="C99" s="383"/>
      <c r="D99" s="51"/>
      <c r="E99" s="103">
        <f>E97/D97</f>
        <v>1.1410614525139664</v>
      </c>
      <c r="F99" s="103">
        <f>F97/E97</f>
        <v>1.1517747858017136</v>
      </c>
      <c r="G99" s="103">
        <f>G97/F97</f>
        <v>1.208289054197662</v>
      </c>
      <c r="H99" s="188">
        <f>(E99+F99)/2</f>
        <v>1.14641811915784</v>
      </c>
      <c r="I99" s="66"/>
      <c r="J99" s="96"/>
      <c r="K99" s="96"/>
    </row>
    <row r="100" spans="1:11" ht="38.25">
      <c r="A100" s="55">
        <v>66</v>
      </c>
      <c r="B100" s="60" t="s">
        <v>92</v>
      </c>
      <c r="C100" s="382" t="s">
        <v>129</v>
      </c>
      <c r="D100" s="391">
        <v>116</v>
      </c>
      <c r="E100" s="391">
        <v>132</v>
      </c>
      <c r="F100" s="388">
        <v>125</v>
      </c>
      <c r="G100" s="388">
        <f>59/4*12</f>
        <v>177</v>
      </c>
      <c r="H100" s="379">
        <f>(D100+E100+F100)/3</f>
        <v>124.33333333333333</v>
      </c>
      <c r="I100" s="376">
        <f>ROUND(H100*H107,0)</f>
        <v>130</v>
      </c>
      <c r="J100" s="385">
        <f>F100/E100</f>
        <v>0.946969696969697</v>
      </c>
      <c r="K100" s="385">
        <f>F100/D100</f>
        <v>1.0775862068965518</v>
      </c>
    </row>
    <row r="101" spans="1:11" ht="38.25">
      <c r="A101" s="55">
        <v>67</v>
      </c>
      <c r="B101" s="56" t="s">
        <v>93</v>
      </c>
      <c r="C101" s="384"/>
      <c r="D101" s="392"/>
      <c r="E101" s="392"/>
      <c r="F101" s="389"/>
      <c r="G101" s="389"/>
      <c r="H101" s="381"/>
      <c r="I101" s="378"/>
      <c r="J101" s="386"/>
      <c r="K101" s="386"/>
    </row>
    <row r="102" spans="1:11" ht="38.25">
      <c r="A102" s="55">
        <v>68</v>
      </c>
      <c r="B102" s="56" t="s">
        <v>53</v>
      </c>
      <c r="C102" s="384"/>
      <c r="D102" s="392"/>
      <c r="E102" s="392"/>
      <c r="F102" s="389"/>
      <c r="G102" s="389"/>
      <c r="H102" s="381"/>
      <c r="I102" s="378"/>
      <c r="J102" s="386"/>
      <c r="K102" s="386"/>
    </row>
    <row r="103" spans="1:11" ht="38.25">
      <c r="A103" s="55">
        <v>69</v>
      </c>
      <c r="B103" s="56" t="s">
        <v>94</v>
      </c>
      <c r="C103" s="384"/>
      <c r="D103" s="392"/>
      <c r="E103" s="392"/>
      <c r="F103" s="389"/>
      <c r="G103" s="389"/>
      <c r="H103" s="381"/>
      <c r="I103" s="378"/>
      <c r="J103" s="386"/>
      <c r="K103" s="386"/>
    </row>
    <row r="104" spans="1:11" ht="51">
      <c r="A104" s="55">
        <v>70</v>
      </c>
      <c r="B104" s="60" t="s">
        <v>95</v>
      </c>
      <c r="C104" s="384"/>
      <c r="D104" s="392"/>
      <c r="E104" s="392"/>
      <c r="F104" s="389"/>
      <c r="G104" s="389"/>
      <c r="H104" s="381"/>
      <c r="I104" s="378"/>
      <c r="J104" s="386"/>
      <c r="K104" s="386"/>
    </row>
    <row r="105" spans="1:11" ht="51">
      <c r="A105" s="55">
        <v>71</v>
      </c>
      <c r="B105" s="56" t="s">
        <v>54</v>
      </c>
      <c r="C105" s="384"/>
      <c r="D105" s="392"/>
      <c r="E105" s="392"/>
      <c r="F105" s="389"/>
      <c r="G105" s="389"/>
      <c r="H105" s="381"/>
      <c r="I105" s="378"/>
      <c r="J105" s="386"/>
      <c r="K105" s="386"/>
    </row>
    <row r="106" spans="1:11" ht="51">
      <c r="A106" s="55">
        <v>72</v>
      </c>
      <c r="B106" s="56" t="s">
        <v>55</v>
      </c>
      <c r="C106" s="384"/>
      <c r="D106" s="393"/>
      <c r="E106" s="393"/>
      <c r="F106" s="390"/>
      <c r="G106" s="390"/>
      <c r="H106" s="380"/>
      <c r="I106" s="377"/>
      <c r="J106" s="387"/>
      <c r="K106" s="387"/>
    </row>
    <row r="107" spans="1:11" ht="12.75">
      <c r="A107" s="55"/>
      <c r="B107" s="91" t="s">
        <v>165</v>
      </c>
      <c r="C107" s="383"/>
      <c r="D107" s="52"/>
      <c r="E107" s="103">
        <f>E100/D100</f>
        <v>1.1379310344827587</v>
      </c>
      <c r="F107" s="103">
        <f>F100/E100</f>
        <v>0.946969696969697</v>
      </c>
      <c r="G107" s="103">
        <f>G100/F100</f>
        <v>1.416</v>
      </c>
      <c r="H107" s="188">
        <f>(E107+F107)/2</f>
        <v>1.0424503657262278</v>
      </c>
      <c r="I107" s="66"/>
      <c r="J107" s="96"/>
      <c r="K107" s="96"/>
    </row>
    <row r="108" spans="1:11" ht="38.25">
      <c r="A108" s="55">
        <v>73</v>
      </c>
      <c r="B108" s="56" t="s">
        <v>96</v>
      </c>
      <c r="C108" s="382" t="s">
        <v>138</v>
      </c>
      <c r="D108" s="57">
        <v>29</v>
      </c>
      <c r="E108" s="57">
        <v>30</v>
      </c>
      <c r="F108" s="66">
        <v>16</v>
      </c>
      <c r="G108" s="66">
        <f>4/4*12</f>
        <v>12</v>
      </c>
      <c r="H108" s="49">
        <f>(D108+E108+F108)/3</f>
        <v>25</v>
      </c>
      <c r="I108" s="66">
        <f>ROUND(H108*H109,0)</f>
        <v>20</v>
      </c>
      <c r="J108" s="96">
        <f>F108/E108</f>
        <v>0.5333333333333333</v>
      </c>
      <c r="K108" s="96">
        <f>F108/D108</f>
        <v>0.5517241379310345</v>
      </c>
    </row>
    <row r="109" spans="1:11" ht="12.75">
      <c r="A109" s="55"/>
      <c r="B109" s="91" t="s">
        <v>165</v>
      </c>
      <c r="C109" s="383"/>
      <c r="D109" s="57"/>
      <c r="E109" s="103">
        <f>E108/D108</f>
        <v>1.0344827586206897</v>
      </c>
      <c r="F109" s="103">
        <f>F108/E108</f>
        <v>0.5333333333333333</v>
      </c>
      <c r="G109" s="103">
        <f>G108/F108</f>
        <v>0.75</v>
      </c>
      <c r="H109" s="188">
        <f>(E109+F109)/2</f>
        <v>0.7839080459770116</v>
      </c>
      <c r="I109" s="66"/>
      <c r="J109" s="96"/>
      <c r="K109" s="96"/>
    </row>
    <row r="110" spans="1:11" ht="38.25" customHeight="1">
      <c r="A110" s="55">
        <v>74</v>
      </c>
      <c r="B110" s="56" t="s">
        <v>56</v>
      </c>
      <c r="C110" s="382" t="s">
        <v>56</v>
      </c>
      <c r="D110" s="86">
        <v>0</v>
      </c>
      <c r="E110" s="86">
        <v>0</v>
      </c>
      <c r="F110" s="66">
        <v>0</v>
      </c>
      <c r="G110" s="66">
        <v>5</v>
      </c>
      <c r="H110" s="218">
        <v>5</v>
      </c>
      <c r="I110" s="66">
        <v>5</v>
      </c>
      <c r="J110" s="96">
        <v>1</v>
      </c>
      <c r="K110" s="96">
        <v>1</v>
      </c>
    </row>
    <row r="111" spans="1:11" ht="44.25" customHeight="1">
      <c r="A111" s="55"/>
      <c r="B111" s="91" t="s">
        <v>165</v>
      </c>
      <c r="C111" s="383"/>
      <c r="D111" s="59"/>
      <c r="E111" s="93">
        <v>0</v>
      </c>
      <c r="F111" s="93">
        <v>0</v>
      </c>
      <c r="G111" s="93">
        <v>0</v>
      </c>
      <c r="H111" s="49">
        <f>(D111+E111+F111)/3</f>
        <v>0</v>
      </c>
      <c r="I111" s="66">
        <f>ROUND(H111*H112,0)</f>
        <v>0</v>
      </c>
      <c r="J111" s="96"/>
      <c r="K111" s="96"/>
    </row>
    <row r="112" spans="1:11" ht="25.5">
      <c r="A112" s="55">
        <v>75</v>
      </c>
      <c r="B112" s="56" t="s">
        <v>52</v>
      </c>
      <c r="C112" s="382" t="s">
        <v>128</v>
      </c>
      <c r="D112" s="382">
        <v>43</v>
      </c>
      <c r="E112" s="382">
        <v>48</v>
      </c>
      <c r="F112" s="376">
        <v>53</v>
      </c>
      <c r="G112" s="376">
        <f>25/4*12</f>
        <v>75</v>
      </c>
      <c r="H112" s="379">
        <f>(D112+E112+F112)/3</f>
        <v>48</v>
      </c>
      <c r="I112" s="376">
        <f>ROUND(H112*H114,0)</f>
        <v>53</v>
      </c>
      <c r="J112" s="385">
        <f>F112/E112</f>
        <v>1.1041666666666667</v>
      </c>
      <c r="K112" s="385">
        <f>F112/D112</f>
        <v>1.2325581395348837</v>
      </c>
    </row>
    <row r="113" spans="1:11" ht="25.5">
      <c r="A113" s="55">
        <v>76</v>
      </c>
      <c r="B113" s="56" t="s">
        <v>84</v>
      </c>
      <c r="C113" s="384"/>
      <c r="D113" s="383"/>
      <c r="E113" s="383"/>
      <c r="F113" s="377"/>
      <c r="G113" s="377"/>
      <c r="H113" s="380"/>
      <c r="I113" s="377"/>
      <c r="J113" s="387"/>
      <c r="K113" s="387"/>
    </row>
    <row r="114" spans="1:11" ht="12.75">
      <c r="A114" s="55"/>
      <c r="B114" s="91" t="s">
        <v>165</v>
      </c>
      <c r="C114" s="383"/>
      <c r="D114" s="51"/>
      <c r="E114" s="103">
        <f>E112/D112</f>
        <v>1.1162790697674418</v>
      </c>
      <c r="F114" s="103">
        <f>F112/E112</f>
        <v>1.1041666666666667</v>
      </c>
      <c r="G114" s="103">
        <f>G112/F112</f>
        <v>1.4150943396226414</v>
      </c>
      <c r="H114" s="188">
        <f>(E114+F114)/2</f>
        <v>1.1102228682170543</v>
      </c>
      <c r="I114" s="66"/>
      <c r="J114" s="96"/>
      <c r="K114" s="96"/>
    </row>
    <row r="115" spans="1:11" ht="25.5">
      <c r="A115" s="55">
        <v>77</v>
      </c>
      <c r="B115" s="65" t="s">
        <v>76</v>
      </c>
      <c r="C115" s="382" t="s">
        <v>130</v>
      </c>
      <c r="D115" s="382">
        <v>129</v>
      </c>
      <c r="E115" s="382">
        <v>109</v>
      </c>
      <c r="F115" s="376">
        <v>83</v>
      </c>
      <c r="G115" s="376">
        <f>32/4*12</f>
        <v>96</v>
      </c>
      <c r="H115" s="379">
        <f>(D115+E115+F115)/3</f>
        <v>107</v>
      </c>
      <c r="I115" s="376">
        <f>ROUND(H115*H122,0)</f>
        <v>86</v>
      </c>
      <c r="J115" s="385">
        <f>F115/E115</f>
        <v>0.7614678899082569</v>
      </c>
      <c r="K115" s="385">
        <f>F115/D115</f>
        <v>0.6434108527131783</v>
      </c>
    </row>
    <row r="116" spans="1:11" ht="25.5">
      <c r="A116" s="55">
        <v>78</v>
      </c>
      <c r="B116" s="65" t="s">
        <v>97</v>
      </c>
      <c r="C116" s="384"/>
      <c r="D116" s="384"/>
      <c r="E116" s="384"/>
      <c r="F116" s="378"/>
      <c r="G116" s="378"/>
      <c r="H116" s="381"/>
      <c r="I116" s="378"/>
      <c r="J116" s="386"/>
      <c r="K116" s="386"/>
    </row>
    <row r="117" spans="1:11" ht="25.5">
      <c r="A117" s="55">
        <v>79</v>
      </c>
      <c r="B117" s="65" t="s">
        <v>98</v>
      </c>
      <c r="C117" s="384"/>
      <c r="D117" s="384"/>
      <c r="E117" s="384"/>
      <c r="F117" s="378"/>
      <c r="G117" s="378"/>
      <c r="H117" s="381"/>
      <c r="I117" s="378"/>
      <c r="J117" s="386"/>
      <c r="K117" s="386"/>
    </row>
    <row r="118" spans="1:11" ht="25.5">
      <c r="A118" s="55">
        <v>80</v>
      </c>
      <c r="B118" s="65" t="s">
        <v>47</v>
      </c>
      <c r="C118" s="384"/>
      <c r="D118" s="384"/>
      <c r="E118" s="384"/>
      <c r="F118" s="378"/>
      <c r="G118" s="378"/>
      <c r="H118" s="381"/>
      <c r="I118" s="378"/>
      <c r="J118" s="386"/>
      <c r="K118" s="386"/>
    </row>
    <row r="119" spans="1:11" ht="12.75" customHeight="1">
      <c r="A119" s="55">
        <v>81</v>
      </c>
      <c r="B119" s="65" t="s">
        <v>48</v>
      </c>
      <c r="C119" s="384"/>
      <c r="D119" s="384"/>
      <c r="E119" s="384"/>
      <c r="F119" s="378"/>
      <c r="G119" s="378"/>
      <c r="H119" s="381"/>
      <c r="I119" s="378"/>
      <c r="J119" s="386"/>
      <c r="K119" s="386"/>
    </row>
    <row r="120" spans="1:11" ht="25.5">
      <c r="A120" s="55">
        <v>82</v>
      </c>
      <c r="B120" s="65" t="s">
        <v>91</v>
      </c>
      <c r="C120" s="384"/>
      <c r="D120" s="384"/>
      <c r="E120" s="384"/>
      <c r="F120" s="378"/>
      <c r="G120" s="378"/>
      <c r="H120" s="381"/>
      <c r="I120" s="378"/>
      <c r="J120" s="386"/>
      <c r="K120" s="386"/>
    </row>
    <row r="121" spans="1:11" ht="25.5">
      <c r="A121" s="55">
        <v>83</v>
      </c>
      <c r="B121" s="65" t="s">
        <v>49</v>
      </c>
      <c r="C121" s="384"/>
      <c r="D121" s="383"/>
      <c r="E121" s="383"/>
      <c r="F121" s="377"/>
      <c r="G121" s="377"/>
      <c r="H121" s="380"/>
      <c r="I121" s="377"/>
      <c r="J121" s="387"/>
      <c r="K121" s="387"/>
    </row>
    <row r="122" spans="1:11" ht="12.75">
      <c r="A122" s="55"/>
      <c r="B122" s="91" t="s">
        <v>165</v>
      </c>
      <c r="C122" s="383"/>
      <c r="D122" s="47"/>
      <c r="E122" s="103">
        <f>E115/D115</f>
        <v>0.8449612403100775</v>
      </c>
      <c r="F122" s="103">
        <f>F115/E115</f>
        <v>0.7614678899082569</v>
      </c>
      <c r="G122" s="103">
        <f>G115/F115</f>
        <v>1.1566265060240963</v>
      </c>
      <c r="H122" s="188">
        <f>(E122+F122)/2</f>
        <v>0.8032145651091671</v>
      </c>
      <c r="I122" s="66"/>
      <c r="J122" s="96"/>
      <c r="K122" s="96"/>
    </row>
    <row r="123" spans="1:11" ht="12.75">
      <c r="A123" s="55">
        <v>84</v>
      </c>
      <c r="B123" s="56" t="s">
        <v>57</v>
      </c>
      <c r="C123" s="382" t="s">
        <v>139</v>
      </c>
      <c r="D123" s="57">
        <v>5</v>
      </c>
      <c r="E123" s="57">
        <v>2</v>
      </c>
      <c r="F123" s="58">
        <v>24</v>
      </c>
      <c r="G123" s="58">
        <f>7/4*12</f>
        <v>21</v>
      </c>
      <c r="H123" s="49">
        <f>(D123+E123+F123)/3</f>
        <v>10.333333333333334</v>
      </c>
      <c r="I123" s="66">
        <v>13</v>
      </c>
      <c r="J123" s="96">
        <f>F123/E123</f>
        <v>12</v>
      </c>
      <c r="K123" s="96" t="e">
        <f>#REF!/F123</f>
        <v>#REF!</v>
      </c>
    </row>
    <row r="124" spans="1:11" ht="12.75">
      <c r="A124" s="55"/>
      <c r="B124" s="91" t="s">
        <v>165</v>
      </c>
      <c r="C124" s="383"/>
      <c r="D124" s="47"/>
      <c r="E124" s="103">
        <f>E123/D123</f>
        <v>0.4</v>
      </c>
      <c r="F124" s="103">
        <f>F123/E123</f>
        <v>12</v>
      </c>
      <c r="G124" s="103">
        <f>G123/F123</f>
        <v>0.875</v>
      </c>
      <c r="H124" s="188">
        <f>(E124+F124)/2</f>
        <v>6.2</v>
      </c>
      <c r="I124" s="66"/>
      <c r="J124" s="96"/>
      <c r="K124" s="96"/>
    </row>
    <row r="125" spans="1:11" ht="25.5" customHeight="1">
      <c r="A125" s="55">
        <v>85</v>
      </c>
      <c r="B125" s="60" t="s">
        <v>46</v>
      </c>
      <c r="C125" s="382" t="s">
        <v>46</v>
      </c>
      <c r="D125" s="47">
        <v>6</v>
      </c>
      <c r="E125" s="47">
        <v>14</v>
      </c>
      <c r="F125" s="50">
        <v>9</v>
      </c>
      <c r="G125" s="50">
        <f>3/4*12</f>
        <v>9</v>
      </c>
      <c r="H125" s="49">
        <f>(D125+E125+F125)/3</f>
        <v>9.666666666666666</v>
      </c>
      <c r="I125" s="66">
        <f>ROUND(H125*H126,0)</f>
        <v>14</v>
      </c>
      <c r="J125" s="96">
        <f>F125/E125</f>
        <v>0.6428571428571429</v>
      </c>
      <c r="K125" s="96">
        <f>F125/D125</f>
        <v>1.5</v>
      </c>
    </row>
    <row r="126" spans="1:11" ht="12.75">
      <c r="A126" s="55"/>
      <c r="B126" s="91" t="s">
        <v>165</v>
      </c>
      <c r="C126" s="383"/>
      <c r="D126" s="51"/>
      <c r="E126" s="103">
        <f>E125/D125</f>
        <v>2.3333333333333335</v>
      </c>
      <c r="F126" s="103">
        <f>F125/E125</f>
        <v>0.6428571428571429</v>
      </c>
      <c r="G126" s="103">
        <f>G125/F125</f>
        <v>1</v>
      </c>
      <c r="H126" s="188">
        <f>(E126+F126)/2</f>
        <v>1.4880952380952381</v>
      </c>
      <c r="I126" s="66"/>
      <c r="J126" s="96"/>
      <c r="K126" s="96"/>
    </row>
    <row r="127" spans="1:11" ht="25.5">
      <c r="A127" s="55">
        <v>86</v>
      </c>
      <c r="B127" s="56" t="s">
        <v>99</v>
      </c>
      <c r="C127" s="382" t="s">
        <v>147</v>
      </c>
      <c r="D127" s="382">
        <v>57</v>
      </c>
      <c r="E127" s="382">
        <v>66</v>
      </c>
      <c r="F127" s="376">
        <v>74</v>
      </c>
      <c r="G127" s="376">
        <f>39/4*12</f>
        <v>117</v>
      </c>
      <c r="H127" s="379">
        <f>(D127+E127+F127)/3</f>
        <v>65.66666666666667</v>
      </c>
      <c r="I127" s="376">
        <f>ROUND(H127*H129,0)</f>
        <v>75</v>
      </c>
      <c r="J127" s="385">
        <f>F127/E127</f>
        <v>1.121212121212121</v>
      </c>
      <c r="K127" s="385">
        <f>F127/D127</f>
        <v>1.2982456140350878</v>
      </c>
    </row>
    <row r="128" spans="1:11" ht="25.5">
      <c r="A128" s="55">
        <v>87</v>
      </c>
      <c r="B128" s="56" t="s">
        <v>113</v>
      </c>
      <c r="C128" s="384"/>
      <c r="D128" s="383"/>
      <c r="E128" s="383"/>
      <c r="F128" s="377"/>
      <c r="G128" s="377"/>
      <c r="H128" s="380"/>
      <c r="I128" s="377"/>
      <c r="J128" s="387"/>
      <c r="K128" s="387"/>
    </row>
    <row r="129" spans="1:11" ht="12.75">
      <c r="A129" s="55"/>
      <c r="B129" s="91" t="s">
        <v>165</v>
      </c>
      <c r="C129" s="383"/>
      <c r="D129" s="51"/>
      <c r="E129" s="103">
        <f>E127/D127</f>
        <v>1.1578947368421053</v>
      </c>
      <c r="F129" s="103">
        <f>F127/E127</f>
        <v>1.121212121212121</v>
      </c>
      <c r="G129" s="103">
        <f>G127/F127</f>
        <v>1.5810810810810811</v>
      </c>
      <c r="H129" s="188">
        <f>(E129+F129)/2</f>
        <v>1.1395534290271132</v>
      </c>
      <c r="I129" s="66"/>
      <c r="J129" s="96"/>
      <c r="K129" s="96"/>
    </row>
    <row r="130" spans="1:11" ht="12.75" customHeight="1">
      <c r="A130" s="55">
        <v>88</v>
      </c>
      <c r="B130" s="65" t="s">
        <v>85</v>
      </c>
      <c r="C130" s="382" t="s">
        <v>131</v>
      </c>
      <c r="D130" s="382">
        <v>80</v>
      </c>
      <c r="E130" s="382">
        <v>107</v>
      </c>
      <c r="F130" s="376">
        <v>154</v>
      </c>
      <c r="G130" s="376">
        <f>74/4*12</f>
        <v>222</v>
      </c>
      <c r="H130" s="379">
        <f>(D130+E130+F130)/3</f>
        <v>113.66666666666667</v>
      </c>
      <c r="I130" s="376">
        <f>ROUND(H130*H134,0)</f>
        <v>158</v>
      </c>
      <c r="J130" s="385">
        <f>F130/E130</f>
        <v>1.439252336448598</v>
      </c>
      <c r="K130" s="385">
        <f>F130/D130</f>
        <v>1.925</v>
      </c>
    </row>
    <row r="131" spans="1:11" ht="12.75" customHeight="1">
      <c r="A131" s="55">
        <v>89</v>
      </c>
      <c r="B131" s="65" t="s">
        <v>58</v>
      </c>
      <c r="C131" s="384"/>
      <c r="D131" s="384"/>
      <c r="E131" s="384"/>
      <c r="F131" s="378"/>
      <c r="G131" s="378"/>
      <c r="H131" s="381"/>
      <c r="I131" s="378"/>
      <c r="J131" s="386"/>
      <c r="K131" s="386"/>
    </row>
    <row r="132" spans="1:11" ht="25.5">
      <c r="A132" s="55">
        <v>90</v>
      </c>
      <c r="B132" s="56" t="s">
        <v>86</v>
      </c>
      <c r="C132" s="384"/>
      <c r="D132" s="384"/>
      <c r="E132" s="384"/>
      <c r="F132" s="378"/>
      <c r="G132" s="378"/>
      <c r="H132" s="381"/>
      <c r="I132" s="378"/>
      <c r="J132" s="386"/>
      <c r="K132" s="386"/>
    </row>
    <row r="133" spans="1:11" ht="25.5">
      <c r="A133" s="55">
        <v>91</v>
      </c>
      <c r="B133" s="56" t="s">
        <v>100</v>
      </c>
      <c r="C133" s="384"/>
      <c r="D133" s="383"/>
      <c r="E133" s="383"/>
      <c r="F133" s="377"/>
      <c r="G133" s="377"/>
      <c r="H133" s="380"/>
      <c r="I133" s="377"/>
      <c r="J133" s="387"/>
      <c r="K133" s="387"/>
    </row>
    <row r="134" spans="1:11" ht="12.75">
      <c r="A134" s="55"/>
      <c r="B134" s="91" t="s">
        <v>165</v>
      </c>
      <c r="C134" s="383"/>
      <c r="D134" s="47"/>
      <c r="E134" s="103">
        <f>E130/D130</f>
        <v>1.3375</v>
      </c>
      <c r="F134" s="103">
        <f>F130/E130</f>
        <v>1.439252336448598</v>
      </c>
      <c r="G134" s="103">
        <f>G130/F130</f>
        <v>1.4415584415584415</v>
      </c>
      <c r="H134" s="188">
        <f>(E134+F134)/2</f>
        <v>1.388376168224299</v>
      </c>
      <c r="I134" s="66"/>
      <c r="J134" s="96"/>
      <c r="K134" s="96"/>
    </row>
    <row r="135" spans="1:11" ht="12.75">
      <c r="A135" s="55">
        <v>92</v>
      </c>
      <c r="B135" s="56" t="s">
        <v>14</v>
      </c>
      <c r="C135" s="382" t="s">
        <v>145</v>
      </c>
      <c r="D135" s="57">
        <v>49</v>
      </c>
      <c r="E135" s="57">
        <v>40</v>
      </c>
      <c r="F135" s="58">
        <v>63</v>
      </c>
      <c r="G135" s="58">
        <f>37/4*12</f>
        <v>111</v>
      </c>
      <c r="H135" s="49">
        <f>(D135+E135+F135)/3</f>
        <v>50.666666666666664</v>
      </c>
      <c r="I135" s="66">
        <f>ROUND(H135*H136,0)</f>
        <v>61</v>
      </c>
      <c r="J135" s="96">
        <f>F135/E135</f>
        <v>1.575</v>
      </c>
      <c r="K135" s="96">
        <f>F135/D135</f>
        <v>1.2857142857142858</v>
      </c>
    </row>
    <row r="136" spans="1:11" ht="12.75">
      <c r="A136" s="55"/>
      <c r="B136" s="91" t="s">
        <v>165</v>
      </c>
      <c r="C136" s="383"/>
      <c r="D136" s="58"/>
      <c r="E136" s="103">
        <f>E135/D135</f>
        <v>0.8163265306122449</v>
      </c>
      <c r="F136" s="103">
        <f>F135/E135</f>
        <v>1.575</v>
      </c>
      <c r="G136" s="103">
        <f>G135/F135</f>
        <v>1.7619047619047619</v>
      </c>
      <c r="H136" s="188">
        <f>(E136+F136)/2</f>
        <v>1.1956632653061225</v>
      </c>
      <c r="I136" s="66"/>
      <c r="J136" s="96"/>
      <c r="K136" s="96"/>
    </row>
    <row r="137" spans="1:11" ht="12.75">
      <c r="A137" s="120"/>
      <c r="B137" s="136" t="s">
        <v>185</v>
      </c>
      <c r="C137" s="137"/>
      <c r="D137" s="138">
        <f aca="true" t="shared" si="1" ref="D137:I137">SUM(D138:D150)</f>
        <v>0</v>
      </c>
      <c r="E137" s="138">
        <f t="shared" si="1"/>
        <v>0</v>
      </c>
      <c r="F137" s="138">
        <f t="shared" si="1"/>
        <v>0</v>
      </c>
      <c r="G137" s="201">
        <f t="shared" si="1"/>
        <v>254</v>
      </c>
      <c r="H137" s="201">
        <f t="shared" si="1"/>
        <v>0</v>
      </c>
      <c r="I137" s="201">
        <f t="shared" si="1"/>
        <v>254</v>
      </c>
      <c r="J137" s="201"/>
      <c r="K137" s="201"/>
    </row>
    <row r="138" spans="1:11" ht="15.75">
      <c r="A138" s="55">
        <v>93</v>
      </c>
      <c r="B138" s="131" t="s">
        <v>190</v>
      </c>
      <c r="C138" s="382" t="s">
        <v>185</v>
      </c>
      <c r="D138" s="58">
        <v>0</v>
      </c>
      <c r="E138" s="135">
        <v>0</v>
      </c>
      <c r="F138" s="185">
        <v>0</v>
      </c>
      <c r="G138" s="186">
        <v>8</v>
      </c>
      <c r="H138" s="49">
        <f aca="true" t="shared" si="2" ref="H138:H172">(D138+E138+F138)/3</f>
        <v>0</v>
      </c>
      <c r="I138" s="186">
        <v>8</v>
      </c>
      <c r="J138" s="96">
        <v>1</v>
      </c>
      <c r="K138" s="96">
        <v>1</v>
      </c>
    </row>
    <row r="139" spans="1:11" ht="15.75">
      <c r="A139" s="55">
        <v>94</v>
      </c>
      <c r="B139" s="131" t="s">
        <v>191</v>
      </c>
      <c r="C139" s="384"/>
      <c r="D139" s="58">
        <v>0</v>
      </c>
      <c r="E139" s="135">
        <v>0</v>
      </c>
      <c r="F139" s="185">
        <v>0</v>
      </c>
      <c r="G139" s="186">
        <v>2</v>
      </c>
      <c r="H139" s="49">
        <v>0</v>
      </c>
      <c r="I139" s="186">
        <v>2</v>
      </c>
      <c r="J139" s="96">
        <v>1</v>
      </c>
      <c r="K139" s="96">
        <v>1</v>
      </c>
    </row>
    <row r="140" spans="1:11" ht="15.75">
      <c r="A140" s="55">
        <v>95</v>
      </c>
      <c r="B140" s="131" t="s">
        <v>193</v>
      </c>
      <c r="C140" s="384"/>
      <c r="D140" s="58">
        <v>0</v>
      </c>
      <c r="E140" s="135">
        <v>0</v>
      </c>
      <c r="F140" s="185">
        <v>0</v>
      </c>
      <c r="G140" s="186">
        <v>36</v>
      </c>
      <c r="H140" s="49">
        <f t="shared" si="2"/>
        <v>0</v>
      </c>
      <c r="I140" s="186">
        <v>36</v>
      </c>
      <c r="J140" s="96">
        <v>1</v>
      </c>
      <c r="K140" s="96">
        <v>1</v>
      </c>
    </row>
    <row r="141" spans="1:11" ht="15.75">
      <c r="A141" s="55">
        <v>96</v>
      </c>
      <c r="B141" s="131" t="s">
        <v>194</v>
      </c>
      <c r="C141" s="384"/>
      <c r="D141" s="58">
        <v>0</v>
      </c>
      <c r="E141" s="135">
        <v>0</v>
      </c>
      <c r="F141" s="185">
        <v>0</v>
      </c>
      <c r="G141" s="186">
        <v>3</v>
      </c>
      <c r="H141" s="49">
        <v>0</v>
      </c>
      <c r="I141" s="186">
        <v>3</v>
      </c>
      <c r="J141" s="96">
        <v>1</v>
      </c>
      <c r="K141" s="96">
        <v>1</v>
      </c>
    </row>
    <row r="142" spans="1:11" ht="15.75">
      <c r="A142" s="55">
        <v>97</v>
      </c>
      <c r="B142" s="131" t="s">
        <v>195</v>
      </c>
      <c r="C142" s="384"/>
      <c r="D142" s="58">
        <v>0</v>
      </c>
      <c r="E142" s="135">
        <v>0</v>
      </c>
      <c r="F142" s="185">
        <v>0</v>
      </c>
      <c r="G142" s="186">
        <v>36</v>
      </c>
      <c r="H142" s="49">
        <f t="shared" si="2"/>
        <v>0</v>
      </c>
      <c r="I142" s="186">
        <v>36</v>
      </c>
      <c r="J142" s="96">
        <v>1</v>
      </c>
      <c r="K142" s="96">
        <v>1</v>
      </c>
    </row>
    <row r="143" spans="1:11" ht="31.5">
      <c r="A143" s="55">
        <v>98</v>
      </c>
      <c r="B143" s="131" t="s">
        <v>196</v>
      </c>
      <c r="C143" s="384"/>
      <c r="D143" s="58">
        <v>0</v>
      </c>
      <c r="E143" s="135">
        <v>0</v>
      </c>
      <c r="F143" s="185">
        <v>0</v>
      </c>
      <c r="G143" s="186">
        <v>48</v>
      </c>
      <c r="H143" s="49">
        <f t="shared" si="2"/>
        <v>0</v>
      </c>
      <c r="I143" s="186">
        <v>48</v>
      </c>
      <c r="J143" s="96">
        <v>1</v>
      </c>
      <c r="K143" s="96">
        <v>1</v>
      </c>
    </row>
    <row r="144" spans="1:11" ht="31.5">
      <c r="A144" s="55">
        <v>99</v>
      </c>
      <c r="B144" s="131" t="s">
        <v>197</v>
      </c>
      <c r="C144" s="384"/>
      <c r="D144" s="58">
        <v>0</v>
      </c>
      <c r="E144" s="135">
        <v>0</v>
      </c>
      <c r="F144" s="185">
        <v>0</v>
      </c>
      <c r="G144" s="186">
        <v>42</v>
      </c>
      <c r="H144" s="49">
        <f t="shared" si="2"/>
        <v>0</v>
      </c>
      <c r="I144" s="186">
        <v>42</v>
      </c>
      <c r="J144" s="96">
        <v>1</v>
      </c>
      <c r="K144" s="96">
        <v>1</v>
      </c>
    </row>
    <row r="145" spans="1:11" ht="31.5">
      <c r="A145" s="55">
        <v>100</v>
      </c>
      <c r="B145" s="131" t="s">
        <v>207</v>
      </c>
      <c r="C145" s="384"/>
      <c r="D145" s="58">
        <v>0</v>
      </c>
      <c r="E145" s="135">
        <v>0</v>
      </c>
      <c r="F145" s="185">
        <v>0</v>
      </c>
      <c r="G145" s="186">
        <v>24</v>
      </c>
      <c r="H145" s="49">
        <f t="shared" si="2"/>
        <v>0</v>
      </c>
      <c r="I145" s="186">
        <v>24</v>
      </c>
      <c r="J145" s="96">
        <v>1</v>
      </c>
      <c r="K145" s="96">
        <v>1</v>
      </c>
    </row>
    <row r="146" spans="1:11" ht="31.5">
      <c r="A146" s="55">
        <v>101</v>
      </c>
      <c r="B146" s="131" t="s">
        <v>200</v>
      </c>
      <c r="C146" s="384"/>
      <c r="D146" s="58">
        <v>0</v>
      </c>
      <c r="E146" s="135">
        <v>0</v>
      </c>
      <c r="F146" s="185">
        <v>0</v>
      </c>
      <c r="G146" s="186">
        <v>15</v>
      </c>
      <c r="H146" s="49">
        <f t="shared" si="2"/>
        <v>0</v>
      </c>
      <c r="I146" s="186">
        <v>15</v>
      </c>
      <c r="J146" s="96">
        <v>1</v>
      </c>
      <c r="K146" s="96">
        <v>1</v>
      </c>
    </row>
    <row r="147" spans="1:11" ht="31.5">
      <c r="A147" s="55">
        <v>102</v>
      </c>
      <c r="B147" s="131" t="s">
        <v>202</v>
      </c>
      <c r="C147" s="384"/>
      <c r="D147" s="58">
        <v>0</v>
      </c>
      <c r="E147" s="135">
        <v>0</v>
      </c>
      <c r="F147" s="185">
        <v>0</v>
      </c>
      <c r="G147" s="186">
        <v>10</v>
      </c>
      <c r="H147" s="49">
        <f t="shared" si="2"/>
        <v>0</v>
      </c>
      <c r="I147" s="186">
        <v>10</v>
      </c>
      <c r="J147" s="96">
        <v>1</v>
      </c>
      <c r="K147" s="96">
        <v>1</v>
      </c>
    </row>
    <row r="148" spans="1:11" ht="15.75">
      <c r="A148" s="55">
        <v>103</v>
      </c>
      <c r="B148" s="131" t="s">
        <v>204</v>
      </c>
      <c r="C148" s="384"/>
      <c r="D148" s="58">
        <v>0</v>
      </c>
      <c r="E148" s="135">
        <v>0</v>
      </c>
      <c r="F148" s="185">
        <v>0</v>
      </c>
      <c r="G148" s="186">
        <v>10</v>
      </c>
      <c r="H148" s="49">
        <f t="shared" si="2"/>
        <v>0</v>
      </c>
      <c r="I148" s="186">
        <v>10</v>
      </c>
      <c r="J148" s="96">
        <v>1</v>
      </c>
      <c r="K148" s="96">
        <v>1</v>
      </c>
    </row>
    <row r="149" spans="1:11" ht="15.75">
      <c r="A149" s="55">
        <v>104</v>
      </c>
      <c r="B149" s="131" t="s">
        <v>205</v>
      </c>
      <c r="C149" s="384"/>
      <c r="D149" s="58">
        <v>0</v>
      </c>
      <c r="E149" s="135">
        <v>0</v>
      </c>
      <c r="F149" s="185">
        <v>0</v>
      </c>
      <c r="G149" s="186">
        <v>10</v>
      </c>
      <c r="H149" s="49">
        <f t="shared" si="2"/>
        <v>0</v>
      </c>
      <c r="I149" s="186">
        <v>10</v>
      </c>
      <c r="J149" s="96">
        <v>1</v>
      </c>
      <c r="K149" s="96">
        <v>1</v>
      </c>
    </row>
    <row r="150" spans="1:11" ht="15.75">
      <c r="A150" s="55">
        <v>105</v>
      </c>
      <c r="B150" s="131" t="s">
        <v>206</v>
      </c>
      <c r="C150" s="383"/>
      <c r="D150" s="58">
        <v>0</v>
      </c>
      <c r="E150" s="135">
        <v>0</v>
      </c>
      <c r="F150" s="185">
        <v>0</v>
      </c>
      <c r="G150" s="186">
        <v>10</v>
      </c>
      <c r="H150" s="49">
        <f t="shared" si="2"/>
        <v>0</v>
      </c>
      <c r="I150" s="186">
        <v>10</v>
      </c>
      <c r="J150" s="96">
        <v>1</v>
      </c>
      <c r="K150" s="96">
        <v>1</v>
      </c>
    </row>
    <row r="151" spans="1:11" ht="12.75">
      <c r="A151" s="62"/>
      <c r="B151" s="67" t="s">
        <v>68</v>
      </c>
      <c r="C151" s="68"/>
      <c r="D151" s="105">
        <f aca="true" t="shared" si="3" ref="D151:I151">D152+D154+D156+D158+D160</f>
        <v>1357</v>
      </c>
      <c r="E151" s="105">
        <f t="shared" si="3"/>
        <v>1051</v>
      </c>
      <c r="F151" s="105">
        <f t="shared" si="3"/>
        <v>1054</v>
      </c>
      <c r="G151" s="105">
        <f t="shared" si="3"/>
        <v>951</v>
      </c>
      <c r="H151" s="105">
        <f t="shared" si="3"/>
        <v>1153.9999999999998</v>
      </c>
      <c r="I151" s="105">
        <f t="shared" si="3"/>
        <v>994</v>
      </c>
      <c r="J151" s="110">
        <f>F151/E151</f>
        <v>1.0028544243577546</v>
      </c>
      <c r="K151" s="110">
        <f>F151/D151</f>
        <v>0.7767133382461312</v>
      </c>
    </row>
    <row r="152" spans="1:11" ht="12.75">
      <c r="A152" s="55">
        <v>106</v>
      </c>
      <c r="B152" s="69" t="s">
        <v>63</v>
      </c>
      <c r="C152" s="70"/>
      <c r="D152" s="70">
        <v>944</v>
      </c>
      <c r="E152" s="70">
        <v>570</v>
      </c>
      <c r="F152" s="71">
        <v>540</v>
      </c>
      <c r="G152" s="71">
        <f>168/4*12</f>
        <v>504</v>
      </c>
      <c r="H152" s="49">
        <f t="shared" si="2"/>
        <v>684.6666666666666</v>
      </c>
      <c r="I152" s="66">
        <f>ROUND(H152*H153,0)</f>
        <v>531</v>
      </c>
      <c r="J152" s="111">
        <f>F152/E152</f>
        <v>0.9473684210526315</v>
      </c>
      <c r="K152" s="111">
        <f>F152/D152</f>
        <v>0.5720338983050848</v>
      </c>
    </row>
    <row r="153" spans="1:11" ht="12.75">
      <c r="A153" s="55"/>
      <c r="B153" s="91" t="s">
        <v>165</v>
      </c>
      <c r="C153" s="70"/>
      <c r="D153" s="92"/>
      <c r="E153" s="103">
        <f>E152/D152</f>
        <v>0.6038135593220338</v>
      </c>
      <c r="F153" s="103">
        <f>F152/E152</f>
        <v>0.9473684210526315</v>
      </c>
      <c r="G153" s="103">
        <f>G152/F152</f>
        <v>0.9333333333333333</v>
      </c>
      <c r="H153" s="188">
        <f>(E153+F153)/2</f>
        <v>0.7755909901873327</v>
      </c>
      <c r="I153" s="66"/>
      <c r="J153" s="111"/>
      <c r="K153" s="111"/>
    </row>
    <row r="154" spans="1:11" ht="12.75">
      <c r="A154" s="55">
        <v>107</v>
      </c>
      <c r="B154" s="69" t="s">
        <v>64</v>
      </c>
      <c r="C154" s="70"/>
      <c r="D154" s="70">
        <v>338</v>
      </c>
      <c r="E154" s="70">
        <v>390</v>
      </c>
      <c r="F154" s="71">
        <v>420</v>
      </c>
      <c r="G154" s="71">
        <f>105/4*12</f>
        <v>315</v>
      </c>
      <c r="H154" s="49">
        <f t="shared" si="2"/>
        <v>382.6666666666667</v>
      </c>
      <c r="I154" s="66">
        <v>363</v>
      </c>
      <c r="J154" s="111">
        <f>F154/E154</f>
        <v>1.0769230769230769</v>
      </c>
      <c r="K154" s="111">
        <f>F154/D154</f>
        <v>1.242603550295858</v>
      </c>
    </row>
    <row r="155" spans="1:11" ht="12.75">
      <c r="A155" s="55"/>
      <c r="B155" s="91" t="s">
        <v>165</v>
      </c>
      <c r="C155" s="70"/>
      <c r="D155" s="70"/>
      <c r="E155" s="103">
        <f>E154/D154</f>
        <v>1.1538461538461537</v>
      </c>
      <c r="F155" s="103">
        <f>F154/E154</f>
        <v>1.0769230769230769</v>
      </c>
      <c r="G155" s="103">
        <f>G154/F154</f>
        <v>0.75</v>
      </c>
      <c r="H155" s="188">
        <f>(E155+F155)/2</f>
        <v>1.1153846153846154</v>
      </c>
      <c r="I155" s="66"/>
      <c r="J155" s="111"/>
      <c r="K155" s="111"/>
    </row>
    <row r="156" spans="1:11" ht="12.75">
      <c r="A156" s="55">
        <v>108</v>
      </c>
      <c r="B156" s="69" t="s">
        <v>65</v>
      </c>
      <c r="C156" s="57"/>
      <c r="D156" s="57">
        <v>39</v>
      </c>
      <c r="E156" s="57">
        <v>36</v>
      </c>
      <c r="F156" s="58">
        <v>48</v>
      </c>
      <c r="G156" s="58">
        <f>18/4*12</f>
        <v>54</v>
      </c>
      <c r="H156" s="49">
        <f t="shared" si="2"/>
        <v>41</v>
      </c>
      <c r="I156" s="66">
        <f>ROUND(H156*H157,0)</f>
        <v>46</v>
      </c>
      <c r="J156" s="111">
        <f>F156/E156</f>
        <v>1.3333333333333333</v>
      </c>
      <c r="K156" s="111">
        <f>F156/D156</f>
        <v>1.2307692307692308</v>
      </c>
    </row>
    <row r="157" spans="1:11" ht="12.75">
      <c r="A157" s="55"/>
      <c r="B157" s="91" t="s">
        <v>165</v>
      </c>
      <c r="C157" s="70"/>
      <c r="D157" s="70"/>
      <c r="E157" s="103">
        <f>E156/D156</f>
        <v>0.9230769230769231</v>
      </c>
      <c r="F157" s="103">
        <f>F156/E156</f>
        <v>1.3333333333333333</v>
      </c>
      <c r="G157" s="103">
        <f>G156/F156</f>
        <v>1.125</v>
      </c>
      <c r="H157" s="188">
        <f>(E157+F157)/2</f>
        <v>1.1282051282051282</v>
      </c>
      <c r="I157" s="66"/>
      <c r="J157" s="111"/>
      <c r="K157" s="111"/>
    </row>
    <row r="158" spans="1:11" ht="12.75">
      <c r="A158" s="55">
        <v>109</v>
      </c>
      <c r="B158" s="69" t="s">
        <v>66</v>
      </c>
      <c r="C158" s="70"/>
      <c r="D158" s="70">
        <v>24</v>
      </c>
      <c r="E158" s="70">
        <v>37</v>
      </c>
      <c r="F158" s="71">
        <v>30</v>
      </c>
      <c r="G158" s="71">
        <f>15/4*12</f>
        <v>45</v>
      </c>
      <c r="H158" s="49">
        <f t="shared" si="2"/>
        <v>30.333333333333332</v>
      </c>
      <c r="I158" s="66">
        <f>ROUND(H158*H159,0)</f>
        <v>36</v>
      </c>
      <c r="J158" s="111">
        <f>F158/E158</f>
        <v>0.8108108108108109</v>
      </c>
      <c r="K158" s="111">
        <f>F158/D158</f>
        <v>1.25</v>
      </c>
    </row>
    <row r="159" spans="1:11" ht="12.75">
      <c r="A159" s="55"/>
      <c r="B159" s="91" t="s">
        <v>165</v>
      </c>
      <c r="C159" s="70"/>
      <c r="D159" s="70"/>
      <c r="E159" s="103">
        <f>E158/D158</f>
        <v>1.5416666666666667</v>
      </c>
      <c r="F159" s="103">
        <f>F158/E158</f>
        <v>0.8108108108108109</v>
      </c>
      <c r="G159" s="103">
        <f>G158/F158</f>
        <v>1.5</v>
      </c>
      <c r="H159" s="188">
        <f>(E159+F159)/2</f>
        <v>1.1762387387387387</v>
      </c>
      <c r="I159" s="66"/>
      <c r="J159" s="111"/>
      <c r="K159" s="111"/>
    </row>
    <row r="160" spans="1:11" ht="12.75">
      <c r="A160" s="55">
        <v>110</v>
      </c>
      <c r="B160" s="69" t="s">
        <v>67</v>
      </c>
      <c r="C160" s="70"/>
      <c r="D160" s="70">
        <v>12</v>
      </c>
      <c r="E160" s="70">
        <v>18</v>
      </c>
      <c r="F160" s="71">
        <v>16</v>
      </c>
      <c r="G160" s="71">
        <f>11/4*12</f>
        <v>33</v>
      </c>
      <c r="H160" s="49">
        <f t="shared" si="2"/>
        <v>15.333333333333334</v>
      </c>
      <c r="I160" s="66">
        <f>ROUND(H160*H161,0)</f>
        <v>18</v>
      </c>
      <c r="J160" s="111">
        <f>F160/E160</f>
        <v>0.8888888888888888</v>
      </c>
      <c r="K160" s="111">
        <f>F160/D160</f>
        <v>1.3333333333333333</v>
      </c>
    </row>
    <row r="161" spans="1:11" ht="12.75">
      <c r="A161" s="55"/>
      <c r="B161" s="91" t="s">
        <v>165</v>
      </c>
      <c r="C161" s="70"/>
      <c r="D161" s="70"/>
      <c r="E161" s="103">
        <f>E160/D160</f>
        <v>1.5</v>
      </c>
      <c r="F161" s="103">
        <f>F160/E160</f>
        <v>0.8888888888888888</v>
      </c>
      <c r="G161" s="103">
        <f>G160/F160</f>
        <v>2.0625</v>
      </c>
      <c r="H161" s="188">
        <f>(E161+F161)/2</f>
        <v>1.1944444444444444</v>
      </c>
      <c r="I161" s="66"/>
      <c r="J161" s="111"/>
      <c r="K161" s="111"/>
    </row>
    <row r="162" spans="1:11" ht="12.75">
      <c r="A162" s="62"/>
      <c r="B162" s="72" t="s">
        <v>69</v>
      </c>
      <c r="C162" s="73"/>
      <c r="D162" s="106">
        <f aca="true" t="shared" si="4" ref="D162:I162">D163+D165+D167</f>
        <v>876</v>
      </c>
      <c r="E162" s="106">
        <f t="shared" si="4"/>
        <v>1446</v>
      </c>
      <c r="F162" s="106">
        <f t="shared" si="4"/>
        <v>1615</v>
      </c>
      <c r="G162" s="106">
        <f t="shared" si="4"/>
        <v>1905</v>
      </c>
      <c r="H162" s="106">
        <f t="shared" si="4"/>
        <v>1312.3333333333335</v>
      </c>
      <c r="I162" s="106">
        <f t="shared" si="4"/>
        <v>1824</v>
      </c>
      <c r="J162" s="110">
        <f>F162/E162</f>
        <v>1.1168741355463347</v>
      </c>
      <c r="K162" s="110">
        <f>F162/D162</f>
        <v>1.8436073059360731</v>
      </c>
    </row>
    <row r="163" spans="1:11" ht="12.75">
      <c r="A163" s="55">
        <v>111</v>
      </c>
      <c r="B163" s="69" t="s">
        <v>70</v>
      </c>
      <c r="C163" s="70"/>
      <c r="D163" s="70">
        <v>13</v>
      </c>
      <c r="E163" s="70">
        <v>9</v>
      </c>
      <c r="F163" s="71">
        <v>17</v>
      </c>
      <c r="G163" s="71">
        <f>6/4*12</f>
        <v>18</v>
      </c>
      <c r="H163" s="49">
        <f t="shared" si="2"/>
        <v>13</v>
      </c>
      <c r="I163" s="66">
        <f>ROUND(H163*H164,0)</f>
        <v>17</v>
      </c>
      <c r="J163" s="111">
        <f>F163/E163</f>
        <v>1.8888888888888888</v>
      </c>
      <c r="K163" s="111">
        <f>F163/D163</f>
        <v>1.3076923076923077</v>
      </c>
    </row>
    <row r="164" spans="1:11" ht="12.75">
      <c r="A164" s="55"/>
      <c r="B164" s="91" t="s">
        <v>165</v>
      </c>
      <c r="C164" s="70"/>
      <c r="D164" s="70"/>
      <c r="E164" s="103">
        <f>E163/D163</f>
        <v>0.6923076923076923</v>
      </c>
      <c r="F164" s="103">
        <f>F163/E163</f>
        <v>1.8888888888888888</v>
      </c>
      <c r="G164" s="103">
        <f>G163/F163</f>
        <v>1.0588235294117647</v>
      </c>
      <c r="H164" s="188">
        <f>(E164+F164)/2</f>
        <v>1.2905982905982905</v>
      </c>
      <c r="I164" s="66"/>
      <c r="J164" s="111"/>
      <c r="K164" s="111"/>
    </row>
    <row r="165" spans="1:11" ht="12.75">
      <c r="A165" s="55">
        <v>112</v>
      </c>
      <c r="B165" s="69" t="s">
        <v>71</v>
      </c>
      <c r="C165" s="70"/>
      <c r="D165" s="70">
        <v>531</v>
      </c>
      <c r="E165" s="70">
        <v>925</v>
      </c>
      <c r="F165" s="71">
        <v>1035</v>
      </c>
      <c r="G165" s="71">
        <f>430/4*12</f>
        <v>1290</v>
      </c>
      <c r="H165" s="49">
        <f t="shared" si="2"/>
        <v>830.3333333333334</v>
      </c>
      <c r="I165" s="66">
        <f>ROUND(H165*H166,0)</f>
        <v>1188</v>
      </c>
      <c r="J165" s="111">
        <f>F165/E165</f>
        <v>1.1189189189189188</v>
      </c>
      <c r="K165" s="111">
        <f>F165/D165</f>
        <v>1.9491525423728813</v>
      </c>
    </row>
    <row r="166" spans="1:11" ht="12.75">
      <c r="A166" s="55"/>
      <c r="B166" s="91" t="s">
        <v>165</v>
      </c>
      <c r="C166" s="70"/>
      <c r="D166" s="70"/>
      <c r="E166" s="103">
        <f>E165/D165</f>
        <v>1.7419962335216572</v>
      </c>
      <c r="F166" s="103">
        <f>F165/E165</f>
        <v>1.1189189189189188</v>
      </c>
      <c r="G166" s="103">
        <f>G165/F165</f>
        <v>1.2463768115942029</v>
      </c>
      <c r="H166" s="188">
        <f>(E166+F166)/2</f>
        <v>1.430457576220288</v>
      </c>
      <c r="I166" s="66"/>
      <c r="J166" s="111"/>
      <c r="K166" s="111"/>
    </row>
    <row r="167" spans="1:11" ht="12.75">
      <c r="A167" s="55">
        <v>113</v>
      </c>
      <c r="B167" s="69" t="s">
        <v>72</v>
      </c>
      <c r="C167" s="70"/>
      <c r="D167" s="70">
        <v>332</v>
      </c>
      <c r="E167" s="70">
        <v>512</v>
      </c>
      <c r="F167" s="71">
        <v>563</v>
      </c>
      <c r="G167" s="71">
        <f>199/4*12</f>
        <v>597</v>
      </c>
      <c r="H167" s="49">
        <f t="shared" si="2"/>
        <v>469</v>
      </c>
      <c r="I167" s="66">
        <f>ROUND(H167*H168,0)</f>
        <v>619</v>
      </c>
      <c r="J167" s="111">
        <f>F167/E167</f>
        <v>1.099609375</v>
      </c>
      <c r="K167" s="111">
        <f>F167/D167</f>
        <v>1.6957831325301205</v>
      </c>
    </row>
    <row r="168" spans="1:11" ht="12.75">
      <c r="A168" s="55"/>
      <c r="B168" s="91" t="s">
        <v>165</v>
      </c>
      <c r="C168" s="70"/>
      <c r="D168" s="70"/>
      <c r="E168" s="103">
        <f>E167/D167</f>
        <v>1.5421686746987953</v>
      </c>
      <c r="F168" s="103">
        <f>F167/E167</f>
        <v>1.099609375</v>
      </c>
      <c r="G168" s="103">
        <f>G167/F167</f>
        <v>1.0603907637655416</v>
      </c>
      <c r="H168" s="188">
        <f>(E168+F168)/2</f>
        <v>1.3208890248493976</v>
      </c>
      <c r="I168" s="66"/>
      <c r="J168" s="111"/>
      <c r="K168" s="111"/>
    </row>
    <row r="169" spans="1:11" ht="12.75">
      <c r="A169" s="62"/>
      <c r="B169" s="74" t="s">
        <v>73</v>
      </c>
      <c r="C169" s="75"/>
      <c r="D169" s="107">
        <f aca="true" t="shared" si="5" ref="D169:I169">D170+D172</f>
        <v>1568</v>
      </c>
      <c r="E169" s="107">
        <f t="shared" si="5"/>
        <v>1923</v>
      </c>
      <c r="F169" s="107">
        <f t="shared" si="5"/>
        <v>2161</v>
      </c>
      <c r="G169" s="107">
        <f t="shared" si="5"/>
        <v>1917</v>
      </c>
      <c r="H169" s="107">
        <f t="shared" si="5"/>
        <v>1884</v>
      </c>
      <c r="I169" s="107">
        <f t="shared" si="5"/>
        <v>2044</v>
      </c>
      <c r="J169" s="110">
        <f>F169/E169</f>
        <v>1.1237649505980238</v>
      </c>
      <c r="K169" s="110">
        <f>F169/D169</f>
        <v>1.378188775510204</v>
      </c>
    </row>
    <row r="170" spans="1:11" ht="12.75">
      <c r="A170" s="55">
        <v>114</v>
      </c>
      <c r="B170" s="69" t="s">
        <v>74</v>
      </c>
      <c r="C170" s="76"/>
      <c r="D170" s="76">
        <v>376</v>
      </c>
      <c r="E170" s="76">
        <v>488</v>
      </c>
      <c r="F170" s="77">
        <v>598</v>
      </c>
      <c r="G170" s="77">
        <f>173/4*12</f>
        <v>519</v>
      </c>
      <c r="H170" s="49">
        <f t="shared" si="2"/>
        <v>487.3333333333333</v>
      </c>
      <c r="I170" s="66">
        <v>560</v>
      </c>
      <c r="J170" s="111">
        <f>F170/E170</f>
        <v>1.2254098360655739</v>
      </c>
      <c r="K170" s="111">
        <f>F170/D170</f>
        <v>1.5904255319148937</v>
      </c>
    </row>
    <row r="171" spans="1:11" ht="12.75">
      <c r="A171" s="78"/>
      <c r="B171" s="91" t="s">
        <v>165</v>
      </c>
      <c r="C171" s="70"/>
      <c r="D171" s="70"/>
      <c r="E171" s="103">
        <f>E170/D170</f>
        <v>1.297872340425532</v>
      </c>
      <c r="F171" s="103">
        <f>F170/E170</f>
        <v>1.2254098360655739</v>
      </c>
      <c r="G171" s="103">
        <f>G170/F170</f>
        <v>0.8678929765886287</v>
      </c>
      <c r="H171" s="188">
        <f>(E171+F171)/2</f>
        <v>1.2616410882455529</v>
      </c>
      <c r="I171" s="66"/>
      <c r="J171" s="112"/>
      <c r="K171" s="112"/>
    </row>
    <row r="172" spans="1:11" ht="12.75">
      <c r="A172" s="78">
        <v>115</v>
      </c>
      <c r="B172" s="79" t="s">
        <v>75</v>
      </c>
      <c r="C172" s="76"/>
      <c r="D172" s="76">
        <v>1192</v>
      </c>
      <c r="E172" s="76">
        <v>1435</v>
      </c>
      <c r="F172" s="77">
        <v>1563</v>
      </c>
      <c r="G172" s="77">
        <f>466/4*12</f>
        <v>1398</v>
      </c>
      <c r="H172" s="49">
        <f t="shared" si="2"/>
        <v>1396.6666666666667</v>
      </c>
      <c r="I172" s="66">
        <v>1484</v>
      </c>
      <c r="J172" s="112">
        <f>F172/E172</f>
        <v>1.0891986062717771</v>
      </c>
      <c r="K172" s="112">
        <f>F172/D172</f>
        <v>1.311241610738255</v>
      </c>
    </row>
    <row r="173" spans="1:11" ht="12.75">
      <c r="A173" s="94"/>
      <c r="B173" s="91" t="s">
        <v>165</v>
      </c>
      <c r="C173" s="70"/>
      <c r="D173" s="70"/>
      <c r="E173" s="103">
        <f>E172/D172</f>
        <v>1.2038590604026846</v>
      </c>
      <c r="F173" s="103">
        <f>F172/E172</f>
        <v>1.0891986062717771</v>
      </c>
      <c r="G173" s="103">
        <f>G172/F172</f>
        <v>0.8944337811900192</v>
      </c>
      <c r="H173" s="188">
        <f>(E173+F173)/2</f>
        <v>1.1465288333372308</v>
      </c>
      <c r="I173" s="66"/>
      <c r="J173" s="112"/>
      <c r="K173" s="112"/>
    </row>
    <row r="174" spans="1:11" ht="12.75">
      <c r="A174" s="120"/>
      <c r="B174" s="200" t="s">
        <v>237</v>
      </c>
      <c r="C174" s="198"/>
      <c r="D174" s="217">
        <f aca="true" t="shared" si="6" ref="D174:I174">D175+D177</f>
        <v>0</v>
      </c>
      <c r="E174" s="217">
        <f t="shared" si="6"/>
        <v>0</v>
      </c>
      <c r="F174" s="217">
        <f t="shared" si="6"/>
        <v>0</v>
      </c>
      <c r="G174" s="217">
        <f t="shared" si="6"/>
        <v>0</v>
      </c>
      <c r="H174" s="217">
        <f t="shared" si="6"/>
        <v>0</v>
      </c>
      <c r="I174" s="217">
        <f t="shared" si="6"/>
        <v>420</v>
      </c>
      <c r="J174" s="199"/>
      <c r="K174" s="199"/>
    </row>
    <row r="175" spans="1:11" ht="25.5">
      <c r="A175" s="55">
        <v>116</v>
      </c>
      <c r="B175" s="176" t="s">
        <v>224</v>
      </c>
      <c r="C175" s="70"/>
      <c r="D175" s="70">
        <v>0</v>
      </c>
      <c r="E175" s="70">
        <v>0</v>
      </c>
      <c r="F175" s="70">
        <v>0</v>
      </c>
      <c r="G175" s="70">
        <v>0</v>
      </c>
      <c r="H175" s="70">
        <v>0</v>
      </c>
      <c r="I175" s="70">
        <v>210</v>
      </c>
      <c r="J175" s="112"/>
      <c r="K175" s="112"/>
    </row>
    <row r="176" spans="1:11" ht="12.75">
      <c r="A176" s="55"/>
      <c r="B176" s="91" t="s">
        <v>165</v>
      </c>
      <c r="C176" s="70"/>
      <c r="D176" s="70"/>
      <c r="E176" s="103"/>
      <c r="F176" s="103"/>
      <c r="G176" s="103"/>
      <c r="H176" s="103"/>
      <c r="I176" s="103"/>
      <c r="J176" s="112"/>
      <c r="K176" s="112"/>
    </row>
    <row r="177" spans="1:11" ht="25.5">
      <c r="A177" s="55">
        <v>117</v>
      </c>
      <c r="B177" s="177" t="s">
        <v>225</v>
      </c>
      <c r="C177" s="70"/>
      <c r="D177" s="70">
        <v>0</v>
      </c>
      <c r="E177" s="70">
        <v>0</v>
      </c>
      <c r="F177" s="70">
        <v>0</v>
      </c>
      <c r="G177" s="70">
        <v>0</v>
      </c>
      <c r="H177" s="70">
        <v>0</v>
      </c>
      <c r="I177" s="70">
        <v>210</v>
      </c>
      <c r="J177" s="112"/>
      <c r="K177" s="112"/>
    </row>
    <row r="178" spans="1:11" ht="12.75">
      <c r="A178" s="55"/>
      <c r="B178" s="91" t="s">
        <v>165</v>
      </c>
      <c r="C178" s="70"/>
      <c r="D178" s="70"/>
      <c r="E178" s="103"/>
      <c r="F178" s="103"/>
      <c r="G178" s="103"/>
      <c r="H178" s="103"/>
      <c r="I178" s="103"/>
      <c r="J178" s="112"/>
      <c r="K178" s="112"/>
    </row>
    <row r="179" spans="1:11" ht="12.75">
      <c r="A179" s="404" t="s">
        <v>157</v>
      </c>
      <c r="B179" s="405"/>
      <c r="C179" s="406"/>
      <c r="D179" s="104">
        <f aca="true" t="shared" si="7" ref="D179:I179">D174+D169+D162+D151+D137+D55+D9</f>
        <v>7581</v>
      </c>
      <c r="E179" s="104">
        <f t="shared" si="7"/>
        <v>8791</v>
      </c>
      <c r="F179" s="104">
        <f t="shared" si="7"/>
        <v>9353</v>
      </c>
      <c r="G179" s="104">
        <f t="shared" si="7"/>
        <v>10723</v>
      </c>
      <c r="H179" s="104">
        <f t="shared" si="7"/>
        <v>8579.999999999998</v>
      </c>
      <c r="I179" s="104">
        <f t="shared" si="7"/>
        <v>10285</v>
      </c>
      <c r="J179" s="113">
        <f>F179/E179</f>
        <v>1.063929018314185</v>
      </c>
      <c r="K179" s="113">
        <f>F179/D179</f>
        <v>1.2337422503627489</v>
      </c>
    </row>
    <row r="180" spans="1:11" ht="12.75">
      <c r="A180" s="403" t="s">
        <v>156</v>
      </c>
      <c r="B180" s="403"/>
      <c r="C180" s="403"/>
      <c r="D180" s="80">
        <f aca="true" t="shared" si="8" ref="D180:I180">D179/12</f>
        <v>631.75</v>
      </c>
      <c r="E180" s="80">
        <f t="shared" si="8"/>
        <v>732.5833333333334</v>
      </c>
      <c r="F180" s="80">
        <f t="shared" si="8"/>
        <v>779.4166666666666</v>
      </c>
      <c r="G180" s="80">
        <f t="shared" si="8"/>
        <v>893.5833333333334</v>
      </c>
      <c r="H180" s="80">
        <f t="shared" si="8"/>
        <v>714.9999999999999</v>
      </c>
      <c r="I180" s="80">
        <f t="shared" si="8"/>
        <v>857.0833333333334</v>
      </c>
      <c r="J180" s="113">
        <f>F180/E180</f>
        <v>1.063929018314185</v>
      </c>
      <c r="K180" s="113">
        <f>F180/D180</f>
        <v>1.2337422503627489</v>
      </c>
    </row>
    <row r="181" spans="1:11" ht="12.75">
      <c r="A181" s="45"/>
      <c r="C181" s="45"/>
      <c r="D181" s="45"/>
      <c r="E181" s="45"/>
      <c r="F181" s="90"/>
      <c r="G181" s="90"/>
      <c r="H181" s="90"/>
      <c r="I181" s="90"/>
      <c r="J181" s="46"/>
      <c r="K181" s="46"/>
    </row>
    <row r="182" spans="2:10" ht="15.75">
      <c r="B182" s="262" t="s">
        <v>300</v>
      </c>
      <c r="C182" s="262"/>
      <c r="D182" s="262"/>
      <c r="E182" s="262"/>
      <c r="F182" s="262"/>
      <c r="G182" s="262"/>
      <c r="H182" s="375" t="s">
        <v>301</v>
      </c>
      <c r="I182" s="375"/>
      <c r="J182" s="262" t="s">
        <v>301</v>
      </c>
    </row>
    <row r="183" spans="2:10" ht="15.75">
      <c r="B183" s="262"/>
      <c r="C183" s="262"/>
      <c r="D183" s="262"/>
      <c r="E183" s="262"/>
      <c r="F183" s="262"/>
      <c r="G183" s="262"/>
      <c r="H183" s="262"/>
      <c r="I183" s="262"/>
      <c r="J183" s="262"/>
    </row>
    <row r="184" spans="2:10" ht="15.75">
      <c r="B184" s="41" t="s">
        <v>384</v>
      </c>
      <c r="C184" s="41"/>
      <c r="D184" s="41"/>
      <c r="E184" s="262"/>
      <c r="F184" s="262"/>
      <c r="G184" s="262"/>
      <c r="H184" s="262"/>
      <c r="I184" s="262"/>
      <c r="J184" s="262"/>
    </row>
    <row r="185" spans="2:10" ht="15.75">
      <c r="B185" s="41" t="s">
        <v>302</v>
      </c>
      <c r="C185" s="41"/>
      <c r="D185" s="41"/>
      <c r="E185" s="262"/>
      <c r="F185" s="262"/>
      <c r="G185" s="262"/>
      <c r="H185" s="262"/>
      <c r="I185" s="262"/>
      <c r="J185" s="262"/>
    </row>
    <row r="186" spans="2:10" ht="15.75">
      <c r="B186" s="41" t="s">
        <v>303</v>
      </c>
      <c r="C186" s="41"/>
      <c r="D186" s="41"/>
      <c r="E186" s="262"/>
      <c r="F186" s="262"/>
      <c r="G186" s="262"/>
      <c r="H186" s="262"/>
      <c r="I186" s="262"/>
      <c r="J186" s="262"/>
    </row>
  </sheetData>
  <sheetProtection/>
  <mergeCells count="234">
    <mergeCell ref="C12:C13"/>
    <mergeCell ref="C10:C11"/>
    <mergeCell ref="C25:C30"/>
    <mergeCell ref="C19:C21"/>
    <mergeCell ref="C14:C16"/>
    <mergeCell ref="C17:C18"/>
    <mergeCell ref="J1:K1"/>
    <mergeCell ref="J31:J36"/>
    <mergeCell ref="K31:K36"/>
    <mergeCell ref="J22:J23"/>
    <mergeCell ref="K22:K23"/>
    <mergeCell ref="G56:G58"/>
    <mergeCell ref="G19:G20"/>
    <mergeCell ref="G22:G23"/>
    <mergeCell ref="G25:G29"/>
    <mergeCell ref="G14:G15"/>
    <mergeCell ref="F130:F133"/>
    <mergeCell ref="E38:E39"/>
    <mergeCell ref="F38:F39"/>
    <mergeCell ref="G38:G39"/>
    <mergeCell ref="G97:G98"/>
    <mergeCell ref="G60:G61"/>
    <mergeCell ref="G63:G65"/>
    <mergeCell ref="G94:G95"/>
    <mergeCell ref="G75:G80"/>
    <mergeCell ref="G84:G85"/>
    <mergeCell ref="F31:F36"/>
    <mergeCell ref="G31:G36"/>
    <mergeCell ref="C87:C88"/>
    <mergeCell ref="C127:C129"/>
    <mergeCell ref="C130:C134"/>
    <mergeCell ref="C135:C136"/>
    <mergeCell ref="C89:C93"/>
    <mergeCell ref="D115:D121"/>
    <mergeCell ref="G112:G113"/>
    <mergeCell ref="G115:G121"/>
    <mergeCell ref="G89:G92"/>
    <mergeCell ref="F89:F92"/>
    <mergeCell ref="E56:E58"/>
    <mergeCell ref="C75:C81"/>
    <mergeCell ref="D75:D80"/>
    <mergeCell ref="D63:D65"/>
    <mergeCell ref="F56:F58"/>
    <mergeCell ref="E63:E65"/>
    <mergeCell ref="C82:C83"/>
    <mergeCell ref="D67:D73"/>
    <mergeCell ref="A180:C180"/>
    <mergeCell ref="A179:C179"/>
    <mergeCell ref="C115:C122"/>
    <mergeCell ref="C123:C124"/>
    <mergeCell ref="C125:C126"/>
    <mergeCell ref="E115:E121"/>
    <mergeCell ref="C138:C150"/>
    <mergeCell ref="F127:F128"/>
    <mergeCell ref="C51:C52"/>
    <mergeCell ref="K115:K121"/>
    <mergeCell ref="D112:D113"/>
    <mergeCell ref="E112:E113"/>
    <mergeCell ref="J112:J113"/>
    <mergeCell ref="F112:F113"/>
    <mergeCell ref="C84:C86"/>
    <mergeCell ref="F75:F80"/>
    <mergeCell ref="C100:C107"/>
    <mergeCell ref="C45:C47"/>
    <mergeCell ref="C48:C50"/>
    <mergeCell ref="C56:C59"/>
    <mergeCell ref="C60:C62"/>
    <mergeCell ref="C63:C66"/>
    <mergeCell ref="C67:C74"/>
    <mergeCell ref="C53:C54"/>
    <mergeCell ref="J48:J49"/>
    <mergeCell ref="K48:K49"/>
    <mergeCell ref="G41:G43"/>
    <mergeCell ref="G45:G46"/>
    <mergeCell ref="K41:K43"/>
    <mergeCell ref="H41:H43"/>
    <mergeCell ref="J41:J43"/>
    <mergeCell ref="K45:K46"/>
    <mergeCell ref="G48:G49"/>
    <mergeCell ref="I41:I43"/>
    <mergeCell ref="K6:K7"/>
    <mergeCell ref="J6:J7"/>
    <mergeCell ref="D6:G6"/>
    <mergeCell ref="H6:H7"/>
    <mergeCell ref="I6:I7"/>
    <mergeCell ref="H38:H39"/>
    <mergeCell ref="I31:I36"/>
    <mergeCell ref="D38:D39"/>
    <mergeCell ref="E25:E29"/>
    <mergeCell ref="F25:F29"/>
    <mergeCell ref="F48:F49"/>
    <mergeCell ref="E41:E43"/>
    <mergeCell ref="F41:F43"/>
    <mergeCell ref="D48:D49"/>
    <mergeCell ref="F45:F46"/>
    <mergeCell ref="A6:A7"/>
    <mergeCell ref="B6:B7"/>
    <mergeCell ref="C6:C7"/>
    <mergeCell ref="C41:C44"/>
    <mergeCell ref="D41:D43"/>
    <mergeCell ref="K25:K29"/>
    <mergeCell ref="J38:J39"/>
    <mergeCell ref="C22:C24"/>
    <mergeCell ref="K38:K39"/>
    <mergeCell ref="J25:J29"/>
    <mergeCell ref="C38:C40"/>
    <mergeCell ref="H31:H36"/>
    <mergeCell ref="C31:C37"/>
    <mergeCell ref="D31:D36"/>
    <mergeCell ref="E31:E36"/>
    <mergeCell ref="J14:J15"/>
    <mergeCell ref="K14:K15"/>
    <mergeCell ref="J19:J20"/>
    <mergeCell ref="K19:K20"/>
    <mergeCell ref="J45:J46"/>
    <mergeCell ref="D56:D58"/>
    <mergeCell ref="D45:D46"/>
    <mergeCell ref="E19:E20"/>
    <mergeCell ref="F19:F20"/>
    <mergeCell ref="E14:E15"/>
    <mergeCell ref="C108:C109"/>
    <mergeCell ref="C110:C111"/>
    <mergeCell ref="E97:E98"/>
    <mergeCell ref="F97:F98"/>
    <mergeCell ref="C94:C96"/>
    <mergeCell ref="C97:C99"/>
    <mergeCell ref="D100:D106"/>
    <mergeCell ref="E100:E106"/>
    <mergeCell ref="F100:F106"/>
    <mergeCell ref="F94:F95"/>
    <mergeCell ref="C112:C114"/>
    <mergeCell ref="D89:D92"/>
    <mergeCell ref="E89:E92"/>
    <mergeCell ref="E94:E95"/>
    <mergeCell ref="E75:E80"/>
    <mergeCell ref="D130:D133"/>
    <mergeCell ref="E130:E133"/>
    <mergeCell ref="D127:D128"/>
    <mergeCell ref="E127:E128"/>
    <mergeCell ref="D97:D98"/>
    <mergeCell ref="G127:G128"/>
    <mergeCell ref="G130:G133"/>
    <mergeCell ref="J127:J128"/>
    <mergeCell ref="K127:K128"/>
    <mergeCell ref="J130:J133"/>
    <mergeCell ref="K130:K133"/>
    <mergeCell ref="H130:H133"/>
    <mergeCell ref="I127:I128"/>
    <mergeCell ref="I130:I133"/>
    <mergeCell ref="G100:G106"/>
    <mergeCell ref="F115:F121"/>
    <mergeCell ref="J115:J121"/>
    <mergeCell ref="K112:K113"/>
    <mergeCell ref="J100:J106"/>
    <mergeCell ref="I97:I98"/>
    <mergeCell ref="I100:I106"/>
    <mergeCell ref="I115:I121"/>
    <mergeCell ref="I112:I113"/>
    <mergeCell ref="J94:J95"/>
    <mergeCell ref="K94:K95"/>
    <mergeCell ref="K100:K106"/>
    <mergeCell ref="J97:J98"/>
    <mergeCell ref="J84:J85"/>
    <mergeCell ref="K84:K85"/>
    <mergeCell ref="K97:K98"/>
    <mergeCell ref="J75:J80"/>
    <mergeCell ref="K75:K80"/>
    <mergeCell ref="J89:J92"/>
    <mergeCell ref="K89:K92"/>
    <mergeCell ref="J67:J73"/>
    <mergeCell ref="K67:K73"/>
    <mergeCell ref="F67:F73"/>
    <mergeCell ref="G67:G73"/>
    <mergeCell ref="D19:D20"/>
    <mergeCell ref="D22:D23"/>
    <mergeCell ref="E22:E23"/>
    <mergeCell ref="F22:F23"/>
    <mergeCell ref="F63:F65"/>
    <mergeCell ref="D60:D61"/>
    <mergeCell ref="E60:E61"/>
    <mergeCell ref="E48:E49"/>
    <mergeCell ref="J56:J58"/>
    <mergeCell ref="K56:K58"/>
    <mergeCell ref="J63:J65"/>
    <mergeCell ref="K63:K65"/>
    <mergeCell ref="J60:J61"/>
    <mergeCell ref="K60:K61"/>
    <mergeCell ref="F14:F15"/>
    <mergeCell ref="D84:D85"/>
    <mergeCell ref="E84:E85"/>
    <mergeCell ref="F84:F85"/>
    <mergeCell ref="D94:D95"/>
    <mergeCell ref="D14:D15"/>
    <mergeCell ref="F60:F61"/>
    <mergeCell ref="E45:E46"/>
    <mergeCell ref="D25:D29"/>
    <mergeCell ref="E67:E73"/>
    <mergeCell ref="H14:H15"/>
    <mergeCell ref="H19:H20"/>
    <mergeCell ref="H22:H23"/>
    <mergeCell ref="I25:I29"/>
    <mergeCell ref="I22:I23"/>
    <mergeCell ref="I19:I20"/>
    <mergeCell ref="I14:I15"/>
    <mergeCell ref="H25:H29"/>
    <mergeCell ref="I45:I46"/>
    <mergeCell ref="H45:H46"/>
    <mergeCell ref="I48:I49"/>
    <mergeCell ref="I38:I39"/>
    <mergeCell ref="H56:H58"/>
    <mergeCell ref="I56:I58"/>
    <mergeCell ref="H48:H49"/>
    <mergeCell ref="H60:H61"/>
    <mergeCell ref="H63:H65"/>
    <mergeCell ref="H67:H73"/>
    <mergeCell ref="H75:H80"/>
    <mergeCell ref="H84:H85"/>
    <mergeCell ref="H89:H92"/>
    <mergeCell ref="H94:H95"/>
    <mergeCell ref="H97:H98"/>
    <mergeCell ref="H100:H106"/>
    <mergeCell ref="H112:H113"/>
    <mergeCell ref="H115:H121"/>
    <mergeCell ref="H127:H128"/>
    <mergeCell ref="H182:I182"/>
    <mergeCell ref="H2:K2"/>
    <mergeCell ref="D3:K3"/>
    <mergeCell ref="I60:I61"/>
    <mergeCell ref="I63:I65"/>
    <mergeCell ref="I67:I73"/>
    <mergeCell ref="I75:I80"/>
    <mergeCell ref="I84:I85"/>
    <mergeCell ref="I94:I95"/>
    <mergeCell ref="I89:I92"/>
  </mergeCells>
  <printOptions/>
  <pageMargins left="0.7086614173228347" right="0.7086614173228347" top="0.7480314960629921" bottom="0.7480314960629921" header="0.31496062992125984" footer="0.31496062992125984"/>
  <pageSetup horizontalDpi="600" verticalDpi="600" orientation="portrait" paperSize="9" scale="45" r:id="rId1"/>
  <headerFooter>
    <oddFooter>&amp;CLMpielik_18_070815_LMZino</oddFooter>
  </headerFooter>
</worksheet>
</file>

<file path=xl/worksheets/sheet4.xml><?xml version="1.0" encoding="utf-8"?>
<worksheet xmlns="http://schemas.openxmlformats.org/spreadsheetml/2006/main" xmlns:r="http://schemas.openxmlformats.org/officeDocument/2006/relationships">
  <dimension ref="A1:Q143"/>
  <sheetViews>
    <sheetView workbookViewId="0" topLeftCell="B133">
      <selection activeCell="C160" sqref="C160"/>
    </sheetView>
  </sheetViews>
  <sheetFormatPr defaultColWidth="9.140625" defaultRowHeight="12.75"/>
  <cols>
    <col min="2" max="2" width="44.8515625" style="0" customWidth="1"/>
    <col min="3" max="3" width="27.00390625" style="0" customWidth="1"/>
    <col min="4" max="4" width="10.00390625" style="0" customWidth="1"/>
    <col min="5" max="7" width="9.140625" style="0" customWidth="1"/>
    <col min="8" max="8" width="12.421875" style="0" hidden="1" customWidth="1"/>
    <col min="9" max="9" width="12.421875" style="0" customWidth="1"/>
    <col min="10" max="12" width="12.421875" style="0" hidden="1" customWidth="1"/>
    <col min="13" max="13" width="10.00390625" style="0" customWidth="1"/>
    <col min="15" max="15" width="10.140625" style="0" customWidth="1"/>
  </cols>
  <sheetData>
    <row r="1" spans="10:15" ht="15.75">
      <c r="J1" s="155"/>
      <c r="K1" s="155"/>
      <c r="L1" s="155"/>
      <c r="M1" s="337" t="s">
        <v>299</v>
      </c>
      <c r="N1" s="337"/>
      <c r="O1" s="337"/>
    </row>
    <row r="2" spans="11:15" ht="15.75">
      <c r="K2" s="308" t="s">
        <v>304</v>
      </c>
      <c r="L2" s="308"/>
      <c r="M2" s="308"/>
      <c r="N2" s="308"/>
      <c r="O2" s="308"/>
    </row>
    <row r="3" spans="6:15" ht="37.5" customHeight="1">
      <c r="F3" s="309" t="s">
        <v>305</v>
      </c>
      <c r="G3" s="309"/>
      <c r="H3" s="309"/>
      <c r="I3" s="309"/>
      <c r="J3" s="309"/>
      <c r="K3" s="309"/>
      <c r="L3" s="309"/>
      <c r="M3" s="309"/>
      <c r="N3" s="309"/>
      <c r="O3" s="309"/>
    </row>
    <row r="4" spans="1:13" ht="18.75">
      <c r="A4" s="255" t="s">
        <v>214</v>
      </c>
      <c r="B4" s="255"/>
      <c r="C4" s="255"/>
      <c r="D4" s="255"/>
      <c r="E4" s="255"/>
      <c r="F4" s="255"/>
      <c r="G4" s="255"/>
      <c r="H4" s="255"/>
      <c r="I4" s="255"/>
      <c r="J4" s="255"/>
      <c r="K4" s="255"/>
      <c r="L4" s="255"/>
      <c r="M4" s="255"/>
    </row>
    <row r="6" spans="1:15" ht="12.75" customHeight="1">
      <c r="A6" s="410" t="s">
        <v>114</v>
      </c>
      <c r="B6" s="412" t="s">
        <v>115</v>
      </c>
      <c r="C6" s="414" t="s">
        <v>116</v>
      </c>
      <c r="D6" s="414" t="s">
        <v>216</v>
      </c>
      <c r="E6" s="414" t="s">
        <v>215</v>
      </c>
      <c r="F6" s="414" t="s">
        <v>160</v>
      </c>
      <c r="G6" s="414" t="s">
        <v>298</v>
      </c>
      <c r="H6" s="414" t="s">
        <v>170</v>
      </c>
      <c r="I6" s="414" t="s">
        <v>171</v>
      </c>
      <c r="J6" s="420" t="s">
        <v>217</v>
      </c>
      <c r="K6" s="420"/>
      <c r="L6" s="420"/>
      <c r="M6" s="416" t="s">
        <v>209</v>
      </c>
      <c r="N6" s="416"/>
      <c r="O6" s="416"/>
    </row>
    <row r="7" spans="1:15" ht="60.75" customHeight="1">
      <c r="A7" s="411"/>
      <c r="B7" s="413"/>
      <c r="C7" s="383"/>
      <c r="D7" s="415"/>
      <c r="E7" s="415"/>
      <c r="F7" s="415"/>
      <c r="G7" s="415"/>
      <c r="H7" s="415"/>
      <c r="I7" s="415"/>
      <c r="J7" s="157" t="s">
        <v>218</v>
      </c>
      <c r="K7" s="157" t="s">
        <v>219</v>
      </c>
      <c r="L7" s="157" t="s">
        <v>220</v>
      </c>
      <c r="M7" s="162" t="s">
        <v>210</v>
      </c>
      <c r="N7" s="162" t="s">
        <v>211</v>
      </c>
      <c r="O7" s="162" t="s">
        <v>212</v>
      </c>
    </row>
    <row r="8" spans="1:15" ht="27.75" customHeight="1">
      <c r="A8" s="141">
        <v>1</v>
      </c>
      <c r="B8" s="118">
        <v>2</v>
      </c>
      <c r="C8" s="117">
        <v>3</v>
      </c>
      <c r="D8" s="118">
        <v>4</v>
      </c>
      <c r="E8" s="118">
        <v>5</v>
      </c>
      <c r="F8" s="118">
        <v>6</v>
      </c>
      <c r="G8" s="119" t="s">
        <v>169</v>
      </c>
      <c r="H8" s="118" t="s">
        <v>213</v>
      </c>
      <c r="I8" s="118" t="s">
        <v>293</v>
      </c>
      <c r="J8" s="118" t="s">
        <v>221</v>
      </c>
      <c r="K8" s="118" t="s">
        <v>222</v>
      </c>
      <c r="L8" s="118" t="s">
        <v>223</v>
      </c>
      <c r="M8" s="85">
        <v>9</v>
      </c>
      <c r="N8" s="85" t="s">
        <v>294</v>
      </c>
      <c r="O8" s="57" t="s">
        <v>295</v>
      </c>
    </row>
    <row r="9" spans="1:15" ht="12.75">
      <c r="A9" s="53"/>
      <c r="B9" s="54" t="s">
        <v>102</v>
      </c>
      <c r="C9" s="54"/>
      <c r="D9" s="125" t="s">
        <v>112</v>
      </c>
      <c r="E9" s="125" t="s">
        <v>112</v>
      </c>
      <c r="F9" s="125" t="s">
        <v>112</v>
      </c>
      <c r="G9" s="125" t="s">
        <v>112</v>
      </c>
      <c r="H9" s="139" t="e">
        <f>F9/E9</f>
        <v>#VALUE!</v>
      </c>
      <c r="I9" s="257">
        <f>SUM(I10:I41)/30</f>
        <v>0.8895379493505176</v>
      </c>
      <c r="J9" s="161">
        <f>(SUM(J10:J39))/30</f>
        <v>0.7187058117887789</v>
      </c>
      <c r="K9" s="161">
        <f>(SUM(K10:K39))/30</f>
        <v>0.8625603041632528</v>
      </c>
      <c r="L9" s="161">
        <f>(SUM(L10:L39))/30</f>
        <v>0.7906330579760161</v>
      </c>
      <c r="M9" s="109">
        <f>SUM(M10:M39)</f>
        <v>5450</v>
      </c>
      <c r="N9" s="125" t="s">
        <v>112</v>
      </c>
      <c r="O9" s="125" t="s">
        <v>112</v>
      </c>
    </row>
    <row r="10" spans="1:15" ht="12.75">
      <c r="A10" s="55">
        <v>1</v>
      </c>
      <c r="B10" s="56" t="s">
        <v>3</v>
      </c>
      <c r="C10" s="57" t="s">
        <v>121</v>
      </c>
      <c r="D10" s="81">
        <f>161/0.702804</f>
        <v>229.0823615118867</v>
      </c>
      <c r="E10" s="57">
        <v>229.48</v>
      </c>
      <c r="F10" s="57">
        <v>226.45</v>
      </c>
      <c r="G10" s="84">
        <f>(D10+E10+F10)/3</f>
        <v>228.33745383729556</v>
      </c>
      <c r="H10" s="111">
        <f>F10/E10</f>
        <v>0.9867962349660101</v>
      </c>
      <c r="I10" s="111">
        <f>F10/D10</f>
        <v>0.988509104347826</v>
      </c>
      <c r="J10" s="84">
        <f>E10/D10</f>
        <v>1.0017357883229812</v>
      </c>
      <c r="K10" s="84">
        <f>F10/E10</f>
        <v>0.9867962349660101</v>
      </c>
      <c r="L10" s="159">
        <f>(J10+K10)/2</f>
        <v>0.9942660116444957</v>
      </c>
      <c r="M10" s="143">
        <v>260</v>
      </c>
      <c r="N10" s="143">
        <f>F10</f>
        <v>226.45</v>
      </c>
      <c r="O10" s="143">
        <f>(M10*N10)/M10</f>
        <v>226.45</v>
      </c>
    </row>
    <row r="11" spans="1:15" ht="12.75">
      <c r="A11" s="55">
        <v>2</v>
      </c>
      <c r="B11" s="56" t="s">
        <v>16</v>
      </c>
      <c r="C11" s="57" t="s">
        <v>127</v>
      </c>
      <c r="D11" s="81">
        <f>15/0.702804</f>
        <v>21.343077159492548</v>
      </c>
      <c r="E11" s="57">
        <v>19.83</v>
      </c>
      <c r="F11" s="57">
        <v>16.11</v>
      </c>
      <c r="G11" s="84">
        <f aca="true" t="shared" si="0" ref="G11:G39">(D11+E11+F11)/3</f>
        <v>19.094359053164183</v>
      </c>
      <c r="H11" s="111">
        <f aca="true" t="shared" si="1" ref="H11:H38">F11/E11</f>
        <v>0.8124054462934948</v>
      </c>
      <c r="I11" s="111">
        <f aca="true" t="shared" si="2" ref="I11:I38">F11/D11</f>
        <v>0.754811496</v>
      </c>
      <c r="J11" s="84">
        <f aca="true" t="shared" si="3" ref="J11:J39">E11/D11</f>
        <v>0.9291068879999999</v>
      </c>
      <c r="K11" s="84">
        <f aca="true" t="shared" si="4" ref="K11:K39">F11/E11</f>
        <v>0.8124054462934948</v>
      </c>
      <c r="L11" s="159">
        <f aca="true" t="shared" si="5" ref="L11:L39">(J11+K11)/2</f>
        <v>0.8707561671467473</v>
      </c>
      <c r="M11" s="143">
        <v>120</v>
      </c>
      <c r="N11" s="143">
        <f aca="true" t="shared" si="6" ref="N11:N38">F11</f>
        <v>16.11</v>
      </c>
      <c r="O11" s="143">
        <f>(M11*N11)/M11</f>
        <v>16.11</v>
      </c>
    </row>
    <row r="12" spans="1:15" ht="12.75">
      <c r="A12" s="55">
        <v>3</v>
      </c>
      <c r="B12" s="56" t="s">
        <v>4</v>
      </c>
      <c r="C12" s="382" t="s">
        <v>4</v>
      </c>
      <c r="D12" s="81">
        <f>72/0.702804</f>
        <v>102.44677036556423</v>
      </c>
      <c r="E12" s="57">
        <v>108.92</v>
      </c>
      <c r="F12" s="57">
        <v>105.84</v>
      </c>
      <c r="G12" s="84">
        <f t="shared" si="0"/>
        <v>105.73559012185474</v>
      </c>
      <c r="H12" s="111">
        <f t="shared" si="1"/>
        <v>0.9717223650385605</v>
      </c>
      <c r="I12" s="111">
        <f t="shared" si="2"/>
        <v>1.03312188</v>
      </c>
      <c r="J12" s="84">
        <f t="shared" si="3"/>
        <v>1.0631862733333333</v>
      </c>
      <c r="K12" s="84">
        <f t="shared" si="4"/>
        <v>0.9717223650385605</v>
      </c>
      <c r="L12" s="159">
        <f t="shared" si="5"/>
        <v>1.0174543191859469</v>
      </c>
      <c r="M12" s="143">
        <v>700</v>
      </c>
      <c r="N12" s="143">
        <f t="shared" si="6"/>
        <v>105.84</v>
      </c>
      <c r="O12" s="417">
        <f>((N12*M12)+(M13*N13))/(M12+M13)</f>
        <v>112.85555555555555</v>
      </c>
    </row>
    <row r="13" spans="1:15" ht="12.75">
      <c r="A13" s="55">
        <v>4</v>
      </c>
      <c r="B13" s="56" t="s">
        <v>60</v>
      </c>
      <c r="C13" s="383"/>
      <c r="D13" s="81">
        <f>120/0.702804</f>
        <v>170.74461727594039</v>
      </c>
      <c r="E13" s="57">
        <v>170.74</v>
      </c>
      <c r="F13" s="57">
        <v>358.4</v>
      </c>
      <c r="G13" s="84">
        <f t="shared" si="0"/>
        <v>233.29487242531346</v>
      </c>
      <c r="H13" s="111">
        <f t="shared" si="1"/>
        <v>2.0990980438093003</v>
      </c>
      <c r="I13" s="111">
        <f t="shared" si="2"/>
        <v>2.09904128</v>
      </c>
      <c r="J13" s="84">
        <f t="shared" si="3"/>
        <v>0.999972958</v>
      </c>
      <c r="K13" s="84">
        <f t="shared" si="4"/>
        <v>2.0990980438093003</v>
      </c>
      <c r="L13" s="159">
        <f t="shared" si="5"/>
        <v>1.54953550090465</v>
      </c>
      <c r="M13" s="143">
        <v>20</v>
      </c>
      <c r="N13" s="143">
        <f t="shared" si="6"/>
        <v>358.4</v>
      </c>
      <c r="O13" s="417"/>
    </row>
    <row r="14" spans="1:15" ht="12.75">
      <c r="A14" s="55">
        <v>5</v>
      </c>
      <c r="B14" s="56" t="s">
        <v>0</v>
      </c>
      <c r="C14" s="57" t="s">
        <v>0</v>
      </c>
      <c r="D14" s="81">
        <f>50/0.702804</f>
        <v>71.14359053164182</v>
      </c>
      <c r="E14" s="57">
        <v>71</v>
      </c>
      <c r="F14" s="57">
        <v>70.56</v>
      </c>
      <c r="G14" s="84">
        <f t="shared" si="0"/>
        <v>70.90119684388061</v>
      </c>
      <c r="H14" s="111">
        <f t="shared" si="1"/>
        <v>0.9938028169014085</v>
      </c>
      <c r="I14" s="111">
        <f t="shared" si="2"/>
        <v>0.9917970048000001</v>
      </c>
      <c r="J14" s="84">
        <f t="shared" si="3"/>
        <v>0.9979816800000001</v>
      </c>
      <c r="K14" s="84">
        <f t="shared" si="4"/>
        <v>0.9938028169014085</v>
      </c>
      <c r="L14" s="159">
        <f t="shared" si="5"/>
        <v>0.9958922484507042</v>
      </c>
      <c r="M14" s="143">
        <v>500</v>
      </c>
      <c r="N14" s="143">
        <f t="shared" si="6"/>
        <v>70.56</v>
      </c>
      <c r="O14" s="143">
        <f>(M14*N14)/M14</f>
        <v>70.56</v>
      </c>
    </row>
    <row r="15" spans="1:15" ht="12.75">
      <c r="A15" s="55">
        <v>6</v>
      </c>
      <c r="B15" s="56" t="s">
        <v>18</v>
      </c>
      <c r="C15" s="382" t="s">
        <v>118</v>
      </c>
      <c r="D15" s="81">
        <f>726/0.702804</f>
        <v>1033.0049345194393</v>
      </c>
      <c r="E15" s="57">
        <v>1034.26</v>
      </c>
      <c r="F15" s="57">
        <v>1033.96</v>
      </c>
      <c r="G15" s="84">
        <f t="shared" si="0"/>
        <v>1033.7416448398133</v>
      </c>
      <c r="H15" s="111">
        <f t="shared" si="1"/>
        <v>0.9997099375398837</v>
      </c>
      <c r="I15" s="111">
        <f t="shared" si="2"/>
        <v>1.0009245507438016</v>
      </c>
      <c r="J15" s="84">
        <f t="shared" si="3"/>
        <v>1.0012149656198346</v>
      </c>
      <c r="K15" s="84">
        <f t="shared" si="4"/>
        <v>0.9997099375398837</v>
      </c>
      <c r="L15" s="159">
        <f t="shared" si="5"/>
        <v>1.000462451579859</v>
      </c>
      <c r="M15" s="143">
        <v>30</v>
      </c>
      <c r="N15" s="143">
        <f t="shared" si="6"/>
        <v>1033.96</v>
      </c>
      <c r="O15" s="417">
        <f>((N15*M15)+(M16*N16))/(M15+M16)</f>
        <v>536.5746835443039</v>
      </c>
    </row>
    <row r="16" spans="1:15" ht="12.75">
      <c r="A16" s="55">
        <v>7</v>
      </c>
      <c r="B16" s="60" t="s">
        <v>6</v>
      </c>
      <c r="C16" s="383"/>
      <c r="D16" s="81">
        <f>365/0.702804</f>
        <v>519.3482108809853</v>
      </c>
      <c r="E16" s="57">
        <v>435.06</v>
      </c>
      <c r="F16" s="81">
        <v>420</v>
      </c>
      <c r="G16" s="84">
        <f t="shared" si="0"/>
        <v>458.13607029366176</v>
      </c>
      <c r="H16" s="111">
        <f t="shared" si="1"/>
        <v>0.9653840849537995</v>
      </c>
      <c r="I16" s="111">
        <f t="shared" si="2"/>
        <v>0.8087059726027397</v>
      </c>
      <c r="J16" s="84">
        <f t="shared" si="3"/>
        <v>0.8377038581917808</v>
      </c>
      <c r="K16" s="84">
        <f t="shared" si="4"/>
        <v>0.9653840849537995</v>
      </c>
      <c r="L16" s="159">
        <f t="shared" si="5"/>
        <v>0.9015439715727902</v>
      </c>
      <c r="M16" s="143">
        <v>128</v>
      </c>
      <c r="N16" s="143">
        <f t="shared" si="6"/>
        <v>420</v>
      </c>
      <c r="O16" s="417"/>
    </row>
    <row r="17" spans="1:15" ht="12.75">
      <c r="A17" s="55">
        <v>8</v>
      </c>
      <c r="B17" s="56" t="s">
        <v>5</v>
      </c>
      <c r="C17" s="382" t="s">
        <v>126</v>
      </c>
      <c r="D17" s="81">
        <f>28/0.702804</f>
        <v>39.84041069771942</v>
      </c>
      <c r="E17" s="57">
        <v>39.84</v>
      </c>
      <c r="F17" s="57">
        <v>44.8</v>
      </c>
      <c r="G17" s="84">
        <f t="shared" si="0"/>
        <v>41.49347023257314</v>
      </c>
      <c r="H17" s="111">
        <f t="shared" si="1"/>
        <v>1.1244979919678713</v>
      </c>
      <c r="I17" s="111">
        <f t="shared" si="2"/>
        <v>1.1244863999999999</v>
      </c>
      <c r="J17" s="84">
        <f t="shared" si="3"/>
        <v>0.9999896914285715</v>
      </c>
      <c r="K17" s="84">
        <f t="shared" si="4"/>
        <v>1.1244979919678713</v>
      </c>
      <c r="L17" s="159">
        <f t="shared" si="5"/>
        <v>1.0622438416982214</v>
      </c>
      <c r="M17" s="143">
        <v>0</v>
      </c>
      <c r="N17" s="143">
        <f t="shared" si="6"/>
        <v>44.8</v>
      </c>
      <c r="O17" s="418">
        <f>((N17*M17)+(M18*N18))/(M17+M18)</f>
        <v>16.74</v>
      </c>
    </row>
    <row r="18" spans="1:15" ht="12.75">
      <c r="A18" s="55">
        <v>9</v>
      </c>
      <c r="B18" s="56" t="s">
        <v>19</v>
      </c>
      <c r="C18" s="383"/>
      <c r="D18" s="81">
        <f>14/0.702804</f>
        <v>19.92020534885971</v>
      </c>
      <c r="E18" s="57">
        <v>20.4</v>
      </c>
      <c r="F18" s="57">
        <v>16.74</v>
      </c>
      <c r="G18" s="84">
        <f t="shared" si="0"/>
        <v>19.020068449619902</v>
      </c>
      <c r="H18" s="111">
        <f t="shared" si="1"/>
        <v>0.8205882352941176</v>
      </c>
      <c r="I18" s="111">
        <f t="shared" si="2"/>
        <v>0.8403527828571428</v>
      </c>
      <c r="J18" s="84">
        <f t="shared" si="3"/>
        <v>1.0240858285714285</v>
      </c>
      <c r="K18" s="84">
        <f t="shared" si="4"/>
        <v>0.8205882352941176</v>
      </c>
      <c r="L18" s="159">
        <f t="shared" si="5"/>
        <v>0.922337031932773</v>
      </c>
      <c r="M18" s="143">
        <v>400</v>
      </c>
      <c r="N18" s="143">
        <f t="shared" si="6"/>
        <v>16.74</v>
      </c>
      <c r="O18" s="418"/>
    </row>
    <row r="19" spans="1:15" ht="18.75" customHeight="1">
      <c r="A19" s="55">
        <v>10</v>
      </c>
      <c r="B19" s="56" t="s">
        <v>20</v>
      </c>
      <c r="C19" s="382" t="s">
        <v>117</v>
      </c>
      <c r="D19" s="81">
        <f>6/0.702804</f>
        <v>8.537230863797019</v>
      </c>
      <c r="E19" s="57">
        <v>7.66</v>
      </c>
      <c r="F19" s="57">
        <v>5.51</v>
      </c>
      <c r="G19" s="84">
        <f t="shared" si="0"/>
        <v>7.235743621265672</v>
      </c>
      <c r="H19" s="111">
        <f t="shared" si="1"/>
        <v>0.7193211488250653</v>
      </c>
      <c r="I19" s="111">
        <f t="shared" si="2"/>
        <v>0.6454083399999999</v>
      </c>
      <c r="J19" s="84">
        <f t="shared" si="3"/>
        <v>0.89724644</v>
      </c>
      <c r="K19" s="84">
        <f t="shared" si="4"/>
        <v>0.7193211488250653</v>
      </c>
      <c r="L19" s="159">
        <f t="shared" si="5"/>
        <v>0.8082837944125326</v>
      </c>
      <c r="M19" s="143">
        <v>1000</v>
      </c>
      <c r="N19" s="143">
        <f t="shared" si="6"/>
        <v>5.51</v>
      </c>
      <c r="O19" s="419">
        <f>((M19*N19)+(M20*N20)+(M21*N21)+(M22*N22)+(M23*N23))/SUM(M19:M23)</f>
        <v>9.89725</v>
      </c>
    </row>
    <row r="20" spans="1:15" ht="25.5">
      <c r="A20" s="55">
        <v>11</v>
      </c>
      <c r="B20" s="56" t="s">
        <v>87</v>
      </c>
      <c r="C20" s="384"/>
      <c r="D20" s="81">
        <v>0</v>
      </c>
      <c r="E20" s="57">
        <v>19.09</v>
      </c>
      <c r="F20" s="57">
        <v>8.95</v>
      </c>
      <c r="G20" s="84">
        <f t="shared" si="0"/>
        <v>9.346666666666666</v>
      </c>
      <c r="H20" s="111">
        <f t="shared" si="1"/>
        <v>0.4688318491356731</v>
      </c>
      <c r="I20" s="111">
        <v>1</v>
      </c>
      <c r="J20" s="84">
        <v>0</v>
      </c>
      <c r="K20" s="84">
        <f t="shared" si="4"/>
        <v>0.4688318491356731</v>
      </c>
      <c r="L20" s="159">
        <f t="shared" si="5"/>
        <v>0.23441592456783655</v>
      </c>
      <c r="M20" s="143">
        <v>200</v>
      </c>
      <c r="N20" s="143">
        <f t="shared" si="6"/>
        <v>8.95</v>
      </c>
      <c r="O20" s="419"/>
    </row>
    <row r="21" spans="1:15" ht="12.75">
      <c r="A21" s="55">
        <v>12</v>
      </c>
      <c r="B21" s="56" t="s">
        <v>21</v>
      </c>
      <c r="C21" s="384"/>
      <c r="D21" s="81">
        <f>14/0.702804</f>
        <v>19.92020534885971</v>
      </c>
      <c r="E21" s="57">
        <v>19.92</v>
      </c>
      <c r="F21" s="57">
        <v>22.29</v>
      </c>
      <c r="G21" s="84">
        <f t="shared" si="0"/>
        <v>20.710068449619904</v>
      </c>
      <c r="H21" s="111">
        <f t="shared" si="1"/>
        <v>1.1189759036144578</v>
      </c>
      <c r="I21" s="111">
        <f t="shared" si="2"/>
        <v>1.1189643685714286</v>
      </c>
      <c r="J21" s="84">
        <f t="shared" si="3"/>
        <v>0.9999896914285715</v>
      </c>
      <c r="K21" s="84">
        <f t="shared" si="4"/>
        <v>1.1189759036144578</v>
      </c>
      <c r="L21" s="159">
        <f t="shared" si="5"/>
        <v>1.0594827975215146</v>
      </c>
      <c r="M21" s="143">
        <v>280</v>
      </c>
      <c r="N21" s="143">
        <f t="shared" si="6"/>
        <v>22.29</v>
      </c>
      <c r="O21" s="419"/>
    </row>
    <row r="22" spans="1:15" ht="25.5">
      <c r="A22" s="55">
        <v>13</v>
      </c>
      <c r="B22" s="56" t="s">
        <v>88</v>
      </c>
      <c r="C22" s="384"/>
      <c r="D22" s="82">
        <v>0</v>
      </c>
      <c r="E22" s="82">
        <v>0</v>
      </c>
      <c r="F22" s="86">
        <v>19.12</v>
      </c>
      <c r="G22" s="145">
        <f>F22</f>
        <v>19.12</v>
      </c>
      <c r="H22" s="147">
        <v>1</v>
      </c>
      <c r="I22" s="147">
        <v>1</v>
      </c>
      <c r="J22" s="84">
        <v>0</v>
      </c>
      <c r="K22" s="84">
        <v>0</v>
      </c>
      <c r="L22" s="159">
        <v>0</v>
      </c>
      <c r="M22" s="143">
        <v>120</v>
      </c>
      <c r="N22" s="143">
        <f t="shared" si="6"/>
        <v>19.12</v>
      </c>
      <c r="O22" s="419"/>
    </row>
    <row r="23" spans="1:15" ht="12.75">
      <c r="A23" s="55">
        <v>14</v>
      </c>
      <c r="B23" s="56" t="s">
        <v>22</v>
      </c>
      <c r="C23" s="383"/>
      <c r="D23" s="82">
        <v>0</v>
      </c>
      <c r="E23" s="82">
        <v>0</v>
      </c>
      <c r="F23" s="86">
        <v>42.69</v>
      </c>
      <c r="G23" s="145">
        <f>F23</f>
        <v>42.69</v>
      </c>
      <c r="H23" s="147">
        <v>1</v>
      </c>
      <c r="I23" s="147">
        <v>1</v>
      </c>
      <c r="J23" s="84">
        <v>0</v>
      </c>
      <c r="K23" s="84">
        <v>0</v>
      </c>
      <c r="L23" s="159">
        <f t="shared" si="5"/>
        <v>0</v>
      </c>
      <c r="M23" s="143">
        <v>0</v>
      </c>
      <c r="N23" s="143">
        <f t="shared" si="6"/>
        <v>42.69</v>
      </c>
      <c r="O23" s="419"/>
    </row>
    <row r="24" spans="1:17" ht="12.75">
      <c r="A24" s="55">
        <v>15</v>
      </c>
      <c r="B24" s="56" t="s">
        <v>23</v>
      </c>
      <c r="C24" s="391" t="s">
        <v>119</v>
      </c>
      <c r="D24" s="81">
        <f>35/0.702804</f>
        <v>49.800513372149275</v>
      </c>
      <c r="E24" s="85">
        <v>49.8</v>
      </c>
      <c r="F24" s="85">
        <v>50.4</v>
      </c>
      <c r="G24" s="84">
        <f t="shared" si="0"/>
        <v>50.00017112404976</v>
      </c>
      <c r="H24" s="111">
        <f t="shared" si="1"/>
        <v>1.0120481927710843</v>
      </c>
      <c r="I24" s="111">
        <f t="shared" si="2"/>
        <v>1.01203776</v>
      </c>
      <c r="J24" s="84">
        <f t="shared" si="3"/>
        <v>0.9999896914285714</v>
      </c>
      <c r="K24" s="84">
        <f t="shared" si="4"/>
        <v>1.0120481927710843</v>
      </c>
      <c r="L24" s="159">
        <f t="shared" si="5"/>
        <v>1.0060189420998278</v>
      </c>
      <c r="M24" s="143">
        <v>20</v>
      </c>
      <c r="N24" s="143">
        <f t="shared" si="6"/>
        <v>50.4</v>
      </c>
      <c r="O24" s="419">
        <f>((M24*N24)+(M25*N25)+(M26*N26)+(M27*N27)+(M28*N28)+(M29*N29))/SUM(M24:M29)</f>
        <v>155.93482288828338</v>
      </c>
      <c r="Q24" s="142"/>
    </row>
    <row r="25" spans="1:15" ht="12.75">
      <c r="A25" s="55">
        <v>16</v>
      </c>
      <c r="B25" s="56" t="s">
        <v>24</v>
      </c>
      <c r="C25" s="392"/>
      <c r="D25" s="81">
        <f>42/0.702804</f>
        <v>59.76061604657913</v>
      </c>
      <c r="E25" s="85">
        <v>58.17</v>
      </c>
      <c r="F25" s="85">
        <v>57.01</v>
      </c>
      <c r="G25" s="84">
        <f t="shared" si="0"/>
        <v>58.31353868219304</v>
      </c>
      <c r="H25" s="111">
        <f t="shared" si="1"/>
        <v>0.9800584493725287</v>
      </c>
      <c r="I25" s="111">
        <f>F25/D25</f>
        <v>0.9539727628571428</v>
      </c>
      <c r="J25" s="84">
        <f t="shared" si="3"/>
        <v>0.97338354</v>
      </c>
      <c r="K25" s="84">
        <f t="shared" si="4"/>
        <v>0.9800584493725287</v>
      </c>
      <c r="L25" s="159">
        <f t="shared" si="5"/>
        <v>0.9767209946862644</v>
      </c>
      <c r="M25" s="143">
        <v>200</v>
      </c>
      <c r="N25" s="143">
        <f t="shared" si="6"/>
        <v>57.01</v>
      </c>
      <c r="O25" s="419"/>
    </row>
    <row r="26" spans="1:15" ht="25.5">
      <c r="A26" s="55">
        <v>17</v>
      </c>
      <c r="B26" s="56" t="s">
        <v>77</v>
      </c>
      <c r="C26" s="392"/>
      <c r="D26" s="81">
        <v>0</v>
      </c>
      <c r="E26" s="85">
        <v>167.33</v>
      </c>
      <c r="F26" s="85">
        <v>303.26</v>
      </c>
      <c r="G26" s="84">
        <f t="shared" si="0"/>
        <v>156.86333333333334</v>
      </c>
      <c r="H26" s="147">
        <f t="shared" si="1"/>
        <v>1.812346859499193</v>
      </c>
      <c r="I26" s="147">
        <v>1</v>
      </c>
      <c r="J26" s="84">
        <v>0</v>
      </c>
      <c r="K26" s="84">
        <f t="shared" si="4"/>
        <v>1.812346859499193</v>
      </c>
      <c r="L26" s="159">
        <f t="shared" si="5"/>
        <v>0.9061734297495965</v>
      </c>
      <c r="M26" s="143">
        <v>40</v>
      </c>
      <c r="N26" s="143">
        <f t="shared" si="6"/>
        <v>303.26</v>
      </c>
      <c r="O26" s="419"/>
    </row>
    <row r="27" spans="1:15" ht="12.75">
      <c r="A27" s="55">
        <v>18</v>
      </c>
      <c r="B27" s="56" t="s">
        <v>25</v>
      </c>
      <c r="C27" s="392"/>
      <c r="D27" s="81">
        <f>159/0.702804</f>
        <v>226.236617890621</v>
      </c>
      <c r="E27" s="85">
        <v>226.24</v>
      </c>
      <c r="F27" s="85">
        <v>160</v>
      </c>
      <c r="G27" s="84">
        <f t="shared" si="0"/>
        <v>204.15887263020701</v>
      </c>
      <c r="H27" s="147">
        <f t="shared" si="1"/>
        <v>0.7072135785007072</v>
      </c>
      <c r="I27" s="147">
        <f t="shared" si="2"/>
        <v>0.7072241509433962</v>
      </c>
      <c r="J27" s="84">
        <f t="shared" si="3"/>
        <v>1.0000149494339623</v>
      </c>
      <c r="K27" s="84">
        <f t="shared" si="4"/>
        <v>0.7072135785007072</v>
      </c>
      <c r="L27" s="159">
        <f t="shared" si="5"/>
        <v>0.8536142639673348</v>
      </c>
      <c r="M27" s="143">
        <v>60</v>
      </c>
      <c r="N27" s="143">
        <f t="shared" si="6"/>
        <v>160</v>
      </c>
      <c r="O27" s="419"/>
    </row>
    <row r="28" spans="1:15" ht="12.75">
      <c r="A28" s="55">
        <v>19</v>
      </c>
      <c r="B28" s="56" t="s">
        <v>17</v>
      </c>
      <c r="C28" s="392"/>
      <c r="D28" s="81">
        <v>0</v>
      </c>
      <c r="E28" s="85">
        <v>290.04</v>
      </c>
      <c r="F28" s="85">
        <v>439.04</v>
      </c>
      <c r="G28" s="84">
        <f t="shared" si="0"/>
        <v>243.02666666666667</v>
      </c>
      <c r="H28" s="147">
        <f t="shared" si="1"/>
        <v>1.5137222452075576</v>
      </c>
      <c r="I28" s="147">
        <v>1</v>
      </c>
      <c r="J28" s="84">
        <v>0</v>
      </c>
      <c r="K28" s="84">
        <f t="shared" si="4"/>
        <v>1.5137222452075576</v>
      </c>
      <c r="L28" s="159">
        <f t="shared" si="5"/>
        <v>0.7568611226037788</v>
      </c>
      <c r="M28" s="143">
        <v>42</v>
      </c>
      <c r="N28" s="143">
        <f t="shared" si="6"/>
        <v>439.04</v>
      </c>
      <c r="O28" s="419"/>
    </row>
    <row r="29" spans="1:15" ht="12.75">
      <c r="A29" s="55">
        <v>20</v>
      </c>
      <c r="B29" s="56" t="s">
        <v>172</v>
      </c>
      <c r="C29" s="393"/>
      <c r="D29" s="81">
        <v>0</v>
      </c>
      <c r="E29" s="85">
        <v>0</v>
      </c>
      <c r="F29" s="85">
        <v>929.6</v>
      </c>
      <c r="G29" s="84">
        <f t="shared" si="0"/>
        <v>309.8666666666667</v>
      </c>
      <c r="H29" s="147">
        <v>1</v>
      </c>
      <c r="I29" s="147">
        <v>1</v>
      </c>
      <c r="J29" s="84">
        <v>0</v>
      </c>
      <c r="K29" s="84">
        <v>0</v>
      </c>
      <c r="L29" s="159">
        <f t="shared" si="5"/>
        <v>0</v>
      </c>
      <c r="M29" s="184">
        <v>5</v>
      </c>
      <c r="N29" s="143">
        <f t="shared" si="6"/>
        <v>929.6</v>
      </c>
      <c r="O29" s="419"/>
    </row>
    <row r="30" spans="1:15" ht="12.75">
      <c r="A30" s="55">
        <v>21</v>
      </c>
      <c r="B30" s="56" t="s">
        <v>1</v>
      </c>
      <c r="C30" s="382" t="s">
        <v>123</v>
      </c>
      <c r="D30" s="81">
        <f>14/0.702804</f>
        <v>19.92020534885971</v>
      </c>
      <c r="E30" s="57">
        <v>18.87</v>
      </c>
      <c r="F30" s="57">
        <v>19.17</v>
      </c>
      <c r="G30" s="84">
        <f t="shared" si="0"/>
        <v>19.320068449619907</v>
      </c>
      <c r="H30" s="147">
        <f t="shared" si="1"/>
        <v>1.0158982511923689</v>
      </c>
      <c r="I30" s="147">
        <f t="shared" si="2"/>
        <v>0.9623394771428573</v>
      </c>
      <c r="J30" s="84">
        <f t="shared" si="3"/>
        <v>0.9472793914285715</v>
      </c>
      <c r="K30" s="84">
        <f t="shared" si="4"/>
        <v>1.0158982511923689</v>
      </c>
      <c r="L30" s="159">
        <f t="shared" si="5"/>
        <v>0.9815888213104702</v>
      </c>
      <c r="M30" s="143">
        <v>600</v>
      </c>
      <c r="N30" s="143">
        <f t="shared" si="6"/>
        <v>19.17</v>
      </c>
      <c r="O30" s="418">
        <f>((N30*M30)+(M31*N31))/(M30+M31)</f>
        <v>19.17</v>
      </c>
    </row>
    <row r="31" spans="1:15" ht="12.75">
      <c r="A31" s="55">
        <v>22</v>
      </c>
      <c r="B31" s="56" t="s">
        <v>173</v>
      </c>
      <c r="C31" s="383"/>
      <c r="D31" s="81">
        <v>0</v>
      </c>
      <c r="E31" s="57">
        <v>0</v>
      </c>
      <c r="F31" s="57">
        <v>44.8</v>
      </c>
      <c r="G31" s="84">
        <v>44.8</v>
      </c>
      <c r="H31" s="147">
        <v>1</v>
      </c>
      <c r="I31" s="147">
        <v>1</v>
      </c>
      <c r="J31" s="84">
        <v>0</v>
      </c>
      <c r="K31" s="84">
        <v>0</v>
      </c>
      <c r="L31" s="159">
        <f t="shared" si="5"/>
        <v>0</v>
      </c>
      <c r="M31" s="143">
        <v>0</v>
      </c>
      <c r="N31" s="143">
        <f t="shared" si="6"/>
        <v>44.8</v>
      </c>
      <c r="O31" s="418"/>
    </row>
    <row r="32" spans="1:15" ht="12.75">
      <c r="A32" s="55">
        <v>23</v>
      </c>
      <c r="B32" s="56" t="s">
        <v>26</v>
      </c>
      <c r="C32" s="382" t="s">
        <v>124</v>
      </c>
      <c r="D32" s="81">
        <f>37/0.702804</f>
        <v>52.64625699341495</v>
      </c>
      <c r="E32" s="57">
        <v>49.54</v>
      </c>
      <c r="F32" s="57">
        <v>44.8</v>
      </c>
      <c r="G32" s="84">
        <f t="shared" si="0"/>
        <v>48.99541899780498</v>
      </c>
      <c r="H32" s="111">
        <f t="shared" si="1"/>
        <v>0.9043197416229309</v>
      </c>
      <c r="I32" s="111">
        <f t="shared" si="2"/>
        <v>0.850962681081081</v>
      </c>
      <c r="J32" s="84">
        <f t="shared" si="3"/>
        <v>0.9409975718918918</v>
      </c>
      <c r="K32" s="84">
        <f t="shared" si="4"/>
        <v>0.9043197416229309</v>
      </c>
      <c r="L32" s="159">
        <f t="shared" si="5"/>
        <v>0.9226586567574113</v>
      </c>
      <c r="M32" s="143">
        <v>440</v>
      </c>
      <c r="N32" s="143">
        <f t="shared" si="6"/>
        <v>44.8</v>
      </c>
      <c r="O32" s="419">
        <f>(M32*N32+M33*N33+M34*N34)/(M32+M33+M34)</f>
        <v>68.8</v>
      </c>
    </row>
    <row r="33" spans="1:15" ht="25.5">
      <c r="A33" s="55">
        <v>24</v>
      </c>
      <c r="B33" s="56" t="s">
        <v>61</v>
      </c>
      <c r="C33" s="384"/>
      <c r="D33" s="81">
        <f>26/0.702804</f>
        <v>36.99466707645375</v>
      </c>
      <c r="E33" s="57">
        <v>36.99</v>
      </c>
      <c r="F33" s="57">
        <v>36.99</v>
      </c>
      <c r="G33" s="84">
        <f t="shared" si="0"/>
        <v>36.99155569215125</v>
      </c>
      <c r="H33" s="111">
        <v>0</v>
      </c>
      <c r="I33" s="111">
        <v>0</v>
      </c>
      <c r="J33" s="84">
        <f t="shared" si="3"/>
        <v>0.9998738446153845</v>
      </c>
      <c r="K33" s="84">
        <f t="shared" si="4"/>
        <v>1</v>
      </c>
      <c r="L33" s="159">
        <f t="shared" si="5"/>
        <v>0.9999369223076923</v>
      </c>
      <c r="M33" s="143"/>
      <c r="N33" s="143">
        <f t="shared" si="6"/>
        <v>36.99</v>
      </c>
      <c r="O33" s="419"/>
    </row>
    <row r="34" spans="1:15" ht="12.75">
      <c r="A34" s="55">
        <v>25</v>
      </c>
      <c r="B34" s="56" t="s">
        <v>27</v>
      </c>
      <c r="C34" s="383"/>
      <c r="D34" s="81">
        <f>106/0.702804</f>
        <v>150.82441192708066</v>
      </c>
      <c r="E34" s="57">
        <v>150.82</v>
      </c>
      <c r="F34" s="57">
        <v>156.8</v>
      </c>
      <c r="G34" s="84">
        <f t="shared" si="0"/>
        <v>152.81480397569356</v>
      </c>
      <c r="H34" s="111">
        <f t="shared" si="1"/>
        <v>1.0396499138045354</v>
      </c>
      <c r="I34" s="111">
        <f t="shared" si="2"/>
        <v>1.0396195018867926</v>
      </c>
      <c r="J34" s="84">
        <f t="shared" si="3"/>
        <v>0.9999707479245283</v>
      </c>
      <c r="K34" s="84">
        <f t="shared" si="4"/>
        <v>1.0396499138045354</v>
      </c>
      <c r="L34" s="159">
        <f t="shared" si="5"/>
        <v>1.0198103308645319</v>
      </c>
      <c r="M34" s="143">
        <v>120</v>
      </c>
      <c r="N34" s="143">
        <f t="shared" si="6"/>
        <v>156.8</v>
      </c>
      <c r="O34" s="419"/>
    </row>
    <row r="35" spans="1:15" ht="25.5">
      <c r="A35" s="55">
        <v>26</v>
      </c>
      <c r="B35" s="56" t="s">
        <v>13</v>
      </c>
      <c r="C35" s="382" t="s">
        <v>120</v>
      </c>
      <c r="D35" s="81">
        <f>70/0.702804</f>
        <v>99.60102674429855</v>
      </c>
      <c r="E35" s="57">
        <v>103.59</v>
      </c>
      <c r="F35" s="57">
        <v>87.24</v>
      </c>
      <c r="G35" s="84">
        <f t="shared" si="0"/>
        <v>96.81034224809952</v>
      </c>
      <c r="H35" s="111">
        <f t="shared" si="1"/>
        <v>0.8421662322618012</v>
      </c>
      <c r="I35" s="111">
        <f t="shared" si="2"/>
        <v>0.8758945851428571</v>
      </c>
      <c r="J35" s="84">
        <f t="shared" si="3"/>
        <v>1.0400495194285715</v>
      </c>
      <c r="K35" s="84">
        <f t="shared" si="4"/>
        <v>0.8421662322618012</v>
      </c>
      <c r="L35" s="159">
        <f t="shared" si="5"/>
        <v>0.9411078758451863</v>
      </c>
      <c r="M35" s="143">
        <v>100</v>
      </c>
      <c r="N35" s="143">
        <f t="shared" si="6"/>
        <v>87.24</v>
      </c>
      <c r="O35" s="419">
        <f>ROUND(((N35*M35)+(M36*N36))/(M35+M36),2)</f>
        <v>94.17</v>
      </c>
    </row>
    <row r="36" spans="1:15" ht="25.5">
      <c r="A36" s="55">
        <v>27</v>
      </c>
      <c r="B36" s="56" t="s">
        <v>89</v>
      </c>
      <c r="C36" s="383"/>
      <c r="D36" s="81">
        <v>0</v>
      </c>
      <c r="E36" s="57">
        <v>0</v>
      </c>
      <c r="F36" s="57">
        <v>128.81</v>
      </c>
      <c r="G36" s="84">
        <f t="shared" si="0"/>
        <v>42.93666666666667</v>
      </c>
      <c r="H36" s="111">
        <v>1</v>
      </c>
      <c r="I36" s="111">
        <v>1</v>
      </c>
      <c r="J36" s="84">
        <v>0</v>
      </c>
      <c r="K36" s="84">
        <v>0</v>
      </c>
      <c r="L36" s="159">
        <f t="shared" si="5"/>
        <v>0</v>
      </c>
      <c r="M36" s="143">
        <v>20</v>
      </c>
      <c r="N36" s="143">
        <f t="shared" si="6"/>
        <v>128.81</v>
      </c>
      <c r="O36" s="419"/>
    </row>
    <row r="37" spans="1:15" ht="25.5">
      <c r="A37" s="55">
        <v>28</v>
      </c>
      <c r="B37" s="60" t="s">
        <v>15</v>
      </c>
      <c r="C37" s="382" t="s">
        <v>125</v>
      </c>
      <c r="D37" s="81">
        <f>9/0.702804</f>
        <v>12.80584629569553</v>
      </c>
      <c r="E37" s="57">
        <v>12.81</v>
      </c>
      <c r="F37" s="57">
        <v>12.81</v>
      </c>
      <c r="G37" s="84">
        <f t="shared" si="0"/>
        <v>12.80861543189851</v>
      </c>
      <c r="H37" s="111">
        <v>0</v>
      </c>
      <c r="I37" s="111">
        <v>0</v>
      </c>
      <c r="J37" s="84">
        <f t="shared" si="3"/>
        <v>1.00032436</v>
      </c>
      <c r="K37" s="84">
        <f t="shared" si="4"/>
        <v>1</v>
      </c>
      <c r="L37" s="159">
        <f t="shared" si="5"/>
        <v>1.00016218</v>
      </c>
      <c r="M37" s="143"/>
      <c r="N37" s="143">
        <f t="shared" si="6"/>
        <v>12.81</v>
      </c>
      <c r="O37" s="419">
        <f>ROUND(((N37*M37)+(M38*N38))/(M37+M38),2)</f>
        <v>64.96</v>
      </c>
    </row>
    <row r="38" spans="1:15" ht="12.75">
      <c r="A38" s="55">
        <v>29</v>
      </c>
      <c r="B38" s="56" t="s">
        <v>59</v>
      </c>
      <c r="C38" s="383"/>
      <c r="D38" s="81">
        <f>52/0.702804</f>
        <v>73.9893341529075</v>
      </c>
      <c r="E38" s="57">
        <v>67.09</v>
      </c>
      <c r="F38" s="57">
        <v>64.96</v>
      </c>
      <c r="G38" s="84">
        <f t="shared" si="0"/>
        <v>68.67977805096916</v>
      </c>
      <c r="H38" s="111">
        <f t="shared" si="1"/>
        <v>0.9682516023252347</v>
      </c>
      <c r="I38" s="111">
        <f t="shared" si="2"/>
        <v>0.8779643815384613</v>
      </c>
      <c r="J38" s="84">
        <f t="shared" si="3"/>
        <v>0.9067523146153845</v>
      </c>
      <c r="K38" s="84">
        <f t="shared" si="4"/>
        <v>0.9682516023252347</v>
      </c>
      <c r="L38" s="159">
        <f t="shared" si="5"/>
        <v>0.9375019584703096</v>
      </c>
      <c r="M38" s="143">
        <v>40</v>
      </c>
      <c r="N38" s="143">
        <f t="shared" si="6"/>
        <v>64.96</v>
      </c>
      <c r="O38" s="419"/>
    </row>
    <row r="39" spans="1:15" ht="13.5" thickBot="1">
      <c r="A39" s="55">
        <v>30</v>
      </c>
      <c r="B39" s="61" t="s">
        <v>62</v>
      </c>
      <c r="C39" s="59" t="s">
        <v>122</v>
      </c>
      <c r="D39" s="81">
        <f>6/0.702804</f>
        <v>8.537230863797019</v>
      </c>
      <c r="E39" s="57">
        <v>8.54</v>
      </c>
      <c r="F39" s="57">
        <v>8.54</v>
      </c>
      <c r="G39" s="84">
        <f t="shared" si="0"/>
        <v>8.539076954599006</v>
      </c>
      <c r="H39" s="111">
        <v>0</v>
      </c>
      <c r="I39" s="111">
        <v>0</v>
      </c>
      <c r="J39" s="84">
        <f t="shared" si="3"/>
        <v>1.0003243599999998</v>
      </c>
      <c r="K39" s="84">
        <f t="shared" si="4"/>
        <v>1</v>
      </c>
      <c r="L39" s="159">
        <f t="shared" si="5"/>
        <v>1.0001621799999998</v>
      </c>
      <c r="M39" s="184">
        <v>5</v>
      </c>
      <c r="N39" s="143">
        <f>F39</f>
        <v>8.54</v>
      </c>
      <c r="O39" s="143">
        <v>8.54</v>
      </c>
    </row>
    <row r="40" spans="1:15" ht="13.5" thickTop="1">
      <c r="A40" s="55">
        <v>31</v>
      </c>
      <c r="B40" s="196" t="s">
        <v>231</v>
      </c>
      <c r="C40" s="382" t="s">
        <v>232</v>
      </c>
      <c r="D40" s="178">
        <v>0</v>
      </c>
      <c r="E40" s="178">
        <v>0</v>
      </c>
      <c r="F40" s="178">
        <v>0</v>
      </c>
      <c r="G40" s="178">
        <v>0</v>
      </c>
      <c r="H40" s="178">
        <v>0</v>
      </c>
      <c r="I40" s="178">
        <v>0</v>
      </c>
      <c r="J40" s="178">
        <v>0</v>
      </c>
      <c r="K40" s="178">
        <v>0</v>
      </c>
      <c r="L40" s="178">
        <v>0</v>
      </c>
      <c r="M40" s="184">
        <v>15</v>
      </c>
      <c r="N40" s="143">
        <f>O40</f>
        <v>3000</v>
      </c>
      <c r="O40" s="143">
        <v>3000</v>
      </c>
    </row>
    <row r="41" spans="1:15" ht="12.75">
      <c r="A41" s="55">
        <v>32</v>
      </c>
      <c r="B41" s="88" t="s">
        <v>227</v>
      </c>
      <c r="C41" s="383"/>
      <c r="D41" s="178">
        <v>0</v>
      </c>
      <c r="E41" s="178">
        <v>0</v>
      </c>
      <c r="F41" s="178">
        <v>0</v>
      </c>
      <c r="G41" s="178">
        <v>0</v>
      </c>
      <c r="H41" s="178">
        <v>0</v>
      </c>
      <c r="I41" s="178">
        <v>0</v>
      </c>
      <c r="J41" s="178">
        <v>0</v>
      </c>
      <c r="K41" s="178">
        <v>0</v>
      </c>
      <c r="L41" s="178">
        <v>0</v>
      </c>
      <c r="M41" s="184">
        <v>15</v>
      </c>
      <c r="N41" s="143">
        <f>O41</f>
        <v>2500</v>
      </c>
      <c r="O41" s="143">
        <v>2500</v>
      </c>
    </row>
    <row r="42" spans="1:15" ht="12.75">
      <c r="A42" s="62"/>
      <c r="B42" s="63" t="s">
        <v>103</v>
      </c>
      <c r="C42" s="64"/>
      <c r="D42" s="124" t="s">
        <v>112</v>
      </c>
      <c r="E42" s="124" t="s">
        <v>112</v>
      </c>
      <c r="F42" s="124" t="s">
        <v>112</v>
      </c>
      <c r="G42" s="124" t="s">
        <v>112</v>
      </c>
      <c r="H42" s="124" t="s">
        <v>112</v>
      </c>
      <c r="I42" s="257">
        <f>SUM(I43:I116)/73</f>
        <v>1.1032621901806217</v>
      </c>
      <c r="J42" s="160">
        <f>(SUM(J43:J116))/75</f>
        <v>0.8947928185968747</v>
      </c>
      <c r="K42" s="160">
        <f>(SUM(K43:K116))/75</f>
        <v>0.8113365795399421</v>
      </c>
      <c r="L42" s="160">
        <f>(SUM(L43:L116))/75</f>
        <v>0.8530646990684083</v>
      </c>
      <c r="M42" s="108">
        <f>SUM(M43:M116)</f>
        <v>3686</v>
      </c>
      <c r="N42" s="127" t="s">
        <v>112</v>
      </c>
      <c r="O42" s="127" t="s">
        <v>112</v>
      </c>
    </row>
    <row r="43" spans="1:15" ht="12.75">
      <c r="A43" s="55">
        <v>33</v>
      </c>
      <c r="B43" s="65" t="s">
        <v>28</v>
      </c>
      <c r="C43" s="382" t="s">
        <v>144</v>
      </c>
      <c r="D43" s="82">
        <f>4/0.702804</f>
        <v>5.691487242531346</v>
      </c>
      <c r="E43" s="82">
        <f>4/0.702804</f>
        <v>5.691487242531346</v>
      </c>
      <c r="F43" s="82">
        <f>4/0.702804</f>
        <v>5.691487242531346</v>
      </c>
      <c r="G43" s="84">
        <f>(D43+E43+F43)/3</f>
        <v>5.691487242531346</v>
      </c>
      <c r="H43" s="111">
        <v>0</v>
      </c>
      <c r="I43" s="111">
        <v>0</v>
      </c>
      <c r="J43" s="84">
        <f>E43/D43</f>
        <v>1</v>
      </c>
      <c r="K43" s="84">
        <f>F43/E43</f>
        <v>1</v>
      </c>
      <c r="L43" s="159">
        <f>(J43+K43)/2</f>
        <v>1</v>
      </c>
      <c r="M43" s="184">
        <v>1</v>
      </c>
      <c r="N43" s="167">
        <f>F43</f>
        <v>5.691487242531346</v>
      </c>
      <c r="O43" s="419">
        <f>(M43*N43+M44*N44+M45*N45)/(M43+M44+M45)</f>
        <v>12.80584629569553</v>
      </c>
    </row>
    <row r="44" spans="1:15" ht="12.75">
      <c r="A44" s="55">
        <v>34</v>
      </c>
      <c r="B44" s="65" t="s">
        <v>29</v>
      </c>
      <c r="C44" s="384"/>
      <c r="D44" s="82">
        <f>12/0.702804</f>
        <v>17.074461727594038</v>
      </c>
      <c r="E44" s="82">
        <f>12/0.702804</f>
        <v>17.074461727594038</v>
      </c>
      <c r="F44" s="82">
        <f>12/0.702804</f>
        <v>17.074461727594038</v>
      </c>
      <c r="G44" s="84">
        <f aca="true" t="shared" si="7" ref="G44:G103">(D44+E44+F44)/3</f>
        <v>17.074461727594038</v>
      </c>
      <c r="H44" s="111">
        <v>0</v>
      </c>
      <c r="I44" s="111">
        <v>0</v>
      </c>
      <c r="J44" s="84">
        <f aca="true" t="shared" si="8" ref="J44:J103">E44/D44</f>
        <v>1</v>
      </c>
      <c r="K44" s="84">
        <f aca="true" t="shared" si="9" ref="K44:K103">F44/E44</f>
        <v>1</v>
      </c>
      <c r="L44" s="159">
        <f aca="true" t="shared" si="10" ref="L44:L107">(J44+K44)/2</f>
        <v>1</v>
      </c>
      <c r="M44" s="184">
        <v>1</v>
      </c>
      <c r="N44" s="167">
        <f aca="true" t="shared" si="11" ref="N44:N107">F44</f>
        <v>17.074461727594038</v>
      </c>
      <c r="O44" s="419"/>
    </row>
    <row r="45" spans="1:15" ht="12.75">
      <c r="A45" s="55">
        <v>35</v>
      </c>
      <c r="B45" s="65" t="s">
        <v>30</v>
      </c>
      <c r="C45" s="383"/>
      <c r="D45" s="82">
        <f>11/0.702804</f>
        <v>15.651589916961202</v>
      </c>
      <c r="E45" s="82">
        <f>11/0.702804</f>
        <v>15.651589916961202</v>
      </c>
      <c r="F45" s="82">
        <f>11/0.702804</f>
        <v>15.651589916961202</v>
      </c>
      <c r="G45" s="84">
        <f t="shared" si="7"/>
        <v>15.651589916961202</v>
      </c>
      <c r="H45" s="111">
        <v>0</v>
      </c>
      <c r="I45" s="111">
        <v>0</v>
      </c>
      <c r="J45" s="84">
        <f t="shared" si="8"/>
        <v>1</v>
      </c>
      <c r="K45" s="84">
        <f t="shared" si="9"/>
        <v>1</v>
      </c>
      <c r="L45" s="159">
        <f t="shared" si="10"/>
        <v>1</v>
      </c>
      <c r="M45" s="184">
        <v>1</v>
      </c>
      <c r="N45" s="167">
        <f t="shared" si="11"/>
        <v>15.651589916961202</v>
      </c>
      <c r="O45" s="419"/>
    </row>
    <row r="46" spans="1:15" ht="12.75">
      <c r="A46" s="55">
        <v>36</v>
      </c>
      <c r="B46" s="60" t="s">
        <v>2</v>
      </c>
      <c r="C46" s="382" t="s">
        <v>132</v>
      </c>
      <c r="D46" s="82">
        <f>22/0.702804</f>
        <v>31.303179833922403</v>
      </c>
      <c r="E46" s="57">
        <v>23.9</v>
      </c>
      <c r="F46" s="57">
        <v>22.29</v>
      </c>
      <c r="G46" s="84">
        <f t="shared" si="7"/>
        <v>25.8310599446408</v>
      </c>
      <c r="H46" s="111">
        <f aca="true" t="shared" si="12" ref="H46:H102">F46/E46</f>
        <v>0.9326359832635983</v>
      </c>
      <c r="I46" s="111">
        <f aca="true" t="shared" si="13" ref="I46:I103">F46/D46</f>
        <v>0.7120682345454545</v>
      </c>
      <c r="J46" s="84">
        <f t="shared" si="8"/>
        <v>0.7635007090909091</v>
      </c>
      <c r="K46" s="84">
        <f t="shared" si="9"/>
        <v>0.9326359832635983</v>
      </c>
      <c r="L46" s="159">
        <f t="shared" si="10"/>
        <v>0.8480683461772537</v>
      </c>
      <c r="M46" s="143">
        <v>300</v>
      </c>
      <c r="N46" s="144">
        <f t="shared" si="11"/>
        <v>22.29</v>
      </c>
      <c r="O46" s="417">
        <f>((N46*M46)+(M47*N47))/(M46+M47)</f>
        <v>26.27090909090909</v>
      </c>
    </row>
    <row r="47" spans="1:15" ht="12.75">
      <c r="A47" s="55">
        <v>37</v>
      </c>
      <c r="B47" s="56" t="s">
        <v>90</v>
      </c>
      <c r="C47" s="383"/>
      <c r="D47" s="82">
        <v>0</v>
      </c>
      <c r="E47" s="82">
        <v>0</v>
      </c>
      <c r="F47" s="57">
        <v>66.08</v>
      </c>
      <c r="G47" s="84">
        <f t="shared" si="7"/>
        <v>22.026666666666667</v>
      </c>
      <c r="H47" s="111">
        <v>1</v>
      </c>
      <c r="I47" s="111">
        <v>1</v>
      </c>
      <c r="J47" s="84">
        <v>0</v>
      </c>
      <c r="K47" s="84">
        <v>0</v>
      </c>
      <c r="L47" s="159">
        <f t="shared" si="10"/>
        <v>0</v>
      </c>
      <c r="M47" s="143">
        <v>30</v>
      </c>
      <c r="N47" s="144">
        <f t="shared" si="11"/>
        <v>66.08</v>
      </c>
      <c r="O47" s="417"/>
    </row>
    <row r="48" spans="1:15" ht="12.75">
      <c r="A48" s="55">
        <v>38</v>
      </c>
      <c r="B48" s="56" t="s">
        <v>7</v>
      </c>
      <c r="C48" s="382" t="s">
        <v>134</v>
      </c>
      <c r="D48" s="82">
        <f>17/0.702804</f>
        <v>24.18882078075822</v>
      </c>
      <c r="E48" s="57">
        <v>23.26</v>
      </c>
      <c r="F48" s="57">
        <v>19.58</v>
      </c>
      <c r="G48" s="84">
        <f t="shared" si="7"/>
        <v>22.342940260252742</v>
      </c>
      <c r="H48" s="111">
        <f t="shared" si="12"/>
        <v>0.8417884780739465</v>
      </c>
      <c r="I48" s="111">
        <f t="shared" si="13"/>
        <v>0.8094648423529411</v>
      </c>
      <c r="J48" s="84">
        <f t="shared" si="8"/>
        <v>0.9616012376470588</v>
      </c>
      <c r="K48" s="84">
        <f t="shared" si="9"/>
        <v>0.8417884780739465</v>
      </c>
      <c r="L48" s="159">
        <f t="shared" si="10"/>
        <v>0.9016948578605026</v>
      </c>
      <c r="M48" s="143">
        <v>300</v>
      </c>
      <c r="N48" s="144">
        <f t="shared" si="11"/>
        <v>19.58</v>
      </c>
      <c r="O48" s="417">
        <f>(M48*N48+M49*N49+M50*N50)/(M48+M49+M50)</f>
        <v>20.95188405797101</v>
      </c>
    </row>
    <row r="49" spans="1:15" ht="25.5">
      <c r="A49" s="55">
        <v>39</v>
      </c>
      <c r="B49" s="56" t="s">
        <v>78</v>
      </c>
      <c r="C49" s="384"/>
      <c r="D49" s="82">
        <v>0</v>
      </c>
      <c r="E49" s="57">
        <v>41.12</v>
      </c>
      <c r="F49" s="57">
        <v>41.12</v>
      </c>
      <c r="G49" s="84">
        <f t="shared" si="7"/>
        <v>27.41333333333333</v>
      </c>
      <c r="H49" s="111">
        <f t="shared" si="12"/>
        <v>1</v>
      </c>
      <c r="I49" s="111">
        <v>0</v>
      </c>
      <c r="J49" s="84">
        <v>0</v>
      </c>
      <c r="K49" s="84">
        <f t="shared" si="9"/>
        <v>1</v>
      </c>
      <c r="L49" s="159">
        <f t="shared" si="10"/>
        <v>0.5</v>
      </c>
      <c r="M49" s="143">
        <v>20</v>
      </c>
      <c r="N49" s="144">
        <f t="shared" si="11"/>
        <v>41.12</v>
      </c>
      <c r="O49" s="417"/>
    </row>
    <row r="50" spans="1:15" ht="12.75">
      <c r="A50" s="55">
        <v>40</v>
      </c>
      <c r="B50" s="56" t="s">
        <v>31</v>
      </c>
      <c r="C50" s="383"/>
      <c r="D50" s="82">
        <f>20/0.702804</f>
        <v>28.45743621265673</v>
      </c>
      <c r="E50" s="57">
        <v>26.61</v>
      </c>
      <c r="F50" s="57">
        <v>21.28</v>
      </c>
      <c r="G50" s="84">
        <f t="shared" si="7"/>
        <v>25.44914540421891</v>
      </c>
      <c r="H50" s="111">
        <f t="shared" si="12"/>
        <v>0.7996993611424277</v>
      </c>
      <c r="I50" s="111">
        <f t="shared" si="13"/>
        <v>0.747783456</v>
      </c>
      <c r="J50" s="84">
        <f t="shared" si="8"/>
        <v>0.9350807219999999</v>
      </c>
      <c r="K50" s="84">
        <f t="shared" si="9"/>
        <v>0.7996993611424277</v>
      </c>
      <c r="L50" s="159">
        <f t="shared" si="10"/>
        <v>0.8673900415712138</v>
      </c>
      <c r="M50" s="143">
        <v>25</v>
      </c>
      <c r="N50" s="144">
        <f t="shared" si="11"/>
        <v>21.28</v>
      </c>
      <c r="O50" s="417"/>
    </row>
    <row r="51" spans="1:15" ht="12.75">
      <c r="A51" s="55">
        <v>41</v>
      </c>
      <c r="B51" s="56" t="s">
        <v>8</v>
      </c>
      <c r="C51" s="382" t="s">
        <v>133</v>
      </c>
      <c r="D51" s="82">
        <f>20/0.702804</f>
        <v>28.45743621265673</v>
      </c>
      <c r="E51" s="57">
        <v>27.01</v>
      </c>
      <c r="F51" s="57">
        <v>25.63</v>
      </c>
      <c r="G51" s="84">
        <f t="shared" si="7"/>
        <v>27.032478737552243</v>
      </c>
      <c r="H51" s="111">
        <f t="shared" si="12"/>
        <v>0.9489078119215104</v>
      </c>
      <c r="I51" s="111">
        <f t="shared" si="13"/>
        <v>0.900643326</v>
      </c>
      <c r="J51" s="84">
        <f t="shared" si="8"/>
        <v>0.9491368020000001</v>
      </c>
      <c r="K51" s="84">
        <f t="shared" si="9"/>
        <v>0.9489078119215104</v>
      </c>
      <c r="L51" s="159">
        <f t="shared" si="10"/>
        <v>0.9490223069607553</v>
      </c>
      <c r="M51" s="143">
        <v>36</v>
      </c>
      <c r="N51" s="144">
        <f t="shared" si="11"/>
        <v>25.63</v>
      </c>
      <c r="O51" s="417">
        <f>((M51*N51+M52*N52+M53*N53+M54*N54+M55*N55+M56*N56+M57*N57)/SUM(M51:M57))</f>
        <v>51.15751736111112</v>
      </c>
    </row>
    <row r="52" spans="1:15" ht="12.75">
      <c r="A52" s="55">
        <v>42</v>
      </c>
      <c r="B52" s="56" t="s">
        <v>32</v>
      </c>
      <c r="C52" s="384"/>
      <c r="D52" s="82">
        <f>42/0.702804</f>
        <v>59.76061604657913</v>
      </c>
      <c r="E52" s="57">
        <v>39.81</v>
      </c>
      <c r="F52" s="57">
        <v>31.92</v>
      </c>
      <c r="G52" s="84">
        <f t="shared" si="7"/>
        <v>43.830205348859714</v>
      </c>
      <c r="H52" s="111">
        <f t="shared" si="12"/>
        <v>0.80180859080633</v>
      </c>
      <c r="I52" s="111">
        <f t="shared" si="13"/>
        <v>0.53413104</v>
      </c>
      <c r="J52" s="84">
        <f t="shared" si="8"/>
        <v>0.6661577914285715</v>
      </c>
      <c r="K52" s="84">
        <f t="shared" si="9"/>
        <v>0.80180859080633</v>
      </c>
      <c r="L52" s="159">
        <f t="shared" si="10"/>
        <v>0.7339831911174508</v>
      </c>
      <c r="M52" s="143">
        <v>25</v>
      </c>
      <c r="N52" s="144">
        <f t="shared" si="11"/>
        <v>31.92</v>
      </c>
      <c r="O52" s="417"/>
    </row>
    <row r="53" spans="1:15" ht="12.75">
      <c r="A53" s="55">
        <v>43</v>
      </c>
      <c r="B53" s="56" t="s">
        <v>33</v>
      </c>
      <c r="C53" s="384"/>
      <c r="D53" s="82">
        <f>30/0.702804</f>
        <v>42.686154318985096</v>
      </c>
      <c r="E53" s="57">
        <v>42.84</v>
      </c>
      <c r="F53" s="57">
        <v>39.07</v>
      </c>
      <c r="G53" s="84">
        <f t="shared" si="7"/>
        <v>41.5320514396617</v>
      </c>
      <c r="H53" s="111">
        <f t="shared" si="12"/>
        <v>0.9119981325863679</v>
      </c>
      <c r="I53" s="111">
        <f t="shared" si="13"/>
        <v>0.915285076</v>
      </c>
      <c r="J53" s="84">
        <f t="shared" si="8"/>
        <v>1.003604112</v>
      </c>
      <c r="K53" s="84">
        <f t="shared" si="9"/>
        <v>0.9119981325863679</v>
      </c>
      <c r="L53" s="159">
        <f t="shared" si="10"/>
        <v>0.9578011222931839</v>
      </c>
      <c r="M53" s="143">
        <v>120</v>
      </c>
      <c r="N53" s="144">
        <f t="shared" si="11"/>
        <v>39.07</v>
      </c>
      <c r="O53" s="417"/>
    </row>
    <row r="54" spans="1:15" ht="12.75">
      <c r="A54" s="55">
        <v>44</v>
      </c>
      <c r="B54" s="56" t="s">
        <v>79</v>
      </c>
      <c r="C54" s="384"/>
      <c r="D54" s="82">
        <f>33/0.702804</f>
        <v>46.95476975088361</v>
      </c>
      <c r="E54" s="57">
        <v>46.3</v>
      </c>
      <c r="F54" s="57">
        <v>42.39</v>
      </c>
      <c r="G54" s="84">
        <f t="shared" si="7"/>
        <v>45.21492325029453</v>
      </c>
      <c r="H54" s="111">
        <f t="shared" si="12"/>
        <v>0.915550755939525</v>
      </c>
      <c r="I54" s="111">
        <f t="shared" si="13"/>
        <v>0.9027836836363636</v>
      </c>
      <c r="J54" s="84">
        <f t="shared" si="8"/>
        <v>0.986055309090909</v>
      </c>
      <c r="K54" s="84">
        <f t="shared" si="9"/>
        <v>0.915550755939525</v>
      </c>
      <c r="L54" s="159">
        <f t="shared" si="10"/>
        <v>0.950803032515217</v>
      </c>
      <c r="M54" s="143">
        <v>300</v>
      </c>
      <c r="N54" s="144">
        <f t="shared" si="11"/>
        <v>42.39</v>
      </c>
      <c r="O54" s="417"/>
    </row>
    <row r="55" spans="1:15" ht="25.5">
      <c r="A55" s="55">
        <v>45</v>
      </c>
      <c r="B55" s="56" t="s">
        <v>80</v>
      </c>
      <c r="C55" s="384"/>
      <c r="D55" s="82">
        <v>0</v>
      </c>
      <c r="E55" s="57">
        <v>175.3</v>
      </c>
      <c r="F55" s="57">
        <v>112.17</v>
      </c>
      <c r="G55" s="84">
        <f t="shared" si="7"/>
        <v>95.82333333333334</v>
      </c>
      <c r="H55" s="111">
        <f t="shared" si="12"/>
        <v>0.639874500855676</v>
      </c>
      <c r="I55" s="111">
        <v>1</v>
      </c>
      <c r="J55" s="84">
        <v>0</v>
      </c>
      <c r="K55" s="84">
        <f t="shared" si="9"/>
        <v>0.639874500855676</v>
      </c>
      <c r="L55" s="159">
        <f t="shared" si="10"/>
        <v>0.319937250427838</v>
      </c>
      <c r="M55" s="143">
        <v>60</v>
      </c>
      <c r="N55" s="144">
        <f t="shared" si="11"/>
        <v>112.17</v>
      </c>
      <c r="O55" s="417"/>
    </row>
    <row r="56" spans="1:15" ht="12.75">
      <c r="A56" s="55">
        <v>46</v>
      </c>
      <c r="B56" s="56" t="s">
        <v>81</v>
      </c>
      <c r="C56" s="384"/>
      <c r="D56" s="82">
        <f>51/0.702804</f>
        <v>72.56646234227466</v>
      </c>
      <c r="E56" s="57">
        <v>106.77</v>
      </c>
      <c r="F56" s="57">
        <v>100.58</v>
      </c>
      <c r="G56" s="84">
        <f t="shared" si="7"/>
        <v>93.30548744742488</v>
      </c>
      <c r="H56" s="111">
        <f t="shared" si="12"/>
        <v>0.9420249133651775</v>
      </c>
      <c r="I56" s="111">
        <f t="shared" si="13"/>
        <v>1.3860397317647057</v>
      </c>
      <c r="J56" s="84">
        <f t="shared" si="8"/>
        <v>1.4713408447058822</v>
      </c>
      <c r="K56" s="84">
        <f t="shared" si="9"/>
        <v>0.9420249133651775</v>
      </c>
      <c r="L56" s="159">
        <f t="shared" si="10"/>
        <v>1.20668287903553</v>
      </c>
      <c r="M56" s="143">
        <v>30</v>
      </c>
      <c r="N56" s="144">
        <f t="shared" si="11"/>
        <v>100.58</v>
      </c>
      <c r="O56" s="417"/>
    </row>
    <row r="57" spans="1:15" ht="12.75">
      <c r="A57" s="55">
        <v>47</v>
      </c>
      <c r="B57" s="56" t="s">
        <v>34</v>
      </c>
      <c r="C57" s="384"/>
      <c r="D57" s="82">
        <f>78/0.702804</f>
        <v>110.98400122936124</v>
      </c>
      <c r="E57" s="57">
        <v>119.52</v>
      </c>
      <c r="F57" s="57">
        <v>118.61</v>
      </c>
      <c r="G57" s="84">
        <f t="shared" si="7"/>
        <v>116.37133374312042</v>
      </c>
      <c r="H57" s="111">
        <f t="shared" si="12"/>
        <v>0.9923862115127176</v>
      </c>
      <c r="I57" s="111">
        <f t="shared" si="13"/>
        <v>1.0687125953846155</v>
      </c>
      <c r="J57" s="84">
        <f t="shared" si="8"/>
        <v>1.0769119753846155</v>
      </c>
      <c r="K57" s="84">
        <f t="shared" si="9"/>
        <v>0.9923862115127176</v>
      </c>
      <c r="L57" s="159">
        <f t="shared" si="10"/>
        <v>1.0346490934486665</v>
      </c>
      <c r="M57" s="143">
        <v>5</v>
      </c>
      <c r="N57" s="144">
        <f t="shared" si="11"/>
        <v>118.61</v>
      </c>
      <c r="O57" s="417"/>
    </row>
    <row r="58" spans="1:15" ht="12.75">
      <c r="A58" s="55">
        <v>48</v>
      </c>
      <c r="B58" s="65" t="s">
        <v>10</v>
      </c>
      <c r="C58" s="382" t="s">
        <v>143</v>
      </c>
      <c r="D58" s="82">
        <f>75/0.702804</f>
        <v>106.71538579746274</v>
      </c>
      <c r="E58" s="57">
        <v>208.76</v>
      </c>
      <c r="F58" s="81">
        <v>168</v>
      </c>
      <c r="G58" s="84">
        <f t="shared" si="7"/>
        <v>161.1584619324876</v>
      </c>
      <c r="H58" s="111">
        <f t="shared" si="12"/>
        <v>0.8047518681739797</v>
      </c>
      <c r="I58" s="111">
        <f t="shared" si="13"/>
        <v>1.5742809599999998</v>
      </c>
      <c r="J58" s="84">
        <f t="shared" si="8"/>
        <v>1.9562315071999998</v>
      </c>
      <c r="K58" s="84">
        <f t="shared" si="9"/>
        <v>0.8047518681739797</v>
      </c>
      <c r="L58" s="159">
        <f t="shared" si="10"/>
        <v>1.3804916876869897</v>
      </c>
      <c r="M58" s="143">
        <v>10</v>
      </c>
      <c r="N58" s="144">
        <f t="shared" si="11"/>
        <v>168</v>
      </c>
      <c r="O58" s="417">
        <f>((M58*N58+M59*N59+M60*N60+M61*N61+M62*N62+M63*N63))/SUM(M58:M63)</f>
        <v>512.7826746256425</v>
      </c>
    </row>
    <row r="59" spans="1:15" ht="12.75">
      <c r="A59" s="55">
        <v>49</v>
      </c>
      <c r="B59" s="65" t="s">
        <v>11</v>
      </c>
      <c r="C59" s="384"/>
      <c r="D59" s="82">
        <f>133/0.702804</f>
        <v>189.24195081416727</v>
      </c>
      <c r="E59" s="57">
        <v>189.24</v>
      </c>
      <c r="F59" s="57">
        <v>581.28</v>
      </c>
      <c r="G59" s="84">
        <f t="shared" si="7"/>
        <v>319.9206502713891</v>
      </c>
      <c r="H59" s="111">
        <f t="shared" si="12"/>
        <v>3.071655041217501</v>
      </c>
      <c r="I59" s="111">
        <f t="shared" si="13"/>
        <v>3.071623376842105</v>
      </c>
      <c r="J59" s="84">
        <f t="shared" si="8"/>
        <v>0.9999896914285714</v>
      </c>
      <c r="K59" s="84">
        <f t="shared" si="9"/>
        <v>3.071655041217501</v>
      </c>
      <c r="L59" s="159">
        <f t="shared" si="10"/>
        <v>2.0358223663230364</v>
      </c>
      <c r="M59" s="143">
        <v>2</v>
      </c>
      <c r="N59" s="144">
        <f t="shared" si="11"/>
        <v>581.28</v>
      </c>
      <c r="O59" s="417"/>
    </row>
    <row r="60" spans="1:15" ht="12.75">
      <c r="A60" s="55">
        <v>50</v>
      </c>
      <c r="B60" s="65" t="s">
        <v>9</v>
      </c>
      <c r="C60" s="384"/>
      <c r="D60" s="82">
        <f>190/0.702804</f>
        <v>270.3456440202389</v>
      </c>
      <c r="E60" s="82">
        <f>190/0.702804</f>
        <v>270.3456440202389</v>
      </c>
      <c r="F60" s="82">
        <f>190/0.702804</f>
        <v>270.3456440202389</v>
      </c>
      <c r="G60" s="84">
        <f t="shared" si="7"/>
        <v>270.3456440202389</v>
      </c>
      <c r="H60" s="111">
        <v>0</v>
      </c>
      <c r="I60" s="111">
        <v>0</v>
      </c>
      <c r="J60" s="84">
        <f t="shared" si="8"/>
        <v>1</v>
      </c>
      <c r="K60" s="84">
        <f t="shared" si="9"/>
        <v>1</v>
      </c>
      <c r="L60" s="159">
        <f t="shared" si="10"/>
        <v>1</v>
      </c>
      <c r="M60" s="143">
        <v>1</v>
      </c>
      <c r="N60" s="144">
        <f t="shared" si="11"/>
        <v>270.3456440202389</v>
      </c>
      <c r="O60" s="417"/>
    </row>
    <row r="61" spans="1:15" ht="12.75">
      <c r="A61" s="55">
        <v>51</v>
      </c>
      <c r="B61" s="65" t="s">
        <v>36</v>
      </c>
      <c r="C61" s="384"/>
      <c r="D61" s="82">
        <f>877/0.702804</f>
        <v>1247.8585779249977</v>
      </c>
      <c r="E61" s="82">
        <f>877/0.702804</f>
        <v>1247.8585779249977</v>
      </c>
      <c r="F61" s="82">
        <f>877/0.702804</f>
        <v>1247.8585779249977</v>
      </c>
      <c r="G61" s="84">
        <f t="shared" si="7"/>
        <v>1247.8585779249977</v>
      </c>
      <c r="H61" s="111">
        <v>0</v>
      </c>
      <c r="I61" s="111">
        <v>0</v>
      </c>
      <c r="J61" s="84">
        <f t="shared" si="8"/>
        <v>1</v>
      </c>
      <c r="K61" s="84">
        <f t="shared" si="9"/>
        <v>1</v>
      </c>
      <c r="L61" s="159">
        <f t="shared" si="10"/>
        <v>1</v>
      </c>
      <c r="M61" s="143">
        <v>1</v>
      </c>
      <c r="N61" s="144">
        <f t="shared" si="11"/>
        <v>1247.8585779249977</v>
      </c>
      <c r="O61" s="417"/>
    </row>
    <row r="62" spans="1:15" ht="12.75">
      <c r="A62" s="55">
        <v>52</v>
      </c>
      <c r="B62" s="65" t="s">
        <v>37</v>
      </c>
      <c r="C62" s="384"/>
      <c r="D62" s="82">
        <f>810/0.702804</f>
        <v>1152.5261666125975</v>
      </c>
      <c r="E62" s="57">
        <v>1273.3</v>
      </c>
      <c r="F62" s="86">
        <v>1273.3</v>
      </c>
      <c r="G62" s="84">
        <f t="shared" si="7"/>
        <v>1233.0420555375324</v>
      </c>
      <c r="H62" s="111">
        <v>0</v>
      </c>
      <c r="I62" s="111">
        <v>0</v>
      </c>
      <c r="J62" s="84">
        <f t="shared" si="8"/>
        <v>1.1047905348148148</v>
      </c>
      <c r="K62" s="84">
        <f t="shared" si="9"/>
        <v>1</v>
      </c>
      <c r="L62" s="159">
        <f t="shared" si="10"/>
        <v>1.0523952674074075</v>
      </c>
      <c r="M62" s="143">
        <v>1</v>
      </c>
      <c r="N62" s="144">
        <f t="shared" si="11"/>
        <v>1273.3</v>
      </c>
      <c r="O62" s="417"/>
    </row>
    <row r="63" spans="1:15" ht="12.75">
      <c r="A63" s="55">
        <v>53</v>
      </c>
      <c r="B63" s="65" t="s">
        <v>39</v>
      </c>
      <c r="C63" s="383"/>
      <c r="D63" s="82">
        <f>505/0.702804</f>
        <v>718.5502643695825</v>
      </c>
      <c r="E63" s="82">
        <f>505/0.702804</f>
        <v>718.5502643695825</v>
      </c>
      <c r="F63" s="82">
        <f>505/0.702804</f>
        <v>718.5502643695825</v>
      </c>
      <c r="G63" s="84">
        <f t="shared" si="7"/>
        <v>718.5502643695824</v>
      </c>
      <c r="H63" s="111">
        <v>0</v>
      </c>
      <c r="I63" s="111">
        <v>0</v>
      </c>
      <c r="J63" s="84">
        <f t="shared" si="8"/>
        <v>1</v>
      </c>
      <c r="K63" s="84">
        <f t="shared" si="9"/>
        <v>1</v>
      </c>
      <c r="L63" s="159">
        <f t="shared" si="10"/>
        <v>1</v>
      </c>
      <c r="M63" s="143">
        <v>10</v>
      </c>
      <c r="N63" s="144">
        <f t="shared" si="11"/>
        <v>718.5502643695825</v>
      </c>
      <c r="O63" s="417"/>
    </row>
    <row r="64" spans="1:15" ht="12.75">
      <c r="A64" s="55">
        <v>54</v>
      </c>
      <c r="B64" s="56" t="s">
        <v>38</v>
      </c>
      <c r="C64" s="57" t="s">
        <v>137</v>
      </c>
      <c r="D64" s="82">
        <f>1174/0.702804</f>
        <v>1670.45150568295</v>
      </c>
      <c r="E64" s="82">
        <f>1174/0.702804</f>
        <v>1670.45150568295</v>
      </c>
      <c r="F64" s="86">
        <v>1666.56</v>
      </c>
      <c r="G64" s="84">
        <f t="shared" si="7"/>
        <v>1669.1543371219668</v>
      </c>
      <c r="H64" s="146">
        <f t="shared" si="12"/>
        <v>0.9976703869165247</v>
      </c>
      <c r="I64" s="146">
        <f t="shared" si="13"/>
        <v>0.9976703869165247</v>
      </c>
      <c r="J64" s="84">
        <f t="shared" si="8"/>
        <v>1</v>
      </c>
      <c r="K64" s="84">
        <f t="shared" si="9"/>
        <v>0.9976703869165247</v>
      </c>
      <c r="L64" s="159">
        <f t="shared" si="10"/>
        <v>0.9988351934582623</v>
      </c>
      <c r="M64" s="143">
        <v>84</v>
      </c>
      <c r="N64" s="144">
        <f t="shared" si="11"/>
        <v>1666.56</v>
      </c>
      <c r="O64" s="143">
        <f>(M64*N64)/M64</f>
        <v>1666.5600000000002</v>
      </c>
    </row>
    <row r="65" spans="1:15" ht="12.75">
      <c r="A65" s="55">
        <v>55</v>
      </c>
      <c r="B65" s="65" t="s">
        <v>35</v>
      </c>
      <c r="C65" s="382" t="s">
        <v>141</v>
      </c>
      <c r="D65" s="82">
        <f>917/0.702804</f>
        <v>1304.7734503503111</v>
      </c>
      <c r="E65" s="82">
        <f>917/0.702804</f>
        <v>1304.7734503503111</v>
      </c>
      <c r="F65" s="82">
        <f>917/0.702804</f>
        <v>1304.7734503503111</v>
      </c>
      <c r="G65" s="84">
        <f t="shared" si="7"/>
        <v>1304.7734503503111</v>
      </c>
      <c r="H65" s="111">
        <v>0</v>
      </c>
      <c r="I65" s="111">
        <v>0</v>
      </c>
      <c r="J65" s="84">
        <f t="shared" si="8"/>
        <v>1</v>
      </c>
      <c r="K65" s="84">
        <f t="shared" si="9"/>
        <v>1</v>
      </c>
      <c r="L65" s="159">
        <f t="shared" si="10"/>
        <v>1</v>
      </c>
      <c r="M65" s="184">
        <v>50</v>
      </c>
      <c r="N65" s="195">
        <f t="shared" si="11"/>
        <v>1304.7734503503111</v>
      </c>
      <c r="O65" s="418">
        <f>((N65*M65)+(M66*N66))/(M65+M66)</f>
        <v>825.9867251751556</v>
      </c>
    </row>
    <row r="66" spans="1:15" ht="12.75">
      <c r="A66" s="55">
        <v>56</v>
      </c>
      <c r="B66" s="56" t="s">
        <v>41</v>
      </c>
      <c r="C66" s="383"/>
      <c r="D66" s="82">
        <f>271/0.702804</f>
        <v>385.5982606814987</v>
      </c>
      <c r="E66" s="82">
        <f>271/0.702804</f>
        <v>385.5982606814987</v>
      </c>
      <c r="F66" s="86">
        <v>347.2</v>
      </c>
      <c r="G66" s="84">
        <f t="shared" si="7"/>
        <v>372.7988404543325</v>
      </c>
      <c r="H66" s="111">
        <f t="shared" si="12"/>
        <v>0.9004189992619925</v>
      </c>
      <c r="I66" s="111">
        <f t="shared" si="13"/>
        <v>0.9004189992619925</v>
      </c>
      <c r="J66" s="84">
        <f t="shared" si="8"/>
        <v>1</v>
      </c>
      <c r="K66" s="84">
        <f t="shared" si="9"/>
        <v>0.9004189992619925</v>
      </c>
      <c r="L66" s="159">
        <f t="shared" si="10"/>
        <v>0.9502094996309962</v>
      </c>
      <c r="M66" s="184">
        <v>50</v>
      </c>
      <c r="N66" s="195">
        <f t="shared" si="11"/>
        <v>347.2</v>
      </c>
      <c r="O66" s="418"/>
    </row>
    <row r="67" spans="1:15" ht="12.75">
      <c r="A67" s="55">
        <v>57</v>
      </c>
      <c r="B67" s="65" t="s">
        <v>40</v>
      </c>
      <c r="C67" s="57" t="s">
        <v>142</v>
      </c>
      <c r="D67" s="82">
        <f>1440/0.702804</f>
        <v>2048.9354073112845</v>
      </c>
      <c r="E67" s="57">
        <v>2291.62</v>
      </c>
      <c r="F67" s="86">
        <v>2279.2</v>
      </c>
      <c r="G67" s="84">
        <f t="shared" si="7"/>
        <v>2206.585135770428</v>
      </c>
      <c r="H67" s="111">
        <f t="shared" si="12"/>
        <v>0.9945802532706121</v>
      </c>
      <c r="I67" s="111">
        <f t="shared" si="13"/>
        <v>1.1123825533333334</v>
      </c>
      <c r="J67" s="84">
        <f t="shared" si="8"/>
        <v>1.1184442378333332</v>
      </c>
      <c r="K67" s="84">
        <f t="shared" si="9"/>
        <v>0.9945802532706121</v>
      </c>
      <c r="L67" s="159">
        <f t="shared" si="10"/>
        <v>1.0565122455519727</v>
      </c>
      <c r="M67" s="143">
        <v>34</v>
      </c>
      <c r="N67" s="144">
        <f t="shared" si="11"/>
        <v>2279.2</v>
      </c>
      <c r="O67" s="144">
        <f>(M67*N67)/M67</f>
        <v>2279.2</v>
      </c>
    </row>
    <row r="68" spans="1:15" ht="12.75">
      <c r="A68" s="55">
        <v>58</v>
      </c>
      <c r="B68" s="56" t="s">
        <v>42</v>
      </c>
      <c r="C68" s="382" t="s">
        <v>135</v>
      </c>
      <c r="D68" s="82">
        <f>770/0.702804</f>
        <v>1095.611294187284</v>
      </c>
      <c r="E68" s="57">
        <v>1227.08</v>
      </c>
      <c r="F68" s="57">
        <v>1226.4</v>
      </c>
      <c r="G68" s="84">
        <f t="shared" si="7"/>
        <v>1183.0304313957615</v>
      </c>
      <c r="H68" s="111">
        <f t="shared" si="12"/>
        <v>0.9994458389021093</v>
      </c>
      <c r="I68" s="111">
        <f t="shared" si="13"/>
        <v>1.1193750981818182</v>
      </c>
      <c r="J68" s="84">
        <f t="shared" si="8"/>
        <v>1.1199957562597402</v>
      </c>
      <c r="K68" s="84">
        <f t="shared" si="9"/>
        <v>0.9994458389021093</v>
      </c>
      <c r="L68" s="159">
        <f t="shared" si="10"/>
        <v>1.0597207975809249</v>
      </c>
      <c r="M68" s="143">
        <v>4</v>
      </c>
      <c r="N68" s="144">
        <f t="shared" si="11"/>
        <v>1226.4</v>
      </c>
      <c r="O68" s="417">
        <f>((M68*N68+M69*N69+M70*N70+M71*N71))/SUM(M68:M71)</f>
        <v>1329.523612718544</v>
      </c>
    </row>
    <row r="69" spans="1:15" ht="12.75">
      <c r="A69" s="55">
        <v>59</v>
      </c>
      <c r="B69" s="56" t="s">
        <v>43</v>
      </c>
      <c r="C69" s="384"/>
      <c r="D69" s="82">
        <f>770/0.702804</f>
        <v>1095.611294187284</v>
      </c>
      <c r="E69" s="57">
        <v>1227.08</v>
      </c>
      <c r="F69" s="57">
        <v>1226.4</v>
      </c>
      <c r="G69" s="84">
        <f t="shared" si="7"/>
        <v>1183.0304313957615</v>
      </c>
      <c r="H69" s="111">
        <f t="shared" si="12"/>
        <v>0.9994458389021093</v>
      </c>
      <c r="I69" s="111">
        <f t="shared" si="13"/>
        <v>1.1193750981818182</v>
      </c>
      <c r="J69" s="84">
        <f t="shared" si="8"/>
        <v>1.1199957562597402</v>
      </c>
      <c r="K69" s="84">
        <f t="shared" si="9"/>
        <v>0.9994458389021093</v>
      </c>
      <c r="L69" s="159">
        <f t="shared" si="10"/>
        <v>1.0597207975809249</v>
      </c>
      <c r="M69" s="143">
        <v>1</v>
      </c>
      <c r="N69" s="144">
        <f t="shared" si="11"/>
        <v>1226.4</v>
      </c>
      <c r="O69" s="417"/>
    </row>
    <row r="70" spans="1:15" ht="12.75">
      <c r="A70" s="55">
        <v>60</v>
      </c>
      <c r="B70" s="56" t="s">
        <v>44</v>
      </c>
      <c r="C70" s="384"/>
      <c r="D70" s="82">
        <f>990/0.702804</f>
        <v>1408.643092526508</v>
      </c>
      <c r="E70" s="82">
        <f>990/0.702804</f>
        <v>1408.643092526508</v>
      </c>
      <c r="F70" s="82">
        <f>990/0.702804</f>
        <v>1408.643092526508</v>
      </c>
      <c r="G70" s="84">
        <f t="shared" si="7"/>
        <v>1408.6430925265079</v>
      </c>
      <c r="H70" s="111">
        <v>0</v>
      </c>
      <c r="I70" s="111">
        <v>0</v>
      </c>
      <c r="J70" s="84">
        <f t="shared" si="8"/>
        <v>1</v>
      </c>
      <c r="K70" s="84">
        <f t="shared" si="9"/>
        <v>1</v>
      </c>
      <c r="L70" s="159">
        <f t="shared" si="10"/>
        <v>1</v>
      </c>
      <c r="M70" s="184">
        <v>1</v>
      </c>
      <c r="N70" s="144">
        <f t="shared" si="11"/>
        <v>1408.643092526508</v>
      </c>
      <c r="O70" s="417"/>
    </row>
    <row r="71" spans="1:15" ht="25.5">
      <c r="A71" s="55">
        <v>61</v>
      </c>
      <c r="B71" s="56" t="s">
        <v>45</v>
      </c>
      <c r="C71" s="383"/>
      <c r="D71" s="82">
        <f>851/0.702804</f>
        <v>1210.8639108485438</v>
      </c>
      <c r="E71" s="57">
        <v>1354.57</v>
      </c>
      <c r="F71" s="57">
        <v>1355.2</v>
      </c>
      <c r="G71" s="84">
        <f t="shared" si="7"/>
        <v>1306.8779702828479</v>
      </c>
      <c r="H71" s="111">
        <f t="shared" si="12"/>
        <v>1.000465092243295</v>
      </c>
      <c r="I71" s="111">
        <f t="shared" si="13"/>
        <v>1.1192009175088131</v>
      </c>
      <c r="J71" s="84">
        <f t="shared" si="8"/>
        <v>1.118680627826087</v>
      </c>
      <c r="K71" s="84">
        <f t="shared" si="9"/>
        <v>1.000465092243295</v>
      </c>
      <c r="L71" s="159">
        <f t="shared" si="10"/>
        <v>1.059572860034691</v>
      </c>
      <c r="M71" s="143">
        <v>17</v>
      </c>
      <c r="N71" s="144">
        <f t="shared" si="11"/>
        <v>1355.2</v>
      </c>
      <c r="O71" s="417"/>
    </row>
    <row r="72" spans="1:15" ht="12.75" customHeight="1">
      <c r="A72" s="55">
        <v>62</v>
      </c>
      <c r="B72" s="56" t="s">
        <v>51</v>
      </c>
      <c r="C72" s="382" t="s">
        <v>140</v>
      </c>
      <c r="D72" s="82">
        <f>120/0.702804</f>
        <v>170.74461727594039</v>
      </c>
      <c r="E72" s="57">
        <v>151.39</v>
      </c>
      <c r="F72" s="57">
        <v>136.51</v>
      </c>
      <c r="G72" s="84">
        <f t="shared" si="7"/>
        <v>152.88153909198013</v>
      </c>
      <c r="H72" s="111">
        <f t="shared" si="12"/>
        <v>0.9017108131316468</v>
      </c>
      <c r="I72" s="111">
        <f t="shared" si="13"/>
        <v>0.799498117</v>
      </c>
      <c r="J72" s="84">
        <f t="shared" si="8"/>
        <v>0.8866458129999999</v>
      </c>
      <c r="K72" s="84">
        <f t="shared" si="9"/>
        <v>0.9017108131316468</v>
      </c>
      <c r="L72" s="159">
        <f t="shared" si="10"/>
        <v>0.8941783130658234</v>
      </c>
      <c r="M72" s="143">
        <v>160</v>
      </c>
      <c r="N72" s="144">
        <f t="shared" si="11"/>
        <v>136.51</v>
      </c>
      <c r="O72" s="417">
        <f>((N72*M72)+(M73*N73))/(M72+M73)</f>
        <v>151.32</v>
      </c>
    </row>
    <row r="73" spans="1:15" ht="25.5">
      <c r="A73" s="55">
        <v>63</v>
      </c>
      <c r="B73" s="56" t="s">
        <v>82</v>
      </c>
      <c r="C73" s="384"/>
      <c r="D73" s="82">
        <v>0</v>
      </c>
      <c r="E73" s="57">
        <v>155.68</v>
      </c>
      <c r="F73" s="57">
        <v>210.56</v>
      </c>
      <c r="G73" s="84">
        <f t="shared" si="7"/>
        <v>122.08</v>
      </c>
      <c r="H73" s="111">
        <f t="shared" si="12"/>
        <v>1.3525179856115108</v>
      </c>
      <c r="I73" s="111">
        <v>1</v>
      </c>
      <c r="J73" s="84">
        <v>0</v>
      </c>
      <c r="K73" s="84">
        <f t="shared" si="9"/>
        <v>1.3525179856115108</v>
      </c>
      <c r="L73" s="159">
        <f t="shared" si="10"/>
        <v>0.6762589928057554</v>
      </c>
      <c r="M73" s="143">
        <v>40</v>
      </c>
      <c r="N73" s="144">
        <f t="shared" si="11"/>
        <v>210.56</v>
      </c>
      <c r="O73" s="417"/>
    </row>
    <row r="74" spans="1:15" ht="25.5">
      <c r="A74" s="55">
        <v>64</v>
      </c>
      <c r="B74" s="56" t="s">
        <v>50</v>
      </c>
      <c r="C74" s="382" t="s">
        <v>136</v>
      </c>
      <c r="D74" s="82">
        <f>98/0.702804</f>
        <v>139.44143744201799</v>
      </c>
      <c r="E74" s="57">
        <v>130.89</v>
      </c>
      <c r="F74" s="57">
        <v>116.35</v>
      </c>
      <c r="G74" s="84">
        <f t="shared" si="7"/>
        <v>128.89381248067266</v>
      </c>
      <c r="H74" s="111">
        <f t="shared" si="12"/>
        <v>0.8889143555657423</v>
      </c>
      <c r="I74" s="111">
        <f t="shared" si="13"/>
        <v>0.834400463265306</v>
      </c>
      <c r="J74" s="84">
        <f t="shared" si="8"/>
        <v>0.9386736281632652</v>
      </c>
      <c r="K74" s="84">
        <f t="shared" si="9"/>
        <v>0.8889143555657423</v>
      </c>
      <c r="L74" s="159">
        <f t="shared" si="10"/>
        <v>0.9137939918645037</v>
      </c>
      <c r="M74" s="143">
        <v>825</v>
      </c>
      <c r="N74" s="144">
        <f t="shared" si="11"/>
        <v>116.35</v>
      </c>
      <c r="O74" s="417">
        <f>(M74*N74+M75*N75+M76*N76)/(M74+M75+M76)</f>
        <v>136.8899444958372</v>
      </c>
    </row>
    <row r="75" spans="1:15" ht="38.25">
      <c r="A75" s="55">
        <v>65</v>
      </c>
      <c r="B75" s="56" t="s">
        <v>83</v>
      </c>
      <c r="C75" s="384"/>
      <c r="D75" s="82">
        <v>0</v>
      </c>
      <c r="E75" s="57">
        <v>213.54</v>
      </c>
      <c r="F75" s="57">
        <v>194.88</v>
      </c>
      <c r="G75" s="84">
        <f t="shared" si="7"/>
        <v>136.14</v>
      </c>
      <c r="H75" s="111">
        <f t="shared" si="12"/>
        <v>0.9126159033436358</v>
      </c>
      <c r="I75" s="111">
        <v>1</v>
      </c>
      <c r="J75" s="84">
        <v>0</v>
      </c>
      <c r="K75" s="84">
        <f t="shared" si="9"/>
        <v>0.9126159033436358</v>
      </c>
      <c r="L75" s="159">
        <f t="shared" si="10"/>
        <v>0.4563079516718179</v>
      </c>
      <c r="M75" s="143">
        <v>255</v>
      </c>
      <c r="N75" s="144">
        <f t="shared" si="11"/>
        <v>194.88</v>
      </c>
      <c r="O75" s="417"/>
    </row>
    <row r="76" spans="1:15" ht="38.25">
      <c r="A76" s="55">
        <v>66</v>
      </c>
      <c r="B76" s="56" t="s">
        <v>238</v>
      </c>
      <c r="C76" s="383"/>
      <c r="D76" s="82">
        <v>0</v>
      </c>
      <c r="E76" s="57">
        <v>1912.34</v>
      </c>
      <c r="F76" s="57">
        <v>2294.88</v>
      </c>
      <c r="G76" s="84">
        <f t="shared" si="7"/>
        <v>1402.4066666666668</v>
      </c>
      <c r="H76" s="111">
        <f t="shared" si="12"/>
        <v>1.200037650208645</v>
      </c>
      <c r="I76" s="111">
        <v>1</v>
      </c>
      <c r="J76" s="84">
        <v>0</v>
      </c>
      <c r="K76" s="84">
        <f t="shared" si="9"/>
        <v>1.200037650208645</v>
      </c>
      <c r="L76" s="159">
        <f t="shared" si="10"/>
        <v>0.6000188251043225</v>
      </c>
      <c r="M76" s="184">
        <v>1</v>
      </c>
      <c r="N76" s="195">
        <f t="shared" si="11"/>
        <v>2294.88</v>
      </c>
      <c r="O76" s="417"/>
    </row>
    <row r="77" spans="1:15" ht="38.25">
      <c r="A77" s="55">
        <v>67</v>
      </c>
      <c r="B77" s="60" t="s">
        <v>158</v>
      </c>
      <c r="C77" s="391" t="s">
        <v>129</v>
      </c>
      <c r="D77" s="82">
        <f>976/0.702804</f>
        <v>1388.7228871776483</v>
      </c>
      <c r="E77" s="85">
        <v>1936.24</v>
      </c>
      <c r="F77" s="85">
        <v>1793.12</v>
      </c>
      <c r="G77" s="84">
        <f t="shared" si="7"/>
        <v>1706.0276290592162</v>
      </c>
      <c r="H77" s="111">
        <f t="shared" si="12"/>
        <v>0.9260835433623931</v>
      </c>
      <c r="I77" s="111">
        <f t="shared" si="13"/>
        <v>1.2912007259016394</v>
      </c>
      <c r="J77" s="84">
        <f t="shared" si="8"/>
        <v>1.3942594436065574</v>
      </c>
      <c r="K77" s="84">
        <f t="shared" si="9"/>
        <v>0.9260835433623931</v>
      </c>
      <c r="L77" s="159">
        <f t="shared" si="10"/>
        <v>1.1601714934844751</v>
      </c>
      <c r="M77" s="143">
        <v>25</v>
      </c>
      <c r="N77" s="144">
        <f t="shared" si="11"/>
        <v>1793.12</v>
      </c>
      <c r="O77" s="417">
        <f>((M77*N77+M78*N78+M79*N79+M80*N80+M81*N81+M82*N82+M83*N83))/SUM(M77:M83)</f>
        <v>1824.390377358491</v>
      </c>
    </row>
    <row r="78" spans="1:15" ht="51">
      <c r="A78" s="55">
        <v>68</v>
      </c>
      <c r="B78" s="56" t="s">
        <v>93</v>
      </c>
      <c r="C78" s="392"/>
      <c r="D78" s="82">
        <v>0</v>
      </c>
      <c r="E78" s="85">
        <v>1238.07</v>
      </c>
      <c r="F78" s="85">
        <v>1238.07</v>
      </c>
      <c r="G78" s="84">
        <f t="shared" si="7"/>
        <v>825.38</v>
      </c>
      <c r="H78" s="111">
        <v>0</v>
      </c>
      <c r="I78" s="111">
        <v>1</v>
      </c>
      <c r="J78" s="84">
        <v>0</v>
      </c>
      <c r="K78" s="84">
        <f t="shared" si="9"/>
        <v>1</v>
      </c>
      <c r="L78" s="159">
        <f t="shared" si="10"/>
        <v>0.5</v>
      </c>
      <c r="M78" s="143">
        <v>1</v>
      </c>
      <c r="N78" s="144">
        <f t="shared" si="11"/>
        <v>1238.07</v>
      </c>
      <c r="O78" s="417"/>
    </row>
    <row r="79" spans="1:15" ht="38.25">
      <c r="A79" s="55">
        <v>69</v>
      </c>
      <c r="B79" s="56" t="s">
        <v>53</v>
      </c>
      <c r="C79" s="392"/>
      <c r="D79" s="82">
        <f>1047/0.702804</f>
        <v>1489.7467857325798</v>
      </c>
      <c r="E79" s="85">
        <v>1936.24</v>
      </c>
      <c r="F79" s="85">
        <v>1803.2</v>
      </c>
      <c r="G79" s="84">
        <f t="shared" si="7"/>
        <v>1743.06226191086</v>
      </c>
      <c r="H79" s="111">
        <f t="shared" si="12"/>
        <v>0.93128950956493</v>
      </c>
      <c r="I79" s="111">
        <f t="shared" si="13"/>
        <v>1.2104070418338109</v>
      </c>
      <c r="J79" s="84">
        <f t="shared" si="8"/>
        <v>1.299710808939828</v>
      </c>
      <c r="K79" s="84">
        <f t="shared" si="9"/>
        <v>0.93128950956493</v>
      </c>
      <c r="L79" s="159">
        <f t="shared" si="10"/>
        <v>1.115500159252379</v>
      </c>
      <c r="M79" s="143">
        <v>89</v>
      </c>
      <c r="N79" s="144">
        <f t="shared" si="11"/>
        <v>1803.2</v>
      </c>
      <c r="O79" s="417"/>
    </row>
    <row r="80" spans="1:15" ht="51">
      <c r="A80" s="55">
        <v>70</v>
      </c>
      <c r="B80" s="56" t="s">
        <v>159</v>
      </c>
      <c r="C80" s="392"/>
      <c r="D80" s="82">
        <f>1331/0.702804</f>
        <v>1893.8423799523055</v>
      </c>
      <c r="E80" s="85">
        <v>2068.51</v>
      </c>
      <c r="F80" s="87">
        <v>1876</v>
      </c>
      <c r="G80" s="84">
        <f t="shared" si="7"/>
        <v>1946.1174599841017</v>
      </c>
      <c r="H80" s="111">
        <f t="shared" si="12"/>
        <v>0.9069330097509801</v>
      </c>
      <c r="I80" s="111">
        <f t="shared" si="13"/>
        <v>0.9905787407963936</v>
      </c>
      <c r="J80" s="84">
        <f t="shared" si="8"/>
        <v>1.0922292276784373</v>
      </c>
      <c r="K80" s="84">
        <f t="shared" si="9"/>
        <v>0.9069330097509801</v>
      </c>
      <c r="L80" s="159">
        <f t="shared" si="10"/>
        <v>0.9995811187147088</v>
      </c>
      <c r="M80" s="143">
        <v>16</v>
      </c>
      <c r="N80" s="144">
        <f t="shared" si="11"/>
        <v>1876</v>
      </c>
      <c r="O80" s="417"/>
    </row>
    <row r="81" spans="1:15" ht="51">
      <c r="A81" s="55">
        <v>71</v>
      </c>
      <c r="B81" s="60" t="s">
        <v>95</v>
      </c>
      <c r="C81" s="392"/>
      <c r="D81" s="82">
        <v>0</v>
      </c>
      <c r="E81" s="85">
        <v>2317.12</v>
      </c>
      <c r="F81" s="85">
        <v>2317.12</v>
      </c>
      <c r="G81" s="84">
        <f t="shared" si="7"/>
        <v>1544.7466666666667</v>
      </c>
      <c r="H81" s="111">
        <v>0</v>
      </c>
      <c r="I81" s="111">
        <v>1</v>
      </c>
      <c r="J81" s="84">
        <v>0</v>
      </c>
      <c r="K81" s="84">
        <f t="shared" si="9"/>
        <v>1</v>
      </c>
      <c r="L81" s="159">
        <f t="shared" si="10"/>
        <v>0.5</v>
      </c>
      <c r="M81" s="143">
        <v>1</v>
      </c>
      <c r="N81" s="144">
        <f t="shared" si="11"/>
        <v>2317.12</v>
      </c>
      <c r="O81" s="417"/>
    </row>
    <row r="82" spans="1:15" ht="51">
      <c r="A82" s="55">
        <v>72</v>
      </c>
      <c r="B82" s="56" t="s">
        <v>54</v>
      </c>
      <c r="C82" s="392"/>
      <c r="D82" s="82">
        <f>1386/0.702804</f>
        <v>1972.1003295371113</v>
      </c>
      <c r="E82" s="85">
        <v>2208.75</v>
      </c>
      <c r="F82" s="85">
        <v>1891.68</v>
      </c>
      <c r="G82" s="84">
        <f t="shared" si="7"/>
        <v>2024.1767765123705</v>
      </c>
      <c r="H82" s="111">
        <f t="shared" si="12"/>
        <v>0.8564482173174873</v>
      </c>
      <c r="I82" s="111">
        <f t="shared" si="13"/>
        <v>0.9592209745454546</v>
      </c>
      <c r="J82" s="84">
        <f t="shared" si="8"/>
        <v>1.1199987987012987</v>
      </c>
      <c r="K82" s="84">
        <f t="shared" si="9"/>
        <v>0.8564482173174873</v>
      </c>
      <c r="L82" s="159">
        <f t="shared" si="10"/>
        <v>0.9882235080093931</v>
      </c>
      <c r="M82" s="143">
        <v>26</v>
      </c>
      <c r="N82" s="144">
        <f t="shared" si="11"/>
        <v>1891.68</v>
      </c>
      <c r="O82" s="417"/>
    </row>
    <row r="83" spans="1:15" ht="63.75">
      <c r="A83" s="55">
        <v>73</v>
      </c>
      <c r="B83" s="56" t="s">
        <v>55</v>
      </c>
      <c r="C83" s="393"/>
      <c r="D83" s="82">
        <f>1384/0.702804</f>
        <v>1969.2545859158456</v>
      </c>
      <c r="E83" s="85">
        <v>2205.57</v>
      </c>
      <c r="F83" s="85">
        <v>2010.4</v>
      </c>
      <c r="G83" s="84">
        <f t="shared" si="7"/>
        <v>2061.7415286386154</v>
      </c>
      <c r="H83" s="111">
        <f t="shared" si="12"/>
        <v>0.9115104032064273</v>
      </c>
      <c r="I83" s="111">
        <f t="shared" si="13"/>
        <v>1.0208939028901736</v>
      </c>
      <c r="J83" s="84">
        <f t="shared" si="8"/>
        <v>1.1200024698554913</v>
      </c>
      <c r="K83" s="84">
        <f t="shared" si="9"/>
        <v>0.9115104032064273</v>
      </c>
      <c r="L83" s="159">
        <f t="shared" si="10"/>
        <v>1.0157564365309593</v>
      </c>
      <c r="M83" s="143">
        <v>1</v>
      </c>
      <c r="N83" s="144">
        <f t="shared" si="11"/>
        <v>2010.4</v>
      </c>
      <c r="O83" s="417"/>
    </row>
    <row r="84" spans="1:15" ht="38.25">
      <c r="A84" s="55">
        <v>74</v>
      </c>
      <c r="B84" s="56" t="s">
        <v>96</v>
      </c>
      <c r="C84" s="57" t="s">
        <v>138</v>
      </c>
      <c r="D84" s="82">
        <f>862/0.702804</f>
        <v>1226.515500765505</v>
      </c>
      <c r="E84" s="57">
        <v>1308.36</v>
      </c>
      <c r="F84" s="86">
        <v>1218.56</v>
      </c>
      <c r="G84" s="84">
        <f t="shared" si="7"/>
        <v>1251.145166921835</v>
      </c>
      <c r="H84" s="111">
        <f t="shared" si="12"/>
        <v>0.9313644562658596</v>
      </c>
      <c r="I84" s="111">
        <f t="shared" si="13"/>
        <v>0.9935137380974477</v>
      </c>
      <c r="J84" s="84">
        <f t="shared" si="8"/>
        <v>1.066729282412993</v>
      </c>
      <c r="K84" s="84">
        <f t="shared" si="9"/>
        <v>0.9313644562658596</v>
      </c>
      <c r="L84" s="159">
        <f t="shared" si="10"/>
        <v>0.9990468693394263</v>
      </c>
      <c r="M84" s="143">
        <v>36</v>
      </c>
      <c r="N84" s="144">
        <f t="shared" si="11"/>
        <v>1218.56</v>
      </c>
      <c r="O84" s="143">
        <f>(M84*N84)/M84</f>
        <v>1218.56</v>
      </c>
    </row>
    <row r="85" spans="1:15" ht="38.25">
      <c r="A85" s="55">
        <v>75</v>
      </c>
      <c r="B85" s="56" t="s">
        <v>56</v>
      </c>
      <c r="C85" s="56" t="s">
        <v>56</v>
      </c>
      <c r="D85" s="82">
        <f>1754/0.702804</f>
        <v>2495.7171558499954</v>
      </c>
      <c r="E85" s="82">
        <f>1754/0.702804</f>
        <v>2495.7171558499954</v>
      </c>
      <c r="F85" s="88">
        <v>3118.08</v>
      </c>
      <c r="G85" s="84">
        <f t="shared" si="7"/>
        <v>2703.1714372333304</v>
      </c>
      <c r="H85" s="111">
        <f t="shared" si="12"/>
        <v>1.2493723468187</v>
      </c>
      <c r="I85" s="111">
        <f t="shared" si="13"/>
        <v>1.2493723468187</v>
      </c>
      <c r="J85" s="84">
        <f t="shared" si="8"/>
        <v>1</v>
      </c>
      <c r="K85" s="84">
        <f t="shared" si="9"/>
        <v>1.2493723468187</v>
      </c>
      <c r="L85" s="159">
        <f t="shared" si="10"/>
        <v>1.12468617340935</v>
      </c>
      <c r="M85" s="143">
        <v>1</v>
      </c>
      <c r="N85" s="144">
        <f t="shared" si="11"/>
        <v>3118.08</v>
      </c>
      <c r="O85" s="143">
        <f>(M85*N85)/M85</f>
        <v>3118.08</v>
      </c>
    </row>
    <row r="86" spans="1:15" ht="25.5">
      <c r="A86" s="55">
        <v>76</v>
      </c>
      <c r="B86" s="56" t="s">
        <v>52</v>
      </c>
      <c r="C86" s="382" t="s">
        <v>128</v>
      </c>
      <c r="D86" s="82">
        <f>114/0.702804</f>
        <v>162.20738641214336</v>
      </c>
      <c r="E86" s="57">
        <v>197.61</v>
      </c>
      <c r="F86" s="86">
        <v>182.56</v>
      </c>
      <c r="G86" s="84">
        <f t="shared" si="7"/>
        <v>180.7924621373811</v>
      </c>
      <c r="H86" s="111">
        <f t="shared" si="12"/>
        <v>0.9238398866454126</v>
      </c>
      <c r="I86" s="111">
        <f t="shared" si="13"/>
        <v>1.1254727915789473</v>
      </c>
      <c r="J86" s="84">
        <f t="shared" si="8"/>
        <v>1.2182552494736842</v>
      </c>
      <c r="K86" s="84">
        <f t="shared" si="9"/>
        <v>0.9238398866454126</v>
      </c>
      <c r="L86" s="159">
        <f t="shared" si="10"/>
        <v>1.0710475680595484</v>
      </c>
      <c r="M86" s="143">
        <v>85</v>
      </c>
      <c r="N86" s="144">
        <f t="shared" si="11"/>
        <v>182.56</v>
      </c>
      <c r="O86" s="417">
        <f>((N86*M86)+(M87*N87))/(M86+M87)</f>
        <v>189.952</v>
      </c>
    </row>
    <row r="87" spans="1:15" ht="38.25">
      <c r="A87" s="55">
        <v>77</v>
      </c>
      <c r="B87" s="56" t="s">
        <v>84</v>
      </c>
      <c r="C87" s="383"/>
      <c r="D87" s="82">
        <v>0</v>
      </c>
      <c r="E87" s="57">
        <v>237.45</v>
      </c>
      <c r="F87" s="86">
        <v>231.84</v>
      </c>
      <c r="G87" s="84">
        <f t="shared" si="7"/>
        <v>156.42999999999998</v>
      </c>
      <c r="H87" s="111">
        <f t="shared" si="12"/>
        <v>0.9763739734680986</v>
      </c>
      <c r="I87" s="111">
        <v>1</v>
      </c>
      <c r="J87" s="84">
        <v>0</v>
      </c>
      <c r="K87" s="84">
        <f t="shared" si="9"/>
        <v>0.9763739734680986</v>
      </c>
      <c r="L87" s="159">
        <f t="shared" si="10"/>
        <v>0.4881869867340493</v>
      </c>
      <c r="M87" s="143">
        <v>15</v>
      </c>
      <c r="N87" s="144">
        <f t="shared" si="11"/>
        <v>231.84</v>
      </c>
      <c r="O87" s="417"/>
    </row>
    <row r="88" spans="1:15" ht="25.5">
      <c r="A88" s="55">
        <v>78</v>
      </c>
      <c r="B88" s="65" t="s">
        <v>76</v>
      </c>
      <c r="C88" s="382" t="s">
        <v>130</v>
      </c>
      <c r="D88" s="82">
        <f>353/0.702804</f>
        <v>502.2737491533913</v>
      </c>
      <c r="E88" s="57">
        <v>992.41</v>
      </c>
      <c r="F88" s="57">
        <v>992.41</v>
      </c>
      <c r="G88" s="84">
        <f t="shared" si="7"/>
        <v>829.0312497177971</v>
      </c>
      <c r="H88" s="111">
        <v>0</v>
      </c>
      <c r="I88" s="111">
        <f t="shared" si="13"/>
        <v>1.9758348941643058</v>
      </c>
      <c r="J88" s="84">
        <f t="shared" si="8"/>
        <v>1.9758348941643058</v>
      </c>
      <c r="K88" s="84">
        <f t="shared" si="9"/>
        <v>1</v>
      </c>
      <c r="L88" s="159">
        <f t="shared" si="10"/>
        <v>1.487917447082153</v>
      </c>
      <c r="M88" s="143">
        <v>8</v>
      </c>
      <c r="N88" s="144">
        <f t="shared" si="11"/>
        <v>992.41</v>
      </c>
      <c r="O88" s="417">
        <f>((M88*N88+M89*N89+M90*N90+M91*N91+M92*N92+M93*N93+M94*N94))/SUM(M88:M94)</f>
        <v>790.5277073170732</v>
      </c>
    </row>
    <row r="89" spans="1:15" ht="25.5">
      <c r="A89" s="55">
        <v>79</v>
      </c>
      <c r="B89" s="65" t="s">
        <v>97</v>
      </c>
      <c r="C89" s="384"/>
      <c r="D89" s="82">
        <f>1310/0.702804</f>
        <v>1863.9620719290158</v>
      </c>
      <c r="E89" s="82">
        <f>1310/0.702804</f>
        <v>1863.9620719290158</v>
      </c>
      <c r="F89" s="86">
        <v>2206.4</v>
      </c>
      <c r="G89" s="84">
        <f t="shared" si="7"/>
        <v>1978.1080479526772</v>
      </c>
      <c r="H89" s="111">
        <f t="shared" si="12"/>
        <v>1.1837150729770993</v>
      </c>
      <c r="I89" s="111">
        <f t="shared" si="13"/>
        <v>1.1837150729770993</v>
      </c>
      <c r="J89" s="84">
        <f t="shared" si="8"/>
        <v>1</v>
      </c>
      <c r="K89" s="84">
        <f t="shared" si="9"/>
        <v>1.1837150729770993</v>
      </c>
      <c r="L89" s="159">
        <f t="shared" si="10"/>
        <v>1.0918575364885497</v>
      </c>
      <c r="M89" s="143">
        <v>5</v>
      </c>
      <c r="N89" s="144">
        <f t="shared" si="11"/>
        <v>2206.4</v>
      </c>
      <c r="O89" s="417"/>
    </row>
    <row r="90" spans="1:15" ht="38.25">
      <c r="A90" s="55">
        <v>80</v>
      </c>
      <c r="B90" s="65" t="s">
        <v>98</v>
      </c>
      <c r="C90" s="384"/>
      <c r="D90" s="82">
        <f>1834/0.702804</f>
        <v>2609.5469007006222</v>
      </c>
      <c r="E90" s="57">
        <v>2922.69</v>
      </c>
      <c r="F90" s="86">
        <v>2905.28</v>
      </c>
      <c r="G90" s="84">
        <f t="shared" si="7"/>
        <v>2812.505633566874</v>
      </c>
      <c r="H90" s="111">
        <f t="shared" si="12"/>
        <v>0.9940431588707663</v>
      </c>
      <c r="I90" s="111">
        <f t="shared" si="13"/>
        <v>1.1133273746564885</v>
      </c>
      <c r="J90" s="84">
        <f t="shared" si="8"/>
        <v>1.1199990309487458</v>
      </c>
      <c r="K90" s="84">
        <f t="shared" si="9"/>
        <v>0.9940431588707663</v>
      </c>
      <c r="L90" s="159">
        <f t="shared" si="10"/>
        <v>1.057021094909756</v>
      </c>
      <c r="M90" s="143">
        <v>10</v>
      </c>
      <c r="N90" s="144">
        <f t="shared" si="11"/>
        <v>2905.28</v>
      </c>
      <c r="O90" s="417"/>
    </row>
    <row r="91" spans="1:15" ht="25.5">
      <c r="A91" s="55">
        <v>81</v>
      </c>
      <c r="B91" s="65" t="s">
        <v>47</v>
      </c>
      <c r="C91" s="384"/>
      <c r="D91" s="82">
        <f>1230/0.702804</f>
        <v>1750.132327078389</v>
      </c>
      <c r="E91" s="82">
        <f>1230/0.702804</f>
        <v>1750.132327078389</v>
      </c>
      <c r="F91" s="57">
        <v>1744.96</v>
      </c>
      <c r="G91" s="84">
        <f t="shared" si="7"/>
        <v>1748.4082180522594</v>
      </c>
      <c r="H91" s="146">
        <f t="shared" si="12"/>
        <v>0.9970446079999999</v>
      </c>
      <c r="I91" s="146">
        <f t="shared" si="13"/>
        <v>0.9970446079999999</v>
      </c>
      <c r="J91" s="84">
        <f t="shared" si="8"/>
        <v>1</v>
      </c>
      <c r="K91" s="84">
        <f t="shared" si="9"/>
        <v>0.9970446079999999</v>
      </c>
      <c r="L91" s="159">
        <f t="shared" si="10"/>
        <v>0.998522304</v>
      </c>
      <c r="M91" s="143">
        <v>10</v>
      </c>
      <c r="N91" s="144">
        <f t="shared" si="11"/>
        <v>1744.96</v>
      </c>
      <c r="O91" s="417"/>
    </row>
    <row r="92" spans="1:15" ht="12.75">
      <c r="A92" s="55">
        <v>82</v>
      </c>
      <c r="B92" s="65" t="s">
        <v>48</v>
      </c>
      <c r="C92" s="384"/>
      <c r="D92" s="82">
        <f>430/0.702804</f>
        <v>611.8348785721197</v>
      </c>
      <c r="E92" s="82">
        <f>430/0.702804</f>
        <v>611.8348785721197</v>
      </c>
      <c r="F92" s="82">
        <f>430/0.702804</f>
        <v>611.8348785721197</v>
      </c>
      <c r="G92" s="84">
        <f t="shared" si="7"/>
        <v>611.8348785721197</v>
      </c>
      <c r="H92" s="111">
        <v>0</v>
      </c>
      <c r="I92" s="111">
        <v>0</v>
      </c>
      <c r="J92" s="84">
        <f t="shared" si="8"/>
        <v>1</v>
      </c>
      <c r="K92" s="84">
        <f t="shared" si="9"/>
        <v>1</v>
      </c>
      <c r="L92" s="159">
        <f t="shared" si="10"/>
        <v>1</v>
      </c>
      <c r="M92" s="143">
        <v>0</v>
      </c>
      <c r="N92" s="144">
        <f t="shared" si="11"/>
        <v>611.8348785721197</v>
      </c>
      <c r="O92" s="417"/>
    </row>
    <row r="93" spans="1:15" ht="25.5">
      <c r="A93" s="55">
        <v>83</v>
      </c>
      <c r="B93" s="65" t="s">
        <v>91</v>
      </c>
      <c r="C93" s="384"/>
      <c r="D93" s="82">
        <f>440/0.702804</f>
        <v>626.0635966784481</v>
      </c>
      <c r="E93" s="57">
        <v>560.95</v>
      </c>
      <c r="F93" s="57">
        <v>560.95</v>
      </c>
      <c r="G93" s="84">
        <f t="shared" si="7"/>
        <v>582.6545322261494</v>
      </c>
      <c r="H93" s="111">
        <v>0</v>
      </c>
      <c r="I93" s="111">
        <f t="shared" si="13"/>
        <v>0.8959952359090909</v>
      </c>
      <c r="J93" s="84">
        <f t="shared" si="8"/>
        <v>0.8959952359090909</v>
      </c>
      <c r="K93" s="84">
        <f t="shared" si="9"/>
        <v>1</v>
      </c>
      <c r="L93" s="159">
        <f t="shared" si="10"/>
        <v>0.9479976179545455</v>
      </c>
      <c r="M93" s="143">
        <v>167</v>
      </c>
      <c r="N93" s="144">
        <f t="shared" si="11"/>
        <v>560.95</v>
      </c>
      <c r="O93" s="417"/>
    </row>
    <row r="94" spans="1:15" ht="25.5">
      <c r="A94" s="55">
        <v>84</v>
      </c>
      <c r="B94" s="65" t="s">
        <v>49</v>
      </c>
      <c r="C94" s="383"/>
      <c r="D94" s="82">
        <f>620/0.702804</f>
        <v>882.1805225923587</v>
      </c>
      <c r="E94" s="57">
        <v>605.57</v>
      </c>
      <c r="F94" s="57">
        <v>581.17</v>
      </c>
      <c r="G94" s="84">
        <f t="shared" si="7"/>
        <v>689.6401741974529</v>
      </c>
      <c r="H94" s="111">
        <f t="shared" si="12"/>
        <v>0.9597073831266408</v>
      </c>
      <c r="I94" s="111">
        <f t="shared" si="13"/>
        <v>0.6587880656129032</v>
      </c>
      <c r="J94" s="84">
        <f t="shared" si="8"/>
        <v>0.6864468036774194</v>
      </c>
      <c r="K94" s="84">
        <f t="shared" si="9"/>
        <v>0.9597073831266408</v>
      </c>
      <c r="L94" s="159">
        <f t="shared" si="10"/>
        <v>0.8230770934020302</v>
      </c>
      <c r="M94" s="143">
        <v>5</v>
      </c>
      <c r="N94" s="144">
        <f t="shared" si="11"/>
        <v>581.17</v>
      </c>
      <c r="O94" s="417"/>
    </row>
    <row r="95" spans="1:15" ht="25.5">
      <c r="A95" s="55">
        <v>85</v>
      </c>
      <c r="B95" s="56" t="s">
        <v>57</v>
      </c>
      <c r="C95" s="57" t="s">
        <v>139</v>
      </c>
      <c r="D95" s="82">
        <f>3343/0.702804</f>
        <v>4756.660462945572</v>
      </c>
      <c r="E95" s="57">
        <v>5327.46</v>
      </c>
      <c r="F95" s="57">
        <v>4253.76</v>
      </c>
      <c r="G95" s="84">
        <f t="shared" si="7"/>
        <v>4779.293487648524</v>
      </c>
      <c r="H95" s="111">
        <f t="shared" si="12"/>
        <v>0.7984593033077677</v>
      </c>
      <c r="I95" s="111">
        <f t="shared" si="13"/>
        <v>0.8942744669578223</v>
      </c>
      <c r="J95" s="84">
        <f t="shared" si="8"/>
        <v>1.120000059180377</v>
      </c>
      <c r="K95" s="84">
        <f t="shared" si="9"/>
        <v>0.7984593033077677</v>
      </c>
      <c r="L95" s="159">
        <f t="shared" si="10"/>
        <v>0.9592296812440724</v>
      </c>
      <c r="M95" s="143">
        <v>35</v>
      </c>
      <c r="N95" s="144">
        <f t="shared" si="11"/>
        <v>4253.76</v>
      </c>
      <c r="O95" s="143">
        <f>(M95*N95)/M95</f>
        <v>4253.76</v>
      </c>
    </row>
    <row r="96" spans="1:15" ht="25.5">
      <c r="A96" s="55">
        <v>86</v>
      </c>
      <c r="B96" s="60" t="s">
        <v>46</v>
      </c>
      <c r="C96" s="47" t="s">
        <v>46</v>
      </c>
      <c r="D96" s="82">
        <f>548/0.702804</f>
        <v>779.7337522267944</v>
      </c>
      <c r="E96" s="57">
        <v>983.27</v>
      </c>
      <c r="F96" s="57">
        <v>976.53</v>
      </c>
      <c r="G96" s="84">
        <f t="shared" si="7"/>
        <v>913.1779174089315</v>
      </c>
      <c r="H96" s="111">
        <f t="shared" si="12"/>
        <v>0.9931453212240788</v>
      </c>
      <c r="I96" s="111">
        <f t="shared" si="13"/>
        <v>1.2523890330656933</v>
      </c>
      <c r="J96" s="84">
        <f t="shared" si="8"/>
        <v>1.261033009270073</v>
      </c>
      <c r="K96" s="84">
        <f t="shared" si="9"/>
        <v>0.9931453212240788</v>
      </c>
      <c r="L96" s="159">
        <f t="shared" si="10"/>
        <v>1.1270891652470758</v>
      </c>
      <c r="M96" s="143">
        <v>21</v>
      </c>
      <c r="N96" s="144">
        <f t="shared" si="11"/>
        <v>976.53</v>
      </c>
      <c r="O96" s="143">
        <f>(M96*N96)/M96</f>
        <v>976.5300000000001</v>
      </c>
    </row>
    <row r="97" spans="1:15" ht="25.5">
      <c r="A97" s="55">
        <v>87</v>
      </c>
      <c r="B97" s="56" t="s">
        <v>99</v>
      </c>
      <c r="C97" s="382" t="s">
        <v>147</v>
      </c>
      <c r="D97" s="82">
        <f>273/0.702804</f>
        <v>388.44400430276437</v>
      </c>
      <c r="E97" s="57">
        <v>411.94</v>
      </c>
      <c r="F97" s="57">
        <v>403.2</v>
      </c>
      <c r="G97" s="84">
        <f t="shared" si="7"/>
        <v>401.1946681009215</v>
      </c>
      <c r="H97" s="111">
        <f t="shared" si="12"/>
        <v>0.978783317958926</v>
      </c>
      <c r="I97" s="111">
        <f t="shared" si="13"/>
        <v>1.037987446153846</v>
      </c>
      <c r="J97" s="84">
        <f t="shared" si="8"/>
        <v>1.0604874716483517</v>
      </c>
      <c r="K97" s="84">
        <f t="shared" si="9"/>
        <v>0.978783317958926</v>
      </c>
      <c r="L97" s="159">
        <f t="shared" si="10"/>
        <v>1.0196353948036387</v>
      </c>
      <c r="M97" s="143">
        <v>70</v>
      </c>
      <c r="N97" s="144">
        <f t="shared" si="11"/>
        <v>403.2</v>
      </c>
      <c r="O97" s="417">
        <f>((N97*M97)+(M98*N98))/(M97+M98)</f>
        <v>414.03125</v>
      </c>
    </row>
    <row r="98" spans="1:15" ht="38.25">
      <c r="A98" s="55">
        <v>88</v>
      </c>
      <c r="B98" s="56" t="s">
        <v>113</v>
      </c>
      <c r="C98" s="383"/>
      <c r="D98" s="82">
        <v>0</v>
      </c>
      <c r="E98" s="57">
        <v>489.85</v>
      </c>
      <c r="F98" s="57">
        <v>489.85</v>
      </c>
      <c r="G98" s="84">
        <f t="shared" si="7"/>
        <v>326.56666666666666</v>
      </c>
      <c r="H98" s="111">
        <v>0</v>
      </c>
      <c r="I98" s="111">
        <v>1</v>
      </c>
      <c r="J98" s="84">
        <v>0</v>
      </c>
      <c r="K98" s="84">
        <f t="shared" si="9"/>
        <v>1</v>
      </c>
      <c r="L98" s="159">
        <f t="shared" si="10"/>
        <v>0.5</v>
      </c>
      <c r="M98" s="143">
        <v>10</v>
      </c>
      <c r="N98" s="144">
        <f t="shared" si="11"/>
        <v>489.85</v>
      </c>
      <c r="O98" s="417"/>
    </row>
    <row r="99" spans="1:15" ht="12.75">
      <c r="A99" s="55">
        <v>89</v>
      </c>
      <c r="B99" s="65" t="s">
        <v>85</v>
      </c>
      <c r="C99" s="382" t="s">
        <v>131</v>
      </c>
      <c r="D99" s="82">
        <f>161/0.702804</f>
        <v>229.0823615118867</v>
      </c>
      <c r="E99" s="57">
        <v>3346.59</v>
      </c>
      <c r="F99" s="57">
        <v>3346.59</v>
      </c>
      <c r="G99" s="84">
        <f t="shared" si="7"/>
        <v>2307.420787170629</v>
      </c>
      <c r="H99" s="111">
        <v>0</v>
      </c>
      <c r="I99" s="111">
        <f t="shared" si="13"/>
        <v>14.608676014658384</v>
      </c>
      <c r="J99" s="84">
        <f t="shared" si="8"/>
        <v>14.608676014658384</v>
      </c>
      <c r="K99" s="84">
        <f t="shared" si="9"/>
        <v>1</v>
      </c>
      <c r="L99" s="159">
        <f t="shared" si="10"/>
        <v>7.804338007329192</v>
      </c>
      <c r="M99" s="143">
        <v>1</v>
      </c>
      <c r="N99" s="144">
        <f t="shared" si="11"/>
        <v>3346.59</v>
      </c>
      <c r="O99" s="417">
        <f>((M99*N99+M100*N100+M101*N101+M102*N102))/SUM(M99:M102)</f>
        <v>2931.2369594594597</v>
      </c>
    </row>
    <row r="100" spans="1:15" ht="12.75">
      <c r="A100" s="55">
        <v>90</v>
      </c>
      <c r="B100" s="65" t="s">
        <v>58</v>
      </c>
      <c r="C100" s="384"/>
      <c r="D100" s="82">
        <f>1452/0.702804</f>
        <v>2066.0098690388786</v>
      </c>
      <c r="E100" s="57">
        <v>1743.94</v>
      </c>
      <c r="F100" s="86">
        <v>3012.8</v>
      </c>
      <c r="G100" s="84">
        <f t="shared" si="7"/>
        <v>2274.249956346293</v>
      </c>
      <c r="H100" s="111">
        <f t="shared" si="12"/>
        <v>1.7275823709531293</v>
      </c>
      <c r="I100" s="111">
        <f t="shared" si="13"/>
        <v>1.4582698975206612</v>
      </c>
      <c r="J100" s="84">
        <f t="shared" si="8"/>
        <v>0.8441101981818182</v>
      </c>
      <c r="K100" s="84">
        <f t="shared" si="9"/>
        <v>1.7275823709531293</v>
      </c>
      <c r="L100" s="159">
        <f t="shared" si="10"/>
        <v>1.2858462845674739</v>
      </c>
      <c r="M100" s="143">
        <v>136</v>
      </c>
      <c r="N100" s="144">
        <f t="shared" si="11"/>
        <v>3012.8</v>
      </c>
      <c r="O100" s="417"/>
    </row>
    <row r="101" spans="1:15" ht="25.5">
      <c r="A101" s="55">
        <v>91</v>
      </c>
      <c r="B101" s="56" t="s">
        <v>86</v>
      </c>
      <c r="C101" s="384"/>
      <c r="D101" s="82">
        <v>0</v>
      </c>
      <c r="E101" s="57">
        <v>3698.23</v>
      </c>
      <c r="F101" s="86">
        <v>3375.68</v>
      </c>
      <c r="G101" s="84">
        <f t="shared" si="7"/>
        <v>2357.97</v>
      </c>
      <c r="H101" s="111">
        <f t="shared" si="12"/>
        <v>0.9127826014066188</v>
      </c>
      <c r="I101" s="111">
        <v>1</v>
      </c>
      <c r="J101" s="84">
        <v>0</v>
      </c>
      <c r="K101" s="84">
        <f t="shared" si="9"/>
        <v>0.9127826014066188</v>
      </c>
      <c r="L101" s="159">
        <f t="shared" si="10"/>
        <v>0.4563913007033094</v>
      </c>
      <c r="M101" s="143">
        <v>1</v>
      </c>
      <c r="N101" s="144">
        <f t="shared" si="11"/>
        <v>3375.68</v>
      </c>
      <c r="O101" s="417"/>
    </row>
    <row r="102" spans="1:15" ht="25.5">
      <c r="A102" s="55">
        <v>92</v>
      </c>
      <c r="B102" s="56" t="s">
        <v>100</v>
      </c>
      <c r="C102" s="383"/>
      <c r="D102" s="82">
        <f>1452/0.702804</f>
        <v>2066.0098690388786</v>
      </c>
      <c r="E102" s="57">
        <v>1845.12</v>
      </c>
      <c r="F102" s="57">
        <v>1736</v>
      </c>
      <c r="G102" s="84">
        <f t="shared" si="7"/>
        <v>1882.3766230129595</v>
      </c>
      <c r="H102" s="111">
        <f t="shared" si="12"/>
        <v>0.9408602150537635</v>
      </c>
      <c r="I102" s="111">
        <f t="shared" si="13"/>
        <v>0.840267041322314</v>
      </c>
      <c r="J102" s="84">
        <f t="shared" si="8"/>
        <v>0.8930838267768594</v>
      </c>
      <c r="K102" s="84">
        <f t="shared" si="9"/>
        <v>0.9408602150537635</v>
      </c>
      <c r="L102" s="159">
        <f t="shared" si="10"/>
        <v>0.9169720209153114</v>
      </c>
      <c r="M102" s="143">
        <v>10</v>
      </c>
      <c r="N102" s="144">
        <f t="shared" si="11"/>
        <v>1736</v>
      </c>
      <c r="O102" s="417"/>
    </row>
    <row r="103" spans="1:15" ht="12.75">
      <c r="A103" s="55">
        <v>92</v>
      </c>
      <c r="B103" s="56" t="s">
        <v>14</v>
      </c>
      <c r="C103" s="57" t="s">
        <v>145</v>
      </c>
      <c r="D103" s="82">
        <f>31/0.702804</f>
        <v>44.10902612961793</v>
      </c>
      <c r="E103" s="57">
        <v>50.98</v>
      </c>
      <c r="F103" s="57">
        <v>50.98</v>
      </c>
      <c r="G103" s="84">
        <f t="shared" si="7"/>
        <v>48.689675376539306</v>
      </c>
      <c r="H103" s="111">
        <v>0</v>
      </c>
      <c r="I103" s="111">
        <f t="shared" si="13"/>
        <v>1.155772513548387</v>
      </c>
      <c r="J103" s="84">
        <f t="shared" si="8"/>
        <v>1.155772513548387</v>
      </c>
      <c r="K103" s="84">
        <f t="shared" si="9"/>
        <v>1</v>
      </c>
      <c r="L103" s="159">
        <f t="shared" si="10"/>
        <v>1.0778862567741934</v>
      </c>
      <c r="M103" s="143">
        <v>100</v>
      </c>
      <c r="N103" s="144">
        <f t="shared" si="11"/>
        <v>50.98</v>
      </c>
      <c r="O103" s="143">
        <f>(M103*N103)/M103</f>
        <v>50.98</v>
      </c>
    </row>
    <row r="104" spans="1:15" ht="12.75">
      <c r="A104" s="55">
        <v>93</v>
      </c>
      <c r="B104" s="209" t="s">
        <v>174</v>
      </c>
      <c r="C104" s="382" t="s">
        <v>185</v>
      </c>
      <c r="D104" s="122">
        <v>0</v>
      </c>
      <c r="E104" s="81">
        <v>0</v>
      </c>
      <c r="F104" s="81">
        <f>1881.6/8</f>
        <v>235.2</v>
      </c>
      <c r="G104" s="84">
        <f>F104</f>
        <v>235.2</v>
      </c>
      <c r="H104" s="111">
        <v>1</v>
      </c>
      <c r="I104" s="111">
        <v>1</v>
      </c>
      <c r="J104" s="84">
        <v>0</v>
      </c>
      <c r="K104" s="84">
        <v>0</v>
      </c>
      <c r="L104" s="159">
        <f t="shared" si="10"/>
        <v>0</v>
      </c>
      <c r="M104" s="143">
        <v>0</v>
      </c>
      <c r="N104" s="144">
        <f t="shared" si="11"/>
        <v>235.2</v>
      </c>
      <c r="O104" s="167">
        <f>N104</f>
        <v>235.2</v>
      </c>
    </row>
    <row r="105" spans="1:15" ht="12.75">
      <c r="A105" s="55">
        <v>94</v>
      </c>
      <c r="B105" s="209" t="s">
        <v>175</v>
      </c>
      <c r="C105" s="384"/>
      <c r="D105" s="122">
        <v>0</v>
      </c>
      <c r="E105" s="81">
        <v>0</v>
      </c>
      <c r="F105" s="57">
        <f>2204.16/8</f>
        <v>275.52</v>
      </c>
      <c r="G105" s="84">
        <f aca="true" t="shared" si="14" ref="G105:G116">F105</f>
        <v>275.52</v>
      </c>
      <c r="H105" s="111">
        <v>1</v>
      </c>
      <c r="I105" s="111">
        <v>1</v>
      </c>
      <c r="J105" s="84">
        <v>0</v>
      </c>
      <c r="K105" s="84">
        <v>0</v>
      </c>
      <c r="L105" s="159">
        <f t="shared" si="10"/>
        <v>0</v>
      </c>
      <c r="M105" s="143">
        <v>0</v>
      </c>
      <c r="N105" s="144">
        <f t="shared" si="11"/>
        <v>275.52</v>
      </c>
      <c r="O105" s="167">
        <f aca="true" t="shared" si="15" ref="O105:O116">N105</f>
        <v>275.52</v>
      </c>
    </row>
    <row r="106" spans="1:15" ht="12.75">
      <c r="A106" s="55">
        <v>95</v>
      </c>
      <c r="B106" s="209" t="s">
        <v>176</v>
      </c>
      <c r="C106" s="384"/>
      <c r="D106" s="122">
        <v>0</v>
      </c>
      <c r="E106" s="81">
        <v>0</v>
      </c>
      <c r="F106" s="81">
        <f>1971.2/8</f>
        <v>246.4</v>
      </c>
      <c r="G106" s="84">
        <f t="shared" si="14"/>
        <v>246.4</v>
      </c>
      <c r="H106" s="111">
        <v>1</v>
      </c>
      <c r="I106" s="111">
        <v>1</v>
      </c>
      <c r="J106" s="84">
        <v>0</v>
      </c>
      <c r="K106" s="84">
        <v>0</v>
      </c>
      <c r="L106" s="159">
        <f t="shared" si="10"/>
        <v>0</v>
      </c>
      <c r="M106" s="143">
        <v>0</v>
      </c>
      <c r="N106" s="144">
        <f t="shared" si="11"/>
        <v>246.4</v>
      </c>
      <c r="O106" s="167">
        <f t="shared" si="15"/>
        <v>246.4</v>
      </c>
    </row>
    <row r="107" spans="1:15" ht="25.5">
      <c r="A107" s="55">
        <v>96</v>
      </c>
      <c r="B107" s="209" t="s">
        <v>177</v>
      </c>
      <c r="C107" s="384"/>
      <c r="D107" s="122">
        <v>0</v>
      </c>
      <c r="E107" s="81">
        <v>0</v>
      </c>
      <c r="F107" s="81">
        <f>47667.2/8</f>
        <v>5958.4</v>
      </c>
      <c r="G107" s="84">
        <f t="shared" si="14"/>
        <v>5958.4</v>
      </c>
      <c r="H107" s="111">
        <v>1</v>
      </c>
      <c r="I107" s="111">
        <v>1</v>
      </c>
      <c r="J107" s="84">
        <v>0</v>
      </c>
      <c r="K107" s="84">
        <v>0</v>
      </c>
      <c r="L107" s="159">
        <f t="shared" si="10"/>
        <v>0</v>
      </c>
      <c r="M107" s="143">
        <v>0</v>
      </c>
      <c r="N107" s="144">
        <f t="shared" si="11"/>
        <v>5958.4</v>
      </c>
      <c r="O107" s="167">
        <f t="shared" si="15"/>
        <v>5958.4</v>
      </c>
    </row>
    <row r="108" spans="1:15" ht="12.75">
      <c r="A108" s="55">
        <v>97</v>
      </c>
      <c r="B108" s="209" t="s">
        <v>178</v>
      </c>
      <c r="C108" s="384"/>
      <c r="D108" s="122">
        <v>0</v>
      </c>
      <c r="E108" s="81">
        <v>0</v>
      </c>
      <c r="F108" s="57">
        <f>10635.52/8</f>
        <v>1329.44</v>
      </c>
      <c r="G108" s="84">
        <f t="shared" si="14"/>
        <v>1329.44</v>
      </c>
      <c r="H108" s="111">
        <v>1</v>
      </c>
      <c r="I108" s="111">
        <v>1</v>
      </c>
      <c r="J108" s="84">
        <v>0</v>
      </c>
      <c r="K108" s="84">
        <v>0</v>
      </c>
      <c r="L108" s="159">
        <f aca="true" t="shared" si="16" ref="L108:L116">(J108+K108)/2</f>
        <v>0</v>
      </c>
      <c r="M108" s="143">
        <v>0</v>
      </c>
      <c r="N108" s="144">
        <f aca="true" t="shared" si="17" ref="N108:N116">F108</f>
        <v>1329.44</v>
      </c>
      <c r="O108" s="167">
        <f t="shared" si="15"/>
        <v>1329.44</v>
      </c>
    </row>
    <row r="109" spans="1:15" ht="12.75">
      <c r="A109" s="55">
        <v>98</v>
      </c>
      <c r="B109" s="209" t="s">
        <v>179</v>
      </c>
      <c r="C109" s="384"/>
      <c r="D109" s="122">
        <v>0</v>
      </c>
      <c r="E109" s="81">
        <v>0</v>
      </c>
      <c r="F109" s="57">
        <f>24066.56/8</f>
        <v>3008.32</v>
      </c>
      <c r="G109" s="84">
        <f t="shared" si="14"/>
        <v>3008.32</v>
      </c>
      <c r="H109" s="111">
        <v>1</v>
      </c>
      <c r="I109" s="111">
        <v>1</v>
      </c>
      <c r="J109" s="84">
        <v>0</v>
      </c>
      <c r="K109" s="84">
        <v>0</v>
      </c>
      <c r="L109" s="159">
        <f t="shared" si="16"/>
        <v>0</v>
      </c>
      <c r="M109" s="143">
        <v>0</v>
      </c>
      <c r="N109" s="144">
        <f t="shared" si="17"/>
        <v>3008.32</v>
      </c>
      <c r="O109" s="167">
        <f t="shared" si="15"/>
        <v>3008.32</v>
      </c>
    </row>
    <row r="110" spans="1:15" ht="12.75">
      <c r="A110" s="55">
        <v>99</v>
      </c>
      <c r="B110" s="209" t="s">
        <v>186</v>
      </c>
      <c r="C110" s="384"/>
      <c r="D110" s="122">
        <v>0</v>
      </c>
      <c r="E110" s="81">
        <v>0</v>
      </c>
      <c r="F110" s="81">
        <f>1590.4/4</f>
        <v>397.6</v>
      </c>
      <c r="G110" s="84">
        <f t="shared" si="14"/>
        <v>397.6</v>
      </c>
      <c r="H110" s="111">
        <v>1</v>
      </c>
      <c r="I110" s="111">
        <v>1</v>
      </c>
      <c r="J110" s="84">
        <v>0</v>
      </c>
      <c r="K110" s="84">
        <v>0</v>
      </c>
      <c r="L110" s="159">
        <f t="shared" si="16"/>
        <v>0</v>
      </c>
      <c r="M110" s="143">
        <v>0</v>
      </c>
      <c r="N110" s="144">
        <f t="shared" si="17"/>
        <v>397.6</v>
      </c>
      <c r="O110" s="167">
        <f t="shared" si="15"/>
        <v>397.6</v>
      </c>
    </row>
    <row r="111" spans="1:15" ht="12.75">
      <c r="A111" s="55">
        <v>100</v>
      </c>
      <c r="B111" s="209" t="s">
        <v>180</v>
      </c>
      <c r="C111" s="384"/>
      <c r="D111" s="122">
        <v>0</v>
      </c>
      <c r="E111" s="81">
        <v>0</v>
      </c>
      <c r="F111" s="81">
        <f>4524.8/8</f>
        <v>565.6</v>
      </c>
      <c r="G111" s="84">
        <f t="shared" si="14"/>
        <v>565.6</v>
      </c>
      <c r="H111" s="111">
        <v>1</v>
      </c>
      <c r="I111" s="111">
        <v>1</v>
      </c>
      <c r="J111" s="84">
        <v>0</v>
      </c>
      <c r="K111" s="84">
        <v>0</v>
      </c>
      <c r="L111" s="159">
        <f t="shared" si="16"/>
        <v>0</v>
      </c>
      <c r="M111" s="143">
        <v>0</v>
      </c>
      <c r="N111" s="144">
        <f t="shared" si="17"/>
        <v>565.6</v>
      </c>
      <c r="O111" s="167">
        <f t="shared" si="15"/>
        <v>565.6</v>
      </c>
    </row>
    <row r="112" spans="1:15" ht="25.5">
      <c r="A112" s="55">
        <v>101</v>
      </c>
      <c r="B112" s="209" t="s">
        <v>181</v>
      </c>
      <c r="C112" s="384"/>
      <c r="D112" s="122">
        <v>0</v>
      </c>
      <c r="E112" s="81">
        <v>0</v>
      </c>
      <c r="F112" s="81">
        <f>36780.8/8</f>
        <v>4597.6</v>
      </c>
      <c r="G112" s="84">
        <f t="shared" si="14"/>
        <v>4597.6</v>
      </c>
      <c r="H112" s="111">
        <v>1</v>
      </c>
      <c r="I112" s="111">
        <v>1</v>
      </c>
      <c r="J112" s="84">
        <v>0</v>
      </c>
      <c r="K112" s="84">
        <v>0</v>
      </c>
      <c r="L112" s="159">
        <f t="shared" si="16"/>
        <v>0</v>
      </c>
      <c r="M112" s="143">
        <v>0</v>
      </c>
      <c r="N112" s="144">
        <f t="shared" si="17"/>
        <v>4597.6</v>
      </c>
      <c r="O112" s="167">
        <f t="shared" si="15"/>
        <v>4597.6</v>
      </c>
    </row>
    <row r="113" spans="1:15" ht="12.75">
      <c r="A113" s="55">
        <v>102</v>
      </c>
      <c r="B113" s="209" t="s">
        <v>182</v>
      </c>
      <c r="C113" s="384"/>
      <c r="D113" s="122">
        <v>0</v>
      </c>
      <c r="E113" s="81">
        <v>0</v>
      </c>
      <c r="F113" s="57">
        <f>555.52/8</f>
        <v>69.44</v>
      </c>
      <c r="G113" s="84">
        <f t="shared" si="14"/>
        <v>69.44</v>
      </c>
      <c r="H113" s="111">
        <v>1</v>
      </c>
      <c r="I113" s="111">
        <v>1</v>
      </c>
      <c r="J113" s="84">
        <v>0</v>
      </c>
      <c r="K113" s="84">
        <v>0</v>
      </c>
      <c r="L113" s="159">
        <f t="shared" si="16"/>
        <v>0</v>
      </c>
      <c r="M113" s="143">
        <v>0</v>
      </c>
      <c r="N113" s="144">
        <f t="shared" si="17"/>
        <v>69.44</v>
      </c>
      <c r="O113" s="167">
        <f t="shared" si="15"/>
        <v>69.44</v>
      </c>
    </row>
    <row r="114" spans="1:15" ht="12.75">
      <c r="A114" s="55">
        <v>103</v>
      </c>
      <c r="B114" s="121" t="s">
        <v>183</v>
      </c>
      <c r="C114" s="384"/>
      <c r="D114" s="122">
        <v>0</v>
      </c>
      <c r="E114" s="81">
        <v>0</v>
      </c>
      <c r="F114" s="57">
        <f>7445.76/8</f>
        <v>930.72</v>
      </c>
      <c r="G114" s="84">
        <f t="shared" si="14"/>
        <v>930.72</v>
      </c>
      <c r="H114" s="111">
        <v>1</v>
      </c>
      <c r="I114" s="111">
        <v>1</v>
      </c>
      <c r="J114" s="84">
        <v>0</v>
      </c>
      <c r="K114" s="84">
        <v>0</v>
      </c>
      <c r="L114" s="159">
        <f t="shared" si="16"/>
        <v>0</v>
      </c>
      <c r="M114" s="143">
        <v>0</v>
      </c>
      <c r="N114" s="144">
        <f t="shared" si="17"/>
        <v>930.72</v>
      </c>
      <c r="O114" s="167">
        <f t="shared" si="15"/>
        <v>930.72</v>
      </c>
    </row>
    <row r="115" spans="1:15" ht="12.75">
      <c r="A115" s="55">
        <v>104</v>
      </c>
      <c r="B115" s="121" t="s">
        <v>239</v>
      </c>
      <c r="C115" s="384"/>
      <c r="D115" s="122">
        <v>0</v>
      </c>
      <c r="E115" s="81">
        <v>0</v>
      </c>
      <c r="F115" s="57">
        <f>667.52/4</f>
        <v>166.88</v>
      </c>
      <c r="G115" s="84">
        <f t="shared" si="14"/>
        <v>166.88</v>
      </c>
      <c r="H115" s="111">
        <v>1</v>
      </c>
      <c r="I115" s="111">
        <v>1</v>
      </c>
      <c r="J115" s="84">
        <v>0</v>
      </c>
      <c r="K115" s="84">
        <v>0</v>
      </c>
      <c r="L115" s="159">
        <f t="shared" si="16"/>
        <v>0</v>
      </c>
      <c r="M115" s="143">
        <v>0</v>
      </c>
      <c r="N115" s="144">
        <f t="shared" si="17"/>
        <v>166.88</v>
      </c>
      <c r="O115" s="167">
        <f t="shared" si="15"/>
        <v>166.88</v>
      </c>
    </row>
    <row r="116" spans="1:15" ht="12.75">
      <c r="A116" s="55">
        <v>105</v>
      </c>
      <c r="B116" s="121" t="s">
        <v>184</v>
      </c>
      <c r="C116" s="383"/>
      <c r="D116" s="122">
        <v>0</v>
      </c>
      <c r="E116" s="81">
        <v>0</v>
      </c>
      <c r="F116" s="57">
        <f>1128.96/3</f>
        <v>376.32</v>
      </c>
      <c r="G116" s="84">
        <f t="shared" si="14"/>
        <v>376.32</v>
      </c>
      <c r="H116" s="111">
        <v>1</v>
      </c>
      <c r="I116" s="111">
        <v>1</v>
      </c>
      <c r="J116" s="84">
        <v>0</v>
      </c>
      <c r="K116" s="84">
        <v>0</v>
      </c>
      <c r="L116" s="159">
        <f t="shared" si="16"/>
        <v>0</v>
      </c>
      <c r="M116" s="143">
        <v>0</v>
      </c>
      <c r="N116" s="144">
        <f t="shared" si="17"/>
        <v>376.32</v>
      </c>
      <c r="O116" s="167">
        <f t="shared" si="15"/>
        <v>376.32</v>
      </c>
    </row>
    <row r="117" spans="1:15" ht="12.75">
      <c r="A117" s="62"/>
      <c r="B117" s="67" t="s">
        <v>68</v>
      </c>
      <c r="C117" s="68"/>
      <c r="D117" s="126" t="s">
        <v>112</v>
      </c>
      <c r="E117" s="126" t="s">
        <v>112</v>
      </c>
      <c r="F117" s="126" t="s">
        <v>112</v>
      </c>
      <c r="G117" s="126" t="s">
        <v>112</v>
      </c>
      <c r="H117" s="140" t="e">
        <f aca="true" t="shared" si="18" ref="H117:H129">F117/E117</f>
        <v>#VALUE!</v>
      </c>
      <c r="I117" s="258">
        <f>SUM(I118:I122)/5</f>
        <v>0.9714756054032723</v>
      </c>
      <c r="J117" s="160">
        <f>(SUM(J118:J122))/5</f>
        <v>0.9739308500476078</v>
      </c>
      <c r="K117" s="160">
        <f>(SUM(K118:K122))/5</f>
        <v>0.9960222136284562</v>
      </c>
      <c r="L117" s="160">
        <f>(SUM(L118:L122))/5</f>
        <v>0.9849765318380319</v>
      </c>
      <c r="M117" s="108">
        <f>SUM(M118:M122)</f>
        <v>1145</v>
      </c>
      <c r="N117" s="127" t="s">
        <v>112</v>
      </c>
      <c r="O117" s="127" t="s">
        <v>112</v>
      </c>
    </row>
    <row r="118" spans="1:15" ht="12.75">
      <c r="A118" s="55">
        <v>106</v>
      </c>
      <c r="B118" s="69" t="s">
        <v>63</v>
      </c>
      <c r="C118" s="70"/>
      <c r="D118" s="81">
        <f>34/0.702804</f>
        <v>48.37764156151644</v>
      </c>
      <c r="E118" s="70">
        <v>43.67</v>
      </c>
      <c r="F118" s="70">
        <v>43.03</v>
      </c>
      <c r="G118" s="84">
        <f>(D118+E118+F118)/3</f>
        <v>45.025880520505474</v>
      </c>
      <c r="H118" s="111">
        <f t="shared" si="18"/>
        <v>0.9853446301809022</v>
      </c>
      <c r="I118" s="111">
        <f aca="true" t="shared" si="19" ref="I118:I129">F118/D118</f>
        <v>0.8894604741176471</v>
      </c>
      <c r="J118" s="84">
        <f aca="true" t="shared" si="20" ref="J118:K122">E118/D118</f>
        <v>0.902689725882353</v>
      </c>
      <c r="K118" s="84">
        <f t="shared" si="20"/>
        <v>0.9853446301809022</v>
      </c>
      <c r="L118" s="159">
        <f>(J118+K118)/2</f>
        <v>0.9440171780316275</v>
      </c>
      <c r="M118" s="143">
        <v>665</v>
      </c>
      <c r="N118" s="143">
        <f>F118</f>
        <v>43.03</v>
      </c>
      <c r="O118" s="143">
        <f>(M118*N118)/M118</f>
        <v>43.03</v>
      </c>
    </row>
    <row r="119" spans="1:15" ht="12.75">
      <c r="A119" s="55">
        <v>107</v>
      </c>
      <c r="B119" s="69" t="s">
        <v>64</v>
      </c>
      <c r="C119" s="70"/>
      <c r="D119" s="81">
        <f>1380/0.702804</f>
        <v>1963.5630986733145</v>
      </c>
      <c r="E119" s="70">
        <v>2050.42</v>
      </c>
      <c r="F119" s="123">
        <v>2070</v>
      </c>
      <c r="G119" s="84">
        <f>(D119+E119+F119)/3</f>
        <v>2027.994366224438</v>
      </c>
      <c r="H119" s="111">
        <f t="shared" si="18"/>
        <v>1.0095492630778085</v>
      </c>
      <c r="I119" s="111">
        <f t="shared" si="19"/>
        <v>1.054206</v>
      </c>
      <c r="J119" s="84">
        <f t="shared" si="20"/>
        <v>1.0442343316521738</v>
      </c>
      <c r="K119" s="84">
        <f t="shared" si="20"/>
        <v>1.0095492630778085</v>
      </c>
      <c r="L119" s="159">
        <f>(J119+K119)/2</f>
        <v>1.0268917973649911</v>
      </c>
      <c r="M119" s="143">
        <v>398</v>
      </c>
      <c r="N119" s="143">
        <f>F119</f>
        <v>2070</v>
      </c>
      <c r="O119" s="143">
        <f>(M119*N119)/M119</f>
        <v>2070</v>
      </c>
    </row>
    <row r="120" spans="1:15" ht="12.75">
      <c r="A120" s="55">
        <v>108</v>
      </c>
      <c r="B120" s="69" t="s">
        <v>65</v>
      </c>
      <c r="C120" s="57"/>
      <c r="D120" s="81">
        <f>990/0.702804</f>
        <v>1408.643092526508</v>
      </c>
      <c r="E120" s="57">
        <v>1290.86</v>
      </c>
      <c r="F120" s="81">
        <v>1230</v>
      </c>
      <c r="G120" s="84">
        <f>(D120+E120+F120)/3</f>
        <v>1309.8343641755027</v>
      </c>
      <c r="H120" s="111">
        <f t="shared" si="18"/>
        <v>0.9528531366685776</v>
      </c>
      <c r="I120" s="111">
        <f t="shared" si="19"/>
        <v>0.8731807272727272</v>
      </c>
      <c r="J120" s="84">
        <f t="shared" si="20"/>
        <v>0.9163854256969697</v>
      </c>
      <c r="K120" s="84">
        <f t="shared" si="20"/>
        <v>0.9528531366685776</v>
      </c>
      <c r="L120" s="159">
        <f>(J120+K120)/2</f>
        <v>0.9346192811827736</v>
      </c>
      <c r="M120" s="143">
        <v>48</v>
      </c>
      <c r="N120" s="143">
        <f>F120</f>
        <v>1230</v>
      </c>
      <c r="O120" s="143">
        <f>(M120*N120)/M120</f>
        <v>1230</v>
      </c>
    </row>
    <row r="121" spans="1:15" ht="12.75">
      <c r="A121" s="55">
        <v>109</v>
      </c>
      <c r="B121" s="69" t="s">
        <v>66</v>
      </c>
      <c r="C121" s="70"/>
      <c r="D121" s="81">
        <f>715/0.702804</f>
        <v>1017.353344602478</v>
      </c>
      <c r="E121" s="70">
        <v>964.41</v>
      </c>
      <c r="F121" s="123">
        <v>965</v>
      </c>
      <c r="G121" s="84">
        <f>(D121+E121+F121)/3</f>
        <v>982.254448200826</v>
      </c>
      <c r="H121" s="111">
        <f t="shared" si="18"/>
        <v>1.0006117730011095</v>
      </c>
      <c r="I121" s="111">
        <f t="shared" si="19"/>
        <v>0.9485396643356644</v>
      </c>
      <c r="J121" s="84">
        <f t="shared" si="20"/>
        <v>0.9479597281678321</v>
      </c>
      <c r="K121" s="84">
        <f t="shared" si="20"/>
        <v>1.0006117730011095</v>
      </c>
      <c r="L121" s="159">
        <f>(J121+K121)/2</f>
        <v>0.9742857505844709</v>
      </c>
      <c r="M121" s="143">
        <v>23</v>
      </c>
      <c r="N121" s="143">
        <f>F121</f>
        <v>965</v>
      </c>
      <c r="O121" s="143">
        <f>(M121*N121)/M121</f>
        <v>965</v>
      </c>
    </row>
    <row r="122" spans="1:15" ht="12.75">
      <c r="A122" s="55">
        <v>110</v>
      </c>
      <c r="B122" s="69" t="s">
        <v>67</v>
      </c>
      <c r="C122" s="70"/>
      <c r="D122" s="81">
        <f>930/0.702804</f>
        <v>1323.2707838885378</v>
      </c>
      <c r="E122" s="70">
        <v>1400.53</v>
      </c>
      <c r="F122" s="123">
        <v>1445</v>
      </c>
      <c r="G122" s="84">
        <f>(D122+E122+F122)/3</f>
        <v>1389.6002612961793</v>
      </c>
      <c r="H122" s="111">
        <f t="shared" si="18"/>
        <v>1.0317522652138833</v>
      </c>
      <c r="I122" s="111">
        <f t="shared" si="19"/>
        <v>1.0919911612903226</v>
      </c>
      <c r="J122" s="84">
        <f t="shared" si="20"/>
        <v>1.0583850388387097</v>
      </c>
      <c r="K122" s="84">
        <f t="shared" si="20"/>
        <v>1.0317522652138833</v>
      </c>
      <c r="L122" s="159">
        <f>(J122+K122)/2</f>
        <v>1.0450686520262966</v>
      </c>
      <c r="M122" s="143">
        <v>11</v>
      </c>
      <c r="N122" s="143">
        <f>F122</f>
        <v>1445</v>
      </c>
      <c r="O122" s="143">
        <f>(M122*N122)/M122</f>
        <v>1445</v>
      </c>
    </row>
    <row r="123" spans="1:15" ht="12.75">
      <c r="A123" s="62"/>
      <c r="B123" s="72" t="s">
        <v>69</v>
      </c>
      <c r="C123" s="73"/>
      <c r="D123" s="128" t="s">
        <v>112</v>
      </c>
      <c r="E123" s="128" t="s">
        <v>112</v>
      </c>
      <c r="F123" s="128" t="s">
        <v>112</v>
      </c>
      <c r="G123" s="128" t="s">
        <v>112</v>
      </c>
      <c r="H123" s="139" t="e">
        <f t="shared" si="18"/>
        <v>#VALUE!</v>
      </c>
      <c r="I123" s="257">
        <f>SUM(I124:I126)/3</f>
        <v>1.0480216618692095</v>
      </c>
      <c r="J123" s="160">
        <f>(J124+J125+J126)/3</f>
        <v>1.0373319038246647</v>
      </c>
      <c r="K123" s="160">
        <f>(K124+K125+K126)/3</f>
        <v>1.0113311252703563</v>
      </c>
      <c r="L123" s="160">
        <f>(L124+L125+L126)/3</f>
        <v>1.0243315145475107</v>
      </c>
      <c r="M123" s="259">
        <f>SUM(M124:M126)</f>
        <v>2191</v>
      </c>
      <c r="N123" s="129" t="s">
        <v>112</v>
      </c>
      <c r="O123" s="129" t="s">
        <v>112</v>
      </c>
    </row>
    <row r="124" spans="1:15" ht="12.75">
      <c r="A124" s="55">
        <v>111</v>
      </c>
      <c r="B124" s="69" t="s">
        <v>70</v>
      </c>
      <c r="C124" s="70"/>
      <c r="D124" s="81">
        <f>945/0.702804</f>
        <v>1344.6138610480305</v>
      </c>
      <c r="E124" s="70">
        <v>1288.97</v>
      </c>
      <c r="F124" s="123">
        <v>1343</v>
      </c>
      <c r="G124" s="84">
        <f>(D124+E124+F124)/3</f>
        <v>1325.5279536826768</v>
      </c>
      <c r="H124" s="111">
        <f t="shared" si="18"/>
        <v>1.0419171896940969</v>
      </c>
      <c r="I124" s="111">
        <f t="shared" si="19"/>
        <v>0.9987997587301587</v>
      </c>
      <c r="J124" s="84">
        <f aca="true" t="shared" si="21" ref="J124:K126">E124/D124</f>
        <v>0.9586172189206349</v>
      </c>
      <c r="K124" s="84">
        <f t="shared" si="21"/>
        <v>1.0419171896940969</v>
      </c>
      <c r="L124" s="159">
        <f>(J124+K124)/2</f>
        <v>1.000267204307366</v>
      </c>
      <c r="M124" s="143">
        <v>12</v>
      </c>
      <c r="N124" s="144">
        <f>F124</f>
        <v>1343</v>
      </c>
      <c r="O124" s="143">
        <f>(M124*N124)/M124</f>
        <v>1343</v>
      </c>
    </row>
    <row r="125" spans="1:15" ht="12.75">
      <c r="A125" s="55">
        <v>112</v>
      </c>
      <c r="B125" s="69" t="s">
        <v>71</v>
      </c>
      <c r="C125" s="70"/>
      <c r="D125" s="81">
        <f>55/0.702804</f>
        <v>78.25794958480601</v>
      </c>
      <c r="E125" s="70">
        <v>81.89</v>
      </c>
      <c r="F125" s="123">
        <v>81</v>
      </c>
      <c r="G125" s="84">
        <f>(D125+E125+F125)/3</f>
        <v>80.382649861602</v>
      </c>
      <c r="H125" s="111">
        <f t="shared" si="18"/>
        <v>0.9891317621199169</v>
      </c>
      <c r="I125" s="111">
        <f t="shared" si="19"/>
        <v>1.035038618181818</v>
      </c>
      <c r="J125" s="84">
        <f t="shared" si="21"/>
        <v>1.0464112647272725</v>
      </c>
      <c r="K125" s="84">
        <f t="shared" si="21"/>
        <v>0.9891317621199169</v>
      </c>
      <c r="L125" s="159">
        <f>(J125+K125)/2</f>
        <v>1.0177715134235947</v>
      </c>
      <c r="M125" s="143">
        <v>1353</v>
      </c>
      <c r="N125" s="144">
        <f>F125</f>
        <v>81</v>
      </c>
      <c r="O125" s="143">
        <f>(M125*N125)/M125</f>
        <v>81</v>
      </c>
    </row>
    <row r="126" spans="1:15" ht="12.75">
      <c r="A126" s="55">
        <v>113</v>
      </c>
      <c r="B126" s="69" t="s">
        <v>72</v>
      </c>
      <c r="C126" s="70"/>
      <c r="D126" s="81">
        <f>138/0.702804</f>
        <v>196.35630986733145</v>
      </c>
      <c r="E126" s="70">
        <v>217.36</v>
      </c>
      <c r="F126" s="123">
        <v>218</v>
      </c>
      <c r="G126" s="84">
        <f>(D126+E126+F126)/3</f>
        <v>210.5721032891105</v>
      </c>
      <c r="H126" s="111">
        <f t="shared" si="18"/>
        <v>1.0029444239970555</v>
      </c>
      <c r="I126" s="111">
        <f t="shared" si="19"/>
        <v>1.110226608695652</v>
      </c>
      <c r="J126" s="84">
        <f t="shared" si="21"/>
        <v>1.106967227826087</v>
      </c>
      <c r="K126" s="84">
        <f t="shared" si="21"/>
        <v>1.0029444239970555</v>
      </c>
      <c r="L126" s="159">
        <f>(J126+K126)/2</f>
        <v>1.0549558259115712</v>
      </c>
      <c r="M126" s="143">
        <v>826</v>
      </c>
      <c r="N126" s="144">
        <f>F126</f>
        <v>218</v>
      </c>
      <c r="O126" s="143">
        <f>(M126*N126)/M126</f>
        <v>218</v>
      </c>
    </row>
    <row r="127" spans="1:15" ht="12.75">
      <c r="A127" s="62"/>
      <c r="B127" s="74" t="s">
        <v>73</v>
      </c>
      <c r="C127" s="75"/>
      <c r="D127" s="83" t="s">
        <v>112</v>
      </c>
      <c r="E127" s="83" t="s">
        <v>112</v>
      </c>
      <c r="F127" s="83" t="s">
        <v>112</v>
      </c>
      <c r="G127" s="83" t="s">
        <v>112</v>
      </c>
      <c r="H127" s="140" t="e">
        <f t="shared" si="18"/>
        <v>#VALUE!</v>
      </c>
      <c r="I127" s="257">
        <f>(I128+I129)/2</f>
        <v>1.0542060000000002</v>
      </c>
      <c r="J127" s="160">
        <f>(J128+J129)/2</f>
        <v>1.0546410691428572</v>
      </c>
      <c r="K127" s="160">
        <f>(K128+K129)/2</f>
        <v>0.9995850234146153</v>
      </c>
      <c r="L127" s="160">
        <f>(L128+L129)/2</f>
        <v>1.0271130462787363</v>
      </c>
      <c r="M127" s="260">
        <f>SUM(M128:M129)</f>
        <v>2329</v>
      </c>
      <c r="N127" s="89" t="s">
        <v>112</v>
      </c>
      <c r="O127" s="89" t="s">
        <v>112</v>
      </c>
    </row>
    <row r="128" spans="1:15" ht="12.75">
      <c r="A128" s="55">
        <v>114</v>
      </c>
      <c r="B128" s="69" t="s">
        <v>74</v>
      </c>
      <c r="C128" s="76"/>
      <c r="D128" s="81">
        <f>315/0.702804</f>
        <v>448.2046203493435</v>
      </c>
      <c r="E128" s="70">
        <v>450.21</v>
      </c>
      <c r="F128" s="123">
        <v>450</v>
      </c>
      <c r="G128" s="84">
        <f>(D128+E128+F128)/3</f>
        <v>449.47154011644784</v>
      </c>
      <c r="H128" s="111">
        <f t="shared" si="18"/>
        <v>0.9995335510095289</v>
      </c>
      <c r="I128" s="111">
        <f t="shared" si="19"/>
        <v>1.0040057142857144</v>
      </c>
      <c r="J128" s="84">
        <f>E128/D128</f>
        <v>1.0044742502857142</v>
      </c>
      <c r="K128" s="84">
        <f>F128/E128</f>
        <v>0.9995335510095289</v>
      </c>
      <c r="L128" s="159">
        <f>(J128+K128)/2</f>
        <v>1.0020039006476216</v>
      </c>
      <c r="M128" s="143">
        <v>657</v>
      </c>
      <c r="N128" s="144">
        <f>F128</f>
        <v>450</v>
      </c>
      <c r="O128" s="143">
        <f>(M128*N128)/M128</f>
        <v>450</v>
      </c>
    </row>
    <row r="129" spans="1:15" ht="12.75">
      <c r="A129" s="78">
        <v>115</v>
      </c>
      <c r="B129" s="79" t="s">
        <v>75</v>
      </c>
      <c r="C129" s="76"/>
      <c r="D129" s="81">
        <f>70/0.702804</f>
        <v>99.60102674429855</v>
      </c>
      <c r="E129" s="70">
        <v>110.04</v>
      </c>
      <c r="F129" s="123">
        <v>110</v>
      </c>
      <c r="G129" s="84">
        <f>(D129+E129+F129)/3</f>
        <v>106.54700891476618</v>
      </c>
      <c r="H129" s="112">
        <f t="shared" si="18"/>
        <v>0.9996364958197018</v>
      </c>
      <c r="I129" s="112">
        <f t="shared" si="19"/>
        <v>1.1044062857142858</v>
      </c>
      <c r="J129" s="84">
        <f>E129/D129</f>
        <v>1.104807888</v>
      </c>
      <c r="K129" s="84">
        <f>F129/E129</f>
        <v>0.9996364958197018</v>
      </c>
      <c r="L129" s="159">
        <f>(J129+K129)/2</f>
        <v>1.052222191909851</v>
      </c>
      <c r="M129" s="143">
        <v>1672</v>
      </c>
      <c r="N129" s="144">
        <f>F129</f>
        <v>110</v>
      </c>
      <c r="O129" s="143">
        <f>(M129*N129)/M129</f>
        <v>110</v>
      </c>
    </row>
    <row r="130" spans="1:15" ht="15.75">
      <c r="A130" s="202"/>
      <c r="B130" s="197" t="s">
        <v>228</v>
      </c>
      <c r="C130" s="203"/>
      <c r="D130" s="204"/>
      <c r="E130" s="198"/>
      <c r="F130" s="205"/>
      <c r="G130" s="206"/>
      <c r="H130" s="199"/>
      <c r="I130" s="199"/>
      <c r="J130" s="206"/>
      <c r="K130" s="206"/>
      <c r="L130" s="158"/>
      <c r="M130" s="207"/>
      <c r="N130" s="208" t="s">
        <v>112</v>
      </c>
      <c r="O130" s="208" t="s">
        <v>112</v>
      </c>
    </row>
    <row r="131" spans="1:15" ht="25.5">
      <c r="A131" s="94">
        <v>116</v>
      </c>
      <c r="B131" s="176" t="s">
        <v>224</v>
      </c>
      <c r="C131" s="179"/>
      <c r="D131" s="81">
        <v>0</v>
      </c>
      <c r="E131" s="81">
        <v>0</v>
      </c>
      <c r="F131" s="81">
        <v>0</v>
      </c>
      <c r="G131" s="81">
        <v>0</v>
      </c>
      <c r="H131" s="81">
        <v>0</v>
      </c>
      <c r="I131" s="81">
        <v>0</v>
      </c>
      <c r="J131" s="81">
        <v>0</v>
      </c>
      <c r="K131" s="81">
        <v>0</v>
      </c>
      <c r="L131" s="81">
        <v>0</v>
      </c>
      <c r="M131" s="143"/>
      <c r="N131" s="144"/>
      <c r="O131" s="143">
        <v>550</v>
      </c>
    </row>
    <row r="132" spans="1:15" ht="25.5">
      <c r="A132" s="94">
        <v>117</v>
      </c>
      <c r="B132" s="263" t="s">
        <v>225</v>
      </c>
      <c r="C132" s="179"/>
      <c r="D132" s="264">
        <v>0</v>
      </c>
      <c r="E132" s="264">
        <v>0</v>
      </c>
      <c r="F132" s="264">
        <v>0</v>
      </c>
      <c r="G132" s="264">
        <v>0</v>
      </c>
      <c r="H132" s="264">
        <v>0</v>
      </c>
      <c r="I132" s="264">
        <v>0</v>
      </c>
      <c r="J132" s="264">
        <v>0</v>
      </c>
      <c r="K132" s="264">
        <v>0</v>
      </c>
      <c r="L132" s="264">
        <v>0</v>
      </c>
      <c r="M132" s="265"/>
      <c r="N132" s="266"/>
      <c r="O132" s="265">
        <v>700</v>
      </c>
    </row>
    <row r="133" spans="1:15" ht="12.75">
      <c r="A133" s="55"/>
      <c r="B133" s="408" t="s">
        <v>258</v>
      </c>
      <c r="C133" s="409"/>
      <c r="D133" s="268" t="s">
        <v>112</v>
      </c>
      <c r="E133" s="268" t="s">
        <v>112</v>
      </c>
      <c r="F133" s="268" t="s">
        <v>112</v>
      </c>
      <c r="G133" s="268" t="s">
        <v>112</v>
      </c>
      <c r="H133" s="268"/>
      <c r="I133" s="267">
        <f>(I127+I123+I117+I42+I9)/5</f>
        <v>1.0133006813607242</v>
      </c>
      <c r="J133" s="268"/>
      <c r="K133" s="268"/>
      <c r="L133" s="268"/>
      <c r="M133" s="261" t="s">
        <v>112</v>
      </c>
      <c r="N133" s="261" t="s">
        <v>112</v>
      </c>
      <c r="O133" s="261" t="s">
        <v>112</v>
      </c>
    </row>
    <row r="135" spans="1:5" ht="15.75">
      <c r="A135" s="41" t="s">
        <v>187</v>
      </c>
      <c r="B135" s="41"/>
      <c r="C135" s="41"/>
      <c r="D135" s="41"/>
      <c r="E135" s="41"/>
    </row>
    <row r="136" spans="1:5" ht="15.75">
      <c r="A136" s="41" t="s">
        <v>188</v>
      </c>
      <c r="B136" s="41"/>
      <c r="C136" s="41"/>
      <c r="D136" s="41"/>
      <c r="E136" s="41"/>
    </row>
    <row r="137" spans="1:5" ht="15.75">
      <c r="A137" s="41" t="s">
        <v>189</v>
      </c>
      <c r="B137" s="41"/>
      <c r="C137" s="41"/>
      <c r="D137" s="41"/>
      <c r="E137" s="41"/>
    </row>
    <row r="139" spans="2:8" ht="15.75">
      <c r="B139" s="262" t="s">
        <v>300</v>
      </c>
      <c r="G139" s="375" t="s">
        <v>301</v>
      </c>
      <c r="H139" s="375"/>
    </row>
    <row r="140" ht="15.75">
      <c r="B140" s="262"/>
    </row>
    <row r="141" ht="15.75">
      <c r="B141" s="41" t="s">
        <v>384</v>
      </c>
    </row>
    <row r="142" ht="15.75">
      <c r="B142" s="41" t="s">
        <v>302</v>
      </c>
    </row>
    <row r="143" ht="15.75">
      <c r="B143" s="41" t="s">
        <v>303</v>
      </c>
    </row>
  </sheetData>
  <sheetProtection/>
  <mergeCells count="64">
    <mergeCell ref="O43:O45"/>
    <mergeCell ref="O46:O47"/>
    <mergeCell ref="O74:O76"/>
    <mergeCell ref="O77:O83"/>
    <mergeCell ref="O86:O87"/>
    <mergeCell ref="O88:O94"/>
    <mergeCell ref="O68:O71"/>
    <mergeCell ref="O72:O73"/>
    <mergeCell ref="M1:O1"/>
    <mergeCell ref="O97:O98"/>
    <mergeCell ref="O30:O31"/>
    <mergeCell ref="O32:O34"/>
    <mergeCell ref="O35:O36"/>
    <mergeCell ref="O37:O38"/>
    <mergeCell ref="O48:O50"/>
    <mergeCell ref="O51:O57"/>
    <mergeCell ref="O58:O63"/>
    <mergeCell ref="O65:O66"/>
    <mergeCell ref="C104:C116"/>
    <mergeCell ref="M6:O6"/>
    <mergeCell ref="O12:O13"/>
    <mergeCell ref="O15:O16"/>
    <mergeCell ref="O17:O18"/>
    <mergeCell ref="O19:O23"/>
    <mergeCell ref="O24:O29"/>
    <mergeCell ref="C19:C23"/>
    <mergeCell ref="O99:O102"/>
    <mergeCell ref="J6:L6"/>
    <mergeCell ref="C72:C73"/>
    <mergeCell ref="C51:C57"/>
    <mergeCell ref="C58:C63"/>
    <mergeCell ref="C88:C94"/>
    <mergeCell ref="C97:C98"/>
    <mergeCell ref="C99:C102"/>
    <mergeCell ref="C32:C34"/>
    <mergeCell ref="C35:C36"/>
    <mergeCell ref="C77:C83"/>
    <mergeCell ref="C86:C87"/>
    <mergeCell ref="C37:C38"/>
    <mergeCell ref="C43:C45"/>
    <mergeCell ref="C74:C76"/>
    <mergeCell ref="C40:C41"/>
    <mergeCell ref="C65:C66"/>
    <mergeCell ref="C68:C71"/>
    <mergeCell ref="C30:C31"/>
    <mergeCell ref="C46:C47"/>
    <mergeCell ref="C48:C50"/>
    <mergeCell ref="G6:G7"/>
    <mergeCell ref="H6:H7"/>
    <mergeCell ref="I6:I7"/>
    <mergeCell ref="C12:C13"/>
    <mergeCell ref="C15:C16"/>
    <mergeCell ref="C17:C18"/>
    <mergeCell ref="C24:C29"/>
    <mergeCell ref="B133:C133"/>
    <mergeCell ref="G139:H139"/>
    <mergeCell ref="K2:O2"/>
    <mergeCell ref="F3:O3"/>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&amp;CLMpielk_19_070815_LMZino</oddFooter>
  </headerFooter>
</worksheet>
</file>

<file path=xl/worksheets/sheet5.xml><?xml version="1.0" encoding="utf-8"?>
<worksheet xmlns="http://schemas.openxmlformats.org/spreadsheetml/2006/main" xmlns:r="http://schemas.openxmlformats.org/officeDocument/2006/relationships">
  <dimension ref="A1:O16"/>
  <sheetViews>
    <sheetView workbookViewId="0" topLeftCell="A10">
      <selection activeCell="F19" sqref="F19"/>
    </sheetView>
  </sheetViews>
  <sheetFormatPr defaultColWidth="9.140625" defaultRowHeight="12.75"/>
  <cols>
    <col min="1" max="1" width="3.8515625" style="0" customWidth="1"/>
    <col min="2" max="2" width="20.140625" style="0" customWidth="1"/>
    <col min="3" max="5" width="14.421875" style="0" customWidth="1"/>
    <col min="6" max="6" width="89.28125" style="0" customWidth="1"/>
    <col min="7" max="7" width="10.421875" style="0" customWidth="1"/>
    <col min="8" max="8" width="11.00390625" style="0" customWidth="1"/>
    <col min="10" max="10" width="11.7109375" style="0" customWidth="1"/>
    <col min="11" max="11" width="11.8515625" style="0" customWidth="1"/>
    <col min="12" max="12" width="13.00390625" style="0" customWidth="1"/>
  </cols>
  <sheetData>
    <row r="1" spans="10:12" ht="15.75">
      <c r="J1" s="337" t="s">
        <v>310</v>
      </c>
      <c r="K1" s="337"/>
      <c r="L1" s="337"/>
    </row>
    <row r="2" spans="11:15" ht="15.75">
      <c r="K2" s="308" t="s">
        <v>304</v>
      </c>
      <c r="L2" s="308"/>
      <c r="M2" s="269"/>
      <c r="N2" s="269"/>
      <c r="O2" s="269"/>
    </row>
    <row r="3" spans="6:15" ht="35.25" customHeight="1">
      <c r="F3" s="270"/>
      <c r="G3" s="309" t="s">
        <v>305</v>
      </c>
      <c r="H3" s="309"/>
      <c r="I3" s="309"/>
      <c r="J3" s="309"/>
      <c r="K3" s="309"/>
      <c r="L3" s="309"/>
      <c r="M3" s="270"/>
      <c r="N3" s="270"/>
      <c r="O3" s="270"/>
    </row>
    <row r="4" spans="6:8" ht="18.75">
      <c r="F4" s="310" t="s">
        <v>292</v>
      </c>
      <c r="G4" s="310"/>
      <c r="H4" s="310"/>
    </row>
    <row r="5" spans="1:11" ht="18.75" customHeight="1">
      <c r="A5" s="421" t="s">
        <v>261</v>
      </c>
      <c r="B5" s="421"/>
      <c r="C5" s="421"/>
      <c r="D5" s="421"/>
      <c r="E5" s="421"/>
      <c r="F5" s="421"/>
      <c r="G5" s="421"/>
      <c r="H5" s="421"/>
      <c r="I5" s="421"/>
      <c r="J5" s="421"/>
      <c r="K5" s="421"/>
    </row>
    <row r="6" spans="1:6" ht="18.75">
      <c r="A6" s="254"/>
      <c r="B6" s="254"/>
      <c r="C6" s="254"/>
      <c r="D6" s="254"/>
      <c r="E6" s="254"/>
      <c r="F6" s="254"/>
    </row>
    <row r="7" spans="1:12" ht="18.75" customHeight="1">
      <c r="A7" s="425" t="s">
        <v>114</v>
      </c>
      <c r="B7" s="351" t="s">
        <v>252</v>
      </c>
      <c r="C7" s="423" t="s">
        <v>272</v>
      </c>
      <c r="D7" s="423"/>
      <c r="E7" s="423"/>
      <c r="F7" s="424"/>
      <c r="G7" s="422" t="s">
        <v>264</v>
      </c>
      <c r="H7" s="422"/>
      <c r="I7" s="422"/>
      <c r="J7" s="422"/>
      <c r="K7" s="422"/>
      <c r="L7" s="422"/>
    </row>
    <row r="8" spans="1:12" ht="78.75">
      <c r="A8" s="425"/>
      <c r="B8" s="351"/>
      <c r="C8" s="241" t="s">
        <v>253</v>
      </c>
      <c r="D8" s="8" t="s">
        <v>259</v>
      </c>
      <c r="E8" s="8" t="s">
        <v>260</v>
      </c>
      <c r="F8" s="8" t="s">
        <v>271</v>
      </c>
      <c r="G8" s="237" t="s">
        <v>273</v>
      </c>
      <c r="H8" s="237" t="s">
        <v>274</v>
      </c>
      <c r="I8" s="238" t="s">
        <v>266</v>
      </c>
      <c r="J8" s="238" t="s">
        <v>267</v>
      </c>
      <c r="K8" s="238" t="s">
        <v>268</v>
      </c>
      <c r="L8" s="237" t="s">
        <v>275</v>
      </c>
    </row>
    <row r="9" spans="1:12" ht="296.25" customHeight="1">
      <c r="A9" s="175">
        <v>1</v>
      </c>
      <c r="B9" s="36" t="s">
        <v>254</v>
      </c>
      <c r="C9" s="231">
        <v>25370.27</v>
      </c>
      <c r="D9" s="231">
        <v>25370.27</v>
      </c>
      <c r="E9" s="231">
        <v>25370.27</v>
      </c>
      <c r="F9" s="256" t="s">
        <v>382</v>
      </c>
      <c r="G9" s="231">
        <v>0</v>
      </c>
      <c r="H9" s="231">
        <v>0</v>
      </c>
      <c r="I9" s="231">
        <f>(C9-J9)*10.5%</f>
        <v>2155.4157698842946</v>
      </c>
      <c r="J9" s="231">
        <f>C9-(C9/1.2359)</f>
        <v>4842.500763006716</v>
      </c>
      <c r="K9" s="231">
        <f>I9+J9</f>
        <v>6997.91653289101</v>
      </c>
      <c r="L9" s="231">
        <f>((C9-J9)-I9)*22%</f>
        <v>4041.917762763978</v>
      </c>
    </row>
    <row r="10" spans="1:12" ht="409.5" customHeight="1">
      <c r="A10" s="175">
        <v>2</v>
      </c>
      <c r="B10" s="36" t="s">
        <v>255</v>
      </c>
      <c r="C10" s="231">
        <v>106924.05</v>
      </c>
      <c r="D10" s="231">
        <v>6924.05</v>
      </c>
      <c r="E10" s="231">
        <v>6924.05</v>
      </c>
      <c r="F10" s="235" t="s">
        <v>288</v>
      </c>
      <c r="G10" s="231">
        <f>C10-(C10/1.21)</f>
        <v>18557.066528925614</v>
      </c>
      <c r="H10" s="231">
        <f>D10-(D10/1.21)</f>
        <v>1201.6946280991733</v>
      </c>
      <c r="I10" s="231">
        <v>0</v>
      </c>
      <c r="J10" s="231">
        <v>0</v>
      </c>
      <c r="K10" s="231">
        <v>0</v>
      </c>
      <c r="L10" s="231">
        <v>0</v>
      </c>
    </row>
    <row r="11" spans="1:12" ht="15.75">
      <c r="A11" s="233"/>
      <c r="B11" s="236" t="s">
        <v>258</v>
      </c>
      <c r="C11" s="234">
        <f>SUM(C9:C10)</f>
        <v>132294.32</v>
      </c>
      <c r="D11" s="234">
        <f>SUM(D9:D10)</f>
        <v>32294.32</v>
      </c>
      <c r="E11" s="234">
        <f>SUM(E9:E10)</f>
        <v>32294.32</v>
      </c>
      <c r="F11" s="175"/>
      <c r="G11" s="234">
        <f aca="true" t="shared" si="0" ref="G11:L11">SUM(G9:G10)</f>
        <v>18557.066528925614</v>
      </c>
      <c r="H11" s="234">
        <f t="shared" si="0"/>
        <v>1201.6946280991733</v>
      </c>
      <c r="I11" s="234">
        <f t="shared" si="0"/>
        <v>2155.4157698842946</v>
      </c>
      <c r="J11" s="234">
        <f t="shared" si="0"/>
        <v>4842.500763006716</v>
      </c>
      <c r="K11" s="234">
        <f t="shared" si="0"/>
        <v>6997.91653289101</v>
      </c>
      <c r="L11" s="234">
        <f t="shared" si="0"/>
        <v>4041.917762763978</v>
      </c>
    </row>
    <row r="13" spans="2:10" ht="15.75">
      <c r="B13" s="262" t="s">
        <v>300</v>
      </c>
      <c r="C13" s="262"/>
      <c r="D13" s="262"/>
      <c r="E13" s="262"/>
      <c r="F13" s="262"/>
      <c r="G13" s="262"/>
      <c r="H13" s="262"/>
      <c r="I13" s="262"/>
      <c r="J13" s="262" t="s">
        <v>301</v>
      </c>
    </row>
    <row r="14" spans="2:10" ht="15.75">
      <c r="B14" s="41" t="s">
        <v>384</v>
      </c>
      <c r="C14" s="41"/>
      <c r="D14" s="41"/>
      <c r="E14" s="262"/>
      <c r="F14" s="262"/>
      <c r="G14" s="262"/>
      <c r="H14" s="262"/>
      <c r="I14" s="262"/>
      <c r="J14" s="262"/>
    </row>
    <row r="15" spans="2:10" ht="15.75">
      <c r="B15" s="41" t="s">
        <v>381</v>
      </c>
      <c r="C15" s="41"/>
      <c r="D15" s="41"/>
      <c r="E15" s="262"/>
      <c r="F15" s="262"/>
      <c r="G15" s="262"/>
      <c r="H15" s="262"/>
      <c r="I15" s="262"/>
      <c r="J15" s="262"/>
    </row>
    <row r="16" spans="2:10" ht="15.75">
      <c r="B16" s="41"/>
      <c r="C16" s="41"/>
      <c r="D16" s="41"/>
      <c r="E16" s="262"/>
      <c r="F16" s="262"/>
      <c r="G16" s="262"/>
      <c r="H16" s="262"/>
      <c r="I16" s="262"/>
      <c r="J16" s="262"/>
    </row>
  </sheetData>
  <sheetProtection/>
  <mergeCells count="9">
    <mergeCell ref="J1:L1"/>
    <mergeCell ref="A5:K5"/>
    <mergeCell ref="F4:H4"/>
    <mergeCell ref="K2:L2"/>
    <mergeCell ref="G3:L3"/>
    <mergeCell ref="G7:L7"/>
    <mergeCell ref="C7:F7"/>
    <mergeCell ref="B7:B8"/>
    <mergeCell ref="A7:A8"/>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oddFooter>&amp;CLMpielik_20_070815_LMZino</oddFooter>
  </headerFooter>
</worksheet>
</file>

<file path=xl/worksheets/sheet6.xml><?xml version="1.0" encoding="utf-8"?>
<worksheet xmlns="http://schemas.openxmlformats.org/spreadsheetml/2006/main" xmlns:r="http://schemas.openxmlformats.org/officeDocument/2006/relationships">
  <dimension ref="A1:K23"/>
  <sheetViews>
    <sheetView workbookViewId="0" topLeftCell="A10">
      <selection activeCell="F21" sqref="F21"/>
    </sheetView>
  </sheetViews>
  <sheetFormatPr defaultColWidth="9.140625" defaultRowHeight="12.75"/>
  <cols>
    <col min="2" max="2" width="31.28125" style="0" customWidth="1"/>
    <col min="3" max="5" width="14.421875" style="0" customWidth="1"/>
    <col min="6" max="6" width="67.140625" style="0" customWidth="1"/>
    <col min="9" max="9" width="11.7109375" style="0" customWidth="1"/>
    <col min="10" max="10" width="11.8515625" style="0" customWidth="1"/>
    <col min="11" max="11" width="15.57421875" style="0" customWidth="1"/>
  </cols>
  <sheetData>
    <row r="1" spans="9:11" ht="15.75">
      <c r="I1" s="337" t="s">
        <v>379</v>
      </c>
      <c r="J1" s="337"/>
      <c r="K1" s="337"/>
    </row>
    <row r="2" spans="10:11" ht="15.75">
      <c r="J2" s="308" t="s">
        <v>304</v>
      </c>
      <c r="K2" s="308"/>
    </row>
    <row r="3" spans="6:11" ht="36.75" customHeight="1">
      <c r="F3" s="270"/>
      <c r="G3" s="309" t="s">
        <v>305</v>
      </c>
      <c r="H3" s="309"/>
      <c r="I3" s="309"/>
      <c r="J3" s="309"/>
      <c r="K3" s="309"/>
    </row>
    <row r="4" spans="3:5" ht="18.75">
      <c r="C4" s="310" t="s">
        <v>292</v>
      </c>
      <c r="D4" s="310"/>
      <c r="E4" s="310"/>
    </row>
    <row r="5" spans="2:6" ht="18.75">
      <c r="B5" s="427" t="s">
        <v>287</v>
      </c>
      <c r="C5" s="427"/>
      <c r="D5" s="427"/>
      <c r="E5" s="427"/>
      <c r="F5" s="427"/>
    </row>
    <row r="6" spans="1:11" ht="15.75">
      <c r="A6" s="425" t="s">
        <v>114</v>
      </c>
      <c r="B6" s="368" t="s">
        <v>252</v>
      </c>
      <c r="C6" s="428" t="s">
        <v>270</v>
      </c>
      <c r="D6" s="429"/>
      <c r="E6" s="429"/>
      <c r="F6" s="430"/>
      <c r="G6" s="422" t="s">
        <v>264</v>
      </c>
      <c r="H6" s="422"/>
      <c r="I6" s="422"/>
      <c r="J6" s="422"/>
      <c r="K6" s="422"/>
    </row>
    <row r="7" spans="1:11" ht="79.5" customHeight="1">
      <c r="A7" s="425"/>
      <c r="B7" s="369"/>
      <c r="C7" s="8" t="s">
        <v>253</v>
      </c>
      <c r="D7" s="8" t="s">
        <v>259</v>
      </c>
      <c r="E7" s="8" t="s">
        <v>260</v>
      </c>
      <c r="F7" s="8" t="s">
        <v>262</v>
      </c>
      <c r="G7" s="237" t="s">
        <v>265</v>
      </c>
      <c r="H7" s="238" t="s">
        <v>266</v>
      </c>
      <c r="I7" s="238" t="s">
        <v>267</v>
      </c>
      <c r="J7" s="238" t="s">
        <v>268</v>
      </c>
      <c r="K7" s="237" t="s">
        <v>269</v>
      </c>
    </row>
    <row r="8" spans="1:11" ht="69.75" customHeight="1">
      <c r="A8" s="175">
        <v>1</v>
      </c>
      <c r="B8" s="36" t="s">
        <v>254</v>
      </c>
      <c r="C8" s="231">
        <v>71952.19</v>
      </c>
      <c r="D8" s="231">
        <v>71952.19</v>
      </c>
      <c r="E8" s="231">
        <v>71952.19</v>
      </c>
      <c r="F8" s="256" t="s">
        <v>309</v>
      </c>
      <c r="G8" s="23">
        <v>0</v>
      </c>
      <c r="H8" s="165">
        <f>I8*10.5%</f>
        <v>1442.0420504935678</v>
      </c>
      <c r="I8" s="165">
        <f>C8-(C8/1.2359)</f>
        <v>13733.733814224455</v>
      </c>
      <c r="J8" s="165">
        <f>H8+I8</f>
        <v>15175.775864718024</v>
      </c>
      <c r="K8" s="165">
        <f>(C8-I8)-H8*22%</f>
        <v>57901.20693466696</v>
      </c>
    </row>
    <row r="9" spans="1:11" ht="78.75">
      <c r="A9" s="175">
        <v>3</v>
      </c>
      <c r="B9" s="36" t="s">
        <v>263</v>
      </c>
      <c r="C9" s="231">
        <f>203.28+2775.64+1312.97</f>
        <v>4291.89</v>
      </c>
      <c r="D9" s="231">
        <f>203.28+2775.64+1312.97</f>
        <v>4291.89</v>
      </c>
      <c r="E9" s="231">
        <f>203.28+2775.64+1312.97</f>
        <v>4291.89</v>
      </c>
      <c r="F9" s="36" t="s">
        <v>289</v>
      </c>
      <c r="G9" s="239">
        <f>C9-(C9/1.21)</f>
        <v>744.8734710743802</v>
      </c>
      <c r="H9" s="165">
        <v>0</v>
      </c>
      <c r="I9" s="165">
        <v>0</v>
      </c>
      <c r="J9" s="165">
        <v>0</v>
      </c>
      <c r="K9" s="165">
        <v>0</v>
      </c>
    </row>
    <row r="10" spans="1:11" ht="103.5" customHeight="1">
      <c r="A10" s="175">
        <v>5</v>
      </c>
      <c r="B10" s="175" t="s">
        <v>256</v>
      </c>
      <c r="C10" s="231">
        <v>2907.52</v>
      </c>
      <c r="D10" s="231">
        <v>2907.52</v>
      </c>
      <c r="E10" s="231">
        <v>2907.52</v>
      </c>
      <c r="F10" s="36" t="s">
        <v>290</v>
      </c>
      <c r="G10" s="239">
        <f>C10-(C10/1.21)</f>
        <v>504.610909090909</v>
      </c>
      <c r="H10" s="165">
        <v>0</v>
      </c>
      <c r="I10" s="165">
        <v>0</v>
      </c>
      <c r="J10" s="165">
        <v>0</v>
      </c>
      <c r="K10" s="165">
        <v>0</v>
      </c>
    </row>
    <row r="11" spans="1:11" ht="63">
      <c r="A11" s="175">
        <v>6</v>
      </c>
      <c r="B11" s="36" t="s">
        <v>257</v>
      </c>
      <c r="C11" s="231">
        <f>2360*2+424.78*2</f>
        <v>5569.5599999999995</v>
      </c>
      <c r="D11" s="231">
        <f>2360*2+424.78*2</f>
        <v>5569.5599999999995</v>
      </c>
      <c r="E11" s="231">
        <f>2360*2+424.78*2</f>
        <v>5569.5599999999995</v>
      </c>
      <c r="F11" s="36" t="s">
        <v>291</v>
      </c>
      <c r="G11" s="239">
        <f>C11-(C11/1.21)</f>
        <v>966.6178512396691</v>
      </c>
      <c r="H11" s="165">
        <v>0</v>
      </c>
      <c r="I11" s="165">
        <v>0</v>
      </c>
      <c r="J11" s="165">
        <v>0</v>
      </c>
      <c r="K11" s="165">
        <v>0</v>
      </c>
    </row>
    <row r="12" spans="1:11" ht="15.75">
      <c r="A12" s="233"/>
      <c r="B12" s="236" t="s">
        <v>258</v>
      </c>
      <c r="C12" s="234">
        <f>SUM(C8:C11)</f>
        <v>84721.16</v>
      </c>
      <c r="D12" s="234">
        <f>SUM(D8:D11)</f>
        <v>84721.16</v>
      </c>
      <c r="E12" s="234">
        <f>SUM(E8:E11)</f>
        <v>84721.16</v>
      </c>
      <c r="F12" s="236"/>
      <c r="G12" s="240">
        <f>SUM(G8:G11)</f>
        <v>2216.1022314049583</v>
      </c>
      <c r="H12" s="240">
        <f>SUM(H8:H11)</f>
        <v>1442.0420504935678</v>
      </c>
      <c r="I12" s="240">
        <f>SUM(I8:I11)</f>
        <v>13733.733814224455</v>
      </c>
      <c r="J12" s="240">
        <f>SUM(J8:J11)</f>
        <v>15175.775864718024</v>
      </c>
      <c r="K12" s="240">
        <f>SUM(K8:K11)</f>
        <v>57901.20693466696</v>
      </c>
    </row>
    <row r="14" spans="2:8" ht="194.25" customHeight="1">
      <c r="B14" s="426" t="s">
        <v>383</v>
      </c>
      <c r="C14" s="426"/>
      <c r="D14" s="426"/>
      <c r="E14" s="426"/>
      <c r="F14" s="426"/>
      <c r="G14" s="426"/>
      <c r="H14" s="426"/>
    </row>
    <row r="19" spans="2:10" ht="15.75">
      <c r="B19" s="262" t="s">
        <v>300</v>
      </c>
      <c r="C19" s="262"/>
      <c r="D19" s="262"/>
      <c r="E19" s="262"/>
      <c r="F19" s="262"/>
      <c r="G19" s="262"/>
      <c r="H19" s="262"/>
      <c r="I19" s="262"/>
      <c r="J19" s="262" t="s">
        <v>301</v>
      </c>
    </row>
    <row r="20" spans="2:10" ht="15.75">
      <c r="B20" s="262"/>
      <c r="C20" s="262"/>
      <c r="D20" s="262"/>
      <c r="E20" s="262"/>
      <c r="F20" s="262"/>
      <c r="G20" s="262"/>
      <c r="H20" s="262"/>
      <c r="I20" s="262"/>
      <c r="J20" s="262"/>
    </row>
    <row r="21" spans="2:10" ht="15.75">
      <c r="B21" s="41" t="s">
        <v>384</v>
      </c>
      <c r="C21" s="41"/>
      <c r="D21" s="41"/>
      <c r="E21" s="262"/>
      <c r="F21" s="262"/>
      <c r="G21" s="262"/>
      <c r="H21" s="262"/>
      <c r="I21" s="262"/>
      <c r="J21" s="262"/>
    </row>
    <row r="22" spans="2:10" ht="15.75">
      <c r="B22" s="41" t="s">
        <v>302</v>
      </c>
      <c r="C22" s="41"/>
      <c r="D22" s="41"/>
      <c r="E22" s="262"/>
      <c r="F22" s="262"/>
      <c r="G22" s="262"/>
      <c r="H22" s="262"/>
      <c r="I22" s="262"/>
      <c r="J22" s="262"/>
    </row>
    <row r="23" spans="2:10" ht="15.75">
      <c r="B23" s="41" t="s">
        <v>303</v>
      </c>
      <c r="C23" s="41"/>
      <c r="D23" s="41"/>
      <c r="E23" s="262"/>
      <c r="F23" s="262"/>
      <c r="G23" s="262"/>
      <c r="H23" s="262"/>
      <c r="I23" s="262"/>
      <c r="J23" s="262"/>
    </row>
  </sheetData>
  <sheetProtection/>
  <mergeCells count="10">
    <mergeCell ref="B14:H14"/>
    <mergeCell ref="I1:K1"/>
    <mergeCell ref="C4:E4"/>
    <mergeCell ref="J2:K2"/>
    <mergeCell ref="G3:K3"/>
    <mergeCell ref="A6:A7"/>
    <mergeCell ref="B5:F5"/>
    <mergeCell ref="G6:K6"/>
    <mergeCell ref="C6:F6"/>
    <mergeCell ref="B6:B7"/>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Footer>&amp;CLMpielik_21_070815_LMZino</oddFooter>
  </headerFooter>
</worksheet>
</file>

<file path=xl/worksheets/sheet7.xml><?xml version="1.0" encoding="utf-8"?>
<worksheet xmlns="http://schemas.openxmlformats.org/spreadsheetml/2006/main" xmlns:r="http://schemas.openxmlformats.org/officeDocument/2006/relationships">
  <dimension ref="A1:N84"/>
  <sheetViews>
    <sheetView workbookViewId="0" topLeftCell="A70">
      <selection activeCell="L100" sqref="L100"/>
    </sheetView>
  </sheetViews>
  <sheetFormatPr defaultColWidth="9.140625" defaultRowHeight="12.75"/>
  <cols>
    <col min="2" max="2" width="22.8515625" style="0" customWidth="1"/>
    <col min="3" max="3" width="9.140625" style="0" customWidth="1"/>
    <col min="4" max="4" width="9.7109375" style="0" customWidth="1"/>
    <col min="5" max="5" width="8.8515625" style="0" customWidth="1"/>
    <col min="6" max="6" width="9.7109375" style="0" customWidth="1"/>
    <col min="7" max="7" width="11.421875" style="0" customWidth="1"/>
    <col min="8" max="12" width="12.57421875" style="0" customWidth="1"/>
    <col min="13" max="13" width="13.57421875" style="0" customWidth="1"/>
    <col min="14" max="14" width="25.421875" style="0" customWidth="1"/>
  </cols>
  <sheetData>
    <row r="1" spans="12:14" ht="15.75">
      <c r="L1" s="337" t="s">
        <v>380</v>
      </c>
      <c r="M1" s="337"/>
      <c r="N1" s="337"/>
    </row>
    <row r="2" spans="13:14" ht="15.75">
      <c r="M2" s="308" t="s">
        <v>304</v>
      </c>
      <c r="N2" s="308"/>
    </row>
    <row r="3" spans="10:14" ht="37.5" customHeight="1">
      <c r="J3" s="309" t="s">
        <v>305</v>
      </c>
      <c r="K3" s="309"/>
      <c r="L3" s="309"/>
      <c r="M3" s="309"/>
      <c r="N3" s="309"/>
    </row>
    <row r="5" spans="1:12" ht="18.75">
      <c r="A5" s="310" t="s">
        <v>311</v>
      </c>
      <c r="B5" s="310"/>
      <c r="C5" s="310"/>
      <c r="D5" s="310"/>
      <c r="E5" s="310"/>
      <c r="F5" s="310"/>
      <c r="G5" s="310"/>
      <c r="H5" s="310"/>
      <c r="I5" s="310"/>
      <c r="J5" s="310"/>
      <c r="K5" s="310"/>
      <c r="L5" s="310"/>
    </row>
    <row r="7" spans="1:4" ht="15.75">
      <c r="A7" s="431" t="s">
        <v>312</v>
      </c>
      <c r="B7" s="431"/>
      <c r="C7" s="431"/>
      <c r="D7" s="431"/>
    </row>
    <row r="8" spans="1:13" ht="15.75">
      <c r="A8" s="351" t="s">
        <v>12</v>
      </c>
      <c r="B8" s="351" t="s">
        <v>313</v>
      </c>
      <c r="C8" s="351" t="s">
        <v>314</v>
      </c>
      <c r="D8" s="425" t="s">
        <v>315</v>
      </c>
      <c r="E8" s="425"/>
      <c r="F8" s="425" t="s">
        <v>316</v>
      </c>
      <c r="G8" s="425"/>
      <c r="H8" s="425" t="s">
        <v>317</v>
      </c>
      <c r="I8" s="432" t="s">
        <v>318</v>
      </c>
      <c r="J8" s="425" t="s">
        <v>319</v>
      </c>
      <c r="K8" s="432" t="s">
        <v>320</v>
      </c>
      <c r="L8" s="425" t="s">
        <v>321</v>
      </c>
      <c r="M8" s="434" t="s">
        <v>322</v>
      </c>
    </row>
    <row r="9" spans="1:13" ht="31.5">
      <c r="A9" s="351"/>
      <c r="B9" s="351"/>
      <c r="C9" s="351"/>
      <c r="D9" s="8" t="s">
        <v>323</v>
      </c>
      <c r="E9" s="23" t="s">
        <v>324</v>
      </c>
      <c r="F9" s="8" t="s">
        <v>325</v>
      </c>
      <c r="G9" s="8" t="s">
        <v>326</v>
      </c>
      <c r="H9" s="425"/>
      <c r="I9" s="433"/>
      <c r="J9" s="425"/>
      <c r="K9" s="433"/>
      <c r="L9" s="425"/>
      <c r="M9" s="434"/>
    </row>
    <row r="10" spans="1:13" ht="15.75">
      <c r="A10" s="23">
        <v>1</v>
      </c>
      <c r="B10" s="23">
        <v>2</v>
      </c>
      <c r="C10" s="23">
        <v>3</v>
      </c>
      <c r="D10" s="23">
        <v>4</v>
      </c>
      <c r="E10" s="23">
        <v>5</v>
      </c>
      <c r="F10" s="8">
        <v>6</v>
      </c>
      <c r="G10" s="8">
        <v>7</v>
      </c>
      <c r="H10" s="8">
        <v>8</v>
      </c>
      <c r="I10" s="8">
        <v>9</v>
      </c>
      <c r="J10" s="8">
        <v>10</v>
      </c>
      <c r="K10" s="8">
        <v>11</v>
      </c>
      <c r="L10" s="23" t="s">
        <v>327</v>
      </c>
      <c r="M10" s="271" t="s">
        <v>328</v>
      </c>
    </row>
    <row r="11" spans="1:13" ht="15.75">
      <c r="A11" s="175">
        <v>1</v>
      </c>
      <c r="B11" s="175" t="s">
        <v>329</v>
      </c>
      <c r="C11" s="166">
        <v>1</v>
      </c>
      <c r="D11" s="23">
        <v>1</v>
      </c>
      <c r="E11" s="175" t="s">
        <v>330</v>
      </c>
      <c r="F11" s="23">
        <v>14</v>
      </c>
      <c r="G11" s="165">
        <v>2264</v>
      </c>
      <c r="H11" s="272">
        <v>1648.4</v>
      </c>
      <c r="I11" s="272">
        <f>H11*100/G11</f>
        <v>72.80918727915194</v>
      </c>
      <c r="J11" s="272">
        <v>1973</v>
      </c>
      <c r="K11" s="272">
        <f>J11*100/G11</f>
        <v>87.14664310954063</v>
      </c>
      <c r="L11" s="165">
        <f>J11-H11</f>
        <v>324.5999999999999</v>
      </c>
      <c r="M11" s="273">
        <f>J11*12</f>
        <v>23676</v>
      </c>
    </row>
    <row r="12" spans="1:13" ht="15.75">
      <c r="A12" s="175">
        <v>2</v>
      </c>
      <c r="B12" s="175" t="s">
        <v>331</v>
      </c>
      <c r="C12" s="166">
        <v>1</v>
      </c>
      <c r="D12" s="23">
        <v>1</v>
      </c>
      <c r="E12" s="175" t="s">
        <v>332</v>
      </c>
      <c r="F12" s="23">
        <v>12</v>
      </c>
      <c r="G12" s="165">
        <v>1647</v>
      </c>
      <c r="H12" s="272">
        <v>1409.2</v>
      </c>
      <c r="I12" s="272">
        <f aca="true" t="shared" si="0" ref="I12:I22">H12*100/G12</f>
        <v>85.56162720097146</v>
      </c>
      <c r="J12" s="272">
        <v>1447</v>
      </c>
      <c r="K12" s="272">
        <f aca="true" t="shared" si="1" ref="K12:K22">J12*100/G12</f>
        <v>87.85670916818458</v>
      </c>
      <c r="L12" s="165">
        <f aca="true" t="shared" si="2" ref="L12:L22">J12-H12</f>
        <v>37.799999999999955</v>
      </c>
      <c r="M12" s="273">
        <f aca="true" t="shared" si="3" ref="M12:M22">J12*12</f>
        <v>17364</v>
      </c>
    </row>
    <row r="13" spans="1:13" ht="15.75">
      <c r="A13" s="274">
        <v>3</v>
      </c>
      <c r="B13" s="274" t="s">
        <v>333</v>
      </c>
      <c r="C13" s="275">
        <v>1</v>
      </c>
      <c r="D13" s="276">
        <v>21</v>
      </c>
      <c r="E13" s="274" t="s">
        <v>334</v>
      </c>
      <c r="F13" s="276">
        <v>9</v>
      </c>
      <c r="G13" s="277">
        <v>994</v>
      </c>
      <c r="H13" s="272">
        <v>915</v>
      </c>
      <c r="I13" s="272">
        <f t="shared" si="0"/>
        <v>92.0523138832998</v>
      </c>
      <c r="J13" s="272">
        <v>994</v>
      </c>
      <c r="K13" s="272">
        <f t="shared" si="1"/>
        <v>100</v>
      </c>
      <c r="L13" s="165">
        <f t="shared" si="2"/>
        <v>79</v>
      </c>
      <c r="M13" s="273">
        <f t="shared" si="3"/>
        <v>11928</v>
      </c>
    </row>
    <row r="14" spans="1:13" ht="15.75">
      <c r="A14" s="175">
        <v>4</v>
      </c>
      <c r="B14" s="175" t="s">
        <v>335</v>
      </c>
      <c r="C14" s="239">
        <v>0.25</v>
      </c>
      <c r="D14" s="23">
        <v>19.5</v>
      </c>
      <c r="E14" s="175" t="s">
        <v>336</v>
      </c>
      <c r="F14" s="23">
        <v>8</v>
      </c>
      <c r="G14" s="165">
        <v>874</v>
      </c>
      <c r="H14" s="272">
        <v>150</v>
      </c>
      <c r="I14" s="272">
        <f t="shared" si="0"/>
        <v>17.162471395881006</v>
      </c>
      <c r="J14" s="272">
        <v>218</v>
      </c>
      <c r="K14" s="272">
        <f t="shared" si="1"/>
        <v>24.94279176201373</v>
      </c>
      <c r="L14" s="165">
        <f t="shared" si="2"/>
        <v>68</v>
      </c>
      <c r="M14" s="273">
        <f t="shared" si="3"/>
        <v>2616</v>
      </c>
    </row>
    <row r="15" spans="1:13" ht="15.75">
      <c r="A15" s="175">
        <v>5</v>
      </c>
      <c r="B15" s="278" t="s">
        <v>337</v>
      </c>
      <c r="C15" s="279">
        <v>1</v>
      </c>
      <c r="D15" s="279">
        <v>17</v>
      </c>
      <c r="E15" s="175" t="s">
        <v>338</v>
      </c>
      <c r="F15" s="23">
        <v>9</v>
      </c>
      <c r="G15" s="165">
        <v>994</v>
      </c>
      <c r="H15" s="272">
        <v>850</v>
      </c>
      <c r="I15" s="272">
        <f t="shared" si="0"/>
        <v>85.51307847082495</v>
      </c>
      <c r="J15" s="272">
        <v>994</v>
      </c>
      <c r="K15" s="272">
        <f t="shared" si="1"/>
        <v>100</v>
      </c>
      <c r="L15" s="165">
        <f t="shared" si="2"/>
        <v>144</v>
      </c>
      <c r="M15" s="273">
        <f t="shared" si="3"/>
        <v>11928</v>
      </c>
    </row>
    <row r="16" spans="1:13" ht="15.75">
      <c r="A16" s="175">
        <v>6</v>
      </c>
      <c r="B16" s="278" t="s">
        <v>339</v>
      </c>
      <c r="C16" s="279">
        <v>1</v>
      </c>
      <c r="D16" s="279">
        <v>2</v>
      </c>
      <c r="E16" s="175" t="s">
        <v>340</v>
      </c>
      <c r="F16" s="23">
        <v>11</v>
      </c>
      <c r="G16" s="165">
        <v>1382</v>
      </c>
      <c r="H16" s="272">
        <v>1055</v>
      </c>
      <c r="I16" s="272">
        <f t="shared" si="0"/>
        <v>76.33863965267727</v>
      </c>
      <c r="J16" s="272">
        <v>1174</v>
      </c>
      <c r="K16" s="272">
        <f t="shared" si="1"/>
        <v>84.94934876989869</v>
      </c>
      <c r="L16" s="165">
        <f t="shared" si="2"/>
        <v>119</v>
      </c>
      <c r="M16" s="273">
        <f t="shared" si="3"/>
        <v>14088</v>
      </c>
    </row>
    <row r="17" spans="1:13" ht="15.75">
      <c r="A17" s="175">
        <v>7</v>
      </c>
      <c r="B17" s="278" t="s">
        <v>341</v>
      </c>
      <c r="C17" s="279">
        <v>1</v>
      </c>
      <c r="D17" s="279" t="s">
        <v>342</v>
      </c>
      <c r="E17" s="175" t="s">
        <v>343</v>
      </c>
      <c r="F17" s="23">
        <v>8</v>
      </c>
      <c r="G17" s="165">
        <v>874</v>
      </c>
      <c r="H17" s="272">
        <v>785.4</v>
      </c>
      <c r="I17" s="272">
        <f t="shared" si="0"/>
        <v>89.86270022883295</v>
      </c>
      <c r="J17" s="272">
        <v>873</v>
      </c>
      <c r="K17" s="272">
        <f t="shared" si="1"/>
        <v>99.88558352402745</v>
      </c>
      <c r="L17" s="165">
        <f t="shared" si="2"/>
        <v>87.60000000000002</v>
      </c>
      <c r="M17" s="273">
        <f t="shared" si="3"/>
        <v>10476</v>
      </c>
    </row>
    <row r="18" spans="1:13" ht="15.75">
      <c r="A18" s="175">
        <v>8</v>
      </c>
      <c r="B18" s="278" t="s">
        <v>344</v>
      </c>
      <c r="C18" s="279">
        <v>1</v>
      </c>
      <c r="D18" s="279">
        <v>23</v>
      </c>
      <c r="E18" s="175" t="s">
        <v>336</v>
      </c>
      <c r="F18" s="23">
        <v>6</v>
      </c>
      <c r="G18" s="165">
        <v>700</v>
      </c>
      <c r="H18" s="272">
        <v>540</v>
      </c>
      <c r="I18" s="272">
        <f t="shared" si="0"/>
        <v>77.14285714285714</v>
      </c>
      <c r="J18" s="272">
        <v>700</v>
      </c>
      <c r="K18" s="272">
        <f t="shared" si="1"/>
        <v>100</v>
      </c>
      <c r="L18" s="165">
        <f t="shared" si="2"/>
        <v>160</v>
      </c>
      <c r="M18" s="273">
        <f t="shared" si="3"/>
        <v>8400</v>
      </c>
    </row>
    <row r="19" spans="1:13" ht="15.75">
      <c r="A19" s="175">
        <v>9</v>
      </c>
      <c r="B19" s="278" t="s">
        <v>344</v>
      </c>
      <c r="C19" s="279">
        <v>1</v>
      </c>
      <c r="D19" s="279">
        <v>23</v>
      </c>
      <c r="E19" s="175" t="s">
        <v>336</v>
      </c>
      <c r="F19" s="23">
        <v>6</v>
      </c>
      <c r="G19" s="165">
        <v>700</v>
      </c>
      <c r="H19" s="272">
        <v>540</v>
      </c>
      <c r="I19" s="272">
        <f t="shared" si="0"/>
        <v>77.14285714285714</v>
      </c>
      <c r="J19" s="272">
        <v>700</v>
      </c>
      <c r="K19" s="272">
        <f t="shared" si="1"/>
        <v>100</v>
      </c>
      <c r="L19" s="165">
        <f t="shared" si="2"/>
        <v>160</v>
      </c>
      <c r="M19" s="273">
        <f t="shared" si="3"/>
        <v>8400</v>
      </c>
    </row>
    <row r="20" spans="1:13" ht="15.75">
      <c r="A20" s="175">
        <v>10</v>
      </c>
      <c r="B20" s="278" t="s">
        <v>345</v>
      </c>
      <c r="C20" s="280">
        <v>0.75</v>
      </c>
      <c r="D20" s="279">
        <v>14</v>
      </c>
      <c r="E20" s="175" t="s">
        <v>346</v>
      </c>
      <c r="F20" s="23">
        <v>10</v>
      </c>
      <c r="G20" s="165">
        <v>1174</v>
      </c>
      <c r="H20" s="272">
        <v>666.9</v>
      </c>
      <c r="I20" s="272">
        <f t="shared" si="0"/>
        <v>56.805792163543444</v>
      </c>
      <c r="J20" s="272">
        <v>756</v>
      </c>
      <c r="K20" s="272">
        <f t="shared" si="1"/>
        <v>64.39522998296422</v>
      </c>
      <c r="L20" s="165">
        <f t="shared" si="2"/>
        <v>89.10000000000002</v>
      </c>
      <c r="M20" s="273">
        <f t="shared" si="3"/>
        <v>9072</v>
      </c>
    </row>
    <row r="21" spans="1:13" ht="15.75">
      <c r="A21" s="175">
        <v>11</v>
      </c>
      <c r="B21" s="278" t="s">
        <v>347</v>
      </c>
      <c r="C21" s="280">
        <v>0.5</v>
      </c>
      <c r="D21" s="279">
        <v>12.1</v>
      </c>
      <c r="E21" s="175" t="s">
        <v>348</v>
      </c>
      <c r="F21" s="23">
        <v>10</v>
      </c>
      <c r="G21" s="165">
        <v>1174</v>
      </c>
      <c r="H21" s="272">
        <v>520</v>
      </c>
      <c r="I21" s="272">
        <f t="shared" si="0"/>
        <v>44.29301533219761</v>
      </c>
      <c r="J21" s="272">
        <v>610</v>
      </c>
      <c r="K21" s="272">
        <f t="shared" si="1"/>
        <v>51.959114139693355</v>
      </c>
      <c r="L21" s="165">
        <f t="shared" si="2"/>
        <v>90</v>
      </c>
      <c r="M21" s="273">
        <f t="shared" si="3"/>
        <v>7320</v>
      </c>
    </row>
    <row r="22" spans="1:13" ht="15.75">
      <c r="A22" s="175">
        <v>12</v>
      </c>
      <c r="B22" s="278" t="s">
        <v>349</v>
      </c>
      <c r="C22" s="23">
        <v>0.5</v>
      </c>
      <c r="D22" s="175"/>
      <c r="E22" s="175"/>
      <c r="F22" s="175"/>
      <c r="G22" s="165">
        <v>360</v>
      </c>
      <c r="H22" s="272">
        <v>180</v>
      </c>
      <c r="I22" s="272">
        <f t="shared" si="0"/>
        <v>50</v>
      </c>
      <c r="J22" s="272">
        <v>180</v>
      </c>
      <c r="K22" s="272">
        <f t="shared" si="1"/>
        <v>50</v>
      </c>
      <c r="L22" s="165">
        <f t="shared" si="2"/>
        <v>0</v>
      </c>
      <c r="M22" s="273">
        <f t="shared" si="3"/>
        <v>2160</v>
      </c>
    </row>
    <row r="23" spans="1:13" ht="15.75">
      <c r="A23" s="435" t="s">
        <v>350</v>
      </c>
      <c r="B23" s="436"/>
      <c r="C23" s="281">
        <f>SUM(C11:C22)</f>
        <v>10</v>
      </c>
      <c r="D23" s="230" t="s">
        <v>112</v>
      </c>
      <c r="E23" s="230" t="s">
        <v>112</v>
      </c>
      <c r="F23" s="230" t="s">
        <v>112</v>
      </c>
      <c r="G23" s="240">
        <f aca="true" t="shared" si="4" ref="G23:M23">SUM(G11:G22)</f>
        <v>13137</v>
      </c>
      <c r="H23" s="240">
        <f t="shared" si="4"/>
        <v>9259.9</v>
      </c>
      <c r="I23" s="240">
        <f>SUM(I11:I22)</f>
        <v>824.6845398930946</v>
      </c>
      <c r="J23" s="240">
        <f t="shared" si="4"/>
        <v>10619</v>
      </c>
      <c r="K23" s="240">
        <f>SUM(K11:K22)</f>
        <v>951.1354204563227</v>
      </c>
      <c r="L23" s="240">
        <f t="shared" si="4"/>
        <v>1359.1</v>
      </c>
      <c r="M23" s="240">
        <f t="shared" si="4"/>
        <v>127428</v>
      </c>
    </row>
    <row r="24" spans="1:13" ht="15.75">
      <c r="A24" s="435" t="s">
        <v>351</v>
      </c>
      <c r="B24" s="436"/>
      <c r="C24" s="281" t="s">
        <v>112</v>
      </c>
      <c r="D24" s="281" t="s">
        <v>112</v>
      </c>
      <c r="E24" s="281" t="s">
        <v>112</v>
      </c>
      <c r="F24" s="281" t="s">
        <v>112</v>
      </c>
      <c r="G24" s="240">
        <f aca="true" t="shared" si="5" ref="G24:L24">G23/12</f>
        <v>1094.75</v>
      </c>
      <c r="H24" s="240">
        <f t="shared" si="5"/>
        <v>771.6583333333333</v>
      </c>
      <c r="I24" s="240">
        <f t="shared" si="5"/>
        <v>68.72371165775787</v>
      </c>
      <c r="J24" s="240">
        <f t="shared" si="5"/>
        <v>884.9166666666666</v>
      </c>
      <c r="K24" s="240">
        <f t="shared" si="5"/>
        <v>79.26128503802688</v>
      </c>
      <c r="L24" s="240">
        <f t="shared" si="5"/>
        <v>113.25833333333333</v>
      </c>
      <c r="M24" s="240" t="s">
        <v>112</v>
      </c>
    </row>
    <row r="25" spans="1:13" ht="15.75">
      <c r="A25" s="282"/>
      <c r="B25" s="282"/>
      <c r="C25" s="283"/>
      <c r="D25" s="284"/>
      <c r="E25" s="284"/>
      <c r="F25" s="284"/>
      <c r="G25" s="285"/>
      <c r="H25" s="285"/>
      <c r="I25" s="285"/>
      <c r="J25" s="285"/>
      <c r="K25" s="285"/>
      <c r="L25" s="285"/>
      <c r="M25" s="142"/>
    </row>
    <row r="26" spans="2:13" ht="15.75">
      <c r="B26" s="286"/>
      <c r="C26" s="183"/>
      <c r="G26" s="287"/>
      <c r="H26" s="437" t="s">
        <v>352</v>
      </c>
      <c r="I26" s="437"/>
      <c r="J26" s="437"/>
      <c r="K26" s="437"/>
      <c r="L26" s="437"/>
      <c r="M26" s="231">
        <f>M23*23.59%</f>
        <v>30060.265199999998</v>
      </c>
    </row>
    <row r="27" spans="2:13" ht="15.75">
      <c r="B27" s="286"/>
      <c r="C27" s="183"/>
      <c r="G27" s="287"/>
      <c r="H27" s="437" t="s">
        <v>353</v>
      </c>
      <c r="I27" s="437"/>
      <c r="J27" s="437"/>
      <c r="K27" s="437"/>
      <c r="L27" s="437"/>
      <c r="M27" s="231">
        <f>M23+M26</f>
        <v>157488.2652</v>
      </c>
    </row>
    <row r="28" spans="2:13" ht="15.75">
      <c r="B28" s="286"/>
      <c r="C28" s="183"/>
      <c r="H28" s="438" t="s">
        <v>354</v>
      </c>
      <c r="I28" s="439"/>
      <c r="J28" s="439"/>
      <c r="K28" s="439"/>
      <c r="L28" s="440"/>
      <c r="M28" s="231">
        <v>132118</v>
      </c>
    </row>
    <row r="29" spans="2:13" ht="15.75">
      <c r="B29" s="286"/>
      <c r="C29" s="183"/>
      <c r="H29" s="441" t="s">
        <v>355</v>
      </c>
      <c r="I29" s="441"/>
      <c r="J29" s="441"/>
      <c r="K29" s="441"/>
      <c r="L29" s="441"/>
      <c r="M29" s="234">
        <f>M27-M28</f>
        <v>25370.265199999994</v>
      </c>
    </row>
    <row r="30" spans="2:13" ht="15.75">
      <c r="B30" s="286"/>
      <c r="C30" s="183"/>
      <c r="H30" s="142"/>
      <c r="I30" s="142"/>
      <c r="J30" s="142"/>
      <c r="K30" s="142"/>
      <c r="M30" s="183"/>
    </row>
    <row r="31" spans="2:13" ht="15.75">
      <c r="B31" s="286"/>
      <c r="C31" s="183"/>
      <c r="H31" s="142"/>
      <c r="I31" s="142"/>
      <c r="J31" s="142"/>
      <c r="K31" s="142"/>
      <c r="M31" s="183"/>
    </row>
    <row r="32" spans="2:13" ht="15.75">
      <c r="B32" s="286"/>
      <c r="C32" s="183"/>
      <c r="H32" s="142"/>
      <c r="I32" s="142"/>
      <c r="J32" s="142"/>
      <c r="K32" s="142"/>
      <c r="M32" s="183"/>
    </row>
    <row r="33" spans="2:13" ht="15.75">
      <c r="B33" s="286"/>
      <c r="C33" s="183"/>
      <c r="H33" s="142"/>
      <c r="I33" s="142"/>
      <c r="J33" s="142"/>
      <c r="K33" s="142"/>
      <c r="M33" s="183"/>
    </row>
    <row r="34" spans="2:13" ht="15.75">
      <c r="B34" s="286"/>
      <c r="C34" s="183"/>
      <c r="H34" s="142"/>
      <c r="I34" s="142"/>
      <c r="J34" s="142"/>
      <c r="K34" s="142"/>
      <c r="M34" s="183"/>
    </row>
    <row r="35" spans="2:13" ht="15.75">
      <c r="B35" s="286"/>
      <c r="C35" s="183"/>
      <c r="H35" s="142"/>
      <c r="I35" s="142"/>
      <c r="J35" s="142"/>
      <c r="K35" s="142"/>
      <c r="M35" s="183"/>
    </row>
    <row r="36" spans="2:13" ht="15.75">
      <c r="B36" s="286"/>
      <c r="C36" s="183"/>
      <c r="H36" s="142"/>
      <c r="I36" s="142"/>
      <c r="J36" s="142"/>
      <c r="K36" s="142"/>
      <c r="M36" s="183"/>
    </row>
    <row r="37" spans="2:13" ht="15.75">
      <c r="B37" s="286"/>
      <c r="C37" s="183"/>
      <c r="H37" s="142"/>
      <c r="I37" s="142"/>
      <c r="J37" s="142"/>
      <c r="K37" s="142"/>
      <c r="M37" s="183"/>
    </row>
    <row r="38" spans="2:13" ht="15.75">
      <c r="B38" s="286"/>
      <c r="C38" s="183"/>
      <c r="H38" s="142"/>
      <c r="I38" s="142"/>
      <c r="J38" s="142"/>
      <c r="K38" s="142"/>
      <c r="M38" s="183"/>
    </row>
    <row r="39" spans="2:13" ht="15.75">
      <c r="B39" s="286"/>
      <c r="C39" s="183"/>
      <c r="H39" s="142"/>
      <c r="I39" s="142"/>
      <c r="J39" s="142"/>
      <c r="K39" s="142"/>
      <c r="M39" s="183"/>
    </row>
    <row r="40" spans="2:13" ht="15.75">
      <c r="B40" s="286"/>
      <c r="C40" s="183"/>
      <c r="H40" s="142"/>
      <c r="I40" s="142"/>
      <c r="J40" s="142"/>
      <c r="K40" s="142"/>
      <c r="M40" s="183"/>
    </row>
    <row r="41" spans="2:13" ht="15.75">
      <c r="B41" s="286"/>
      <c r="C41" s="183"/>
      <c r="H41" s="142"/>
      <c r="I41" s="142"/>
      <c r="J41" s="142"/>
      <c r="K41" s="142"/>
      <c r="M41" s="183"/>
    </row>
    <row r="42" spans="2:13" ht="15.75">
      <c r="B42" s="286"/>
      <c r="C42" s="183"/>
      <c r="H42" s="142"/>
      <c r="I42" s="142"/>
      <c r="J42" s="142"/>
      <c r="K42" s="142"/>
      <c r="M42" s="183"/>
    </row>
    <row r="43" spans="2:13" ht="15.75">
      <c r="B43" s="286"/>
      <c r="C43" s="183"/>
      <c r="H43" s="142"/>
      <c r="I43" s="142"/>
      <c r="J43" s="142"/>
      <c r="K43" s="142"/>
      <c r="M43" s="183"/>
    </row>
    <row r="44" spans="2:13" ht="15.75">
      <c r="B44" s="286"/>
      <c r="C44" s="183"/>
      <c r="H44" s="142"/>
      <c r="I44" s="142"/>
      <c r="J44" s="142"/>
      <c r="K44" s="142"/>
      <c r="M44" s="183"/>
    </row>
    <row r="45" spans="2:13" ht="15.75">
      <c r="B45" s="286"/>
      <c r="C45" s="183"/>
      <c r="H45" s="142"/>
      <c r="I45" s="142"/>
      <c r="J45" s="142"/>
      <c r="K45" s="142"/>
      <c r="M45" s="183"/>
    </row>
    <row r="46" spans="2:13" ht="15.75">
      <c r="B46" s="286"/>
      <c r="C46" s="183"/>
      <c r="H46" s="142"/>
      <c r="I46" s="142"/>
      <c r="J46" s="142"/>
      <c r="K46" s="142"/>
      <c r="M46" s="183"/>
    </row>
    <row r="47" spans="8:11" ht="12.75">
      <c r="H47" s="142"/>
      <c r="I47" s="142"/>
      <c r="J47" s="142"/>
      <c r="K47" s="142"/>
    </row>
    <row r="48" spans="1:11" ht="15.75">
      <c r="A48" s="442" t="s">
        <v>249</v>
      </c>
      <c r="B48" s="442"/>
      <c r="C48" s="442"/>
      <c r="D48" s="442"/>
      <c r="E48" s="442"/>
      <c r="H48" s="142"/>
      <c r="I48" s="142"/>
      <c r="J48" s="142"/>
      <c r="K48" s="142"/>
    </row>
    <row r="49" spans="1:14" ht="15.75">
      <c r="A49" s="351" t="s">
        <v>12</v>
      </c>
      <c r="B49" s="351" t="s">
        <v>313</v>
      </c>
      <c r="C49" s="351" t="s">
        <v>314</v>
      </c>
      <c r="D49" s="425" t="s">
        <v>315</v>
      </c>
      <c r="E49" s="425"/>
      <c r="F49" s="425" t="s">
        <v>316</v>
      </c>
      <c r="G49" s="425"/>
      <c r="H49" s="425" t="s">
        <v>317</v>
      </c>
      <c r="I49" s="432" t="s">
        <v>318</v>
      </c>
      <c r="J49" s="425" t="s">
        <v>319</v>
      </c>
      <c r="K49" s="432" t="s">
        <v>320</v>
      </c>
      <c r="L49" s="425" t="s">
        <v>321</v>
      </c>
      <c r="M49" s="425" t="s">
        <v>322</v>
      </c>
      <c r="N49" s="443" t="s">
        <v>271</v>
      </c>
    </row>
    <row r="50" spans="1:14" ht="31.5">
      <c r="A50" s="351"/>
      <c r="B50" s="351"/>
      <c r="C50" s="351"/>
      <c r="D50" s="8" t="s">
        <v>356</v>
      </c>
      <c r="E50" s="23" t="s">
        <v>324</v>
      </c>
      <c r="F50" s="8" t="s">
        <v>325</v>
      </c>
      <c r="G50" s="8" t="s">
        <v>326</v>
      </c>
      <c r="H50" s="425"/>
      <c r="I50" s="433"/>
      <c r="J50" s="425"/>
      <c r="K50" s="433"/>
      <c r="L50" s="425"/>
      <c r="M50" s="425"/>
      <c r="N50" s="443"/>
    </row>
    <row r="51" spans="1:14" ht="94.5">
      <c r="A51" s="175">
        <v>1</v>
      </c>
      <c r="B51" s="288" t="s">
        <v>357</v>
      </c>
      <c r="C51" s="289">
        <v>0.5</v>
      </c>
      <c r="D51" s="276">
        <v>5.1</v>
      </c>
      <c r="E51" s="274" t="s">
        <v>358</v>
      </c>
      <c r="F51" s="276">
        <v>14</v>
      </c>
      <c r="G51" s="276">
        <v>2264</v>
      </c>
      <c r="H51" s="290">
        <v>964.6</v>
      </c>
      <c r="I51" s="291">
        <f aca="true" t="shared" si="6" ref="I51:I71">H51*100/G51</f>
        <v>42.60600706713781</v>
      </c>
      <c r="J51" s="292">
        <v>1132</v>
      </c>
      <c r="K51" s="291">
        <f aca="true" t="shared" si="7" ref="K51:K71">J51*100/G51</f>
        <v>50</v>
      </c>
      <c r="L51" s="293">
        <f aca="true" t="shared" si="8" ref="L51:L57">J51-H51</f>
        <v>167.39999999999998</v>
      </c>
      <c r="M51" s="231">
        <f>J51*12</f>
        <v>13584</v>
      </c>
      <c r="N51" s="294"/>
    </row>
    <row r="52" spans="1:14" ht="15.75">
      <c r="A52" s="175">
        <v>2</v>
      </c>
      <c r="B52" s="295" t="s">
        <v>359</v>
      </c>
      <c r="C52" s="289">
        <v>1</v>
      </c>
      <c r="D52" s="276">
        <v>5.1</v>
      </c>
      <c r="E52" s="274" t="s">
        <v>343</v>
      </c>
      <c r="F52" s="276">
        <v>10</v>
      </c>
      <c r="G52" s="276">
        <v>1174</v>
      </c>
      <c r="H52" s="289">
        <v>870</v>
      </c>
      <c r="I52" s="291">
        <f t="shared" si="6"/>
        <v>74.10562180579217</v>
      </c>
      <c r="J52" s="296">
        <v>1174</v>
      </c>
      <c r="K52" s="291">
        <f t="shared" si="7"/>
        <v>100</v>
      </c>
      <c r="L52" s="293">
        <f t="shared" si="8"/>
        <v>304</v>
      </c>
      <c r="M52" s="231">
        <f aca="true" t="shared" si="9" ref="M52:M71">J52*12</f>
        <v>14088</v>
      </c>
      <c r="N52" s="294"/>
    </row>
    <row r="53" spans="1:14" ht="15.75">
      <c r="A53" s="175">
        <v>3</v>
      </c>
      <c r="B53" s="297" t="s">
        <v>360</v>
      </c>
      <c r="C53" s="298">
        <v>1</v>
      </c>
      <c r="D53" s="276" t="s">
        <v>361</v>
      </c>
      <c r="E53" s="274" t="s">
        <v>330</v>
      </c>
      <c r="F53" s="276">
        <v>12</v>
      </c>
      <c r="G53" s="276">
        <v>1647</v>
      </c>
      <c r="H53" s="289">
        <v>889.2</v>
      </c>
      <c r="I53" s="291">
        <f t="shared" si="6"/>
        <v>53.98907103825137</v>
      </c>
      <c r="J53" s="296">
        <v>1076</v>
      </c>
      <c r="K53" s="291">
        <f t="shared" si="7"/>
        <v>65.33090467516698</v>
      </c>
      <c r="L53" s="293">
        <f t="shared" si="8"/>
        <v>186.79999999999995</v>
      </c>
      <c r="M53" s="231">
        <f t="shared" si="9"/>
        <v>12912</v>
      </c>
      <c r="N53" s="294"/>
    </row>
    <row r="54" spans="1:14" ht="15.75">
      <c r="A54" s="175">
        <v>4</v>
      </c>
      <c r="B54" s="295" t="s">
        <v>362</v>
      </c>
      <c r="C54" s="289">
        <v>1</v>
      </c>
      <c r="D54" s="299" t="s">
        <v>361</v>
      </c>
      <c r="E54" s="274" t="s">
        <v>330</v>
      </c>
      <c r="F54" s="276">
        <v>12</v>
      </c>
      <c r="G54" s="276">
        <v>1647</v>
      </c>
      <c r="H54" s="289">
        <v>770</v>
      </c>
      <c r="I54" s="291">
        <f t="shared" si="6"/>
        <v>46.75166970248937</v>
      </c>
      <c r="J54" s="296">
        <v>950</v>
      </c>
      <c r="K54" s="291">
        <f t="shared" si="7"/>
        <v>57.680631451123254</v>
      </c>
      <c r="L54" s="293">
        <f t="shared" si="8"/>
        <v>180</v>
      </c>
      <c r="M54" s="231">
        <f t="shared" si="9"/>
        <v>11400</v>
      </c>
      <c r="N54" s="294"/>
    </row>
    <row r="55" spans="1:14" ht="15.75">
      <c r="A55" s="175">
        <v>5</v>
      </c>
      <c r="B55" s="295" t="s">
        <v>363</v>
      </c>
      <c r="C55" s="289">
        <v>1</v>
      </c>
      <c r="D55" s="299" t="s">
        <v>361</v>
      </c>
      <c r="E55" s="274" t="s">
        <v>330</v>
      </c>
      <c r="F55" s="276">
        <v>12</v>
      </c>
      <c r="G55" s="276">
        <v>1647</v>
      </c>
      <c r="H55" s="289">
        <v>785.4</v>
      </c>
      <c r="I55" s="291">
        <f t="shared" si="6"/>
        <v>47.68670309653916</v>
      </c>
      <c r="J55" s="296">
        <v>968</v>
      </c>
      <c r="K55" s="291">
        <f t="shared" si="7"/>
        <v>58.773527625986645</v>
      </c>
      <c r="L55" s="293">
        <f t="shared" si="8"/>
        <v>182.60000000000002</v>
      </c>
      <c r="M55" s="231">
        <f t="shared" si="9"/>
        <v>11616</v>
      </c>
      <c r="N55" s="294"/>
    </row>
    <row r="56" spans="1:14" ht="15.75">
      <c r="A56" s="175">
        <v>6</v>
      </c>
      <c r="B56" s="295" t="s">
        <v>364</v>
      </c>
      <c r="C56" s="289">
        <v>1</v>
      </c>
      <c r="D56" s="299" t="s">
        <v>361</v>
      </c>
      <c r="E56" s="274" t="s">
        <v>330</v>
      </c>
      <c r="F56" s="276">
        <v>12</v>
      </c>
      <c r="G56" s="276">
        <v>1647</v>
      </c>
      <c r="H56" s="289">
        <v>693.6</v>
      </c>
      <c r="I56" s="291">
        <f t="shared" si="6"/>
        <v>42.11293260473588</v>
      </c>
      <c r="J56" s="296">
        <v>897</v>
      </c>
      <c r="K56" s="291">
        <f t="shared" si="7"/>
        <v>54.462659380692166</v>
      </c>
      <c r="L56" s="293">
        <f t="shared" si="8"/>
        <v>203.39999999999998</v>
      </c>
      <c r="M56" s="231">
        <f t="shared" si="9"/>
        <v>10764</v>
      </c>
      <c r="N56" s="294"/>
    </row>
    <row r="57" spans="1:14" ht="15.75">
      <c r="A57" s="175">
        <v>7</v>
      </c>
      <c r="B57" s="295" t="s">
        <v>365</v>
      </c>
      <c r="C57" s="289">
        <v>1</v>
      </c>
      <c r="D57" s="299" t="s">
        <v>361</v>
      </c>
      <c r="E57" s="274" t="s">
        <v>330</v>
      </c>
      <c r="F57" s="276">
        <v>12</v>
      </c>
      <c r="G57" s="276">
        <v>1647</v>
      </c>
      <c r="H57" s="289">
        <v>693.6</v>
      </c>
      <c r="I57" s="291">
        <f t="shared" si="6"/>
        <v>42.11293260473588</v>
      </c>
      <c r="J57" s="296">
        <v>897</v>
      </c>
      <c r="K57" s="291">
        <f t="shared" si="7"/>
        <v>54.462659380692166</v>
      </c>
      <c r="L57" s="293">
        <f t="shared" si="8"/>
        <v>203.39999999999998</v>
      </c>
      <c r="M57" s="300">
        <f t="shared" si="9"/>
        <v>10764</v>
      </c>
      <c r="N57" s="294"/>
    </row>
    <row r="58" spans="1:14" ht="15.75">
      <c r="A58" s="175">
        <v>8</v>
      </c>
      <c r="B58" s="295" t="s">
        <v>366</v>
      </c>
      <c r="C58" s="289">
        <v>1</v>
      </c>
      <c r="D58" s="299" t="s">
        <v>361</v>
      </c>
      <c r="E58" s="274" t="s">
        <v>367</v>
      </c>
      <c r="F58" s="276">
        <v>9</v>
      </c>
      <c r="G58" s="276">
        <v>994</v>
      </c>
      <c r="H58" s="289">
        <v>660</v>
      </c>
      <c r="I58" s="291">
        <f t="shared" si="6"/>
        <v>66.39839034205231</v>
      </c>
      <c r="J58" s="296">
        <v>871</v>
      </c>
      <c r="K58" s="291">
        <f t="shared" si="7"/>
        <v>87.62575452716298</v>
      </c>
      <c r="L58" s="293">
        <f>J58-H58</f>
        <v>211</v>
      </c>
      <c r="M58" s="231">
        <f t="shared" si="9"/>
        <v>10452</v>
      </c>
      <c r="N58" s="294"/>
    </row>
    <row r="59" spans="1:14" ht="15.75">
      <c r="A59" s="175">
        <v>9</v>
      </c>
      <c r="B59" s="295" t="s">
        <v>368</v>
      </c>
      <c r="C59" s="289">
        <v>1</v>
      </c>
      <c r="D59" s="299" t="s">
        <v>361</v>
      </c>
      <c r="E59" s="274" t="s">
        <v>367</v>
      </c>
      <c r="F59" s="276">
        <v>9</v>
      </c>
      <c r="G59" s="276">
        <v>994</v>
      </c>
      <c r="H59" s="289">
        <v>580</v>
      </c>
      <c r="I59" s="291">
        <f t="shared" si="6"/>
        <v>58.35010060362173</v>
      </c>
      <c r="J59" s="296">
        <v>714</v>
      </c>
      <c r="K59" s="291">
        <f t="shared" si="7"/>
        <v>71.83098591549296</v>
      </c>
      <c r="L59" s="293">
        <f aca="true" t="shared" si="10" ref="L59:L71">J59-H59</f>
        <v>134</v>
      </c>
      <c r="M59" s="231">
        <f t="shared" si="9"/>
        <v>8568</v>
      </c>
      <c r="N59" s="294"/>
    </row>
    <row r="60" spans="1:14" ht="15.75">
      <c r="A60" s="175">
        <v>10</v>
      </c>
      <c r="B60" s="295" t="s">
        <v>368</v>
      </c>
      <c r="C60" s="289">
        <v>1</v>
      </c>
      <c r="D60" s="276" t="s">
        <v>361</v>
      </c>
      <c r="E60" s="274" t="s">
        <v>367</v>
      </c>
      <c r="F60" s="276">
        <v>9</v>
      </c>
      <c r="G60" s="276">
        <v>994</v>
      </c>
      <c r="H60" s="289">
        <v>580</v>
      </c>
      <c r="I60" s="291">
        <f t="shared" si="6"/>
        <v>58.35010060362173</v>
      </c>
      <c r="J60" s="296">
        <v>714</v>
      </c>
      <c r="K60" s="291">
        <f t="shared" si="7"/>
        <v>71.83098591549296</v>
      </c>
      <c r="L60" s="293">
        <f t="shared" si="10"/>
        <v>134</v>
      </c>
      <c r="M60" s="231">
        <f t="shared" si="9"/>
        <v>8568</v>
      </c>
      <c r="N60" s="294"/>
    </row>
    <row r="61" spans="1:14" ht="15.75">
      <c r="A61" s="175">
        <v>11</v>
      </c>
      <c r="B61" s="301" t="s">
        <v>369</v>
      </c>
      <c r="C61" s="289">
        <v>1</v>
      </c>
      <c r="D61" s="276" t="s">
        <v>361</v>
      </c>
      <c r="E61" s="274" t="s">
        <v>367</v>
      </c>
      <c r="F61" s="276">
        <v>9</v>
      </c>
      <c r="G61" s="276">
        <v>994</v>
      </c>
      <c r="H61" s="289">
        <v>660</v>
      </c>
      <c r="I61" s="291">
        <f t="shared" si="6"/>
        <v>66.39839034205231</v>
      </c>
      <c r="J61" s="296">
        <v>871</v>
      </c>
      <c r="K61" s="291">
        <f t="shared" si="7"/>
        <v>87.62575452716298</v>
      </c>
      <c r="L61" s="293">
        <f t="shared" si="10"/>
        <v>211</v>
      </c>
      <c r="M61" s="231">
        <f t="shared" si="9"/>
        <v>10452</v>
      </c>
      <c r="N61" s="294"/>
    </row>
    <row r="62" spans="1:14" ht="110.25">
      <c r="A62" s="274">
        <v>12</v>
      </c>
      <c r="B62" s="301" t="s">
        <v>369</v>
      </c>
      <c r="C62" s="289">
        <v>0.5</v>
      </c>
      <c r="D62" s="276" t="s">
        <v>361</v>
      </c>
      <c r="E62" s="274" t="s">
        <v>367</v>
      </c>
      <c r="F62" s="276">
        <v>9</v>
      </c>
      <c r="G62" s="276">
        <v>994</v>
      </c>
      <c r="H62" s="289">
        <v>330</v>
      </c>
      <c r="I62" s="302">
        <f>H62*100/G62</f>
        <v>33.199195171026155</v>
      </c>
      <c r="J62" s="296">
        <v>871</v>
      </c>
      <c r="K62" s="302">
        <f t="shared" si="7"/>
        <v>87.62575452716298</v>
      </c>
      <c r="L62" s="293">
        <f t="shared" si="10"/>
        <v>541</v>
      </c>
      <c r="M62" s="231">
        <f t="shared" si="9"/>
        <v>10452</v>
      </c>
      <c r="N62" s="303" t="s">
        <v>370</v>
      </c>
    </row>
    <row r="63" spans="1:14" ht="31.5">
      <c r="A63" s="175">
        <v>13</v>
      </c>
      <c r="B63" s="301" t="s">
        <v>371</v>
      </c>
      <c r="C63" s="289">
        <v>1</v>
      </c>
      <c r="D63" s="276" t="s">
        <v>361</v>
      </c>
      <c r="E63" s="274" t="s">
        <v>367</v>
      </c>
      <c r="F63" s="276">
        <v>9</v>
      </c>
      <c r="G63" s="276">
        <v>994</v>
      </c>
      <c r="H63" s="289">
        <v>591.6</v>
      </c>
      <c r="I63" s="291">
        <f t="shared" si="6"/>
        <v>59.517102615694164</v>
      </c>
      <c r="J63" s="296">
        <v>728</v>
      </c>
      <c r="K63" s="291">
        <f t="shared" si="7"/>
        <v>73.2394366197183</v>
      </c>
      <c r="L63" s="293">
        <f t="shared" si="10"/>
        <v>136.39999999999998</v>
      </c>
      <c r="M63" s="231">
        <f t="shared" si="9"/>
        <v>8736</v>
      </c>
      <c r="N63" s="294"/>
    </row>
    <row r="64" spans="1:14" ht="110.25">
      <c r="A64" s="274">
        <v>14</v>
      </c>
      <c r="B64" s="301" t="s">
        <v>372</v>
      </c>
      <c r="C64" s="289">
        <v>0.75</v>
      </c>
      <c r="D64" s="276" t="s">
        <v>361</v>
      </c>
      <c r="E64" s="274" t="s">
        <v>367</v>
      </c>
      <c r="F64" s="276">
        <v>9</v>
      </c>
      <c r="G64" s="276">
        <v>994</v>
      </c>
      <c r="H64" s="289">
        <v>435</v>
      </c>
      <c r="I64" s="302">
        <f t="shared" si="6"/>
        <v>43.7625754527163</v>
      </c>
      <c r="J64" s="296">
        <v>714</v>
      </c>
      <c r="K64" s="302">
        <f t="shared" si="7"/>
        <v>71.83098591549296</v>
      </c>
      <c r="L64" s="293">
        <f t="shared" si="10"/>
        <v>279</v>
      </c>
      <c r="M64" s="231">
        <f t="shared" si="9"/>
        <v>8568</v>
      </c>
      <c r="N64" s="303" t="s">
        <v>373</v>
      </c>
    </row>
    <row r="65" spans="1:14" ht="15.75">
      <c r="A65" s="175">
        <v>15</v>
      </c>
      <c r="B65" s="301" t="s">
        <v>374</v>
      </c>
      <c r="C65" s="289">
        <v>1</v>
      </c>
      <c r="D65" s="276" t="s">
        <v>361</v>
      </c>
      <c r="E65" s="274" t="s">
        <v>367</v>
      </c>
      <c r="F65" s="276">
        <v>9</v>
      </c>
      <c r="G65" s="276">
        <v>994</v>
      </c>
      <c r="H65" s="289">
        <v>580</v>
      </c>
      <c r="I65" s="291">
        <f t="shared" si="6"/>
        <v>58.35010060362173</v>
      </c>
      <c r="J65" s="296">
        <v>714</v>
      </c>
      <c r="K65" s="291">
        <f t="shared" si="7"/>
        <v>71.83098591549296</v>
      </c>
      <c r="L65" s="293">
        <f t="shared" si="10"/>
        <v>134</v>
      </c>
      <c r="M65" s="231">
        <f t="shared" si="9"/>
        <v>8568</v>
      </c>
      <c r="N65" s="294"/>
    </row>
    <row r="66" spans="1:14" ht="15.75">
      <c r="A66" s="175">
        <v>16</v>
      </c>
      <c r="B66" s="301" t="s">
        <v>375</v>
      </c>
      <c r="C66" s="289">
        <v>1</v>
      </c>
      <c r="D66" s="276">
        <v>13</v>
      </c>
      <c r="E66" s="274" t="s">
        <v>358</v>
      </c>
      <c r="F66" s="276">
        <v>7</v>
      </c>
      <c r="G66" s="276">
        <v>788</v>
      </c>
      <c r="H66" s="289">
        <v>550</v>
      </c>
      <c r="I66" s="291">
        <f t="shared" si="6"/>
        <v>69.79695431472081</v>
      </c>
      <c r="J66" s="296">
        <v>700</v>
      </c>
      <c r="K66" s="291">
        <f t="shared" si="7"/>
        <v>88.83248730964468</v>
      </c>
      <c r="L66" s="293">
        <f t="shared" si="10"/>
        <v>150</v>
      </c>
      <c r="M66" s="231">
        <f t="shared" si="9"/>
        <v>8400</v>
      </c>
      <c r="N66" s="294"/>
    </row>
    <row r="67" spans="1:14" ht="31.5">
      <c r="A67" s="175">
        <v>17</v>
      </c>
      <c r="B67" s="307" t="s">
        <v>376</v>
      </c>
      <c r="C67" s="289">
        <v>1</v>
      </c>
      <c r="D67" s="276">
        <v>13</v>
      </c>
      <c r="E67" s="274" t="s">
        <v>340</v>
      </c>
      <c r="F67" s="276">
        <v>5</v>
      </c>
      <c r="G67" s="276">
        <v>620</v>
      </c>
      <c r="H67" s="289">
        <v>530</v>
      </c>
      <c r="I67" s="291">
        <f t="shared" si="6"/>
        <v>85.48387096774194</v>
      </c>
      <c r="J67" s="304">
        <v>620</v>
      </c>
      <c r="K67" s="291">
        <f t="shared" si="7"/>
        <v>100</v>
      </c>
      <c r="L67" s="293">
        <f t="shared" si="10"/>
        <v>90</v>
      </c>
      <c r="M67" s="231">
        <f t="shared" si="9"/>
        <v>7440</v>
      </c>
      <c r="N67" s="294"/>
    </row>
    <row r="68" spans="1:14" ht="15.75">
      <c r="A68" s="175">
        <v>18</v>
      </c>
      <c r="B68" s="301" t="s">
        <v>377</v>
      </c>
      <c r="C68" s="289">
        <v>1</v>
      </c>
      <c r="D68" s="276">
        <v>41</v>
      </c>
      <c r="E68" s="274" t="s">
        <v>343</v>
      </c>
      <c r="F68" s="276">
        <v>7</v>
      </c>
      <c r="G68" s="276">
        <v>788</v>
      </c>
      <c r="H68" s="289">
        <v>530</v>
      </c>
      <c r="I68" s="291">
        <f t="shared" si="6"/>
        <v>67.25888324873097</v>
      </c>
      <c r="J68" s="296">
        <v>680</v>
      </c>
      <c r="K68" s="291">
        <f t="shared" si="7"/>
        <v>86.29441624365482</v>
      </c>
      <c r="L68" s="293">
        <f t="shared" si="10"/>
        <v>150</v>
      </c>
      <c r="M68" s="231">
        <f t="shared" si="9"/>
        <v>8160</v>
      </c>
      <c r="N68" s="294"/>
    </row>
    <row r="69" spans="1:14" ht="15.75">
      <c r="A69" s="175">
        <v>19</v>
      </c>
      <c r="B69" s="301" t="s">
        <v>377</v>
      </c>
      <c r="C69" s="289">
        <v>1</v>
      </c>
      <c r="D69" s="276">
        <v>41</v>
      </c>
      <c r="E69" s="274" t="s">
        <v>343</v>
      </c>
      <c r="F69" s="276">
        <v>7</v>
      </c>
      <c r="G69" s="276">
        <v>788</v>
      </c>
      <c r="H69" s="289">
        <v>540.6</v>
      </c>
      <c r="I69" s="291">
        <f t="shared" si="6"/>
        <v>68.60406091370558</v>
      </c>
      <c r="J69" s="296">
        <v>680</v>
      </c>
      <c r="K69" s="291">
        <f t="shared" si="7"/>
        <v>86.29441624365482</v>
      </c>
      <c r="L69" s="293">
        <f t="shared" si="10"/>
        <v>139.39999999999998</v>
      </c>
      <c r="M69" s="231">
        <f t="shared" si="9"/>
        <v>8160</v>
      </c>
      <c r="N69" s="294"/>
    </row>
    <row r="70" spans="1:14" ht="15.75">
      <c r="A70" s="175">
        <v>20</v>
      </c>
      <c r="B70" s="301" t="s">
        <v>377</v>
      </c>
      <c r="C70" s="289">
        <v>1</v>
      </c>
      <c r="D70" s="276">
        <v>41</v>
      </c>
      <c r="E70" s="274" t="s">
        <v>343</v>
      </c>
      <c r="F70" s="276">
        <v>7</v>
      </c>
      <c r="G70" s="276">
        <v>788</v>
      </c>
      <c r="H70" s="289">
        <v>540.6</v>
      </c>
      <c r="I70" s="291">
        <f t="shared" si="6"/>
        <v>68.60406091370558</v>
      </c>
      <c r="J70" s="296">
        <v>680</v>
      </c>
      <c r="K70" s="291">
        <f t="shared" si="7"/>
        <v>86.29441624365482</v>
      </c>
      <c r="L70" s="293">
        <f t="shared" si="10"/>
        <v>139.39999999999998</v>
      </c>
      <c r="M70" s="231">
        <f t="shared" si="9"/>
        <v>8160</v>
      </c>
      <c r="N70" s="294"/>
    </row>
    <row r="71" spans="1:14" ht="15.75">
      <c r="A71" s="175">
        <v>21</v>
      </c>
      <c r="B71" s="301" t="s">
        <v>378</v>
      </c>
      <c r="C71" s="289">
        <v>0.5</v>
      </c>
      <c r="D71" s="276"/>
      <c r="E71" s="274"/>
      <c r="F71" s="276"/>
      <c r="G71" s="276">
        <v>360</v>
      </c>
      <c r="H71" s="289">
        <v>180</v>
      </c>
      <c r="I71" s="291">
        <f t="shared" si="6"/>
        <v>50</v>
      </c>
      <c r="J71" s="296">
        <v>180</v>
      </c>
      <c r="K71" s="291">
        <f t="shared" si="7"/>
        <v>50</v>
      </c>
      <c r="L71" s="293">
        <f t="shared" si="10"/>
        <v>0</v>
      </c>
      <c r="M71" s="231">
        <f t="shared" si="9"/>
        <v>2160</v>
      </c>
      <c r="N71" s="294"/>
    </row>
    <row r="72" spans="1:14" ht="15.75">
      <c r="A72" s="444" t="s">
        <v>350</v>
      </c>
      <c r="B72" s="444"/>
      <c r="C72" s="281">
        <f>SUM(C51:C71)</f>
        <v>19.25</v>
      </c>
      <c r="D72" s="230" t="s">
        <v>112</v>
      </c>
      <c r="E72" s="230" t="s">
        <v>112</v>
      </c>
      <c r="F72" s="230" t="s">
        <v>112</v>
      </c>
      <c r="G72" s="240">
        <f aca="true" t="shared" si="11" ref="G72:M72">SUM(G51:G71)</f>
        <v>23757</v>
      </c>
      <c r="H72" s="240">
        <f t="shared" si="11"/>
        <v>12954.200000000003</v>
      </c>
      <c r="I72" s="240">
        <f t="shared" si="11"/>
        <v>1203.438724012693</v>
      </c>
      <c r="J72" s="240">
        <f t="shared" si="11"/>
        <v>16831</v>
      </c>
      <c r="K72" s="240">
        <f t="shared" si="11"/>
        <v>1561.866762417449</v>
      </c>
      <c r="L72" s="240">
        <f t="shared" si="11"/>
        <v>3876.8</v>
      </c>
      <c r="M72" s="240">
        <f t="shared" si="11"/>
        <v>201972</v>
      </c>
      <c r="N72" s="294"/>
    </row>
    <row r="73" spans="1:14" ht="15.75">
      <c r="A73" s="435" t="s">
        <v>351</v>
      </c>
      <c r="B73" s="436"/>
      <c r="C73" s="281" t="s">
        <v>112</v>
      </c>
      <c r="D73" s="281" t="s">
        <v>112</v>
      </c>
      <c r="E73" s="281" t="s">
        <v>112</v>
      </c>
      <c r="F73" s="281" t="s">
        <v>112</v>
      </c>
      <c r="G73" s="240">
        <f aca="true" t="shared" si="12" ref="G73:L73">G72/21</f>
        <v>1131.2857142857142</v>
      </c>
      <c r="H73" s="240">
        <f t="shared" si="12"/>
        <v>616.8666666666668</v>
      </c>
      <c r="I73" s="240">
        <f t="shared" si="12"/>
        <v>57.30660590536633</v>
      </c>
      <c r="J73" s="240">
        <f t="shared" si="12"/>
        <v>801.4761904761905</v>
      </c>
      <c r="K73" s="240">
        <f t="shared" si="12"/>
        <v>74.37460773416424</v>
      </c>
      <c r="L73" s="240">
        <f t="shared" si="12"/>
        <v>184.6095238095238</v>
      </c>
      <c r="M73" s="240" t="s">
        <v>112</v>
      </c>
      <c r="N73" s="294"/>
    </row>
    <row r="74" spans="1:13" ht="15.75">
      <c r="A74" s="282"/>
      <c r="B74" s="282"/>
      <c r="C74" s="283"/>
      <c r="D74" s="284"/>
      <c r="E74" s="284"/>
      <c r="F74" s="284"/>
      <c r="G74" s="284"/>
      <c r="H74" s="285"/>
      <c r="I74" s="285"/>
      <c r="J74" s="285"/>
      <c r="K74" s="285"/>
      <c r="L74" s="285"/>
      <c r="M74" s="285"/>
    </row>
    <row r="75" spans="8:9" ht="12.75">
      <c r="H75" s="305"/>
      <c r="I75" s="305"/>
    </row>
    <row r="76" spans="8:13" ht="15.75">
      <c r="H76" s="437" t="s">
        <v>352</v>
      </c>
      <c r="I76" s="437"/>
      <c r="J76" s="437"/>
      <c r="K76" s="437"/>
      <c r="L76" s="437"/>
      <c r="M76" s="231">
        <f>M72*23.59%</f>
        <v>47645.1948</v>
      </c>
    </row>
    <row r="77" spans="3:13" ht="15.75">
      <c r="C77" s="142"/>
      <c r="H77" s="437" t="s">
        <v>353</v>
      </c>
      <c r="I77" s="437"/>
      <c r="J77" s="437"/>
      <c r="K77" s="437"/>
      <c r="L77" s="437"/>
      <c r="M77" s="231">
        <f>M72+M76</f>
        <v>249617.1948</v>
      </c>
    </row>
    <row r="78" spans="5:13" ht="15.75">
      <c r="E78" s="306"/>
      <c r="H78" s="438" t="s">
        <v>354</v>
      </c>
      <c r="I78" s="439"/>
      <c r="J78" s="439"/>
      <c r="K78" s="439"/>
      <c r="L78" s="440"/>
      <c r="M78" s="231">
        <v>177665</v>
      </c>
    </row>
    <row r="79" spans="3:13" ht="15.75">
      <c r="C79" s="142"/>
      <c r="E79" s="306"/>
      <c r="H79" s="441" t="s">
        <v>355</v>
      </c>
      <c r="I79" s="441"/>
      <c r="J79" s="441"/>
      <c r="K79" s="441"/>
      <c r="L79" s="441"/>
      <c r="M79" s="234">
        <f>M77-M78</f>
        <v>71952.1948</v>
      </c>
    </row>
    <row r="80" spans="3:5" ht="12.75">
      <c r="C80" s="142"/>
      <c r="E80" s="306"/>
    </row>
    <row r="82" spans="1:3" ht="15.75">
      <c r="A82" s="41" t="s">
        <v>384</v>
      </c>
      <c r="B82" s="41"/>
      <c r="C82" s="41"/>
    </row>
    <row r="83" spans="1:3" ht="15.75">
      <c r="A83" s="41" t="s">
        <v>302</v>
      </c>
      <c r="B83" s="41"/>
      <c r="C83" s="41"/>
    </row>
    <row r="84" spans="1:3" ht="15.75">
      <c r="A84" s="41" t="s">
        <v>303</v>
      </c>
      <c r="B84" s="41"/>
      <c r="C84" s="41"/>
    </row>
  </sheetData>
  <sheetProtection/>
  <mergeCells count="41">
    <mergeCell ref="H79:L79"/>
    <mergeCell ref="N49:N50"/>
    <mergeCell ref="A72:B72"/>
    <mergeCell ref="A73:B73"/>
    <mergeCell ref="H76:L76"/>
    <mergeCell ref="H77:L77"/>
    <mergeCell ref="H78:L78"/>
    <mergeCell ref="H49:H50"/>
    <mergeCell ref="I49:I50"/>
    <mergeCell ref="J49:J50"/>
    <mergeCell ref="K49:K50"/>
    <mergeCell ref="L49:L50"/>
    <mergeCell ref="M49:M50"/>
    <mergeCell ref="A48:E48"/>
    <mergeCell ref="A49:A50"/>
    <mergeCell ref="B49:B50"/>
    <mergeCell ref="C49:C50"/>
    <mergeCell ref="D49:E49"/>
    <mergeCell ref="F49:G49"/>
    <mergeCell ref="A23:B23"/>
    <mergeCell ref="A24:B24"/>
    <mergeCell ref="H26:L26"/>
    <mergeCell ref="H27:L27"/>
    <mergeCell ref="H28:L28"/>
    <mergeCell ref="H29:L29"/>
    <mergeCell ref="H8:H9"/>
    <mergeCell ref="I8:I9"/>
    <mergeCell ref="J8:J9"/>
    <mergeCell ref="K8:K9"/>
    <mergeCell ref="L8:L9"/>
    <mergeCell ref="M8:M9"/>
    <mergeCell ref="L1:N1"/>
    <mergeCell ref="M2:N2"/>
    <mergeCell ref="J3:N3"/>
    <mergeCell ref="A5:L5"/>
    <mergeCell ref="A7:D7"/>
    <mergeCell ref="A8:A9"/>
    <mergeCell ref="B8:B9"/>
    <mergeCell ref="C8:C9"/>
    <mergeCell ref="D8:E8"/>
    <mergeCell ref="F8:G8"/>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&amp;CLMpielik_22_070815_LMZino</oddFooter>
  </headerFooter>
</worksheet>
</file>

<file path=xl/worksheets/sheet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N41" sqref="N4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papildus nepieciešamo finansējumu valsts nodrošināto tehnisko palīglīdzekļu pakalpojuma ieviešanā”</dc:title>
  <dc:subject/>
  <dc:creator>Lilita Cirule</dc:creator>
  <cp:keywords>Variants Nr.1, pielikumi no 14_19</cp:keywords>
  <dc:description/>
  <cp:lastModifiedBy>Lilita Cirule</cp:lastModifiedBy>
  <cp:lastPrinted>2015-08-07T10:35:56Z</cp:lastPrinted>
  <dcterms:created xsi:type="dcterms:W3CDTF">2014-03-24T11:34:13Z</dcterms:created>
  <dcterms:modified xsi:type="dcterms:W3CDTF">2015-08-07T10:36:03Z</dcterms:modified>
  <cp:category>tālr. 67021647, Lilita.Cirule@lm.gov.lv	, fax 67276445		</cp:category>
  <cp:version/>
  <cp:contentType/>
  <cp:contentStatus/>
</cp:coreProperties>
</file>