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200" windowHeight="7035" tabRatio="601" activeTab="0"/>
  </bookViews>
  <sheets>
    <sheet name="LMpielik_23_LMZino" sheetId="1" r:id="rId1"/>
    <sheet name="LMpielik_24_LMZino" sheetId="2" r:id="rId2"/>
    <sheet name="LMpielik_25_LMZino" sheetId="3" r:id="rId3"/>
    <sheet name="LMpielik_26_LMZino" sheetId="4" r:id="rId4"/>
    <sheet name="LMpielik_27_LMZino" sheetId="5" r:id="rId5"/>
    <sheet name="LMpielik_28_LMZino" sheetId="6" r:id="rId6"/>
    <sheet name="LMpielik_29_LMZino" sheetId="7" r:id="rId7"/>
    <sheet name="Sheet1" sheetId="8" r:id="rId8"/>
  </sheets>
  <externalReferences>
    <externalReference r:id="rId11"/>
    <externalReference r:id="rId12"/>
  </externalReferences>
  <definedNames>
    <definedName name="_xlnm.Print_Titles" localSheetId="1">'LMpielik_24_LMZino'!$7:$9</definedName>
    <definedName name="_xlnm.Print_Titles" localSheetId="2">'LMpielik_25_LMZino'!$7:$9</definedName>
    <definedName name="_xlnm.Print_Titles" localSheetId="3">'LMpielik_26_LMZino'!$7:$8</definedName>
    <definedName name="_xlnm.Print_Titles" localSheetId="4">'LMpielik_27_LMZino'!$7:$9</definedName>
  </definedNames>
  <calcPr fullCalcOnLoad="1"/>
</workbook>
</file>

<file path=xl/sharedStrings.xml><?xml version="1.0" encoding="utf-8"?>
<sst xmlns="http://schemas.openxmlformats.org/spreadsheetml/2006/main" count="1071" uniqueCount="338">
  <si>
    <t>Tualetes krēsli ar riteņiem</t>
  </si>
  <si>
    <t>Vannas dēļi</t>
  </si>
  <si>
    <t>Kvadripodi</t>
  </si>
  <si>
    <t>Spilveni izgulējumu profilaksei</t>
  </si>
  <si>
    <t>Tualetes krēsli bez riteņiem</t>
  </si>
  <si>
    <t>Paaugstināti atsevišķi stāvoši tualetes sēdekļi</t>
  </si>
  <si>
    <t>Vannas krēsli bērniem</t>
  </si>
  <si>
    <t>Staigāšanas rāmji bez riteņiem ar nekustīgu rāmi</t>
  </si>
  <si>
    <t>Rollatori ar 2 riteņiem bez sēdekļa</t>
  </si>
  <si>
    <t>Rollatori ar 2 riteņiem bez sēdekļa bērniem</t>
  </si>
  <si>
    <t>Rollatori ar 4 riteņiem bērniem</t>
  </si>
  <si>
    <t>Rollatori ar 4 riteņiem bērniem (ar virziena maiņu)</t>
  </si>
  <si>
    <t>Nr.p.k.</t>
  </si>
  <si>
    <t>Atbalsta rokturi, skrūvējami pie grīdas vai sienas, paceļamie rokturi</t>
  </si>
  <si>
    <t>Slīddēlis</t>
  </si>
  <si>
    <t>Palīglīdzekļi produktu griešanai, smalcināšanai, sadalīšanai</t>
  </si>
  <si>
    <t>Palīglīdzekļi zeķu un bikšu uzvilkšanai</t>
  </si>
  <si>
    <t>Tualetes/dušas krēsli</t>
  </si>
  <si>
    <t>Tualetes krēsli bērniem</t>
  </si>
  <si>
    <t>Paaugstināti tualetes sēdekļi (nepiestiprinātie)</t>
  </si>
  <si>
    <t>Piemontējami tualetes rokturi un atzveltnes taisnie</t>
  </si>
  <si>
    <t>Piemontējami tualetes rokturi un atzveltnes platleņķa</t>
  </si>
  <si>
    <t>Atsevišķi stāvoši tualetes rokturi un atzveltnes</t>
  </si>
  <si>
    <t>Dušas krēsli bez muguras balsta</t>
  </si>
  <si>
    <t>Dušas krēsli ar muguras balstu</t>
  </si>
  <si>
    <t>Dušas krēsli, stiprināmi pie sienas</t>
  </si>
  <si>
    <t>Vannas krēsli ar muguras balstu</t>
  </si>
  <si>
    <t>Vannas krēsli, pagriežami, ar muguras balstu</t>
  </si>
  <si>
    <t>Elkoņa atbalsta kruķi bērniem</t>
  </si>
  <si>
    <t>Paduses atbalsta kruķi (koka) bērniem</t>
  </si>
  <si>
    <t>Paduses atbalsta kruķi (alumīnija) bērniem</t>
  </si>
  <si>
    <t>Staigāšanas rāmji bez riteņiem ar kustīgu rāmi</t>
  </si>
  <si>
    <t>Rollatori ar 2 riteņiem ar sēdekli</t>
  </si>
  <si>
    <t>Rollatori ar 3 riteņiem</t>
  </si>
  <si>
    <t>Rolatori ar 4 riteņiem ar apakšdelma balstiem</t>
  </si>
  <si>
    <t>Pārvietošanās krēsli pieaugušajiem (meivolki)</t>
  </si>
  <si>
    <t>Pārvietošanās krēsli bērniem ar fiksācijas jostām</t>
  </si>
  <si>
    <t>Pārvietošanās krēsli bērniem ar fiksācijas riņķi</t>
  </si>
  <si>
    <t>Pārvietošanās krēsli bērniem (aktivitāšu)</t>
  </si>
  <si>
    <t>Pārvietošanās galdi bērniem</t>
  </si>
  <si>
    <t>Pārvietošanās galdi bērniem (daudzfunkcionālie)</t>
  </si>
  <si>
    <t>Pārvietošanās galdi pieaugušajiem</t>
  </si>
  <si>
    <t>Ar labo roku minami trīsriteņi</t>
  </si>
  <si>
    <t>Ar kreiso roku minami trīsriteņi</t>
  </si>
  <si>
    <t>Ar abām rokām minami trīsriteņi</t>
  </si>
  <si>
    <t>Ar abām rokām minami trīsriteņi, kuriem ir vairāki pārnesumi</t>
  </si>
  <si>
    <t>Bimanuālie riteņkrēsli ar sviras piedziņu</t>
  </si>
  <si>
    <t xml:space="preserve">Manuālie pavadoņa vadīti riteņkrēsli bērniem ar papildaprīkojumu (tiger): </t>
  </si>
  <si>
    <t>Manuālie pavadoņa vadīti riteņkrēsli bērniem (laivas)</t>
  </si>
  <si>
    <t>Manuāli pavadoņa vadīti riteņkrēsli bērniem ar pavadoņa darbināmām bremzēm (transit)</t>
  </si>
  <si>
    <t>Bimanuālie riteņkrēsli ar mugurējo piedziņu pieaugušajiem (bāzes modelis)</t>
  </si>
  <si>
    <t>Manuālie pavadoņa vadīti riteņkrēsli pieaugušajiem</t>
  </si>
  <si>
    <t>Bimanuālie riteņkrēsli ar mugurējo piedziņu pieaugušajiem (personām ar abu kāju amputāciju)</t>
  </si>
  <si>
    <t>Bimanuālie riteņkrēsli ar mugurējo piedziņu pieaugušajiem ar x veida rāmi (ar spilvenu, ar roku balstiem, ar pretapgāšanās riteņiem, ar pretslīdes stīpām)</t>
  </si>
  <si>
    <t>Bimanuālie riteņkrēsli ar mugurējo piedziņu pieaugušajiem ar nesalokāmu rāmi (ar roku balstiem, stumšanas rokturiem, ar pretapgāšanās riteņiem, ar pretslīdes stīpām, ar spilvenu, ar spieķu aizsargu)</t>
  </si>
  <si>
    <t>Bimanuālie riteņkrēsli ar mugurējo piedziņu pieaugušajiem ar nesalokāmu rāmi (ar roku balstiem, stumšanas rokturiem, ar pretapgāšanās riteņiem, ar dalītiem kāju balstiem, ar bremzi, ko darbina ar vienu roku, ar spilvenu)</t>
  </si>
  <si>
    <t>Bimanuālie riteņkrēsli ar mugurējo piedziņu pieaugušajiem (sportam)</t>
  </si>
  <si>
    <t>Bimanuālie vertikalizācijas riteņkrēsli ar mugurējo piedziņu</t>
  </si>
  <si>
    <t>Elektriskie riteņkrēsli ar rokas vadību</t>
  </si>
  <si>
    <t>Galda piederumi (dēlīši)</t>
  </si>
  <si>
    <t>Tualetes krēsli bez riteņiem ar lielu svara izturību</t>
  </si>
  <si>
    <t>Vannas krēsli ar piesūcekļiem (vannā iekšā liekami vannas krēsli)</t>
  </si>
  <si>
    <t>Manuālās satveršanas stangas</t>
  </si>
  <si>
    <t>Krūšu protēzes</t>
  </si>
  <si>
    <t>Modulārās apakšējās ekstremitātes protēzes</t>
  </si>
  <si>
    <t>Modulārās augšējās ekstremitātes protēzes</t>
  </si>
  <si>
    <t>Ādas stieņu protēzes</t>
  </si>
  <si>
    <t>Koka protēzes</t>
  </si>
  <si>
    <t>Protēzes</t>
  </si>
  <si>
    <t>Ortozes</t>
  </si>
  <si>
    <t>Ādas stieņa ortozes</t>
  </si>
  <si>
    <t>Mīkstās ortozes</t>
  </si>
  <si>
    <t>Cietās ortozes</t>
  </si>
  <si>
    <t>Apavi</t>
  </si>
  <si>
    <t>Individuāli izgatavojamie</t>
  </si>
  <si>
    <t>Rūpnieciski izgatavojamie</t>
  </si>
  <si>
    <t>Bimanuālie riteņkrēsli ar mugurējo piedziņu bērniem meira x2 līdz36.izm.</t>
  </si>
  <si>
    <t>Dušas krēsli ar muguras balstu ar palielinātu svara izturību</t>
  </si>
  <si>
    <t>Staigāšanas rāmji bez riteņiem ar nekustīgu rāmi (ar palielinātu svara izturību)</t>
  </si>
  <si>
    <t>Rollatori ar 4 riteņiem ar sēdekli</t>
  </si>
  <si>
    <t>Rollatori ar 4 riteņiem ar sēdekli (ar palielinātu svara izturību)</t>
  </si>
  <si>
    <t>Rollatori ar 4 riteņiem ar vieglāku svaru un sēdekli</t>
  </si>
  <si>
    <t>Manuālie pavadoņa vadīti riteņkrēsli pieaugušajiem (ar palielinātu svara izturību)</t>
  </si>
  <si>
    <t>Bimanuālie riteņkrēsli ar mugurējo piedziņu pieaugušajiem (bāzes modelis)(ar palielinātu svara izturību)</t>
  </si>
  <si>
    <t>Bimanuālie riteņkrēsli ar mugurējo piedziņu pieaugušajiem (personām ar abu kāju amputāciju) (ar palieliātu svara izturību)</t>
  </si>
  <si>
    <t>Elektriskie riteņkrēsli ar rokas vadību bērniem</t>
  </si>
  <si>
    <t>Elektriskie riteņkrēsli ar rokas vadību (ar palielinātu svara izturību)</t>
  </si>
  <si>
    <t>Piemontējami tualetes rokturi un atzveltnes taisnie ar palielinātu svara izturību</t>
  </si>
  <si>
    <t>Piemontējami tualetes rokturi un atzveltnes platleņķa ar palielinātu svara izturību</t>
  </si>
  <si>
    <t>Atbalsta rokturi, skrūvējami pie grīdas vai sienas, paceļamie rokturi ar palielinātu svara izturību</t>
  </si>
  <si>
    <t>Kvadripodi ar palielinātu svara izturību</t>
  </si>
  <si>
    <t xml:space="preserve">Manuālie pavadoņa vadīti riteņkrēsli bērniem (ar maināmu muguras leņķi)  </t>
  </si>
  <si>
    <t xml:space="preserve">Bimanuālie riteņkrēsli ar mugurējo piedziņu pieaugušajiem ar x veida rāmi (ar spilvenu, ar sānu-roku balstiem, ar pretapgāšanās riteņiem) </t>
  </si>
  <si>
    <t>Bimanuālie riteņkrēsli ar mugurējo piedziņu pieaugušajiem ar x veida rāmi (ar spilvenu, ar sānu-roku balstiem, ar pretapgāšanās riteņiem) (ar palielinātu svara izturību)</t>
  </si>
  <si>
    <t>Bimanuālie riteņkrēsli ar mugurējo piedziņu pieaugušajiem ar nesalokāmu rāmi (ar roku balstiem, stumšanas rokturiem, ar pretapgāšanās riteņiem, ar spilvenu)</t>
  </si>
  <si>
    <t>Bimanuālie riteņkrēsli ar mugurējo piedziņu pieaugušajiem ar nesalokāmu rāmi (ar roku balstiem, stumšanas rokturiem, ar pretapgāšanās riteņiem, ar spilvenu) (ar palielinātu svara izturību)</t>
  </si>
  <si>
    <t xml:space="preserve">Bimanuālie riteņkrēsli ar mugurējo piedziņu pieaugušajiem, ar polsterētu muguras balstu un sēdvirsmu, kuri ir regulējami noteiktā leņķī </t>
  </si>
  <si>
    <t>Bimanuālie riteņkrēsli ar mugurējo piedziņu bērniem (ar nesalokāmo rāmi)</t>
  </si>
  <si>
    <t xml:space="preserve">Bimanuālie riteņkrēsli ar mugurējo piedziņu bērniem (ar polsterētu sēdvirsmu, muguras balstu, kas regulējams leņķos) </t>
  </si>
  <si>
    <t xml:space="preserve">No vienas puses vadāmi riteņkrēsli bez piedziņas. Riteņkrēsli, kurus vada ar vienu roku </t>
  </si>
  <si>
    <t>Ar akumulatoru darbināmi pārvietošanās tehniskie palīglīdzekļi (skuteri) cilvēkiem ar kustības traucējumiem.</t>
  </si>
  <si>
    <t xml:space="preserve">Tehniskā palīglīdzekļa nosaukums </t>
  </si>
  <si>
    <t xml:space="preserve"> Pašaprūpes tehniskie palīglīdzekļi. </t>
  </si>
  <si>
    <t>Pārvietošanās tehniskie palīglīdzekļi</t>
  </si>
  <si>
    <t>Pakāpe Nr.1</t>
  </si>
  <si>
    <t>Pakāpe Nr.3</t>
  </si>
  <si>
    <t>Pakāpe Nr.2*</t>
  </si>
  <si>
    <t>Individuāli izgatavotie tehniskie palīglīdzekļi</t>
  </si>
  <si>
    <t>Rūpnieciski izgatavoti tehniskie palīglīdzekļi</t>
  </si>
  <si>
    <t>Pakāpe Nr.1*</t>
  </si>
  <si>
    <t xml:space="preserve"> Iedalījums pēc svarīguma principa</t>
  </si>
  <si>
    <t>Pakāpe Nr. 3</t>
  </si>
  <si>
    <t>X</t>
  </si>
  <si>
    <t>No vienas puses vadāmi riteņkrēsli bez piedziņas. Riteņkrēsli, kurus vada ar vienu roku (ar palielinātu svara izturību)</t>
  </si>
  <si>
    <t>N.P.K.</t>
  </si>
  <si>
    <t>Tehniskā palīglīdzekļa nosaukums</t>
  </si>
  <si>
    <t>Rindas nosaukums</t>
  </si>
  <si>
    <t>Atbalsta rokturi</t>
  </si>
  <si>
    <t>Bērnu pašaprūpes palīglīdzekļi</t>
  </si>
  <si>
    <t xml:space="preserve">Dušas krēsli </t>
  </si>
  <si>
    <t>Paceļami atbalsta rokturi</t>
  </si>
  <si>
    <t xml:space="preserve">Pretizgulējuma spilveni </t>
  </si>
  <si>
    <t>Satveršanas stangas</t>
  </si>
  <si>
    <t>Vannas dēlis</t>
  </si>
  <si>
    <t>Vannas krēsli ar atzveltni</t>
  </si>
  <si>
    <t>Virtuves piederumi</t>
  </si>
  <si>
    <t>WC paaugstinājums</t>
  </si>
  <si>
    <t>Zeķu uzvilcējs</t>
  </si>
  <si>
    <t xml:space="preserve">Bimanuālie riteņkrēsli ar abu kāju amputāciju </t>
  </si>
  <si>
    <t>Bimanuālie riteņkrēsli (aktīvie)</t>
  </si>
  <si>
    <t>Bērnu riteņkrēsli</t>
  </si>
  <si>
    <t>Elektriskie riteņkrēsli</t>
  </si>
  <si>
    <t xml:space="preserve">Kvadripodi </t>
  </si>
  <si>
    <t>Rollatori</t>
  </si>
  <si>
    <t>Staigāšanas rāmji</t>
  </si>
  <si>
    <t>Ar rokām minami riteņkrēsli (velo)</t>
  </si>
  <si>
    <t>Bimanuālie riteņkrēsli (bāzes modelis)</t>
  </si>
  <si>
    <t>Aktivitāšu krēsli bērniem</t>
  </si>
  <si>
    <t>Komforta rati</t>
  </si>
  <si>
    <t>Vertikalizācijas riteņkrēsli</t>
  </si>
  <si>
    <t>Manuālie pavadoņu vadīti riteņkrēsli (stumjamie)</t>
  </si>
  <si>
    <t>Pārvietošanās galds</t>
  </si>
  <si>
    <t>Bērnu vertikalizātors</t>
  </si>
  <si>
    <t>Bērnu pārvietošanās palīgierīces</t>
  </si>
  <si>
    <t>Bērnu atbalsta kruķi</t>
  </si>
  <si>
    <t>Slīddēļi</t>
  </si>
  <si>
    <t xml:space="preserve">Rokas </t>
  </si>
  <si>
    <t xml:space="preserve">No vienas puses vadāmi riteņkrēsli  </t>
  </si>
  <si>
    <t>papildus nepieciešamais finansējums             (- nepietiek;             + paliek pāri)</t>
  </si>
  <si>
    <t>bāzē apstirpinātais finansējums TP iegādei</t>
  </si>
  <si>
    <t>Atlikums noliktavā uz 01.01.16.</t>
  </si>
  <si>
    <t>plānotā rinda uz 01.01.2016.</t>
  </si>
  <si>
    <t xml:space="preserve">Rindas prognoze uz 01.01.2017. </t>
  </si>
  <si>
    <t>2016.gadā</t>
  </si>
  <si>
    <t>Apkalpoto personu skaits</t>
  </si>
  <si>
    <t>Iepirkto TP skaits</t>
  </si>
  <si>
    <t>Izsniegto TP skaits</t>
  </si>
  <si>
    <t>Tualetes/dušas krēsli ar palielinātu svara izturību</t>
  </si>
  <si>
    <t>Vannas dēļi ar palielinātu svara izturību</t>
  </si>
  <si>
    <t>Komunikācijas tehniskie palīglīdzekļi</t>
  </si>
  <si>
    <t>Daudzlīmeņu runas iekārta (iTalk2 with Levels)</t>
  </si>
  <si>
    <t>LEX komunikātors (LEX Communication Aid)</t>
  </si>
  <si>
    <t>Runas dēļi</t>
  </si>
  <si>
    <t>Runas dēlis ar 9 izvēles iespējām (GoTalk 9+)</t>
  </si>
  <si>
    <t>Klaviatūras kommunicator (Keyboard Communicator)</t>
  </si>
  <si>
    <t>Augstlīmeņa komunikātors 128 (Smart/128)</t>
  </si>
  <si>
    <t>Programmējamais komunikātors 8Plus (Tech/Scan 8 Plus)</t>
  </si>
  <si>
    <r>
      <t xml:space="preserve">Četru aktivizātoru spoguļkomunikātors (Four Message Talking Mirror) </t>
    </r>
    <r>
      <rPr>
        <i/>
        <u val="single"/>
        <sz val="12"/>
        <rFont val="Times New Roman"/>
        <family val="1"/>
      </rPr>
      <t>Supertalker</t>
    </r>
  </si>
  <si>
    <t>Signālpogas</t>
  </si>
  <si>
    <t>Kabatas komunikātori</t>
  </si>
  <si>
    <t>Multifunkcionāls komunikātors ar dokumentu transportēšanas iespēju (Allora 2)</t>
  </si>
  <si>
    <t>Telefoni</t>
  </si>
  <si>
    <t>Trauksmes poga+telefons (Geemarc Ampli 600 Emergency Response Telephone)</t>
  </si>
  <si>
    <t>Sadzīvē izmantojamās komunikācijas iekārtas</t>
  </si>
  <si>
    <t>Vienas rokas klaviatūra (Single-Handed Keyboard)</t>
  </si>
  <si>
    <t>Vertikalizēta datorpele (VertcalMouse 4 Right/Left)</t>
  </si>
  <si>
    <t>Bez rokām vadāmas datorpeles (No Hands Mouse)</t>
  </si>
  <si>
    <r>
      <t xml:space="preserve">Komunikātors ar apgaismojamiem izvēles logiem (Communicator for the VI ) </t>
    </r>
    <r>
      <rPr>
        <i/>
        <u val="single"/>
        <sz val="12"/>
        <rFont val="Times New Roman"/>
        <family val="1"/>
      </rPr>
      <t>Go Talk Express 32</t>
    </r>
  </si>
  <si>
    <t>CPAP (Continuous positive airway pressure, nepārtraukts pozitīvs spiediens elpceļos)</t>
  </si>
  <si>
    <t>APAP (Automatic positive airway pressure, automātisks pozitīvs spiediens elpceļos)</t>
  </si>
  <si>
    <t xml:space="preserve">Elektriskās funkcionālās  gultas </t>
  </si>
  <si>
    <t>Pretizgulējuma matrači</t>
  </si>
  <si>
    <t xml:space="preserve">Elpošanas tehniskie palīglīdzekļi </t>
  </si>
  <si>
    <t>14=5+6-7</t>
  </si>
  <si>
    <t>Noliktavas atlikums</t>
  </si>
  <si>
    <t>Gultas/matrači</t>
  </si>
  <si>
    <t>PVN likme %</t>
  </si>
  <si>
    <t>Cena bez PVN euro</t>
  </si>
  <si>
    <t>PVN euro</t>
  </si>
  <si>
    <t>PVN ieņēmumi valsts budžetā</t>
  </si>
  <si>
    <t>15=4+8-9</t>
  </si>
  <si>
    <t>17=10/1.12</t>
  </si>
  <si>
    <t>18=10-17</t>
  </si>
  <si>
    <t>19=8*18</t>
  </si>
  <si>
    <t>TP iegādes izmaksas kopā</t>
  </si>
  <si>
    <t>Pakalpojuma nodrošināšanas izmaksas</t>
  </si>
  <si>
    <t>Administrēšanas izmaksas</t>
  </si>
  <si>
    <t>Izmaksas kopā</t>
  </si>
  <si>
    <t>2017.gadā</t>
  </si>
  <si>
    <t>Atlikums noliktavā uz 01.01.17.</t>
  </si>
  <si>
    <t>plānotā rinda uz 01.01.2017.</t>
  </si>
  <si>
    <t xml:space="preserve">Rindas prognoze uz 01.01.2018. </t>
  </si>
  <si>
    <t>Variants Nr.2</t>
  </si>
  <si>
    <t>VSIA „Nacionālais rehabilitācijas centrs „Vaivari”” / bāzes  finansējuma aprēķins tehniskajiem palīglīdzekļiem  2016.gadam, ja netiek piešķirts papildus finansējums</t>
  </si>
  <si>
    <t>VSIA „Nacionālais rehabilitācijas centrs „Vaivari”” / bāzes  finansējuma aprēķins tehniskajiem palīglīdzekļiem  2017.gadam un turpmākajiem gadiem, ja netiek piešķirts papildus finansējums</t>
  </si>
  <si>
    <t>Noliktavas atlikumi uz 01.01.2016.</t>
  </si>
  <si>
    <t>Rindas prognoze uz 01.01.2017.</t>
  </si>
  <si>
    <t>Noliktavas atlikumi uz 31.12.2016.</t>
  </si>
  <si>
    <t xml:space="preserve">plānotā            rinda uz 01.01.2016. </t>
  </si>
  <si>
    <t xml:space="preserve">kopējais personu skaits, kas iestāsies rindā </t>
  </si>
  <si>
    <t>iepirktie        TP</t>
  </si>
  <si>
    <t>iepirktie        TP no TP vienreizē jām iemaksām</t>
  </si>
  <si>
    <t>izsniegtie              TP</t>
  </si>
  <si>
    <t>nepieciešamais finansējums no TP vienreizējām iemaksām</t>
  </si>
  <si>
    <t>nepieciešamais finansējums no valsts budžeta</t>
  </si>
  <si>
    <t xml:space="preserve">bāzes finansējums </t>
  </si>
  <si>
    <t>papildus nepieciešamais finansējums</t>
  </si>
  <si>
    <t>6=5*12 mēn.</t>
  </si>
  <si>
    <t>11=8*10</t>
  </si>
  <si>
    <t>12=7*10</t>
  </si>
  <si>
    <t>15=4+6-9</t>
  </si>
  <si>
    <t>18=10/1.12</t>
  </si>
  <si>
    <t>19=10-18</t>
  </si>
  <si>
    <t>20=19*7</t>
  </si>
  <si>
    <t>Acu protēzes*</t>
  </si>
  <si>
    <t>Tiflotehnika</t>
  </si>
  <si>
    <t>TP neredzīgām un vājredzīgām personām ar blakus saslimšanām</t>
  </si>
  <si>
    <t>Asinsspiediena mērītāji ar runas funkciju</t>
  </si>
  <si>
    <t>Glikometri ar runas funkciju</t>
  </si>
  <si>
    <t>Ķermeņa termometri ar runas funkciju, termometri klimatisko apstākļu mērīšanai ar runas funkciju</t>
  </si>
  <si>
    <t>Svari ar runas funkciju (ķermeņa)</t>
  </si>
  <si>
    <t>Gaismas (absorbcijas) filtri</t>
  </si>
  <si>
    <t xml:space="preserve">TP neredzīgām personām </t>
  </si>
  <si>
    <t>Taktilie (baltie) spieķi, nesalokāmi</t>
  </si>
  <si>
    <t>Taktilie (baltie) spieķi, salokāmi</t>
  </si>
  <si>
    <t>Laikrāži</t>
  </si>
  <si>
    <t>Atskaņotāji</t>
  </si>
  <si>
    <t>Specializētās palīgprogrammas mobilajiem tālruņiem, kas tekstu palielina vai pārvērš skaņā</t>
  </si>
  <si>
    <t>Šķidruma līmeņa noteicēji ar runas funkciju</t>
  </si>
  <si>
    <t>Krāsu noteicēji ar runas funkciju</t>
  </si>
  <si>
    <t>Pārtikas svari</t>
  </si>
  <si>
    <t>Diega ieveramie</t>
  </si>
  <si>
    <t>TP neredzīgām un vājredzīgām personām, kuras iesaistās nodarbinātībā vai izglītībā</t>
  </si>
  <si>
    <t>Palielināmie stikli ar iebūvētu gaismas avotu</t>
  </si>
  <si>
    <t>Palielināmie stikli bez gaismas avota</t>
  </si>
  <si>
    <t>Elektroniski palielinošie palīglīdzekļi</t>
  </si>
  <si>
    <t>Alternatīvās ievadierīces</t>
  </si>
  <si>
    <t>Specializētās datorprogrammas redzes invalīdiem, kas tekstu palielina un (vai) pārvērš skaņā vai Braila rakstā</t>
  </si>
  <si>
    <t>Ieraksta ierīces (diktofoni)</t>
  </si>
  <si>
    <t>Braila raksta rāmji (komplektā grifele), Braila rakstāmmašīnas</t>
  </si>
  <si>
    <t>Datorpeles ar palielinājuma funkciju</t>
  </si>
  <si>
    <t>Pildspalvas ar runas funkciju teksta nolasīšanai no speciālām uzlīmēm (komplektā pildspalva un uzlīmes teksta nolasīšanai)</t>
  </si>
  <si>
    <t>Acenēs iemontēti monekulārie vai binokulārie teleskopi (teleskopiskās brilles)</t>
  </si>
  <si>
    <t>Optiskie palīglīdzekļi, acenēs iemontēti binokulārie teleskopi (binokulārās brilles)</t>
  </si>
  <si>
    <t>KOPĀ</t>
  </si>
  <si>
    <t>Jaunie TP kopā</t>
  </si>
  <si>
    <t>Vecie TP kopā</t>
  </si>
  <si>
    <t>Administrēšanas izdevumi</t>
  </si>
  <si>
    <t>Izdevumi kopā</t>
  </si>
  <si>
    <t>Noliktavas atlikumi uz 01.01.2017.</t>
  </si>
  <si>
    <t>Rindas prognoze uz 01.01.2018.</t>
  </si>
  <si>
    <t>Noliktavas atlikumi uz 31.12.2017.</t>
  </si>
  <si>
    <t xml:space="preserve">plānotā            rinda uz 01.01.2017. </t>
  </si>
  <si>
    <t>Latvijas Neredzīgo biedrība / bāzes  finansējuma aprēķins tehniskajiem palīglīdzekļiem  2017.gadam un turpmākajiem gadiem, ja netiek piešķirts papildus finansējums</t>
  </si>
  <si>
    <t>Latvijas Neredzīgo biedrība /  bāzes  finansējuma aprēķins tehniskajiem palīglīdzekļiem  2016.gadam, ja netiek piešķirts papildus finansējums</t>
  </si>
  <si>
    <t>personu skaits, kas iestāsies rindā 2016.gadā</t>
  </si>
  <si>
    <t>iepirktie /izsniegtie TP</t>
  </si>
  <si>
    <t>nepieciešamais finansējums</t>
  </si>
  <si>
    <t>5=4*12</t>
  </si>
  <si>
    <t>8=6*7</t>
  </si>
  <si>
    <t>10=9-8</t>
  </si>
  <si>
    <t>11=3+5-6</t>
  </si>
  <si>
    <t>13=7/1.12</t>
  </si>
  <si>
    <t>14=7-13</t>
  </si>
  <si>
    <t>15=6*14</t>
  </si>
  <si>
    <t>Dzirdes aparāti</t>
  </si>
  <si>
    <t>Dzirdes aparāti pieaugušajiem</t>
  </si>
  <si>
    <t>Dzirdes aparāti bērniem ar                   1-5 vājdzirdības pakāpi</t>
  </si>
  <si>
    <t>Dzirdes palīglīdzeklis (komunikators)</t>
  </si>
  <si>
    <t>Surdotehnika</t>
  </si>
  <si>
    <t>Digitālā vizuālās saziņas ierīce</t>
  </si>
  <si>
    <t>FM radiofrekvenču pārraides sistēma (raidītājs/uztvērējs)</t>
  </si>
  <si>
    <r>
      <t xml:space="preserve">Skaņas indikators ar gaismas signālu </t>
    </r>
    <r>
      <rPr>
        <i/>
        <sz val="12"/>
        <color indexed="8"/>
        <rFont val="Times New Roman"/>
        <family val="1"/>
      </rPr>
      <t>(pašreizējais nosaukums - gaismas indikators</t>
    </r>
    <r>
      <rPr>
        <sz val="12"/>
        <color indexed="8"/>
        <rFont val="Times New Roman"/>
        <family val="1"/>
      </rPr>
      <t>)</t>
    </r>
  </si>
  <si>
    <t xml:space="preserve">Skaņas indikators ar mehānisko signālu </t>
  </si>
  <si>
    <t xml:space="preserve">Laikrādis ar vibrozvanu </t>
  </si>
  <si>
    <t>Telefons ar pastiprinātāju</t>
  </si>
  <si>
    <t>Savienotājvienība radio un televīzijas uztvērējiem (TV cilpa)</t>
  </si>
  <si>
    <t>personu skaits, kas iestāsies rindā 2017.gadā</t>
  </si>
  <si>
    <t>Latvijas Nedzirdīgo savienība / bāzes  finansējuma aprēķins tehniskajiem palīglīdzekļiem  2016.gadam, ja netiek piešķirts papildus finansējums</t>
  </si>
  <si>
    <t>Latvijas Nedzirdīgo savienība /bāzes  finansējuma aprēķins tehniskajiem palīglīdzekļiem  2017.gadam un turpmākajiem gadiem, ja netiek piešķirts papildus finansējums</t>
  </si>
  <si>
    <t>2016.gada</t>
  </si>
  <si>
    <t>2017.gada</t>
  </si>
  <si>
    <t>2018.gada</t>
  </si>
  <si>
    <t>Paskaidrojums</t>
  </si>
  <si>
    <t>izsniegto tehnisko palīglīdzekļu skaits</t>
  </si>
  <si>
    <t>iepirktie tehniskie palīglīdzekļi, skaits</t>
  </si>
  <si>
    <t>Tehnisko palīglīdzekļu nodrošināšana</t>
  </si>
  <si>
    <t>Latvijas Nedzirdīgo savienība</t>
  </si>
  <si>
    <t xml:space="preserve">Administrēšanas izmaksas </t>
  </si>
  <si>
    <t>LNS izmaksas kopā</t>
  </si>
  <si>
    <t>Latvijas Neredzīgo biedrība</t>
  </si>
  <si>
    <t xml:space="preserve">TP iegādes izmaksas </t>
  </si>
  <si>
    <t>LNB izmaksas kopā</t>
  </si>
  <si>
    <t>VSIA "Nacionālā rehabilitācijas centra "Vaivari""</t>
  </si>
  <si>
    <t>Vaivaru izmaksas kopā</t>
  </si>
  <si>
    <t>TP iegādes izmaksas</t>
  </si>
  <si>
    <t>finansējums euro</t>
  </si>
  <si>
    <t>rinda uz 01.01.2016.</t>
  </si>
  <si>
    <t>rinda uz 01.01.2017.</t>
  </si>
  <si>
    <t>rinda uz 01.01.2018.</t>
  </si>
  <si>
    <t>Organizācijas nosaukums/ izmaksu nosaukums</t>
  </si>
  <si>
    <t>25.pielikums</t>
  </si>
  <si>
    <t>26.pielikums</t>
  </si>
  <si>
    <t>Finansējuma un rezultatīvo rādītāju kopsavilkums tehnisko palīglīdzekļu nodrošināšanā, ja netiek piešķirts papildus finansējums</t>
  </si>
  <si>
    <t>Labklājības ministrs</t>
  </si>
  <si>
    <t>U.Augulis</t>
  </si>
  <si>
    <t>L.Cīrule, 67021647, Lilita.Cirule@lm.gov.lv</t>
  </si>
  <si>
    <t>Fakss: 67276445</t>
  </si>
  <si>
    <t>Konceptuālais ziņojums</t>
  </si>
  <si>
    <t>L.Cīrule, 67021647, Lilita.Cirule@lm.gov.lv, Fakss: 67276445</t>
  </si>
  <si>
    <t>„Par papildus nepieciešamo finansējumu valsts nodrošināto tehnisko palīglīdzekļu pakalpojuma ieviešanā”</t>
  </si>
  <si>
    <t>23.pielikums</t>
  </si>
  <si>
    <t>24.pielikums</t>
  </si>
  <si>
    <t>personu skaits, kas iestāsies rindā 2016.gadā (              16.pielikums                   9 kolonna)</t>
  </si>
  <si>
    <t xml:space="preserve">TP cena (17.pielikums 11 kolonna) </t>
  </si>
  <si>
    <t xml:space="preserve">personu skaits, kas vidēji mēnesī iestājas rindā ( 5.pielikuma 8 kolonna) </t>
  </si>
  <si>
    <t>TP cena  ar PVN                  (6.pielikuma 5 kolonna)</t>
  </si>
  <si>
    <t xml:space="preserve">personu skaits, kas vidēji mēnesī iestājas rindā                      (10.pielikuma 8 kolonna) </t>
  </si>
  <si>
    <t>TP cena                   (11.pielikuma 5 kolonna)</t>
  </si>
  <si>
    <t xml:space="preserve">personu skaits, kas vidēji mēnesī iestājas rindā ( 5.pielikuma                8 kolonna) </t>
  </si>
  <si>
    <t>27.pielikums</t>
  </si>
  <si>
    <t>28.pielikums</t>
  </si>
  <si>
    <t>29.pielikums</t>
  </si>
  <si>
    <t>Aprēķini 23.pielikumā</t>
  </si>
  <si>
    <t>Aprēķini no 24. līdz 25.pielikumam</t>
  </si>
  <si>
    <t>Aprēķini no 26. līdz 27.pielikumam</t>
  </si>
  <si>
    <t>Aprēķini no 28. līdz 29.pielikumam</t>
  </si>
  <si>
    <t>07.08.2015. 9:32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</si>
</sst>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_-* #,##0.0_-;\-* #,##0.0_-;_-* &quot;-&quot;??_-;_-@_-"/>
    <numFmt numFmtId="190" formatCode="#,##0.000"/>
    <numFmt numFmtId="191" formatCode="#,##0.0000"/>
    <numFmt numFmtId="192" formatCode="0.0%"/>
    <numFmt numFmtId="193" formatCode="[$-426]dddd\,\ yyyy&quot;. gada &quot;d\.\ mmm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3" fontId="20" fillId="4" borderId="10" xfId="0" applyNumberFormat="1" applyFont="1" applyFill="1" applyBorder="1" applyAlignment="1">
      <alignment horizontal="center" vertical="center" wrapText="1"/>
    </xf>
    <xf numFmtId="4" fontId="20" fillId="4" borderId="1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3" fontId="22" fillId="0" borderId="10" xfId="42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3" fontId="22" fillId="0" borderId="10" xfId="4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43" fontId="22" fillId="25" borderId="10" xfId="42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3" fontId="22" fillId="25" borderId="10" xfId="42" applyFont="1" applyFill="1" applyBorder="1" applyAlignment="1">
      <alignment horizontal="center" vertical="center"/>
    </xf>
    <xf numFmtId="3" fontId="23" fillId="4" borderId="10" xfId="0" applyNumberFormat="1" applyFont="1" applyFill="1" applyBorder="1" applyAlignment="1">
      <alignment horizontal="center" vertical="center"/>
    </xf>
    <xf numFmtId="3" fontId="23" fillId="4" borderId="10" xfId="0" applyNumberFormat="1" applyFont="1" applyFill="1" applyBorder="1" applyAlignment="1">
      <alignment horizontal="center"/>
    </xf>
    <xf numFmtId="4" fontId="23" fillId="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wrapText="1"/>
    </xf>
    <xf numFmtId="43" fontId="22" fillId="24" borderId="10" xfId="42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/>
    </xf>
    <xf numFmtId="3" fontId="22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 horizontal="center" vertical="center"/>
    </xf>
    <xf numFmtId="3" fontId="23" fillId="26" borderId="10" xfId="0" applyNumberFormat="1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top" wrapText="1"/>
    </xf>
    <xf numFmtId="4" fontId="23" fillId="24" borderId="10" xfId="0" applyNumberFormat="1" applyFont="1" applyFill="1" applyBorder="1" applyAlignment="1">
      <alignment horizontal="center"/>
    </xf>
    <xf numFmtId="4" fontId="23" fillId="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left" vertical="center" wrapText="1"/>
    </xf>
    <xf numFmtId="0" fontId="22" fillId="27" borderId="11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4" fontId="23" fillId="28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0" xfId="42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53" applyFont="1" applyBorder="1" applyAlignment="1" applyProtection="1">
      <alignment horizontal="justify" vertical="center" wrapText="1"/>
      <protection/>
    </xf>
    <xf numFmtId="0" fontId="22" fillId="0" borderId="10" xfId="0" applyFont="1" applyBorder="1" applyAlignment="1">
      <alignment horizontal="justify" vertical="center" wrapText="1"/>
    </xf>
    <xf numFmtId="0" fontId="22" fillId="27" borderId="10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3" fontId="22" fillId="27" borderId="10" xfId="0" applyNumberFormat="1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wrapText="1"/>
    </xf>
    <xf numFmtId="0" fontId="22" fillId="29" borderId="10" xfId="0" applyFont="1" applyFill="1" applyBorder="1" applyAlignment="1">
      <alignment horizontal="center" wrapText="1"/>
    </xf>
    <xf numFmtId="0" fontId="22" fillId="29" borderId="10" xfId="0" applyFont="1" applyFill="1" applyBorder="1" applyAlignment="1">
      <alignment horizontal="center" vertical="center" wrapText="1"/>
    </xf>
    <xf numFmtId="3" fontId="23" fillId="29" borderId="10" xfId="0" applyNumberFormat="1" applyFont="1" applyFill="1" applyBorder="1" applyAlignment="1">
      <alignment horizontal="center" vertical="center"/>
    </xf>
    <xf numFmtId="4" fontId="23" fillId="29" borderId="10" xfId="0" applyNumberFormat="1" applyFont="1" applyFill="1" applyBorder="1" applyAlignment="1">
      <alignment horizontal="center" vertical="center"/>
    </xf>
    <xf numFmtId="1" fontId="23" fillId="29" borderId="10" xfId="0" applyNumberFormat="1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wrapText="1"/>
    </xf>
    <xf numFmtId="2" fontId="23" fillId="28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center"/>
    </xf>
    <xf numFmtId="4" fontId="23" fillId="27" borderId="10" xfId="0" applyNumberFormat="1" applyFont="1" applyFill="1" applyBorder="1" applyAlignment="1">
      <alignment horizontal="center"/>
    </xf>
    <xf numFmtId="0" fontId="23" fillId="27" borderId="13" xfId="0" applyFont="1" applyFill="1" applyBorder="1" applyAlignment="1">
      <alignment vertical="center"/>
    </xf>
    <xf numFmtId="0" fontId="23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/>
    </xf>
    <xf numFmtId="0" fontId="23" fillId="27" borderId="13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43" fontId="22" fillId="27" borderId="10" xfId="42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/>
    </xf>
    <xf numFmtId="4" fontId="22" fillId="27" borderId="10" xfId="0" applyNumberFormat="1" applyFont="1" applyFill="1" applyBorder="1" applyAlignment="1">
      <alignment horizontal="center" vertical="center"/>
    </xf>
    <xf numFmtId="4" fontId="22" fillId="27" borderId="12" xfId="0" applyNumberFormat="1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vertical="center"/>
    </xf>
    <xf numFmtId="3" fontId="22" fillId="28" borderId="10" xfId="0" applyNumberFormat="1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vertical="center"/>
    </xf>
    <xf numFmtId="1" fontId="22" fillId="27" borderId="10" xfId="0" applyNumberFormat="1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0" fillId="27" borderId="0" xfId="0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27" borderId="0" xfId="0" applyFont="1" applyFill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27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2" fillId="27" borderId="10" xfId="0" applyFont="1" applyFill="1" applyBorder="1" applyAlignment="1">
      <alignment horizontal="center"/>
    </xf>
    <xf numFmtId="0" fontId="32" fillId="27" borderId="10" xfId="0" applyFont="1" applyFill="1" applyBorder="1" applyAlignment="1">
      <alignment vertical="center" wrapText="1"/>
    </xf>
    <xf numFmtId="0" fontId="32" fillId="27" borderId="10" xfId="0" applyFont="1" applyFill="1" applyBorder="1" applyAlignment="1">
      <alignment/>
    </xf>
    <xf numFmtId="1" fontId="32" fillId="27" borderId="10" xfId="0" applyNumberFormat="1" applyFont="1" applyFill="1" applyBorder="1" applyAlignment="1">
      <alignment/>
    </xf>
    <xf numFmtId="4" fontId="32" fillId="27" borderId="10" xfId="0" applyNumberFormat="1" applyFont="1" applyFill="1" applyBorder="1" applyAlignment="1">
      <alignment horizontal="center"/>
    </xf>
    <xf numFmtId="1" fontId="32" fillId="27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/>
    </xf>
    <xf numFmtId="2" fontId="32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 wrapText="1"/>
    </xf>
    <xf numFmtId="4" fontId="31" fillId="27" borderId="10" xfId="0" applyNumberFormat="1" applyFont="1" applyFill="1" applyBorder="1" applyAlignment="1">
      <alignment horizontal="center"/>
    </xf>
    <xf numFmtId="4" fontId="31" fillId="27" borderId="1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1" fontId="32" fillId="30" borderId="12" xfId="0" applyNumberFormat="1" applyFont="1" applyFill="1" applyBorder="1" applyAlignment="1">
      <alignment horizontal="center" wrapText="1"/>
    </xf>
    <xf numFmtId="2" fontId="32" fillId="30" borderId="12" xfId="0" applyNumberFormat="1" applyFont="1" applyFill="1" applyBorder="1" applyAlignment="1">
      <alignment horizontal="center" wrapText="1"/>
    </xf>
    <xf numFmtId="4" fontId="32" fillId="30" borderId="12" xfId="0" applyNumberFormat="1" applyFont="1" applyFill="1" applyBorder="1" applyAlignment="1">
      <alignment horizontal="center" wrapText="1"/>
    </xf>
    <xf numFmtId="1" fontId="32" fillId="30" borderId="10" xfId="0" applyNumberFormat="1" applyFont="1" applyFill="1" applyBorder="1" applyAlignment="1">
      <alignment horizontal="center"/>
    </xf>
    <xf numFmtId="0" fontId="31" fillId="30" borderId="1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7" borderId="10" xfId="0" applyFont="1" applyFill="1" applyBorder="1" applyAlignment="1">
      <alignment/>
    </xf>
    <xf numFmtId="1" fontId="31" fillId="27" borderId="10" xfId="0" applyNumberFormat="1" applyFont="1" applyFill="1" applyBorder="1" applyAlignment="1">
      <alignment/>
    </xf>
    <xf numFmtId="1" fontId="31" fillId="27" borderId="10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center"/>
    </xf>
    <xf numFmtId="0" fontId="33" fillId="28" borderId="10" xfId="0" applyFont="1" applyFill="1" applyBorder="1" applyAlignment="1">
      <alignment vertical="center" wrapText="1"/>
    </xf>
    <xf numFmtId="1" fontId="33" fillId="27" borderId="10" xfId="0" applyNumberFormat="1" applyFont="1" applyFill="1" applyBorder="1" applyAlignment="1">
      <alignment/>
    </xf>
    <xf numFmtId="1" fontId="34" fillId="27" borderId="10" xfId="0" applyNumberFormat="1" applyFont="1" applyFill="1" applyBorder="1" applyAlignment="1">
      <alignment/>
    </xf>
    <xf numFmtId="2" fontId="32" fillId="30" borderId="10" xfId="0" applyNumberFormat="1" applyFont="1" applyFill="1" applyBorder="1" applyAlignment="1">
      <alignment horizontal="center"/>
    </xf>
    <xf numFmtId="4" fontId="32" fillId="30" borderId="10" xfId="0" applyNumberFormat="1" applyFont="1" applyFill="1" applyBorder="1" applyAlignment="1">
      <alignment horizontal="center"/>
    </xf>
    <xf numFmtId="2" fontId="31" fillId="30" borderId="10" xfId="0" applyNumberFormat="1" applyFont="1" applyFill="1" applyBorder="1" applyAlignment="1">
      <alignment/>
    </xf>
    <xf numFmtId="1" fontId="31" fillId="27" borderId="10" xfId="0" applyNumberFormat="1" applyFont="1" applyFill="1" applyBorder="1" applyAlignment="1">
      <alignment horizontal="right"/>
    </xf>
    <xf numFmtId="0" fontId="31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3" fillId="28" borderId="13" xfId="0" applyFont="1" applyFill="1" applyBorder="1" applyAlignment="1">
      <alignment vertical="center" wrapText="1"/>
    </xf>
    <xf numFmtId="1" fontId="34" fillId="27" borderId="10" xfId="0" applyNumberFormat="1" applyFont="1" applyFill="1" applyBorder="1" applyAlignment="1">
      <alignment horizontal="right"/>
    </xf>
    <xf numFmtId="0" fontId="31" fillId="0" borderId="13" xfId="0" applyFont="1" applyBorder="1" applyAlignment="1">
      <alignment vertical="center" wrapText="1"/>
    </xf>
    <xf numFmtId="0" fontId="31" fillId="27" borderId="13" xfId="0" applyFont="1" applyFill="1" applyBorder="1" applyAlignment="1">
      <alignment vertical="center" wrapText="1"/>
    </xf>
    <xf numFmtId="0" fontId="32" fillId="27" borderId="13" xfId="0" applyFont="1" applyFill="1" applyBorder="1" applyAlignment="1">
      <alignment horizontal="right" vertical="center" wrapText="1"/>
    </xf>
    <xf numFmtId="3" fontId="32" fillId="27" borderId="10" xfId="0" applyNumberFormat="1" applyFont="1" applyFill="1" applyBorder="1" applyAlignment="1">
      <alignment horizontal="center"/>
    </xf>
    <xf numFmtId="4" fontId="32" fillId="27" borderId="12" xfId="0" applyNumberFormat="1" applyFont="1" applyFill="1" applyBorder="1" applyAlignment="1">
      <alignment horizontal="center"/>
    </xf>
    <xf numFmtId="0" fontId="33" fillId="28" borderId="10" xfId="0" applyFont="1" applyFill="1" applyBorder="1" applyAlignment="1">
      <alignment horizontal="right" wrapText="1"/>
    </xf>
    <xf numFmtId="0" fontId="33" fillId="27" borderId="10" xfId="0" applyFont="1" applyFill="1" applyBorder="1" applyAlignment="1">
      <alignment horizontal="center"/>
    </xf>
    <xf numFmtId="1" fontId="33" fillId="27" borderId="10" xfId="0" applyNumberFormat="1" applyFont="1" applyFill="1" applyBorder="1" applyAlignment="1">
      <alignment horizontal="center"/>
    </xf>
    <xf numFmtId="3" fontId="33" fillId="27" borderId="10" xfId="0" applyNumberFormat="1" applyFont="1" applyFill="1" applyBorder="1" applyAlignment="1">
      <alignment horizontal="center"/>
    </xf>
    <xf numFmtId="4" fontId="33" fillId="27" borderId="10" xfId="0" applyNumberFormat="1" applyFont="1" applyFill="1" applyBorder="1" applyAlignment="1">
      <alignment horizontal="center"/>
    </xf>
    <xf numFmtId="0" fontId="31" fillId="27" borderId="10" xfId="0" applyFont="1" applyFill="1" applyBorder="1" applyAlignment="1">
      <alignment horizontal="right" wrapText="1"/>
    </xf>
    <xf numFmtId="0" fontId="31" fillId="27" borderId="10" xfId="0" applyFont="1" applyFill="1" applyBorder="1" applyAlignment="1">
      <alignment horizontal="center"/>
    </xf>
    <xf numFmtId="3" fontId="31" fillId="27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27" borderId="10" xfId="0" applyFont="1" applyFill="1" applyBorder="1" applyAlignment="1">
      <alignment horizontal="right" wrapText="1"/>
    </xf>
    <xf numFmtId="0" fontId="32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27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1" fillId="28" borderId="10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6" xfId="0" applyFont="1" applyFill="1" applyBorder="1" applyAlignment="1">
      <alignment/>
    </xf>
    <xf numFmtId="3" fontId="32" fillId="27" borderId="10" xfId="0" applyNumberFormat="1" applyFont="1" applyFill="1" applyBorder="1" applyAlignment="1">
      <alignment horizontal="center" wrapText="1"/>
    </xf>
    <xf numFmtId="3" fontId="32" fillId="0" borderId="10" xfId="0" applyNumberFormat="1" applyFont="1" applyFill="1" applyBorder="1" applyAlignment="1">
      <alignment horizontal="center" wrapText="1"/>
    </xf>
    <xf numFmtId="4" fontId="32" fillId="27" borderId="10" xfId="0" applyNumberFormat="1" applyFont="1" applyFill="1" applyBorder="1" applyAlignment="1">
      <alignment horizontal="center" wrapText="1"/>
    </xf>
    <xf numFmtId="0" fontId="31" fillId="27" borderId="10" xfId="0" applyFont="1" applyFill="1" applyBorder="1" applyAlignment="1">
      <alignment vertical="top"/>
    </xf>
    <xf numFmtId="0" fontId="22" fillId="27" borderId="10" xfId="0" applyFont="1" applyFill="1" applyBorder="1" applyAlignment="1">
      <alignment vertical="top" wrapText="1"/>
    </xf>
    <xf numFmtId="3" fontId="31" fillId="27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2" fontId="22" fillId="27" borderId="10" xfId="0" applyNumberFormat="1" applyFont="1" applyFill="1" applyBorder="1" applyAlignment="1">
      <alignment/>
    </xf>
    <xf numFmtId="4" fontId="31" fillId="27" borderId="10" xfId="0" applyNumberFormat="1" applyFont="1" applyFill="1" applyBorder="1" applyAlignment="1">
      <alignment/>
    </xf>
    <xf numFmtId="0" fontId="33" fillId="28" borderId="10" xfId="0" applyFont="1" applyFill="1" applyBorder="1" applyAlignment="1">
      <alignment vertical="top"/>
    </xf>
    <xf numFmtId="0" fontId="25" fillId="28" borderId="10" xfId="0" applyFont="1" applyFill="1" applyBorder="1" applyAlignment="1">
      <alignment wrapText="1"/>
    </xf>
    <xf numFmtId="0" fontId="33" fillId="27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2" fontId="25" fillId="27" borderId="10" xfId="0" applyNumberFormat="1" applyFont="1" applyFill="1" applyBorder="1" applyAlignment="1">
      <alignment/>
    </xf>
    <xf numFmtId="4" fontId="33" fillId="27" borderId="10" xfId="0" applyNumberFormat="1" applyFont="1" applyFill="1" applyBorder="1" applyAlignment="1">
      <alignment/>
    </xf>
    <xf numFmtId="0" fontId="33" fillId="28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/>
    </xf>
    <xf numFmtId="0" fontId="23" fillId="27" borderId="10" xfId="0" applyFont="1" applyFill="1" applyBorder="1" applyAlignment="1">
      <alignment horizontal="center"/>
    </xf>
    <xf numFmtId="4" fontId="32" fillId="27" borderId="10" xfId="0" applyNumberFormat="1" applyFont="1" applyFill="1" applyBorder="1" applyAlignment="1">
      <alignment/>
    </xf>
    <xf numFmtId="0" fontId="31" fillId="27" borderId="10" xfId="0" applyFont="1" applyFill="1" applyBorder="1" applyAlignment="1">
      <alignment vertical="top" wrapText="1"/>
    </xf>
    <xf numFmtId="3" fontId="22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3" fontId="33" fillId="27" borderId="10" xfId="0" applyNumberFormat="1" applyFont="1" applyFill="1" applyBorder="1" applyAlignment="1">
      <alignment/>
    </xf>
    <xf numFmtId="0" fontId="31" fillId="0" borderId="17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 horizontal="left" wrapText="1"/>
    </xf>
    <xf numFmtId="3" fontId="31" fillId="0" borderId="13" xfId="0" applyNumberFormat="1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0" xfId="0" applyFont="1" applyBorder="1" applyAlignment="1">
      <alignment horizontal="left" wrapText="1"/>
    </xf>
    <xf numFmtId="4" fontId="31" fillId="0" borderId="15" xfId="0" applyNumberFormat="1" applyFont="1" applyBorder="1" applyAlignment="1">
      <alignment horizontal="center"/>
    </xf>
    <xf numFmtId="4" fontId="31" fillId="0" borderId="21" xfId="0" applyNumberFormat="1" applyFont="1" applyBorder="1" applyAlignment="1">
      <alignment horizontal="center"/>
    </xf>
    <xf numFmtId="0" fontId="32" fillId="0" borderId="22" xfId="0" applyFont="1" applyFill="1" applyBorder="1" applyAlignment="1">
      <alignment horizontal="right" wrapText="1"/>
    </xf>
    <xf numFmtId="4" fontId="32" fillId="0" borderId="23" xfId="0" applyNumberFormat="1" applyFont="1" applyBorder="1" applyAlignment="1">
      <alignment horizontal="center"/>
    </xf>
    <xf numFmtId="3" fontId="32" fillId="0" borderId="23" xfId="0" applyNumberFormat="1" applyFont="1" applyBorder="1" applyAlignment="1">
      <alignment horizontal="center"/>
    </xf>
    <xf numFmtId="3" fontId="32" fillId="0" borderId="24" xfId="0" applyNumberFormat="1" applyFont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3" fontId="31" fillId="0" borderId="12" xfId="0" applyNumberFormat="1" applyFont="1" applyBorder="1" applyAlignment="1">
      <alignment horizontal="center"/>
    </xf>
    <xf numFmtId="4" fontId="31" fillId="0" borderId="12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3" fontId="31" fillId="0" borderId="26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center"/>
    </xf>
    <xf numFmtId="3" fontId="32" fillId="0" borderId="26" xfId="0" applyNumberFormat="1" applyFont="1" applyBorder="1" applyAlignment="1">
      <alignment horizontal="center"/>
    </xf>
    <xf numFmtId="3" fontId="31" fillId="0" borderId="17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 horizontal="center"/>
    </xf>
    <xf numFmtId="0" fontId="32" fillId="0" borderId="22" xfId="0" applyFont="1" applyBorder="1" applyAlignment="1">
      <alignment horizontal="right" wrapText="1"/>
    </xf>
    <xf numFmtId="3" fontId="32" fillId="0" borderId="27" xfId="0" applyNumberFormat="1" applyFont="1" applyBorder="1" applyAlignment="1">
      <alignment horizontal="center"/>
    </xf>
    <xf numFmtId="0" fontId="31" fillId="0" borderId="28" xfId="0" applyFont="1" applyBorder="1" applyAlignment="1">
      <alignment horizontal="left" wrapText="1"/>
    </xf>
    <xf numFmtId="4" fontId="31" fillId="0" borderId="26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center"/>
    </xf>
    <xf numFmtId="0" fontId="31" fillId="0" borderId="29" xfId="0" applyFont="1" applyBorder="1" applyAlignment="1">
      <alignment/>
    </xf>
    <xf numFmtId="0" fontId="31" fillId="27" borderId="18" xfId="0" applyFont="1" applyFill="1" applyBorder="1" applyAlignment="1">
      <alignment/>
    </xf>
    <xf numFmtId="0" fontId="31" fillId="0" borderId="0" xfId="0" applyFont="1" applyAlignment="1">
      <alignment wrapText="1"/>
    </xf>
    <xf numFmtId="0" fontId="32" fillId="0" borderId="28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1" fillId="27" borderId="30" xfId="0" applyFont="1" applyFill="1" applyBorder="1" applyAlignment="1">
      <alignment horizontal="center" wrapText="1"/>
    </xf>
    <xf numFmtId="0" fontId="31" fillId="27" borderId="31" xfId="0" applyFont="1" applyFill="1" applyBorder="1" applyAlignment="1">
      <alignment horizontal="center" wrapText="1"/>
    </xf>
    <xf numFmtId="0" fontId="31" fillId="27" borderId="32" xfId="0" applyFont="1" applyFill="1" applyBorder="1" applyAlignment="1">
      <alignment horizontal="center" wrapText="1"/>
    </xf>
    <xf numFmtId="0" fontId="31" fillId="0" borderId="33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31" fillId="0" borderId="34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0" fontId="23" fillId="4" borderId="10" xfId="0" applyFont="1" applyFill="1" applyBorder="1" applyAlignment="1">
      <alignment horizontal="center"/>
    </xf>
    <xf numFmtId="43" fontId="22" fillId="27" borderId="10" xfId="42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3" fillId="28" borderId="13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center" vertical="center" wrapText="1"/>
    </xf>
    <xf numFmtId="1" fontId="22" fillId="27" borderId="15" xfId="0" applyNumberFormat="1" applyFont="1" applyFill="1" applyBorder="1" applyAlignment="1">
      <alignment horizontal="center" vertical="center"/>
    </xf>
    <xf numFmtId="1" fontId="22" fillId="27" borderId="38" xfId="0" applyNumberFormat="1" applyFont="1" applyFill="1" applyBorder="1" applyAlignment="1">
      <alignment horizontal="center" vertical="center"/>
    </xf>
    <xf numFmtId="1" fontId="22" fillId="27" borderId="12" xfId="0" applyNumberFormat="1" applyFont="1" applyFill="1" applyBorder="1" applyAlignment="1">
      <alignment horizontal="center" vertical="center"/>
    </xf>
    <xf numFmtId="4" fontId="22" fillId="27" borderId="10" xfId="0" applyNumberFormat="1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4" fontId="22" fillId="27" borderId="15" xfId="0" applyNumberFormat="1" applyFont="1" applyFill="1" applyBorder="1" applyAlignment="1">
      <alignment horizontal="center" vertical="center"/>
    </xf>
    <xf numFmtId="4" fontId="22" fillId="27" borderId="38" xfId="0" applyNumberFormat="1" applyFont="1" applyFill="1" applyBorder="1" applyAlignment="1">
      <alignment horizontal="center" vertical="center"/>
    </xf>
    <xf numFmtId="4" fontId="22" fillId="27" borderId="12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28" borderId="10" xfId="0" applyFont="1" applyFill="1" applyBorder="1" applyAlignment="1">
      <alignment horizontal="center"/>
    </xf>
    <xf numFmtId="43" fontId="22" fillId="25" borderId="10" xfId="42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3" fontId="22" fillId="0" borderId="10" xfId="42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31" fillId="0" borderId="10" xfId="57" applyFont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43" fontId="23" fillId="4" borderId="10" xfId="42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43" fontId="22" fillId="0" borderId="10" xfId="42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4" fontId="32" fillId="27" borderId="15" xfId="0" applyNumberFormat="1" applyFont="1" applyFill="1" applyBorder="1" applyAlignment="1">
      <alignment horizontal="center"/>
    </xf>
    <xf numFmtId="4" fontId="32" fillId="27" borderId="38" xfId="0" applyNumberFormat="1" applyFont="1" applyFill="1" applyBorder="1" applyAlignment="1">
      <alignment horizontal="center"/>
    </xf>
    <xf numFmtId="4" fontId="32" fillId="27" borderId="12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30" borderId="14" xfId="0" applyFont="1" applyFill="1" applyBorder="1" applyAlignment="1">
      <alignment horizontal="left" wrapText="1"/>
    </xf>
    <xf numFmtId="0" fontId="32" fillId="30" borderId="11" xfId="0" applyFont="1" applyFill="1" applyBorder="1" applyAlignment="1">
      <alignment horizontal="left" wrapText="1"/>
    </xf>
    <xf numFmtId="0" fontId="32" fillId="30" borderId="13" xfId="0" applyFont="1" applyFill="1" applyBorder="1" applyAlignment="1">
      <alignment horizontal="left" vertical="center" wrapText="1"/>
    </xf>
    <xf numFmtId="0" fontId="32" fillId="30" borderId="11" xfId="0" applyFont="1" applyFill="1" applyBorder="1" applyAlignment="1">
      <alignment horizontal="left" vertical="center" wrapText="1"/>
    </xf>
    <xf numFmtId="0" fontId="32" fillId="27" borderId="13" xfId="0" applyFont="1" applyFill="1" applyBorder="1" applyAlignment="1">
      <alignment horizontal="right" wrapText="1"/>
    </xf>
    <xf numFmtId="0" fontId="32" fillId="27" borderId="11" xfId="0" applyFont="1" applyFill="1" applyBorder="1" applyAlignment="1">
      <alignment horizontal="right" wrapText="1"/>
    </xf>
    <xf numFmtId="4" fontId="32" fillId="27" borderId="15" xfId="0" applyNumberFormat="1" applyFont="1" applyFill="1" applyBorder="1" applyAlignment="1">
      <alignment horizontal="center" wrapText="1"/>
    </xf>
    <xf numFmtId="4" fontId="32" fillId="27" borderId="38" xfId="0" applyNumberFormat="1" applyFont="1" applyFill="1" applyBorder="1" applyAlignment="1">
      <alignment horizontal="center" wrapText="1"/>
    </xf>
    <xf numFmtId="4" fontId="32" fillId="27" borderId="12" xfId="0" applyNumberFormat="1" applyFont="1" applyFill="1" applyBorder="1" applyAlignment="1">
      <alignment horizontal="center" wrapText="1"/>
    </xf>
    <xf numFmtId="3" fontId="32" fillId="27" borderId="15" xfId="0" applyNumberFormat="1" applyFont="1" applyFill="1" applyBorder="1" applyAlignment="1">
      <alignment horizontal="center" wrapText="1"/>
    </xf>
    <xf numFmtId="3" fontId="32" fillId="27" borderId="38" xfId="0" applyNumberFormat="1" applyFont="1" applyFill="1" applyBorder="1" applyAlignment="1">
      <alignment horizontal="center" wrapText="1"/>
    </xf>
    <xf numFmtId="3" fontId="32" fillId="27" borderId="12" xfId="0" applyNumberFormat="1" applyFont="1" applyFill="1" applyBorder="1" applyAlignment="1">
      <alignment horizontal="center" wrapText="1"/>
    </xf>
    <xf numFmtId="0" fontId="32" fillId="27" borderId="13" xfId="0" applyFont="1" applyFill="1" applyBorder="1" applyAlignment="1">
      <alignment horizontal="center" vertical="top" wrapText="1"/>
    </xf>
    <xf numFmtId="0" fontId="32" fillId="27" borderId="11" xfId="0" applyFont="1" applyFill="1" applyBorder="1" applyAlignment="1">
      <alignment horizontal="center" vertical="top" wrapText="1"/>
    </xf>
    <xf numFmtId="2" fontId="31" fillId="0" borderId="10" xfId="0" applyNumberFormat="1" applyFont="1" applyBorder="1" applyAlignment="1">
      <alignment horizontal="center" wrapText="1"/>
    </xf>
    <xf numFmtId="0" fontId="31" fillId="27" borderId="13" xfId="0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0" fontId="31" fillId="27" borderId="11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m.local\LM\LMHomeFolders\LilitaC\2015_gads\DZ_TPL_Ineta\Info_zi&#326;ojums\Aprekini_vari_1_fin\Info_zin_TPL_LNB_pielik_22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m.local\LM\LMHomeFolders\LilitaC\2015_gads\DZ_TPL_Ineta\Info_zi&#326;ojums\Aprekini_vari_1_fin\Info_zin_TPL_LNS_pielik_2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lik_2_TP_2016"/>
      <sheetName val="Pielik_3_TP_2017"/>
      <sheetName val="Pielik_4_RINDAS"/>
      <sheetName val="Pielik_5_Cenas"/>
    </sheetNames>
    <sheetDataSet>
      <sheetData sheetId="0">
        <row r="8">
          <cell r="O8">
            <v>283</v>
          </cell>
        </row>
        <row r="11">
          <cell r="O11">
            <v>198</v>
          </cell>
          <cell r="P11">
            <v>0</v>
          </cell>
        </row>
        <row r="12">
          <cell r="O12">
            <v>350</v>
          </cell>
          <cell r="P12">
            <v>0</v>
          </cell>
        </row>
        <row r="13">
          <cell r="O13">
            <v>511</v>
          </cell>
          <cell r="P13">
            <v>0</v>
          </cell>
        </row>
        <row r="14">
          <cell r="O14">
            <v>368</v>
          </cell>
          <cell r="P14">
            <v>0</v>
          </cell>
        </row>
        <row r="15">
          <cell r="O15">
            <v>214</v>
          </cell>
          <cell r="P15">
            <v>0</v>
          </cell>
        </row>
        <row r="17">
          <cell r="O17">
            <v>52</v>
          </cell>
          <cell r="P17">
            <v>0</v>
          </cell>
        </row>
        <row r="18">
          <cell r="O18">
            <v>42</v>
          </cell>
          <cell r="P18">
            <v>0</v>
          </cell>
        </row>
        <row r="19">
          <cell r="O19">
            <v>631</v>
          </cell>
          <cell r="P19">
            <v>0</v>
          </cell>
        </row>
        <row r="20">
          <cell r="O20">
            <v>1040</v>
          </cell>
          <cell r="P20">
            <v>0</v>
          </cell>
        </row>
        <row r="21">
          <cell r="O21">
            <v>47</v>
          </cell>
          <cell r="P21">
            <v>0</v>
          </cell>
        </row>
        <row r="22">
          <cell r="O22">
            <v>190</v>
          </cell>
          <cell r="P22">
            <v>0</v>
          </cell>
        </row>
        <row r="23">
          <cell r="O23">
            <v>144</v>
          </cell>
          <cell r="P23">
            <v>0</v>
          </cell>
        </row>
        <row r="24">
          <cell r="O24">
            <v>93</v>
          </cell>
          <cell r="P24">
            <v>0</v>
          </cell>
        </row>
        <row r="25">
          <cell r="O25">
            <v>242</v>
          </cell>
          <cell r="P25">
            <v>0</v>
          </cell>
        </row>
        <row r="27">
          <cell r="O27">
            <v>57</v>
          </cell>
          <cell r="P27">
            <v>0</v>
          </cell>
        </row>
        <row r="28">
          <cell r="O28">
            <v>1</v>
          </cell>
          <cell r="P28">
            <v>0</v>
          </cell>
        </row>
        <row r="29">
          <cell r="O29">
            <v>250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0</v>
          </cell>
          <cell r="P31">
            <v>26</v>
          </cell>
        </row>
        <row r="32">
          <cell r="O32">
            <v>108</v>
          </cell>
          <cell r="P32">
            <v>0</v>
          </cell>
        </row>
        <row r="33">
          <cell r="O33">
            <v>54</v>
          </cell>
          <cell r="P33">
            <v>0</v>
          </cell>
        </row>
        <row r="34">
          <cell r="O34">
            <v>38</v>
          </cell>
          <cell r="P34">
            <v>0</v>
          </cell>
        </row>
        <row r="35">
          <cell r="O35">
            <v>179</v>
          </cell>
          <cell r="P35">
            <v>0</v>
          </cell>
        </row>
        <row r="36">
          <cell r="O36">
            <v>24</v>
          </cell>
          <cell r="P36">
            <v>0</v>
          </cell>
        </row>
        <row r="37">
          <cell r="O37">
            <v>0</v>
          </cell>
          <cell r="P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li_7_TP_Baze_2016"/>
      <sheetName val="Pielik_8_TP_2017"/>
      <sheetName val="Pielik_9_RINDAS"/>
      <sheetName val="Pielik_10_CENAS"/>
    </sheetNames>
    <sheetDataSet>
      <sheetData sheetId="0">
        <row r="9">
          <cell r="K9">
            <v>1752</v>
          </cell>
        </row>
        <row r="10">
          <cell r="K10">
            <v>0</v>
          </cell>
        </row>
        <row r="11">
          <cell r="K11">
            <v>10</v>
          </cell>
        </row>
        <row r="13">
          <cell r="K13">
            <v>844</v>
          </cell>
        </row>
        <row r="14">
          <cell r="K14">
            <v>98</v>
          </cell>
        </row>
        <row r="15">
          <cell r="K15">
            <v>56</v>
          </cell>
        </row>
        <row r="16">
          <cell r="K16">
            <v>311</v>
          </cell>
        </row>
        <row r="17">
          <cell r="K17">
            <v>251</v>
          </cell>
        </row>
        <row r="18">
          <cell r="K18">
            <v>17</v>
          </cell>
        </row>
        <row r="19">
          <cell r="K19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9">
      <selection activeCell="A37" sqref="A37"/>
    </sheetView>
  </sheetViews>
  <sheetFormatPr defaultColWidth="9.140625" defaultRowHeight="12.75"/>
  <cols>
    <col min="1" max="1" width="18.00390625" style="0" customWidth="1"/>
    <col min="2" max="4" width="14.8515625" style="0" customWidth="1"/>
    <col min="5" max="5" width="12.28125" style="0" customWidth="1"/>
    <col min="6" max="7" width="14.421875" style="0" customWidth="1"/>
    <col min="8" max="9" width="12.28125" style="0" customWidth="1"/>
    <col min="10" max="11" width="14.421875" style="0" customWidth="1"/>
    <col min="12" max="12" width="12.57421875" style="0" customWidth="1"/>
    <col min="13" max="13" width="12.8515625" style="0" customWidth="1"/>
    <col min="14" max="14" width="16.8515625" style="0" customWidth="1"/>
  </cols>
  <sheetData>
    <row r="1" spans="13:14" ht="15.75">
      <c r="M1" s="254" t="s">
        <v>321</v>
      </c>
      <c r="N1" s="254"/>
    </row>
    <row r="2" spans="13:16" ht="15.75">
      <c r="M2" s="261" t="s">
        <v>318</v>
      </c>
      <c r="N2" s="261"/>
      <c r="O2" s="107"/>
      <c r="P2" s="107"/>
    </row>
    <row r="3" spans="10:16" ht="37.5" customHeight="1">
      <c r="J3" s="262" t="s">
        <v>320</v>
      </c>
      <c r="K3" s="262"/>
      <c r="L3" s="262"/>
      <c r="M3" s="262"/>
      <c r="N3" s="262"/>
      <c r="O3" s="244"/>
      <c r="P3" s="244"/>
    </row>
    <row r="4" spans="6:12" ht="18.75">
      <c r="F4" s="90" t="s">
        <v>202</v>
      </c>
      <c r="G4" s="90"/>
      <c r="H4" s="90"/>
      <c r="I4" s="90"/>
      <c r="J4" s="90"/>
      <c r="K4" s="90"/>
      <c r="L4" s="90"/>
    </row>
    <row r="5" spans="1:13" ht="18.75">
      <c r="A5" s="255" t="s">
        <v>313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6.5" thickBo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4" ht="15.75">
      <c r="A7" s="256" t="s">
        <v>310</v>
      </c>
      <c r="B7" s="258" t="s">
        <v>290</v>
      </c>
      <c r="C7" s="258"/>
      <c r="D7" s="258"/>
      <c r="E7" s="258"/>
      <c r="F7" s="258" t="s">
        <v>291</v>
      </c>
      <c r="G7" s="258"/>
      <c r="H7" s="258"/>
      <c r="I7" s="258"/>
      <c r="J7" s="258" t="s">
        <v>292</v>
      </c>
      <c r="K7" s="259"/>
      <c r="L7" s="259"/>
      <c r="M7" s="260"/>
      <c r="N7" s="250" t="s">
        <v>293</v>
      </c>
    </row>
    <row r="8" spans="1:14" ht="63">
      <c r="A8" s="257"/>
      <c r="B8" s="207" t="s">
        <v>306</v>
      </c>
      <c r="C8" s="207" t="s">
        <v>307</v>
      </c>
      <c r="D8" s="207" t="s">
        <v>294</v>
      </c>
      <c r="E8" s="105" t="s">
        <v>295</v>
      </c>
      <c r="F8" s="207" t="s">
        <v>306</v>
      </c>
      <c r="G8" s="207" t="s">
        <v>308</v>
      </c>
      <c r="H8" s="207" t="s">
        <v>294</v>
      </c>
      <c r="I8" s="105" t="s">
        <v>295</v>
      </c>
      <c r="J8" s="207" t="s">
        <v>306</v>
      </c>
      <c r="K8" s="207" t="s">
        <v>309</v>
      </c>
      <c r="L8" s="207" t="s">
        <v>294</v>
      </c>
      <c r="M8" s="210" t="s">
        <v>295</v>
      </c>
      <c r="N8" s="251"/>
    </row>
    <row r="9" spans="1:14" ht="15.75">
      <c r="A9" s="252" t="s">
        <v>296</v>
      </c>
      <c r="B9" s="253"/>
      <c r="C9" s="253"/>
      <c r="D9" s="253"/>
      <c r="E9" s="253"/>
      <c r="F9" s="253"/>
      <c r="G9" s="211"/>
      <c r="H9" s="211"/>
      <c r="I9" s="105"/>
      <c r="J9" s="207"/>
      <c r="K9" s="212"/>
      <c r="L9" s="212"/>
      <c r="M9" s="210"/>
      <c r="N9" s="213"/>
    </row>
    <row r="10" spans="1:14" ht="15.75">
      <c r="A10" s="252" t="s">
        <v>297</v>
      </c>
      <c r="B10" s="253"/>
      <c r="C10" s="253"/>
      <c r="D10" s="253"/>
      <c r="E10" s="253"/>
      <c r="F10" s="253"/>
      <c r="G10" s="211"/>
      <c r="H10" s="211"/>
      <c r="I10" s="105"/>
      <c r="J10" s="207"/>
      <c r="K10" s="212"/>
      <c r="L10" s="212"/>
      <c r="M10" s="210"/>
      <c r="N10" s="247" t="s">
        <v>336</v>
      </c>
    </row>
    <row r="11" spans="1:14" ht="31.5">
      <c r="A11" s="214" t="s">
        <v>194</v>
      </c>
      <c r="B11" s="139">
        <v>624416</v>
      </c>
      <c r="C11" s="203">
        <v>1512</v>
      </c>
      <c r="D11" s="203">
        <v>2729</v>
      </c>
      <c r="E11" s="203">
        <v>2729</v>
      </c>
      <c r="F11" s="139">
        <v>624416</v>
      </c>
      <c r="G11" s="203">
        <v>3463</v>
      </c>
      <c r="H11" s="203">
        <v>2732</v>
      </c>
      <c r="I11" s="203">
        <v>2732</v>
      </c>
      <c r="J11" s="139">
        <v>624416</v>
      </c>
      <c r="K11" s="215">
        <v>5411</v>
      </c>
      <c r="L11" s="215">
        <v>2732</v>
      </c>
      <c r="M11" s="216">
        <v>2732</v>
      </c>
      <c r="N11" s="248"/>
    </row>
    <row r="12" spans="1:14" ht="32.25" thickBot="1">
      <c r="A12" s="217" t="s">
        <v>298</v>
      </c>
      <c r="B12" s="218">
        <v>62442</v>
      </c>
      <c r="C12" s="218" t="s">
        <v>112</v>
      </c>
      <c r="D12" s="218" t="s">
        <v>112</v>
      </c>
      <c r="E12" s="218" t="s">
        <v>112</v>
      </c>
      <c r="F12" s="218">
        <v>62442</v>
      </c>
      <c r="G12" s="218" t="s">
        <v>112</v>
      </c>
      <c r="H12" s="218" t="s">
        <v>112</v>
      </c>
      <c r="I12" s="218" t="s">
        <v>112</v>
      </c>
      <c r="J12" s="218">
        <v>62442</v>
      </c>
      <c r="K12" s="218" t="s">
        <v>112</v>
      </c>
      <c r="L12" s="219" t="s">
        <v>112</v>
      </c>
      <c r="M12" s="219" t="s">
        <v>112</v>
      </c>
      <c r="N12" s="248"/>
    </row>
    <row r="13" spans="1:14" ht="32.25" thickBot="1">
      <c r="A13" s="220" t="s">
        <v>299</v>
      </c>
      <c r="B13" s="221">
        <f>B11+B12</f>
        <v>686858</v>
      </c>
      <c r="C13" s="222">
        <f>C11</f>
        <v>1512</v>
      </c>
      <c r="D13" s="222">
        <f>D11</f>
        <v>2729</v>
      </c>
      <c r="E13" s="222">
        <f>E11</f>
        <v>2729</v>
      </c>
      <c r="F13" s="221">
        <f>F11+F12</f>
        <v>686858</v>
      </c>
      <c r="G13" s="222">
        <f>G11</f>
        <v>3463</v>
      </c>
      <c r="H13" s="222">
        <f>H11</f>
        <v>2732</v>
      </c>
      <c r="I13" s="222">
        <f>I11</f>
        <v>2732</v>
      </c>
      <c r="J13" s="221">
        <f>J11+J12</f>
        <v>686858</v>
      </c>
      <c r="K13" s="222">
        <f>K11</f>
        <v>5411</v>
      </c>
      <c r="L13" s="223">
        <f>L11</f>
        <v>2732</v>
      </c>
      <c r="M13" s="223">
        <f>M11</f>
        <v>2732</v>
      </c>
      <c r="N13" s="249"/>
    </row>
    <row r="14" spans="1:14" ht="15.75">
      <c r="A14" s="245" t="s">
        <v>300</v>
      </c>
      <c r="B14" s="246"/>
      <c r="C14" s="246"/>
      <c r="D14" s="246"/>
      <c r="E14" s="246"/>
      <c r="F14" s="246"/>
      <c r="G14" s="224"/>
      <c r="H14" s="224"/>
      <c r="I14" s="225"/>
      <c r="J14" s="226"/>
      <c r="K14" s="227"/>
      <c r="L14" s="227"/>
      <c r="M14" s="228"/>
      <c r="N14" s="247" t="s">
        <v>335</v>
      </c>
    </row>
    <row r="15" spans="1:14" ht="31.5">
      <c r="A15" s="214" t="s">
        <v>301</v>
      </c>
      <c r="B15" s="139">
        <v>314085</v>
      </c>
      <c r="C15" s="203">
        <v>2211</v>
      </c>
      <c r="D15" s="203">
        <v>2195</v>
      </c>
      <c r="E15" s="203">
        <v>2007</v>
      </c>
      <c r="F15" s="139">
        <v>314085</v>
      </c>
      <c r="G15" s="203">
        <v>5116</v>
      </c>
      <c r="H15" s="203">
        <v>1815</v>
      </c>
      <c r="I15" s="203">
        <v>1803</v>
      </c>
      <c r="J15" s="139">
        <v>314085</v>
      </c>
      <c r="K15" s="203">
        <v>8401</v>
      </c>
      <c r="L15" s="203">
        <v>1815</v>
      </c>
      <c r="M15" s="203">
        <v>1803</v>
      </c>
      <c r="N15" s="248"/>
    </row>
    <row r="16" spans="1:14" ht="32.25" thickBot="1">
      <c r="A16" s="217" t="s">
        <v>298</v>
      </c>
      <c r="B16" s="218">
        <v>31408</v>
      </c>
      <c r="C16" s="218" t="s">
        <v>112</v>
      </c>
      <c r="D16" s="218" t="s">
        <v>112</v>
      </c>
      <c r="E16" s="229" t="s">
        <v>112</v>
      </c>
      <c r="F16" s="218">
        <v>31408</v>
      </c>
      <c r="G16" s="218" t="s">
        <v>112</v>
      </c>
      <c r="H16" s="229" t="s">
        <v>112</v>
      </c>
      <c r="I16" s="229" t="s">
        <v>112</v>
      </c>
      <c r="J16" s="218">
        <v>31408</v>
      </c>
      <c r="K16" s="218" t="s">
        <v>112</v>
      </c>
      <c r="L16" s="230" t="s">
        <v>112</v>
      </c>
      <c r="M16" s="230" t="s">
        <v>112</v>
      </c>
      <c r="N16" s="248"/>
    </row>
    <row r="17" spans="1:14" ht="32.25" thickBot="1">
      <c r="A17" s="220" t="s">
        <v>302</v>
      </c>
      <c r="B17" s="221">
        <f>B15+B16</f>
        <v>345493</v>
      </c>
      <c r="C17" s="222">
        <f>C15</f>
        <v>2211</v>
      </c>
      <c r="D17" s="222">
        <f>D15</f>
        <v>2195</v>
      </c>
      <c r="E17" s="222">
        <f>E15</f>
        <v>2007</v>
      </c>
      <c r="F17" s="221">
        <f>F15+F16</f>
        <v>345493</v>
      </c>
      <c r="G17" s="222">
        <f>G15</f>
        <v>5116</v>
      </c>
      <c r="H17" s="222">
        <f>H15</f>
        <v>1815</v>
      </c>
      <c r="I17" s="222">
        <f>I15</f>
        <v>1803</v>
      </c>
      <c r="J17" s="221">
        <f>J15+J16</f>
        <v>345493</v>
      </c>
      <c r="K17" s="222">
        <f>K15</f>
        <v>8401</v>
      </c>
      <c r="L17" s="223">
        <f>L15</f>
        <v>1815</v>
      </c>
      <c r="M17" s="223">
        <f>M15</f>
        <v>1803</v>
      </c>
      <c r="N17" s="249"/>
    </row>
    <row r="18" spans="1:14" ht="15.75">
      <c r="A18" s="245" t="s">
        <v>303</v>
      </c>
      <c r="B18" s="246"/>
      <c r="C18" s="246"/>
      <c r="D18" s="246"/>
      <c r="E18" s="246"/>
      <c r="F18" s="246"/>
      <c r="G18" s="224"/>
      <c r="H18" s="224"/>
      <c r="I18" s="231"/>
      <c r="J18" s="232"/>
      <c r="K18" s="233"/>
      <c r="L18" s="233"/>
      <c r="M18" s="234"/>
      <c r="N18" s="243"/>
    </row>
    <row r="19" spans="1:14" ht="31.5">
      <c r="A19" s="214" t="s">
        <v>301</v>
      </c>
      <c r="B19" s="139">
        <v>2182551</v>
      </c>
      <c r="C19" s="203">
        <v>4223</v>
      </c>
      <c r="D19" s="203">
        <v>6394</v>
      </c>
      <c r="E19" s="203">
        <v>3635</v>
      </c>
      <c r="F19" s="139">
        <v>2182551</v>
      </c>
      <c r="G19" s="203">
        <v>8534</v>
      </c>
      <c r="H19" s="203">
        <v>9037</v>
      </c>
      <c r="I19" s="203">
        <v>8304</v>
      </c>
      <c r="J19" s="139">
        <v>2182551</v>
      </c>
      <c r="K19" s="215">
        <v>11130</v>
      </c>
      <c r="L19" s="203">
        <v>9037</v>
      </c>
      <c r="M19" s="203">
        <v>8304</v>
      </c>
      <c r="N19" s="247" t="s">
        <v>334</v>
      </c>
    </row>
    <row r="20" spans="1:14" ht="47.25">
      <c r="A20" s="214" t="s">
        <v>195</v>
      </c>
      <c r="B20" s="139">
        <f>LMpielik_24_LMZino!M143</f>
        <v>284574</v>
      </c>
      <c r="C20" s="139" t="s">
        <v>112</v>
      </c>
      <c r="D20" s="139" t="s">
        <v>112</v>
      </c>
      <c r="E20" s="205" t="s">
        <v>112</v>
      </c>
      <c r="F20" s="139">
        <f>B20</f>
        <v>284574</v>
      </c>
      <c r="G20" s="218" t="s">
        <v>112</v>
      </c>
      <c r="H20" s="139" t="s">
        <v>112</v>
      </c>
      <c r="I20" s="205" t="s">
        <v>112</v>
      </c>
      <c r="J20" s="139">
        <f>B20</f>
        <v>284574</v>
      </c>
      <c r="K20" s="139" t="s">
        <v>112</v>
      </c>
      <c r="L20" s="139" t="s">
        <v>112</v>
      </c>
      <c r="M20" s="236" t="s">
        <v>112</v>
      </c>
      <c r="N20" s="248"/>
    </row>
    <row r="21" spans="1:14" ht="32.25" thickBot="1">
      <c r="A21" s="217" t="s">
        <v>298</v>
      </c>
      <c r="B21" s="139">
        <v>245257</v>
      </c>
      <c r="C21" s="218" t="s">
        <v>112</v>
      </c>
      <c r="D21" s="218" t="s">
        <v>112</v>
      </c>
      <c r="E21" s="218" t="s">
        <v>112</v>
      </c>
      <c r="F21" s="139">
        <f>B21</f>
        <v>245257</v>
      </c>
      <c r="G21" s="218" t="s">
        <v>112</v>
      </c>
      <c r="H21" s="218" t="s">
        <v>112</v>
      </c>
      <c r="I21" s="218" t="s">
        <v>112</v>
      </c>
      <c r="J21" s="139">
        <v>245257</v>
      </c>
      <c r="K21" s="139" t="s">
        <v>112</v>
      </c>
      <c r="L21" s="139" t="s">
        <v>112</v>
      </c>
      <c r="M21" s="219" t="s">
        <v>112</v>
      </c>
      <c r="N21" s="248"/>
    </row>
    <row r="22" spans="1:14" ht="32.25" thickBot="1">
      <c r="A22" s="237" t="s">
        <v>304</v>
      </c>
      <c r="B22" s="221">
        <f>B19+B20+B21</f>
        <v>2712382</v>
      </c>
      <c r="C22" s="222">
        <f>C19</f>
        <v>4223</v>
      </c>
      <c r="D22" s="222">
        <f>D19</f>
        <v>6394</v>
      </c>
      <c r="E22" s="222">
        <f>E19</f>
        <v>3635</v>
      </c>
      <c r="F22" s="221">
        <f>F19+F20+F21</f>
        <v>2712382</v>
      </c>
      <c r="G22" s="222">
        <f>G19</f>
        <v>8534</v>
      </c>
      <c r="H22" s="222">
        <f>H19</f>
        <v>9037</v>
      </c>
      <c r="I22" s="222">
        <f>I19</f>
        <v>8304</v>
      </c>
      <c r="J22" s="221">
        <f>J19+J20+J21</f>
        <v>2712382</v>
      </c>
      <c r="K22" s="222">
        <f>K19</f>
        <v>11130</v>
      </c>
      <c r="L22" s="238">
        <f>L19</f>
        <v>9037</v>
      </c>
      <c r="M22" s="223">
        <f>M19</f>
        <v>8304</v>
      </c>
      <c r="N22" s="249"/>
    </row>
    <row r="23" spans="1:14" ht="15.75">
      <c r="A23" s="239"/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227"/>
      <c r="M23" s="240"/>
      <c r="N23" s="243"/>
    </row>
    <row r="24" spans="1:14" ht="31.5">
      <c r="A24" s="214" t="s">
        <v>305</v>
      </c>
      <c r="B24" s="139">
        <f>B11+B15+B19</f>
        <v>3121052</v>
      </c>
      <c r="C24" s="203">
        <f>C11+C15+C19</f>
        <v>7946</v>
      </c>
      <c r="D24" s="203">
        <f>D11+D15+D19</f>
        <v>11318</v>
      </c>
      <c r="E24" s="203">
        <f>E11+E15+E19</f>
        <v>8371</v>
      </c>
      <c r="F24" s="139">
        <f aca="true" t="shared" si="0" ref="F24:M24">F11+F15+F19</f>
        <v>3121052</v>
      </c>
      <c r="G24" s="203">
        <f>G11+G15+G19</f>
        <v>17113</v>
      </c>
      <c r="H24" s="203">
        <f>H11+H15+H19</f>
        <v>13584</v>
      </c>
      <c r="I24" s="203">
        <f>I11+I15+I19</f>
        <v>12839</v>
      </c>
      <c r="J24" s="139">
        <f t="shared" si="0"/>
        <v>3121052</v>
      </c>
      <c r="K24" s="203">
        <f>K11+K15+K19</f>
        <v>24942</v>
      </c>
      <c r="L24" s="235">
        <f t="shared" si="0"/>
        <v>13584</v>
      </c>
      <c r="M24" s="235">
        <f t="shared" si="0"/>
        <v>12839</v>
      </c>
      <c r="N24" s="247" t="s">
        <v>333</v>
      </c>
    </row>
    <row r="25" spans="1:14" ht="47.25">
      <c r="A25" s="214" t="s">
        <v>195</v>
      </c>
      <c r="B25" s="139">
        <f>B20</f>
        <v>284574</v>
      </c>
      <c r="C25" s="139" t="str">
        <f>C20</f>
        <v>X</v>
      </c>
      <c r="D25" s="139" t="str">
        <f aca="true" t="shared" si="1" ref="D25:M25">D20</f>
        <v>X</v>
      </c>
      <c r="E25" s="139" t="str">
        <f t="shared" si="1"/>
        <v>X</v>
      </c>
      <c r="F25" s="139">
        <f t="shared" si="1"/>
        <v>284574</v>
      </c>
      <c r="G25" s="139" t="str">
        <f>G20</f>
        <v>X</v>
      </c>
      <c r="H25" s="139" t="str">
        <f t="shared" si="1"/>
        <v>X</v>
      </c>
      <c r="I25" s="139" t="str">
        <f t="shared" si="1"/>
        <v>X</v>
      </c>
      <c r="J25" s="139">
        <f t="shared" si="1"/>
        <v>284574</v>
      </c>
      <c r="K25" s="139" t="s">
        <v>112</v>
      </c>
      <c r="L25" s="241" t="s">
        <v>112</v>
      </c>
      <c r="M25" s="241" t="str">
        <f t="shared" si="1"/>
        <v>X</v>
      </c>
      <c r="N25" s="248"/>
    </row>
    <row r="26" spans="1:14" ht="32.25" thickBot="1">
      <c r="A26" s="217" t="s">
        <v>196</v>
      </c>
      <c r="B26" s="218">
        <f>B12+B16+B21</f>
        <v>339107</v>
      </c>
      <c r="C26" s="218" t="s">
        <v>112</v>
      </c>
      <c r="D26" s="218" t="s">
        <v>112</v>
      </c>
      <c r="E26" s="218" t="s">
        <v>112</v>
      </c>
      <c r="F26" s="218">
        <f>F12+F16+F21</f>
        <v>339107</v>
      </c>
      <c r="G26" s="218" t="s">
        <v>112</v>
      </c>
      <c r="H26" s="218" t="s">
        <v>112</v>
      </c>
      <c r="I26" s="218" t="s">
        <v>112</v>
      </c>
      <c r="J26" s="218">
        <f>J12+J16+J21</f>
        <v>339107</v>
      </c>
      <c r="K26" s="218" t="s">
        <v>112</v>
      </c>
      <c r="L26" s="219" t="s">
        <v>112</v>
      </c>
      <c r="M26" s="219" t="s">
        <v>112</v>
      </c>
      <c r="N26" s="249"/>
    </row>
    <row r="27" spans="1:14" ht="16.5" thickBot="1">
      <c r="A27" s="220" t="s">
        <v>197</v>
      </c>
      <c r="B27" s="221">
        <f>B24+B25+B26</f>
        <v>3744733</v>
      </c>
      <c r="C27" s="222">
        <f>C24</f>
        <v>7946</v>
      </c>
      <c r="D27" s="222">
        <f>D24</f>
        <v>11318</v>
      </c>
      <c r="E27" s="222">
        <f>E24</f>
        <v>8371</v>
      </c>
      <c r="F27" s="221">
        <f>F24+F25+F26</f>
        <v>3744733</v>
      </c>
      <c r="G27" s="222">
        <f>G24</f>
        <v>17113</v>
      </c>
      <c r="H27" s="222">
        <f>H24</f>
        <v>13584</v>
      </c>
      <c r="I27" s="222">
        <f>I24</f>
        <v>12839</v>
      </c>
      <c r="J27" s="221">
        <f>J24+J25+J26</f>
        <v>3744733</v>
      </c>
      <c r="K27" s="238">
        <f>K24</f>
        <v>24942</v>
      </c>
      <c r="L27" s="223">
        <f>L24</f>
        <v>13584</v>
      </c>
      <c r="M27" s="223">
        <f>M24</f>
        <v>12839</v>
      </c>
      <c r="N27" s="242"/>
    </row>
    <row r="29" spans="1:9" ht="15.75">
      <c r="A29" s="108" t="s">
        <v>314</v>
      </c>
      <c r="B29" s="108"/>
      <c r="C29" s="108"/>
      <c r="D29" s="108"/>
      <c r="E29" s="108"/>
      <c r="F29" s="108"/>
      <c r="G29" s="108"/>
      <c r="H29" s="108"/>
      <c r="I29" s="108" t="s">
        <v>315</v>
      </c>
    </row>
    <row r="30" spans="1:9" ht="15.75">
      <c r="A30" s="41" t="s">
        <v>337</v>
      </c>
      <c r="B30" s="41"/>
      <c r="C30" s="41"/>
      <c r="D30" s="108"/>
      <c r="E30" s="108"/>
      <c r="F30" s="108"/>
      <c r="G30" s="108"/>
      <c r="H30" s="108"/>
      <c r="I30" s="108"/>
    </row>
    <row r="31" spans="1:9" ht="15.75">
      <c r="A31" s="41" t="s">
        <v>319</v>
      </c>
      <c r="B31" s="41"/>
      <c r="C31" s="41"/>
      <c r="D31" s="108"/>
      <c r="E31" s="108"/>
      <c r="F31" s="108"/>
      <c r="G31" s="108"/>
      <c r="H31" s="108"/>
      <c r="I31" s="108"/>
    </row>
    <row r="32" spans="1:9" ht="15.75">
      <c r="A32" s="41"/>
      <c r="B32" s="41"/>
      <c r="C32" s="41"/>
      <c r="D32" s="108"/>
      <c r="E32" s="108"/>
      <c r="F32" s="108"/>
      <c r="G32" s="108"/>
      <c r="H32" s="108"/>
      <c r="I32" s="108"/>
    </row>
  </sheetData>
  <sheetProtection/>
  <mergeCells count="17">
    <mergeCell ref="M1:N1"/>
    <mergeCell ref="A5:M5"/>
    <mergeCell ref="A7:A8"/>
    <mergeCell ref="B7:E7"/>
    <mergeCell ref="F7:I7"/>
    <mergeCell ref="J7:M7"/>
    <mergeCell ref="M2:N2"/>
    <mergeCell ref="J3:N3"/>
    <mergeCell ref="A18:F18"/>
    <mergeCell ref="N19:N22"/>
    <mergeCell ref="N24:N26"/>
    <mergeCell ref="N7:N8"/>
    <mergeCell ref="A9:F9"/>
    <mergeCell ref="A10:F10"/>
    <mergeCell ref="N10:N13"/>
    <mergeCell ref="A14:F14"/>
    <mergeCell ref="N14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Footer>&amp;CLMpielik_23_070815_LMZino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0"/>
  <sheetViews>
    <sheetView workbookViewId="0" topLeftCell="A147">
      <selection activeCell="B168" sqref="B168"/>
    </sheetView>
  </sheetViews>
  <sheetFormatPr defaultColWidth="9.140625" defaultRowHeight="12.75"/>
  <cols>
    <col min="1" max="1" width="6.140625" style="0" customWidth="1"/>
    <col min="2" max="2" width="49.57421875" style="0" customWidth="1"/>
    <col min="3" max="3" width="21.00390625" style="0" customWidth="1"/>
    <col min="4" max="4" width="13.8515625" style="0" hidden="1" customWidth="1"/>
    <col min="5" max="5" width="10.140625" style="0" customWidth="1"/>
    <col min="6" max="6" width="11.7109375" style="0" customWidth="1"/>
    <col min="7" max="7" width="12.7109375" style="0" customWidth="1"/>
    <col min="8" max="8" width="11.00390625" style="0" customWidth="1"/>
    <col min="9" max="9" width="9.28125" style="0" customWidth="1"/>
    <col min="10" max="10" width="9.421875" style="0" customWidth="1"/>
    <col min="11" max="11" width="12.00390625" style="0" customWidth="1"/>
    <col min="12" max="12" width="13.8515625" style="0" customWidth="1"/>
    <col min="13" max="13" width="13.421875" style="0" customWidth="1"/>
    <col min="14" max="14" width="13.57421875" style="0" customWidth="1"/>
    <col min="15" max="15" width="11.7109375" style="0" customWidth="1"/>
    <col min="16" max="16" width="12.8515625" style="0" customWidth="1"/>
    <col min="17" max="17" width="10.140625" style="0" customWidth="1"/>
    <col min="18" max="18" width="11.421875" style="0" customWidth="1"/>
    <col min="20" max="20" width="12.00390625" style="0" customWidth="1"/>
  </cols>
  <sheetData>
    <row r="1" spans="18:20" ht="15.75">
      <c r="R1" s="320" t="s">
        <v>322</v>
      </c>
      <c r="S1" s="320"/>
      <c r="T1" s="320"/>
    </row>
    <row r="2" spans="19:20" ht="15.75">
      <c r="S2" s="261" t="s">
        <v>318</v>
      </c>
      <c r="T2" s="261"/>
    </row>
    <row r="3" spans="16:20" ht="36" customHeight="1">
      <c r="P3" s="262" t="s">
        <v>320</v>
      </c>
      <c r="Q3" s="262"/>
      <c r="R3" s="262"/>
      <c r="S3" s="262"/>
      <c r="T3" s="262"/>
    </row>
    <row r="4" spans="3:7" ht="18.75">
      <c r="C4" s="327" t="s">
        <v>202</v>
      </c>
      <c r="D4" s="327"/>
      <c r="E4" s="327"/>
      <c r="F4" s="327"/>
      <c r="G4" s="327"/>
    </row>
    <row r="5" spans="1:14" ht="18.75">
      <c r="A5" s="328" t="s">
        <v>203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</row>
    <row r="6" spans="1:11" ht="12.75">
      <c r="A6" s="2"/>
      <c r="E6" s="2"/>
      <c r="G6" s="1"/>
      <c r="H6" s="1"/>
      <c r="I6" s="1"/>
      <c r="J6" s="1"/>
      <c r="K6" s="3"/>
    </row>
    <row r="7" spans="1:20" ht="15.75">
      <c r="A7" s="265" t="s">
        <v>12</v>
      </c>
      <c r="B7" s="265" t="s">
        <v>101</v>
      </c>
      <c r="C7" s="297" t="s">
        <v>116</v>
      </c>
      <c r="D7" s="321" t="s">
        <v>110</v>
      </c>
      <c r="E7" s="322" t="s">
        <v>150</v>
      </c>
      <c r="F7" s="323" t="s">
        <v>153</v>
      </c>
      <c r="G7" s="324"/>
      <c r="H7" s="324"/>
      <c r="I7" s="324"/>
      <c r="J7" s="324"/>
      <c r="K7" s="324"/>
      <c r="L7" s="324"/>
      <c r="M7" s="324"/>
      <c r="N7" s="325"/>
      <c r="O7" s="326" t="s">
        <v>152</v>
      </c>
      <c r="P7" s="313" t="s">
        <v>184</v>
      </c>
      <c r="Q7" s="315" t="s">
        <v>186</v>
      </c>
      <c r="R7" s="315" t="s">
        <v>187</v>
      </c>
      <c r="S7" s="315" t="s">
        <v>188</v>
      </c>
      <c r="T7" s="316" t="s">
        <v>189</v>
      </c>
    </row>
    <row r="8" spans="1:20" ht="110.25">
      <c r="A8" s="265"/>
      <c r="B8" s="265"/>
      <c r="C8" s="297"/>
      <c r="D8" s="321"/>
      <c r="E8" s="322"/>
      <c r="F8" s="6" t="s">
        <v>151</v>
      </c>
      <c r="G8" s="6" t="s">
        <v>323</v>
      </c>
      <c r="H8" s="7" t="s">
        <v>154</v>
      </c>
      <c r="I8" s="7" t="s">
        <v>155</v>
      </c>
      <c r="J8" s="7" t="s">
        <v>156</v>
      </c>
      <c r="K8" s="7" t="s">
        <v>324</v>
      </c>
      <c r="L8" s="8" t="s">
        <v>149</v>
      </c>
      <c r="M8" s="8" t="s">
        <v>149</v>
      </c>
      <c r="N8" s="8" t="s">
        <v>148</v>
      </c>
      <c r="O8" s="326"/>
      <c r="P8" s="314"/>
      <c r="Q8" s="315"/>
      <c r="R8" s="315"/>
      <c r="S8" s="315"/>
      <c r="T8" s="316"/>
    </row>
    <row r="9" spans="1:20" ht="31.5">
      <c r="A9" s="56">
        <v>1</v>
      </c>
      <c r="B9" s="56">
        <v>2</v>
      </c>
      <c r="C9" s="15">
        <v>3</v>
      </c>
      <c r="D9" s="57"/>
      <c r="E9" s="58">
        <v>4</v>
      </c>
      <c r="F9" s="58">
        <v>5</v>
      </c>
      <c r="G9" s="58">
        <v>6</v>
      </c>
      <c r="H9" s="59">
        <v>7</v>
      </c>
      <c r="I9" s="59">
        <v>8</v>
      </c>
      <c r="J9" s="59">
        <v>9</v>
      </c>
      <c r="K9" s="59">
        <v>10</v>
      </c>
      <c r="L9" s="60">
        <v>11</v>
      </c>
      <c r="M9" s="60">
        <v>12</v>
      </c>
      <c r="N9" s="60">
        <v>13</v>
      </c>
      <c r="O9" s="61" t="s">
        <v>183</v>
      </c>
      <c r="P9" s="41" t="s">
        <v>190</v>
      </c>
      <c r="Q9" s="77">
        <v>16</v>
      </c>
      <c r="R9" s="77" t="s">
        <v>191</v>
      </c>
      <c r="S9" s="77" t="s">
        <v>192</v>
      </c>
      <c r="T9" s="77" t="s">
        <v>193</v>
      </c>
    </row>
    <row r="10" spans="1:20" ht="15.75">
      <c r="A10" s="317" t="s">
        <v>108</v>
      </c>
      <c r="B10" s="317"/>
      <c r="C10" s="317"/>
      <c r="D10" s="317"/>
      <c r="E10" s="9">
        <f aca="true" t="shared" si="0" ref="E10:J10">E11+E44+E105</f>
        <v>4921</v>
      </c>
      <c r="F10" s="9">
        <f t="shared" si="0"/>
        <v>2642</v>
      </c>
      <c r="G10" s="9">
        <f t="shared" si="0"/>
        <v>5003</v>
      </c>
      <c r="H10" s="9">
        <f t="shared" si="0"/>
        <v>5247</v>
      </c>
      <c r="I10" s="9">
        <f t="shared" si="0"/>
        <v>2849</v>
      </c>
      <c r="J10" s="9">
        <f t="shared" si="0"/>
        <v>5608</v>
      </c>
      <c r="K10" s="10">
        <f>K11+K44+K105</f>
        <v>47839.7</v>
      </c>
      <c r="L10" s="10">
        <f>L11+L44+L105</f>
        <v>2002629.79</v>
      </c>
      <c r="M10" s="304"/>
      <c r="N10" s="304"/>
      <c r="O10" s="9">
        <f>O11+O44+O105</f>
        <v>2398</v>
      </c>
      <c r="P10" s="9">
        <f>P11+P44+P105</f>
        <v>2162</v>
      </c>
      <c r="Q10" s="10" t="s">
        <v>112</v>
      </c>
      <c r="R10" s="10">
        <f>R11+R44+R105</f>
        <v>42613.40141676505</v>
      </c>
      <c r="S10" s="10">
        <f>S11+S44+S105</f>
        <v>5223.23858323495</v>
      </c>
      <c r="T10" s="10">
        <f>T11+T44+T105</f>
        <v>212903.94000000012</v>
      </c>
    </row>
    <row r="11" spans="1:20" ht="15.75">
      <c r="A11" s="28"/>
      <c r="B11" s="318" t="s">
        <v>102</v>
      </c>
      <c r="C11" s="318"/>
      <c r="D11" s="319"/>
      <c r="E11" s="11">
        <f>SUM(E12:E43)</f>
        <v>3377</v>
      </c>
      <c r="F11" s="11">
        <f aca="true" t="shared" si="1" ref="F11:L11">SUM(F12:F43)</f>
        <v>913</v>
      </c>
      <c r="G11" s="11">
        <f>SUM(G12:G43)</f>
        <v>2086</v>
      </c>
      <c r="H11" s="11">
        <f t="shared" si="1"/>
        <v>1214</v>
      </c>
      <c r="I11" s="11">
        <f t="shared" si="1"/>
        <v>0</v>
      </c>
      <c r="J11" s="11">
        <f t="shared" si="1"/>
        <v>1506</v>
      </c>
      <c r="K11" s="21">
        <f t="shared" si="1"/>
        <v>6900.76</v>
      </c>
      <c r="L11" s="21">
        <f t="shared" si="1"/>
        <v>0</v>
      </c>
      <c r="M11" s="312"/>
      <c r="N11" s="312"/>
      <c r="O11" s="12">
        <f>SUM(O12:O43)</f>
        <v>1785</v>
      </c>
      <c r="P11" s="12">
        <f>SUM(P12:P43)</f>
        <v>1871</v>
      </c>
      <c r="Q11" s="45" t="s">
        <v>112</v>
      </c>
      <c r="R11" s="45">
        <f>SUM(R12:R43)</f>
        <v>6158.660714285714</v>
      </c>
      <c r="S11" s="45">
        <f>SUM(S12:S43)</f>
        <v>739.0392857142862</v>
      </c>
      <c r="T11" s="45">
        <f>SUM(T12:T43)</f>
        <v>0</v>
      </c>
    </row>
    <row r="12" spans="1:20" ht="15.75">
      <c r="A12" s="5">
        <v>1</v>
      </c>
      <c r="B12" s="48" t="s">
        <v>3</v>
      </c>
      <c r="C12" s="4" t="s">
        <v>121</v>
      </c>
      <c r="D12" s="14" t="s">
        <v>104</v>
      </c>
      <c r="E12" s="37">
        <v>66</v>
      </c>
      <c r="F12" s="15">
        <v>244</v>
      </c>
      <c r="G12" s="15">
        <v>212</v>
      </c>
      <c r="H12" s="96">
        <v>66</v>
      </c>
      <c r="I12" s="15"/>
      <c r="J12" s="15">
        <v>66</v>
      </c>
      <c r="K12" s="16">
        <v>226.45</v>
      </c>
      <c r="L12" s="16">
        <f>I12*K12</f>
        <v>0</v>
      </c>
      <c r="M12" s="312"/>
      <c r="N12" s="312"/>
      <c r="O12" s="96">
        <f>F12+G12-H12</f>
        <v>390</v>
      </c>
      <c r="P12" s="37">
        <f>E12+I12-J12</f>
        <v>0</v>
      </c>
      <c r="Q12" s="5">
        <v>12</v>
      </c>
      <c r="R12" s="16">
        <f>K12/1.12</f>
        <v>202.18749999999997</v>
      </c>
      <c r="S12" s="16">
        <f>K12-R12</f>
        <v>24.262500000000017</v>
      </c>
      <c r="T12" s="16">
        <f>I12*S12</f>
        <v>0</v>
      </c>
    </row>
    <row r="13" spans="1:20" ht="15.75">
      <c r="A13" s="4">
        <v>2</v>
      </c>
      <c r="B13" s="48" t="s">
        <v>16</v>
      </c>
      <c r="C13" s="18" t="s">
        <v>127</v>
      </c>
      <c r="D13" s="19" t="s">
        <v>104</v>
      </c>
      <c r="E13" s="37">
        <v>62</v>
      </c>
      <c r="F13" s="15">
        <v>4</v>
      </c>
      <c r="G13" s="15">
        <v>38</v>
      </c>
      <c r="H13" s="15">
        <v>42</v>
      </c>
      <c r="I13" s="15"/>
      <c r="J13" s="15">
        <v>42</v>
      </c>
      <c r="K13" s="16">
        <v>16.11</v>
      </c>
      <c r="L13" s="16">
        <f>I13*K13</f>
        <v>0</v>
      </c>
      <c r="M13" s="312"/>
      <c r="N13" s="312"/>
      <c r="O13" s="15">
        <f>F13+G13-H13</f>
        <v>0</v>
      </c>
      <c r="P13" s="37">
        <f>E13+I13-J13</f>
        <v>20</v>
      </c>
      <c r="Q13" s="5">
        <v>12</v>
      </c>
      <c r="R13" s="16">
        <f>K13/1.12</f>
        <v>14.38392857142857</v>
      </c>
      <c r="S13" s="16">
        <f>K13-R13</f>
        <v>1.72607142857143</v>
      </c>
      <c r="T13" s="16">
        <f>I13*S13</f>
        <v>0</v>
      </c>
    </row>
    <row r="14" spans="1:20" ht="15.75">
      <c r="A14" s="5">
        <v>3</v>
      </c>
      <c r="B14" s="48" t="s">
        <v>4</v>
      </c>
      <c r="C14" s="295" t="s">
        <v>4</v>
      </c>
      <c r="D14" s="311" t="s">
        <v>104</v>
      </c>
      <c r="E14" s="266">
        <v>75</v>
      </c>
      <c r="F14" s="282">
        <v>163</v>
      </c>
      <c r="G14" s="296">
        <v>299</v>
      </c>
      <c r="H14" s="282">
        <v>75</v>
      </c>
      <c r="I14" s="282"/>
      <c r="J14" s="282">
        <v>75</v>
      </c>
      <c r="K14" s="294">
        <v>112.86</v>
      </c>
      <c r="L14" s="272">
        <f>I14*K14</f>
        <v>0</v>
      </c>
      <c r="M14" s="312"/>
      <c r="N14" s="312"/>
      <c r="O14" s="282">
        <f>F14+G14-H14</f>
        <v>387</v>
      </c>
      <c r="P14" s="266">
        <f>E14+I14-J14</f>
        <v>0</v>
      </c>
      <c r="Q14" s="269">
        <v>12</v>
      </c>
      <c r="R14" s="272">
        <f>K14/1.12</f>
        <v>100.76785714285714</v>
      </c>
      <c r="S14" s="272">
        <f>K14-R14</f>
        <v>12.09214285714286</v>
      </c>
      <c r="T14" s="272">
        <f>I14*S14</f>
        <v>0</v>
      </c>
    </row>
    <row r="15" spans="1:20" ht="15.75">
      <c r="A15" s="5">
        <v>4</v>
      </c>
      <c r="B15" s="48" t="s">
        <v>60</v>
      </c>
      <c r="C15" s="295"/>
      <c r="D15" s="311"/>
      <c r="E15" s="268"/>
      <c r="F15" s="284"/>
      <c r="G15" s="296"/>
      <c r="H15" s="284"/>
      <c r="I15" s="284"/>
      <c r="J15" s="284"/>
      <c r="K15" s="297"/>
      <c r="L15" s="274"/>
      <c r="M15" s="312"/>
      <c r="N15" s="312"/>
      <c r="O15" s="284"/>
      <c r="P15" s="268"/>
      <c r="Q15" s="271"/>
      <c r="R15" s="274"/>
      <c r="S15" s="274"/>
      <c r="T15" s="274"/>
    </row>
    <row r="16" spans="1:20" ht="31.5">
      <c r="A16" s="5">
        <v>5</v>
      </c>
      <c r="B16" s="48" t="s">
        <v>0</v>
      </c>
      <c r="C16" s="18" t="s">
        <v>0</v>
      </c>
      <c r="D16" s="311"/>
      <c r="E16" s="37">
        <v>54</v>
      </c>
      <c r="F16" s="15">
        <v>16</v>
      </c>
      <c r="G16" s="15">
        <v>159</v>
      </c>
      <c r="H16" s="15">
        <v>54</v>
      </c>
      <c r="I16" s="15"/>
      <c r="J16" s="15">
        <v>54</v>
      </c>
      <c r="K16" s="16">
        <v>70.56</v>
      </c>
      <c r="L16" s="16">
        <f>I16*K16</f>
        <v>0</v>
      </c>
      <c r="M16" s="312"/>
      <c r="N16" s="312"/>
      <c r="O16" s="15">
        <f>F16+G16-H16</f>
        <v>121</v>
      </c>
      <c r="P16" s="37">
        <f>E16+I16-J16</f>
        <v>0</v>
      </c>
      <c r="Q16" s="5">
        <v>12</v>
      </c>
      <c r="R16" s="16">
        <f>K16/1.12</f>
        <v>62.99999999999999</v>
      </c>
      <c r="S16" s="16">
        <f>K16-R16</f>
        <v>7.560000000000009</v>
      </c>
      <c r="T16" s="16">
        <f>I16*S16</f>
        <v>0</v>
      </c>
    </row>
    <row r="17" spans="1:20" ht="15.75">
      <c r="A17" s="20">
        <v>6</v>
      </c>
      <c r="B17" s="48" t="s">
        <v>18</v>
      </c>
      <c r="C17" s="295" t="s">
        <v>118</v>
      </c>
      <c r="D17" s="311"/>
      <c r="E17" s="266">
        <v>83</v>
      </c>
      <c r="F17" s="282">
        <v>3</v>
      </c>
      <c r="G17" s="296">
        <v>22</v>
      </c>
      <c r="H17" s="282">
        <v>25</v>
      </c>
      <c r="I17" s="282"/>
      <c r="J17" s="282">
        <v>25</v>
      </c>
      <c r="K17" s="294">
        <v>536.57</v>
      </c>
      <c r="L17" s="272">
        <f>I17*K17</f>
        <v>0</v>
      </c>
      <c r="M17" s="312"/>
      <c r="N17" s="312"/>
      <c r="O17" s="282">
        <f>F17+G17-H17</f>
        <v>0</v>
      </c>
      <c r="P17" s="266">
        <f>E17+I17-J17</f>
        <v>58</v>
      </c>
      <c r="Q17" s="269">
        <v>12</v>
      </c>
      <c r="R17" s="272">
        <f>K17/1.12</f>
        <v>479.08035714285717</v>
      </c>
      <c r="S17" s="272">
        <f>K17-R17</f>
        <v>57.48964285714288</v>
      </c>
      <c r="T17" s="272">
        <f>I17*S17</f>
        <v>0</v>
      </c>
    </row>
    <row r="18" spans="1:20" ht="15.75">
      <c r="A18" s="20">
        <v>7</v>
      </c>
      <c r="B18" s="48" t="s">
        <v>6</v>
      </c>
      <c r="C18" s="295"/>
      <c r="D18" s="311"/>
      <c r="E18" s="268"/>
      <c r="F18" s="284"/>
      <c r="G18" s="296"/>
      <c r="H18" s="284"/>
      <c r="I18" s="284"/>
      <c r="J18" s="284"/>
      <c r="K18" s="297"/>
      <c r="L18" s="274"/>
      <c r="M18" s="312"/>
      <c r="N18" s="312"/>
      <c r="O18" s="284"/>
      <c r="P18" s="268"/>
      <c r="Q18" s="271"/>
      <c r="R18" s="274"/>
      <c r="S18" s="274"/>
      <c r="T18" s="274"/>
    </row>
    <row r="19" spans="1:20" ht="15.75">
      <c r="A19" s="5">
        <v>8</v>
      </c>
      <c r="B19" s="17" t="s">
        <v>5</v>
      </c>
      <c r="C19" s="295" t="s">
        <v>126</v>
      </c>
      <c r="D19" s="311"/>
      <c r="E19" s="266">
        <v>40</v>
      </c>
      <c r="F19" s="282">
        <v>52</v>
      </c>
      <c r="G19" s="296">
        <v>154</v>
      </c>
      <c r="H19" s="282">
        <v>40</v>
      </c>
      <c r="I19" s="282"/>
      <c r="J19" s="282">
        <v>40</v>
      </c>
      <c r="K19" s="294">
        <v>16.74</v>
      </c>
      <c r="L19" s="272">
        <f>I19*K19</f>
        <v>0</v>
      </c>
      <c r="M19" s="312"/>
      <c r="N19" s="312"/>
      <c r="O19" s="282">
        <f>F19+G19-H19</f>
        <v>166</v>
      </c>
      <c r="P19" s="266">
        <f>E19+I19-J19</f>
        <v>0</v>
      </c>
      <c r="Q19" s="269">
        <v>12</v>
      </c>
      <c r="R19" s="272">
        <f>K19/1.12</f>
        <v>14.94642857142857</v>
      </c>
      <c r="S19" s="272">
        <f>K19-R19</f>
        <v>1.793571428571429</v>
      </c>
      <c r="T19" s="272">
        <f>I19*S19</f>
        <v>0</v>
      </c>
    </row>
    <row r="20" spans="1:20" ht="15.75">
      <c r="A20" s="5">
        <v>9</v>
      </c>
      <c r="B20" s="17" t="s">
        <v>19</v>
      </c>
      <c r="C20" s="295"/>
      <c r="D20" s="311"/>
      <c r="E20" s="268"/>
      <c r="F20" s="284"/>
      <c r="G20" s="296"/>
      <c r="H20" s="284"/>
      <c r="I20" s="284"/>
      <c r="J20" s="284"/>
      <c r="K20" s="297"/>
      <c r="L20" s="274"/>
      <c r="M20" s="312"/>
      <c r="N20" s="312"/>
      <c r="O20" s="284"/>
      <c r="P20" s="268"/>
      <c r="Q20" s="271"/>
      <c r="R20" s="274"/>
      <c r="S20" s="274"/>
      <c r="T20" s="274"/>
    </row>
    <row r="21" spans="1:20" ht="15.75">
      <c r="A21" s="5">
        <v>10</v>
      </c>
      <c r="B21" s="17" t="s">
        <v>20</v>
      </c>
      <c r="C21" s="295" t="s">
        <v>117</v>
      </c>
      <c r="D21" s="297" t="s">
        <v>104</v>
      </c>
      <c r="E21" s="266">
        <v>543</v>
      </c>
      <c r="F21" s="282">
        <v>177</v>
      </c>
      <c r="G21" s="296">
        <v>359</v>
      </c>
      <c r="H21" s="282">
        <v>290</v>
      </c>
      <c r="I21" s="282"/>
      <c r="J21" s="282">
        <f>H21*1.5</f>
        <v>435</v>
      </c>
      <c r="K21" s="294">
        <v>9.9</v>
      </c>
      <c r="L21" s="272">
        <f>I21*K21</f>
        <v>0</v>
      </c>
      <c r="M21" s="312"/>
      <c r="N21" s="312"/>
      <c r="O21" s="282">
        <f>F21+G21-H21</f>
        <v>246</v>
      </c>
      <c r="P21" s="266">
        <f>E21+I21-J21</f>
        <v>108</v>
      </c>
      <c r="Q21" s="269">
        <v>12</v>
      </c>
      <c r="R21" s="272">
        <f>K21/1.12</f>
        <v>8.839285714285714</v>
      </c>
      <c r="S21" s="272">
        <f>K21-R21</f>
        <v>1.0607142857142868</v>
      </c>
      <c r="T21" s="272">
        <f>I21*S21</f>
        <v>0</v>
      </c>
    </row>
    <row r="22" spans="1:20" ht="31.5">
      <c r="A22" s="5">
        <v>11</v>
      </c>
      <c r="B22" s="17" t="s">
        <v>87</v>
      </c>
      <c r="C22" s="295"/>
      <c r="D22" s="297"/>
      <c r="E22" s="267"/>
      <c r="F22" s="283"/>
      <c r="G22" s="297"/>
      <c r="H22" s="283"/>
      <c r="I22" s="283"/>
      <c r="J22" s="283"/>
      <c r="K22" s="294"/>
      <c r="L22" s="273"/>
      <c r="M22" s="312"/>
      <c r="N22" s="312"/>
      <c r="O22" s="283"/>
      <c r="P22" s="267"/>
      <c r="Q22" s="270"/>
      <c r="R22" s="273"/>
      <c r="S22" s="273"/>
      <c r="T22" s="273"/>
    </row>
    <row r="23" spans="1:20" ht="15.75">
      <c r="A23" s="5">
        <v>12</v>
      </c>
      <c r="B23" s="17" t="s">
        <v>21</v>
      </c>
      <c r="C23" s="295"/>
      <c r="D23" s="297"/>
      <c r="E23" s="267"/>
      <c r="F23" s="283"/>
      <c r="G23" s="297"/>
      <c r="H23" s="283"/>
      <c r="I23" s="283"/>
      <c r="J23" s="283"/>
      <c r="K23" s="294"/>
      <c r="L23" s="273"/>
      <c r="M23" s="312"/>
      <c r="N23" s="312"/>
      <c r="O23" s="283"/>
      <c r="P23" s="267"/>
      <c r="Q23" s="270"/>
      <c r="R23" s="273"/>
      <c r="S23" s="273"/>
      <c r="T23" s="273"/>
    </row>
    <row r="24" spans="1:20" ht="31.5">
      <c r="A24" s="5">
        <v>13</v>
      </c>
      <c r="B24" s="17" t="s">
        <v>88</v>
      </c>
      <c r="C24" s="295"/>
      <c r="D24" s="297"/>
      <c r="E24" s="267"/>
      <c r="F24" s="283"/>
      <c r="G24" s="297"/>
      <c r="H24" s="283"/>
      <c r="I24" s="283"/>
      <c r="J24" s="283"/>
      <c r="K24" s="294"/>
      <c r="L24" s="273"/>
      <c r="M24" s="312"/>
      <c r="N24" s="312"/>
      <c r="O24" s="283"/>
      <c r="P24" s="267"/>
      <c r="Q24" s="270"/>
      <c r="R24" s="273"/>
      <c r="S24" s="273"/>
      <c r="T24" s="273"/>
    </row>
    <row r="25" spans="1:20" ht="15.75">
      <c r="A25" s="5">
        <v>14</v>
      </c>
      <c r="B25" s="17" t="s">
        <v>22</v>
      </c>
      <c r="C25" s="295"/>
      <c r="D25" s="297"/>
      <c r="E25" s="268"/>
      <c r="F25" s="284"/>
      <c r="G25" s="297"/>
      <c r="H25" s="284"/>
      <c r="I25" s="284"/>
      <c r="J25" s="284"/>
      <c r="K25" s="294"/>
      <c r="L25" s="274"/>
      <c r="M25" s="312"/>
      <c r="N25" s="312"/>
      <c r="O25" s="284"/>
      <c r="P25" s="268"/>
      <c r="Q25" s="271"/>
      <c r="R25" s="274"/>
      <c r="S25" s="274"/>
      <c r="T25" s="274"/>
    </row>
    <row r="26" spans="1:20" ht="15.75">
      <c r="A26" s="5">
        <v>15</v>
      </c>
      <c r="B26" s="17" t="s">
        <v>23</v>
      </c>
      <c r="C26" s="308" t="s">
        <v>119</v>
      </c>
      <c r="D26" s="311" t="s">
        <v>104</v>
      </c>
      <c r="E26" s="266">
        <v>38</v>
      </c>
      <c r="F26" s="282">
        <v>66</v>
      </c>
      <c r="G26" s="282">
        <v>147</v>
      </c>
      <c r="H26" s="282">
        <v>38</v>
      </c>
      <c r="I26" s="282"/>
      <c r="J26" s="282">
        <v>38</v>
      </c>
      <c r="K26" s="272">
        <v>155.93</v>
      </c>
      <c r="L26" s="272">
        <f>I26*K26</f>
        <v>0</v>
      </c>
      <c r="M26" s="312"/>
      <c r="N26" s="312"/>
      <c r="O26" s="282">
        <f>F26+G26-H26</f>
        <v>175</v>
      </c>
      <c r="P26" s="266">
        <f>E26+I26-J26</f>
        <v>0</v>
      </c>
      <c r="Q26" s="269">
        <v>12</v>
      </c>
      <c r="R26" s="272">
        <f>K26/1.12</f>
        <v>139.22321428571428</v>
      </c>
      <c r="S26" s="272">
        <f>K26-R26</f>
        <v>16.70678571428573</v>
      </c>
      <c r="T26" s="272">
        <f>I26*S26</f>
        <v>0</v>
      </c>
    </row>
    <row r="27" spans="1:20" ht="15.75">
      <c r="A27" s="5">
        <v>16</v>
      </c>
      <c r="B27" s="17" t="s">
        <v>24</v>
      </c>
      <c r="C27" s="309"/>
      <c r="D27" s="311"/>
      <c r="E27" s="267"/>
      <c r="F27" s="283"/>
      <c r="G27" s="283"/>
      <c r="H27" s="283"/>
      <c r="I27" s="283"/>
      <c r="J27" s="283"/>
      <c r="K27" s="273"/>
      <c r="L27" s="273"/>
      <c r="M27" s="312"/>
      <c r="N27" s="312"/>
      <c r="O27" s="283"/>
      <c r="P27" s="267"/>
      <c r="Q27" s="270"/>
      <c r="R27" s="273"/>
      <c r="S27" s="273"/>
      <c r="T27" s="273"/>
    </row>
    <row r="28" spans="1:20" ht="31.5">
      <c r="A28" s="5">
        <v>17</v>
      </c>
      <c r="B28" s="17" t="s">
        <v>77</v>
      </c>
      <c r="C28" s="309"/>
      <c r="D28" s="311"/>
      <c r="E28" s="267"/>
      <c r="F28" s="283"/>
      <c r="G28" s="283"/>
      <c r="H28" s="283"/>
      <c r="I28" s="283"/>
      <c r="J28" s="283"/>
      <c r="K28" s="273"/>
      <c r="L28" s="273"/>
      <c r="M28" s="312"/>
      <c r="N28" s="312"/>
      <c r="O28" s="283"/>
      <c r="P28" s="267"/>
      <c r="Q28" s="270"/>
      <c r="R28" s="273"/>
      <c r="S28" s="273"/>
      <c r="T28" s="273"/>
    </row>
    <row r="29" spans="1:20" ht="15.75">
      <c r="A29" s="5">
        <v>18</v>
      </c>
      <c r="B29" s="17" t="s">
        <v>25</v>
      </c>
      <c r="C29" s="309"/>
      <c r="D29" s="311"/>
      <c r="E29" s="267"/>
      <c r="F29" s="283"/>
      <c r="G29" s="283"/>
      <c r="H29" s="283"/>
      <c r="I29" s="283"/>
      <c r="J29" s="283"/>
      <c r="K29" s="273"/>
      <c r="L29" s="273"/>
      <c r="M29" s="312"/>
      <c r="N29" s="312"/>
      <c r="O29" s="283"/>
      <c r="P29" s="267"/>
      <c r="Q29" s="270"/>
      <c r="R29" s="273"/>
      <c r="S29" s="273"/>
      <c r="T29" s="273"/>
    </row>
    <row r="30" spans="1:20" ht="15.75">
      <c r="A30" s="5">
        <v>19</v>
      </c>
      <c r="B30" s="17" t="s">
        <v>17</v>
      </c>
      <c r="C30" s="309"/>
      <c r="D30" s="311"/>
      <c r="E30" s="267"/>
      <c r="F30" s="283"/>
      <c r="G30" s="283"/>
      <c r="H30" s="283"/>
      <c r="I30" s="283"/>
      <c r="J30" s="283"/>
      <c r="K30" s="273"/>
      <c r="L30" s="273"/>
      <c r="M30" s="312"/>
      <c r="N30" s="312"/>
      <c r="O30" s="283"/>
      <c r="P30" s="267"/>
      <c r="Q30" s="270"/>
      <c r="R30" s="273"/>
      <c r="S30" s="273"/>
      <c r="T30" s="273"/>
    </row>
    <row r="31" spans="1:20" ht="15.75">
      <c r="A31" s="5">
        <v>20</v>
      </c>
      <c r="B31" s="17" t="s">
        <v>157</v>
      </c>
      <c r="C31" s="310"/>
      <c r="D31" s="311"/>
      <c r="E31" s="268"/>
      <c r="F31" s="284"/>
      <c r="G31" s="284"/>
      <c r="H31" s="284"/>
      <c r="I31" s="284"/>
      <c r="J31" s="284"/>
      <c r="K31" s="274"/>
      <c r="L31" s="274"/>
      <c r="M31" s="312"/>
      <c r="N31" s="312"/>
      <c r="O31" s="284"/>
      <c r="P31" s="268"/>
      <c r="Q31" s="271"/>
      <c r="R31" s="274"/>
      <c r="S31" s="274"/>
      <c r="T31" s="274"/>
    </row>
    <row r="32" spans="1:20" ht="15.75">
      <c r="A32" s="5">
        <v>21</v>
      </c>
      <c r="B32" s="17" t="s">
        <v>1</v>
      </c>
      <c r="C32" s="298" t="s">
        <v>123</v>
      </c>
      <c r="D32" s="311"/>
      <c r="E32" s="266">
        <v>112</v>
      </c>
      <c r="F32" s="282">
        <v>71</v>
      </c>
      <c r="G32" s="282">
        <v>219</v>
      </c>
      <c r="H32" s="282">
        <v>112</v>
      </c>
      <c r="I32" s="282"/>
      <c r="J32" s="282">
        <v>112</v>
      </c>
      <c r="K32" s="272">
        <v>19.17</v>
      </c>
      <c r="L32" s="272">
        <f>I32*K32</f>
        <v>0</v>
      </c>
      <c r="M32" s="312"/>
      <c r="N32" s="312"/>
      <c r="O32" s="282">
        <f>F32+G32-H32</f>
        <v>178</v>
      </c>
      <c r="P32" s="266">
        <f>E32+I32-J32</f>
        <v>0</v>
      </c>
      <c r="Q32" s="269">
        <v>12</v>
      </c>
      <c r="R32" s="272">
        <v>14.38392857142857</v>
      </c>
      <c r="S32" s="272">
        <v>1.72607142857143</v>
      </c>
      <c r="T32" s="272">
        <f>I32*S32</f>
        <v>0</v>
      </c>
    </row>
    <row r="33" spans="1:20" ht="15.75">
      <c r="A33" s="5">
        <v>22</v>
      </c>
      <c r="B33" s="17" t="s">
        <v>158</v>
      </c>
      <c r="C33" s="300"/>
      <c r="D33" s="311"/>
      <c r="E33" s="268"/>
      <c r="F33" s="284"/>
      <c r="G33" s="284"/>
      <c r="H33" s="284"/>
      <c r="I33" s="284"/>
      <c r="J33" s="284"/>
      <c r="K33" s="274"/>
      <c r="L33" s="274"/>
      <c r="M33" s="312"/>
      <c r="N33" s="312"/>
      <c r="O33" s="284"/>
      <c r="P33" s="268"/>
      <c r="Q33" s="271"/>
      <c r="R33" s="274"/>
      <c r="S33" s="274"/>
      <c r="T33" s="274"/>
    </row>
    <row r="34" spans="1:20" ht="15.75">
      <c r="A34" s="5">
        <v>23</v>
      </c>
      <c r="B34" s="17" t="s">
        <v>26</v>
      </c>
      <c r="C34" s="295" t="s">
        <v>124</v>
      </c>
      <c r="D34" s="311"/>
      <c r="E34" s="266">
        <v>201</v>
      </c>
      <c r="F34" s="282">
        <v>68</v>
      </c>
      <c r="G34" s="296">
        <v>206</v>
      </c>
      <c r="H34" s="282">
        <v>201</v>
      </c>
      <c r="I34" s="282"/>
      <c r="J34" s="282">
        <v>201</v>
      </c>
      <c r="K34" s="294">
        <v>68.8</v>
      </c>
      <c r="L34" s="272">
        <f>I34*K34</f>
        <v>0</v>
      </c>
      <c r="M34" s="312"/>
      <c r="N34" s="312"/>
      <c r="O34" s="282">
        <f>F34+G34-H34</f>
        <v>73</v>
      </c>
      <c r="P34" s="266">
        <f>E34+I34-J34</f>
        <v>0</v>
      </c>
      <c r="Q34" s="269">
        <v>12</v>
      </c>
      <c r="R34" s="272">
        <f>K34/1.12</f>
        <v>61.42857142857142</v>
      </c>
      <c r="S34" s="272">
        <f>K34-R34</f>
        <v>7.371428571428574</v>
      </c>
      <c r="T34" s="272">
        <f>I34*S34</f>
        <v>0</v>
      </c>
    </row>
    <row r="35" spans="1:20" ht="31.5">
      <c r="A35" s="5">
        <v>24</v>
      </c>
      <c r="B35" s="17" t="s">
        <v>61</v>
      </c>
      <c r="C35" s="295"/>
      <c r="D35" s="311"/>
      <c r="E35" s="267"/>
      <c r="F35" s="283"/>
      <c r="G35" s="297"/>
      <c r="H35" s="283"/>
      <c r="I35" s="283"/>
      <c r="J35" s="283"/>
      <c r="K35" s="297"/>
      <c r="L35" s="273"/>
      <c r="M35" s="312"/>
      <c r="N35" s="312"/>
      <c r="O35" s="283"/>
      <c r="P35" s="267"/>
      <c r="Q35" s="270"/>
      <c r="R35" s="273"/>
      <c r="S35" s="273"/>
      <c r="T35" s="273"/>
    </row>
    <row r="36" spans="1:20" ht="15.75">
      <c r="A36" s="5">
        <v>25</v>
      </c>
      <c r="B36" s="17" t="s">
        <v>27</v>
      </c>
      <c r="C36" s="295"/>
      <c r="D36" s="311"/>
      <c r="E36" s="268"/>
      <c r="F36" s="284"/>
      <c r="G36" s="297"/>
      <c r="H36" s="284"/>
      <c r="I36" s="284"/>
      <c r="J36" s="284"/>
      <c r="K36" s="297"/>
      <c r="L36" s="274"/>
      <c r="M36" s="312"/>
      <c r="N36" s="312"/>
      <c r="O36" s="284"/>
      <c r="P36" s="268"/>
      <c r="Q36" s="271"/>
      <c r="R36" s="274"/>
      <c r="S36" s="274"/>
      <c r="T36" s="274"/>
    </row>
    <row r="37" spans="1:20" ht="31.5">
      <c r="A37" s="5">
        <v>26</v>
      </c>
      <c r="B37" s="17" t="s">
        <v>13</v>
      </c>
      <c r="C37" s="295" t="s">
        <v>120</v>
      </c>
      <c r="D37" s="307" t="s">
        <v>104</v>
      </c>
      <c r="E37" s="266">
        <v>391</v>
      </c>
      <c r="F37" s="282">
        <v>23</v>
      </c>
      <c r="G37" s="296">
        <v>82</v>
      </c>
      <c r="H37" s="282">
        <v>88</v>
      </c>
      <c r="I37" s="282"/>
      <c r="J37" s="282">
        <v>176</v>
      </c>
      <c r="K37" s="294">
        <v>94.17</v>
      </c>
      <c r="L37" s="272">
        <f>I37*K37</f>
        <v>0</v>
      </c>
      <c r="M37" s="312"/>
      <c r="N37" s="312"/>
      <c r="O37" s="282">
        <f>F37+G37-H37</f>
        <v>17</v>
      </c>
      <c r="P37" s="266">
        <f>E37+I37-J37</f>
        <v>215</v>
      </c>
      <c r="Q37" s="269">
        <v>12</v>
      </c>
      <c r="R37" s="272">
        <f>K37/1.12</f>
        <v>84.08035714285714</v>
      </c>
      <c r="S37" s="272">
        <f>K37-R37</f>
        <v>10.089642857142863</v>
      </c>
      <c r="T37" s="272">
        <f>I37*S37</f>
        <v>0</v>
      </c>
    </row>
    <row r="38" spans="1:20" ht="31.5">
      <c r="A38" s="5">
        <v>27</v>
      </c>
      <c r="B38" s="17" t="s">
        <v>89</v>
      </c>
      <c r="C38" s="295"/>
      <c r="D38" s="307"/>
      <c r="E38" s="268"/>
      <c r="F38" s="284"/>
      <c r="G38" s="296"/>
      <c r="H38" s="284"/>
      <c r="I38" s="284"/>
      <c r="J38" s="284"/>
      <c r="K38" s="294"/>
      <c r="L38" s="274"/>
      <c r="M38" s="312"/>
      <c r="N38" s="312"/>
      <c r="O38" s="284"/>
      <c r="P38" s="268"/>
      <c r="Q38" s="271"/>
      <c r="R38" s="274"/>
      <c r="S38" s="274"/>
      <c r="T38" s="274"/>
    </row>
    <row r="39" spans="1:20" ht="31.5">
      <c r="A39" s="5">
        <v>28</v>
      </c>
      <c r="B39" s="48" t="s">
        <v>15</v>
      </c>
      <c r="C39" s="285" t="s">
        <v>125</v>
      </c>
      <c r="D39" s="286" t="s">
        <v>105</v>
      </c>
      <c r="E39" s="266">
        <v>637</v>
      </c>
      <c r="F39" s="282">
        <v>19</v>
      </c>
      <c r="G39" s="290">
        <v>101</v>
      </c>
      <c r="H39" s="278">
        <v>118</v>
      </c>
      <c r="I39" s="278"/>
      <c r="J39" s="278">
        <v>177</v>
      </c>
      <c r="K39" s="281">
        <v>64.96</v>
      </c>
      <c r="L39" s="291">
        <f>I39*K39</f>
        <v>0</v>
      </c>
      <c r="M39" s="312"/>
      <c r="N39" s="312"/>
      <c r="O39" s="282">
        <f>F39+G39-H39</f>
        <v>2</v>
      </c>
      <c r="P39" s="266">
        <f>E39+I39-J39</f>
        <v>460</v>
      </c>
      <c r="Q39" s="269">
        <v>12</v>
      </c>
      <c r="R39" s="272">
        <f>K39/1.12</f>
        <v>57.999999999999986</v>
      </c>
      <c r="S39" s="272">
        <f>K39-R39</f>
        <v>6.960000000000008</v>
      </c>
      <c r="T39" s="272">
        <f>I39*S39</f>
        <v>0</v>
      </c>
    </row>
    <row r="40" spans="1:20" ht="15.75">
      <c r="A40" s="5">
        <v>29</v>
      </c>
      <c r="B40" s="48" t="s">
        <v>59</v>
      </c>
      <c r="C40" s="285"/>
      <c r="D40" s="286"/>
      <c r="E40" s="268"/>
      <c r="F40" s="284"/>
      <c r="G40" s="290"/>
      <c r="H40" s="280"/>
      <c r="I40" s="280"/>
      <c r="J40" s="280"/>
      <c r="K40" s="281"/>
      <c r="L40" s="293"/>
      <c r="M40" s="312"/>
      <c r="N40" s="312"/>
      <c r="O40" s="284"/>
      <c r="P40" s="268"/>
      <c r="Q40" s="271"/>
      <c r="R40" s="274"/>
      <c r="S40" s="274"/>
      <c r="T40" s="274"/>
    </row>
    <row r="41" spans="1:20" ht="15.75">
      <c r="A41" s="5">
        <v>30</v>
      </c>
      <c r="B41" s="48" t="s">
        <v>62</v>
      </c>
      <c r="C41" s="92" t="s">
        <v>122</v>
      </c>
      <c r="D41" s="93" t="s">
        <v>111</v>
      </c>
      <c r="E41" s="37">
        <v>1075</v>
      </c>
      <c r="F41" s="15">
        <v>7</v>
      </c>
      <c r="G41" s="96">
        <v>58</v>
      </c>
      <c r="H41" s="96">
        <v>65</v>
      </c>
      <c r="I41" s="96"/>
      <c r="J41" s="96">
        <v>65</v>
      </c>
      <c r="K41" s="94">
        <v>8.54</v>
      </c>
      <c r="L41" s="16">
        <f>I41*K41</f>
        <v>0</v>
      </c>
      <c r="M41" s="312"/>
      <c r="N41" s="312"/>
      <c r="O41" s="15">
        <f>F41+G41-H41</f>
        <v>0</v>
      </c>
      <c r="P41" s="37">
        <f>E41+I41-J41</f>
        <v>1010</v>
      </c>
      <c r="Q41" s="5">
        <v>12</v>
      </c>
      <c r="R41" s="16">
        <f>K41/1.12</f>
        <v>7.624999999999998</v>
      </c>
      <c r="S41" s="16">
        <f>K41-R41</f>
        <v>0.9150000000000009</v>
      </c>
      <c r="T41" s="16">
        <f>I41*S41</f>
        <v>0</v>
      </c>
    </row>
    <row r="42" spans="1:20" ht="15.75">
      <c r="A42" s="5">
        <v>31</v>
      </c>
      <c r="B42" s="66" t="s">
        <v>180</v>
      </c>
      <c r="C42" s="304" t="s">
        <v>185</v>
      </c>
      <c r="D42" s="63"/>
      <c r="E42" s="23">
        <v>0</v>
      </c>
      <c r="F42" s="23">
        <v>0</v>
      </c>
      <c r="G42" s="55">
        <v>15</v>
      </c>
      <c r="H42" s="23"/>
      <c r="I42" s="23"/>
      <c r="J42" s="23"/>
      <c r="K42" s="94">
        <v>3000</v>
      </c>
      <c r="L42" s="16">
        <f>I42*K42</f>
        <v>0</v>
      </c>
      <c r="M42" s="312"/>
      <c r="N42" s="312"/>
      <c r="O42" s="15">
        <f>F42+G42-H42</f>
        <v>15</v>
      </c>
      <c r="P42" s="37">
        <f>E42+I42-J42</f>
        <v>0</v>
      </c>
      <c r="Q42" s="5">
        <v>12</v>
      </c>
      <c r="R42" s="16">
        <f>K42/1.12</f>
        <v>2678.5714285714284</v>
      </c>
      <c r="S42" s="16">
        <f>K42-R42</f>
        <v>321.42857142857156</v>
      </c>
      <c r="T42" s="16">
        <f>I42*S42</f>
        <v>0</v>
      </c>
    </row>
    <row r="43" spans="1:20" ht="15.75">
      <c r="A43" s="5">
        <v>32</v>
      </c>
      <c r="B43" s="48" t="s">
        <v>181</v>
      </c>
      <c r="C43" s="305"/>
      <c r="D43" s="63"/>
      <c r="E43" s="23">
        <v>0</v>
      </c>
      <c r="F43" s="23">
        <v>0</v>
      </c>
      <c r="G43" s="55">
        <v>15</v>
      </c>
      <c r="H43" s="23"/>
      <c r="I43" s="23"/>
      <c r="J43" s="23"/>
      <c r="K43" s="94">
        <v>2500</v>
      </c>
      <c r="L43" s="16">
        <f>I43*K43</f>
        <v>0</v>
      </c>
      <c r="M43" s="312"/>
      <c r="N43" s="312"/>
      <c r="O43" s="15">
        <f>F43+G43-H43</f>
        <v>15</v>
      </c>
      <c r="P43" s="37">
        <f>E43+I43-J43</f>
        <v>0</v>
      </c>
      <c r="Q43" s="5">
        <v>12</v>
      </c>
      <c r="R43" s="16">
        <f>K43/1.12</f>
        <v>2232.142857142857</v>
      </c>
      <c r="S43" s="16">
        <f>K43-R43</f>
        <v>267.8571428571431</v>
      </c>
      <c r="T43" s="16">
        <f>I43*S43</f>
        <v>0</v>
      </c>
    </row>
    <row r="44" spans="1:20" ht="15.75">
      <c r="A44" s="306" t="s">
        <v>103</v>
      </c>
      <c r="B44" s="306"/>
      <c r="C44" s="306"/>
      <c r="D44" s="306"/>
      <c r="E44" s="11">
        <f aca="true" t="shared" si="2" ref="E44:L44">SUM(E45:E104)</f>
        <v>1532</v>
      </c>
      <c r="F44" s="11">
        <f t="shared" si="2"/>
        <v>1551</v>
      </c>
      <c r="G44" s="11">
        <f t="shared" si="2"/>
        <v>2663</v>
      </c>
      <c r="H44" s="11">
        <f t="shared" si="2"/>
        <v>3996</v>
      </c>
      <c r="I44" s="11">
        <f t="shared" si="2"/>
        <v>2812</v>
      </c>
      <c r="J44" s="11">
        <f t="shared" si="2"/>
        <v>4065</v>
      </c>
      <c r="K44" s="11">
        <f t="shared" si="2"/>
        <v>22781.500000000004</v>
      </c>
      <c r="L44" s="11">
        <f t="shared" si="2"/>
        <v>1959468.35</v>
      </c>
      <c r="M44" s="312"/>
      <c r="N44" s="312"/>
      <c r="O44" s="11">
        <f>SUM(O45:O104)</f>
        <v>218</v>
      </c>
      <c r="P44" s="11">
        <f>SUM(P45:P104)</f>
        <v>279</v>
      </c>
      <c r="Q44" s="11" t="s">
        <v>112</v>
      </c>
      <c r="R44" s="21">
        <f>SUM(R45:R104)</f>
        <v>20340.625</v>
      </c>
      <c r="S44" s="21">
        <f>SUM(S45:S104)</f>
        <v>2440.875000000002</v>
      </c>
      <c r="T44" s="21">
        <f>SUM(T45:T104)</f>
        <v>208279.50000000012</v>
      </c>
    </row>
    <row r="45" spans="1:20" ht="15.75">
      <c r="A45" s="5">
        <v>33</v>
      </c>
      <c r="B45" s="17" t="s">
        <v>2</v>
      </c>
      <c r="C45" s="295" t="s">
        <v>132</v>
      </c>
      <c r="D45" s="264" t="s">
        <v>104</v>
      </c>
      <c r="E45" s="302">
        <v>73</v>
      </c>
      <c r="F45" s="296">
        <v>32</v>
      </c>
      <c r="G45" s="296">
        <v>119</v>
      </c>
      <c r="H45" s="282">
        <v>138</v>
      </c>
      <c r="I45" s="282">
        <v>147</v>
      </c>
      <c r="J45" s="282">
        <v>207</v>
      </c>
      <c r="K45" s="294">
        <v>26.27</v>
      </c>
      <c r="L45" s="272">
        <f>I45*K45</f>
        <v>3861.69</v>
      </c>
      <c r="M45" s="312"/>
      <c r="N45" s="312"/>
      <c r="O45" s="282">
        <f>F45+G45-H45</f>
        <v>13</v>
      </c>
      <c r="P45" s="266">
        <f>E45+I45-J45</f>
        <v>13</v>
      </c>
      <c r="Q45" s="269">
        <v>12</v>
      </c>
      <c r="R45" s="272">
        <f>K45/1.12</f>
        <v>23.45535714285714</v>
      </c>
      <c r="S45" s="272">
        <f>K45-R45</f>
        <v>2.8146428571428608</v>
      </c>
      <c r="T45" s="272">
        <f>I45*S45</f>
        <v>413.7525000000005</v>
      </c>
    </row>
    <row r="46" spans="1:20" ht="15.75">
      <c r="A46" s="5">
        <v>34</v>
      </c>
      <c r="B46" s="17" t="s">
        <v>90</v>
      </c>
      <c r="C46" s="295"/>
      <c r="D46" s="265"/>
      <c r="E46" s="303"/>
      <c r="F46" s="297"/>
      <c r="G46" s="296"/>
      <c r="H46" s="284"/>
      <c r="I46" s="284"/>
      <c r="J46" s="284"/>
      <c r="K46" s="294"/>
      <c r="L46" s="274"/>
      <c r="M46" s="312"/>
      <c r="N46" s="312"/>
      <c r="O46" s="271"/>
      <c r="P46" s="268"/>
      <c r="Q46" s="271"/>
      <c r="R46" s="274"/>
      <c r="S46" s="274"/>
      <c r="T46" s="274"/>
    </row>
    <row r="47" spans="1:20" ht="15.75">
      <c r="A47" s="5">
        <v>35</v>
      </c>
      <c r="B47" s="17" t="s">
        <v>7</v>
      </c>
      <c r="C47" s="295" t="s">
        <v>134</v>
      </c>
      <c r="D47" s="264" t="s">
        <v>104</v>
      </c>
      <c r="E47" s="302">
        <v>87</v>
      </c>
      <c r="F47" s="296">
        <v>124</v>
      </c>
      <c r="G47" s="296">
        <v>209</v>
      </c>
      <c r="H47" s="282">
        <v>316</v>
      </c>
      <c r="I47" s="282">
        <v>246</v>
      </c>
      <c r="J47" s="282">
        <v>316</v>
      </c>
      <c r="K47" s="294">
        <v>20.95</v>
      </c>
      <c r="L47" s="272">
        <f>I47*K47</f>
        <v>5153.7</v>
      </c>
      <c r="M47" s="312"/>
      <c r="N47" s="312"/>
      <c r="O47" s="282">
        <f>F47+G47-H47</f>
        <v>17</v>
      </c>
      <c r="P47" s="266">
        <f>E47+I47-J47</f>
        <v>17</v>
      </c>
      <c r="Q47" s="269">
        <v>12</v>
      </c>
      <c r="R47" s="272">
        <f>K47/1.12</f>
        <v>18.70535714285714</v>
      </c>
      <c r="S47" s="272">
        <f>K47-R47</f>
        <v>2.2446428571428605</v>
      </c>
      <c r="T47" s="272">
        <f>I47*S47</f>
        <v>552.1821428571437</v>
      </c>
    </row>
    <row r="48" spans="1:20" ht="31.5">
      <c r="A48" s="5">
        <v>36</v>
      </c>
      <c r="B48" s="17" t="s">
        <v>78</v>
      </c>
      <c r="C48" s="295"/>
      <c r="D48" s="264"/>
      <c r="E48" s="303"/>
      <c r="F48" s="297"/>
      <c r="G48" s="296"/>
      <c r="H48" s="283"/>
      <c r="I48" s="283"/>
      <c r="J48" s="283"/>
      <c r="K48" s="294"/>
      <c r="L48" s="273"/>
      <c r="M48" s="312"/>
      <c r="N48" s="312"/>
      <c r="O48" s="270"/>
      <c r="P48" s="267"/>
      <c r="Q48" s="270"/>
      <c r="R48" s="273"/>
      <c r="S48" s="273"/>
      <c r="T48" s="273"/>
    </row>
    <row r="49" spans="1:20" ht="15.75">
      <c r="A49" s="5">
        <v>37</v>
      </c>
      <c r="B49" s="17" t="s">
        <v>31</v>
      </c>
      <c r="C49" s="295"/>
      <c r="D49" s="264"/>
      <c r="E49" s="303"/>
      <c r="F49" s="297"/>
      <c r="G49" s="296"/>
      <c r="H49" s="284"/>
      <c r="I49" s="284"/>
      <c r="J49" s="284"/>
      <c r="K49" s="297"/>
      <c r="L49" s="274"/>
      <c r="M49" s="312"/>
      <c r="N49" s="312"/>
      <c r="O49" s="271"/>
      <c r="P49" s="268"/>
      <c r="Q49" s="271"/>
      <c r="R49" s="274"/>
      <c r="S49" s="274"/>
      <c r="T49" s="274"/>
    </row>
    <row r="50" spans="1:20" ht="15.75">
      <c r="A50" s="5">
        <v>38</v>
      </c>
      <c r="B50" s="17" t="s">
        <v>8</v>
      </c>
      <c r="C50" s="295" t="s">
        <v>133</v>
      </c>
      <c r="D50" s="264" t="s">
        <v>104</v>
      </c>
      <c r="E50" s="302">
        <v>125</v>
      </c>
      <c r="F50" s="296">
        <v>202</v>
      </c>
      <c r="G50" s="296">
        <v>389</v>
      </c>
      <c r="H50" s="282">
        <v>581</v>
      </c>
      <c r="I50" s="282">
        <v>465</v>
      </c>
      <c r="J50" s="282">
        <v>581</v>
      </c>
      <c r="K50" s="294">
        <v>51.16</v>
      </c>
      <c r="L50" s="272">
        <f>I50*K50</f>
        <v>23789.399999999998</v>
      </c>
      <c r="M50" s="312"/>
      <c r="N50" s="312"/>
      <c r="O50" s="282">
        <f>F50+G50-H50</f>
        <v>10</v>
      </c>
      <c r="P50" s="266">
        <f>E50+I50-J50</f>
        <v>9</v>
      </c>
      <c r="Q50" s="269">
        <v>12</v>
      </c>
      <c r="R50" s="272">
        <f>K50/1.12</f>
        <v>45.67857142857142</v>
      </c>
      <c r="S50" s="272">
        <f>K50-R50</f>
        <v>5.481428571428573</v>
      </c>
      <c r="T50" s="272">
        <f>I50*S50</f>
        <v>2548.8642857142863</v>
      </c>
    </row>
    <row r="51" spans="1:20" ht="15.75">
      <c r="A51" s="5">
        <v>39</v>
      </c>
      <c r="B51" s="17" t="s">
        <v>32</v>
      </c>
      <c r="C51" s="295"/>
      <c r="D51" s="264"/>
      <c r="E51" s="303"/>
      <c r="F51" s="297"/>
      <c r="G51" s="296"/>
      <c r="H51" s="283"/>
      <c r="I51" s="283"/>
      <c r="J51" s="283"/>
      <c r="K51" s="294"/>
      <c r="L51" s="273"/>
      <c r="M51" s="312"/>
      <c r="N51" s="312"/>
      <c r="O51" s="270"/>
      <c r="P51" s="267"/>
      <c r="Q51" s="270"/>
      <c r="R51" s="273"/>
      <c r="S51" s="273"/>
      <c r="T51" s="273"/>
    </row>
    <row r="52" spans="1:20" ht="15.75">
      <c r="A52" s="5">
        <v>40</v>
      </c>
      <c r="B52" s="17" t="s">
        <v>33</v>
      </c>
      <c r="C52" s="295"/>
      <c r="D52" s="264"/>
      <c r="E52" s="303"/>
      <c r="F52" s="297"/>
      <c r="G52" s="296"/>
      <c r="H52" s="283"/>
      <c r="I52" s="283"/>
      <c r="J52" s="283"/>
      <c r="K52" s="294"/>
      <c r="L52" s="273"/>
      <c r="M52" s="312"/>
      <c r="N52" s="312"/>
      <c r="O52" s="270"/>
      <c r="P52" s="267"/>
      <c r="Q52" s="270"/>
      <c r="R52" s="273"/>
      <c r="S52" s="273"/>
      <c r="T52" s="273"/>
    </row>
    <row r="53" spans="1:20" ht="15.75">
      <c r="A53" s="5">
        <v>41</v>
      </c>
      <c r="B53" s="17" t="s">
        <v>79</v>
      </c>
      <c r="C53" s="295"/>
      <c r="D53" s="264"/>
      <c r="E53" s="303"/>
      <c r="F53" s="297"/>
      <c r="G53" s="296"/>
      <c r="H53" s="283"/>
      <c r="I53" s="283"/>
      <c r="J53" s="283"/>
      <c r="K53" s="294"/>
      <c r="L53" s="273"/>
      <c r="M53" s="312"/>
      <c r="N53" s="312"/>
      <c r="O53" s="270"/>
      <c r="P53" s="267"/>
      <c r="Q53" s="270"/>
      <c r="R53" s="273"/>
      <c r="S53" s="273"/>
      <c r="T53" s="273"/>
    </row>
    <row r="54" spans="1:20" ht="31.5">
      <c r="A54" s="5">
        <v>42</v>
      </c>
      <c r="B54" s="17" t="s">
        <v>80</v>
      </c>
      <c r="C54" s="295"/>
      <c r="D54" s="264"/>
      <c r="E54" s="303"/>
      <c r="F54" s="297"/>
      <c r="G54" s="296"/>
      <c r="H54" s="283"/>
      <c r="I54" s="283"/>
      <c r="J54" s="283"/>
      <c r="K54" s="294"/>
      <c r="L54" s="273"/>
      <c r="M54" s="312"/>
      <c r="N54" s="312"/>
      <c r="O54" s="270"/>
      <c r="P54" s="267"/>
      <c r="Q54" s="270"/>
      <c r="R54" s="273"/>
      <c r="S54" s="273"/>
      <c r="T54" s="273"/>
    </row>
    <row r="55" spans="1:20" ht="15.75">
      <c r="A55" s="5">
        <v>43</v>
      </c>
      <c r="B55" s="17" t="s">
        <v>81</v>
      </c>
      <c r="C55" s="295"/>
      <c r="D55" s="264"/>
      <c r="E55" s="303"/>
      <c r="F55" s="297"/>
      <c r="G55" s="296"/>
      <c r="H55" s="283"/>
      <c r="I55" s="283"/>
      <c r="J55" s="283"/>
      <c r="K55" s="294"/>
      <c r="L55" s="273"/>
      <c r="M55" s="312"/>
      <c r="N55" s="312"/>
      <c r="O55" s="270"/>
      <c r="P55" s="267"/>
      <c r="Q55" s="270"/>
      <c r="R55" s="273"/>
      <c r="S55" s="273"/>
      <c r="T55" s="273"/>
    </row>
    <row r="56" spans="1:20" ht="15.75">
      <c r="A56" s="5">
        <v>44</v>
      </c>
      <c r="B56" s="17" t="s">
        <v>34</v>
      </c>
      <c r="C56" s="295"/>
      <c r="D56" s="264"/>
      <c r="E56" s="303"/>
      <c r="F56" s="297"/>
      <c r="G56" s="296"/>
      <c r="H56" s="284"/>
      <c r="I56" s="284"/>
      <c r="J56" s="284"/>
      <c r="K56" s="294"/>
      <c r="L56" s="274"/>
      <c r="M56" s="312"/>
      <c r="N56" s="312"/>
      <c r="O56" s="271"/>
      <c r="P56" s="268"/>
      <c r="Q56" s="271"/>
      <c r="R56" s="274"/>
      <c r="S56" s="274"/>
      <c r="T56" s="274"/>
    </row>
    <row r="57" spans="1:20" ht="15.75">
      <c r="A57" s="5">
        <v>45</v>
      </c>
      <c r="B57" s="17" t="s">
        <v>10</v>
      </c>
      <c r="C57" s="295" t="s">
        <v>143</v>
      </c>
      <c r="D57" s="264" t="s">
        <v>104</v>
      </c>
      <c r="E57" s="287">
        <v>4</v>
      </c>
      <c r="F57" s="296">
        <v>16</v>
      </c>
      <c r="G57" s="296">
        <v>24</v>
      </c>
      <c r="H57" s="282">
        <v>36</v>
      </c>
      <c r="I57" s="282">
        <v>36</v>
      </c>
      <c r="J57" s="282">
        <v>36</v>
      </c>
      <c r="K57" s="294">
        <v>512.78</v>
      </c>
      <c r="L57" s="272">
        <f>I57*K57</f>
        <v>18460.079999999998</v>
      </c>
      <c r="M57" s="312"/>
      <c r="N57" s="312"/>
      <c r="O57" s="282">
        <f>F57+G57-H57</f>
        <v>4</v>
      </c>
      <c r="P57" s="266">
        <f>E57+I57-J57</f>
        <v>4</v>
      </c>
      <c r="Q57" s="269">
        <v>12</v>
      </c>
      <c r="R57" s="272">
        <f>K57/1.12</f>
        <v>457.83928571428567</v>
      </c>
      <c r="S57" s="272">
        <f>K57-R57</f>
        <v>54.94071428571431</v>
      </c>
      <c r="T57" s="272">
        <f>I57*S57</f>
        <v>1977.865714285715</v>
      </c>
    </row>
    <row r="58" spans="1:20" ht="15.75">
      <c r="A58" s="5">
        <v>46</v>
      </c>
      <c r="B58" s="17" t="s">
        <v>11</v>
      </c>
      <c r="C58" s="295"/>
      <c r="D58" s="301"/>
      <c r="E58" s="288"/>
      <c r="F58" s="297"/>
      <c r="G58" s="296"/>
      <c r="H58" s="283"/>
      <c r="I58" s="283"/>
      <c r="J58" s="283"/>
      <c r="K58" s="294"/>
      <c r="L58" s="273"/>
      <c r="M58" s="312"/>
      <c r="N58" s="312"/>
      <c r="O58" s="270"/>
      <c r="P58" s="267"/>
      <c r="Q58" s="270"/>
      <c r="R58" s="273"/>
      <c r="S58" s="273"/>
      <c r="T58" s="273"/>
    </row>
    <row r="59" spans="1:20" ht="15.75">
      <c r="A59" s="5">
        <v>47</v>
      </c>
      <c r="B59" s="17" t="s">
        <v>9</v>
      </c>
      <c r="C59" s="295"/>
      <c r="D59" s="301"/>
      <c r="E59" s="288"/>
      <c r="F59" s="297"/>
      <c r="G59" s="296"/>
      <c r="H59" s="283"/>
      <c r="I59" s="283"/>
      <c r="J59" s="283"/>
      <c r="K59" s="294"/>
      <c r="L59" s="273"/>
      <c r="M59" s="312"/>
      <c r="N59" s="312"/>
      <c r="O59" s="270"/>
      <c r="P59" s="267"/>
      <c r="Q59" s="270"/>
      <c r="R59" s="273"/>
      <c r="S59" s="273"/>
      <c r="T59" s="273"/>
    </row>
    <row r="60" spans="1:20" ht="15.75">
      <c r="A60" s="5">
        <v>48</v>
      </c>
      <c r="B60" s="17" t="s">
        <v>36</v>
      </c>
      <c r="C60" s="295"/>
      <c r="D60" s="301"/>
      <c r="E60" s="288"/>
      <c r="F60" s="297"/>
      <c r="G60" s="296"/>
      <c r="H60" s="283"/>
      <c r="I60" s="283"/>
      <c r="J60" s="283"/>
      <c r="K60" s="294"/>
      <c r="L60" s="273"/>
      <c r="M60" s="312"/>
      <c r="N60" s="312"/>
      <c r="O60" s="270"/>
      <c r="P60" s="267"/>
      <c r="Q60" s="270"/>
      <c r="R60" s="273"/>
      <c r="S60" s="273"/>
      <c r="T60" s="273"/>
    </row>
    <row r="61" spans="1:20" ht="15.75">
      <c r="A61" s="5">
        <v>49</v>
      </c>
      <c r="B61" s="17" t="s">
        <v>37</v>
      </c>
      <c r="C61" s="295"/>
      <c r="D61" s="301"/>
      <c r="E61" s="288"/>
      <c r="F61" s="297"/>
      <c r="G61" s="296"/>
      <c r="H61" s="283"/>
      <c r="I61" s="283"/>
      <c r="J61" s="283"/>
      <c r="K61" s="294"/>
      <c r="L61" s="273"/>
      <c r="M61" s="312"/>
      <c r="N61" s="312"/>
      <c r="O61" s="270"/>
      <c r="P61" s="267"/>
      <c r="Q61" s="270"/>
      <c r="R61" s="273"/>
      <c r="S61" s="273"/>
      <c r="T61" s="273"/>
    </row>
    <row r="62" spans="1:20" ht="15.75">
      <c r="A62" s="5">
        <v>50</v>
      </c>
      <c r="B62" s="17" t="s">
        <v>39</v>
      </c>
      <c r="C62" s="295"/>
      <c r="D62" s="301"/>
      <c r="E62" s="289"/>
      <c r="F62" s="297"/>
      <c r="G62" s="296"/>
      <c r="H62" s="284"/>
      <c r="I62" s="284"/>
      <c r="J62" s="284"/>
      <c r="K62" s="294"/>
      <c r="L62" s="274"/>
      <c r="M62" s="312"/>
      <c r="N62" s="312"/>
      <c r="O62" s="271"/>
      <c r="P62" s="268"/>
      <c r="Q62" s="271"/>
      <c r="R62" s="274"/>
      <c r="S62" s="274"/>
      <c r="T62" s="274"/>
    </row>
    <row r="63" spans="1:20" ht="31.5">
      <c r="A63" s="5">
        <v>51</v>
      </c>
      <c r="B63" s="17" t="s">
        <v>38</v>
      </c>
      <c r="C63" s="18" t="s">
        <v>137</v>
      </c>
      <c r="D63" s="23" t="s">
        <v>104</v>
      </c>
      <c r="E63" s="52">
        <v>6</v>
      </c>
      <c r="F63" s="15">
        <v>27</v>
      </c>
      <c r="G63" s="15">
        <v>38</v>
      </c>
      <c r="H63" s="15">
        <v>59</v>
      </c>
      <c r="I63" s="15">
        <v>59</v>
      </c>
      <c r="J63" s="15">
        <v>59</v>
      </c>
      <c r="K63" s="16">
        <v>1666.56</v>
      </c>
      <c r="L63" s="16">
        <f>I63*K63</f>
        <v>98327.04</v>
      </c>
      <c r="M63" s="312"/>
      <c r="N63" s="312"/>
      <c r="O63" s="15">
        <f>F63+G63-H63</f>
        <v>6</v>
      </c>
      <c r="P63" s="37">
        <f>E63+I63-J63</f>
        <v>6</v>
      </c>
      <c r="Q63" s="5">
        <v>12</v>
      </c>
      <c r="R63" s="16">
        <f>K63/1.12</f>
        <v>1487.9999999999998</v>
      </c>
      <c r="S63" s="16">
        <f>K63-R63</f>
        <v>178.56000000000017</v>
      </c>
      <c r="T63" s="16">
        <f>I63*S63</f>
        <v>10535.04000000001</v>
      </c>
    </row>
    <row r="64" spans="1:20" ht="15.75">
      <c r="A64" s="5">
        <v>52</v>
      </c>
      <c r="B64" s="17" t="s">
        <v>35</v>
      </c>
      <c r="C64" s="295" t="s">
        <v>141</v>
      </c>
      <c r="D64" s="297" t="s">
        <v>104</v>
      </c>
      <c r="E64" s="287">
        <v>29</v>
      </c>
      <c r="F64" s="282">
        <v>29</v>
      </c>
      <c r="G64" s="296">
        <v>119</v>
      </c>
      <c r="H64" s="282">
        <v>139</v>
      </c>
      <c r="I64" s="282">
        <v>119</v>
      </c>
      <c r="J64" s="282">
        <v>139</v>
      </c>
      <c r="K64" s="294">
        <v>825.99</v>
      </c>
      <c r="L64" s="272">
        <f>I64*K64</f>
        <v>98292.81</v>
      </c>
      <c r="M64" s="312"/>
      <c r="N64" s="312"/>
      <c r="O64" s="282">
        <f>F64+G64-H64</f>
        <v>9</v>
      </c>
      <c r="P64" s="266">
        <f>E64+I64-J64</f>
        <v>9</v>
      </c>
      <c r="Q64" s="269">
        <v>12</v>
      </c>
      <c r="R64" s="272">
        <f>K64/1.12</f>
        <v>737.4910714285713</v>
      </c>
      <c r="S64" s="272">
        <f>K64-R64</f>
        <v>88.49892857142868</v>
      </c>
      <c r="T64" s="272">
        <f>I64*S64</f>
        <v>10531.372500000012</v>
      </c>
    </row>
    <row r="65" spans="1:20" ht="15.75">
      <c r="A65" s="5">
        <v>53</v>
      </c>
      <c r="B65" s="17" t="s">
        <v>41</v>
      </c>
      <c r="C65" s="295"/>
      <c r="D65" s="297"/>
      <c r="E65" s="289"/>
      <c r="F65" s="284"/>
      <c r="G65" s="297"/>
      <c r="H65" s="284"/>
      <c r="I65" s="284"/>
      <c r="J65" s="284"/>
      <c r="K65" s="294"/>
      <c r="L65" s="274"/>
      <c r="M65" s="312"/>
      <c r="N65" s="312"/>
      <c r="O65" s="284"/>
      <c r="P65" s="268"/>
      <c r="Q65" s="271"/>
      <c r="R65" s="274"/>
      <c r="S65" s="274"/>
      <c r="T65" s="274"/>
    </row>
    <row r="66" spans="1:20" ht="15.75">
      <c r="A66" s="5">
        <v>54</v>
      </c>
      <c r="B66" s="17" t="s">
        <v>40</v>
      </c>
      <c r="C66" s="18" t="s">
        <v>142</v>
      </c>
      <c r="D66" s="23" t="s">
        <v>104</v>
      </c>
      <c r="E66" s="52">
        <v>15</v>
      </c>
      <c r="F66" s="15">
        <v>23</v>
      </c>
      <c r="G66" s="15">
        <v>20</v>
      </c>
      <c r="H66" s="15">
        <v>40</v>
      </c>
      <c r="I66" s="15">
        <v>28</v>
      </c>
      <c r="J66" s="15">
        <v>40</v>
      </c>
      <c r="K66" s="16">
        <v>2279.2</v>
      </c>
      <c r="L66" s="16">
        <f>I66*K66</f>
        <v>63817.59999999999</v>
      </c>
      <c r="M66" s="312"/>
      <c r="N66" s="312"/>
      <c r="O66" s="15">
        <f>F66+G66-H66</f>
        <v>3</v>
      </c>
      <c r="P66" s="37">
        <f>E66+I66-J66</f>
        <v>3</v>
      </c>
      <c r="Q66" s="5">
        <v>12</v>
      </c>
      <c r="R66" s="16">
        <f>K66/1.12</f>
        <v>2034.9999999999995</v>
      </c>
      <c r="S66" s="16">
        <f>K66-R66</f>
        <v>244.20000000000027</v>
      </c>
      <c r="T66" s="16">
        <f>I66*S66</f>
        <v>6837.600000000008</v>
      </c>
    </row>
    <row r="67" spans="1:20" ht="15.75">
      <c r="A67" s="5">
        <v>55</v>
      </c>
      <c r="B67" s="17" t="s">
        <v>51</v>
      </c>
      <c r="C67" s="295" t="s">
        <v>140</v>
      </c>
      <c r="D67" s="264" t="s">
        <v>104</v>
      </c>
      <c r="E67" s="287">
        <v>96</v>
      </c>
      <c r="F67" s="282">
        <v>60</v>
      </c>
      <c r="G67" s="296">
        <v>155</v>
      </c>
      <c r="H67" s="282">
        <v>203</v>
      </c>
      <c r="I67" s="282">
        <v>119</v>
      </c>
      <c r="J67" s="282">
        <v>203</v>
      </c>
      <c r="K67" s="294">
        <v>151.32</v>
      </c>
      <c r="L67" s="272">
        <f>I67*K67</f>
        <v>18007.079999999998</v>
      </c>
      <c r="M67" s="312"/>
      <c r="N67" s="312"/>
      <c r="O67" s="282">
        <f>F67+G67-H67</f>
        <v>12</v>
      </c>
      <c r="P67" s="266">
        <f>E67+I67-J67</f>
        <v>12</v>
      </c>
      <c r="Q67" s="269">
        <v>12</v>
      </c>
      <c r="R67" s="272">
        <f>K67/1.12</f>
        <v>135.10714285714283</v>
      </c>
      <c r="S67" s="272">
        <f>K67-R67</f>
        <v>16.21285714285716</v>
      </c>
      <c r="T67" s="272">
        <f>I67*S67</f>
        <v>1929.3300000000022</v>
      </c>
    </row>
    <row r="68" spans="1:20" ht="31.5">
      <c r="A68" s="5">
        <v>56</v>
      </c>
      <c r="B68" s="17" t="s">
        <v>82</v>
      </c>
      <c r="C68" s="295"/>
      <c r="D68" s="264"/>
      <c r="E68" s="289"/>
      <c r="F68" s="284"/>
      <c r="G68" s="296"/>
      <c r="H68" s="284"/>
      <c r="I68" s="284"/>
      <c r="J68" s="284"/>
      <c r="K68" s="294"/>
      <c r="L68" s="274"/>
      <c r="M68" s="312"/>
      <c r="N68" s="312"/>
      <c r="O68" s="284"/>
      <c r="P68" s="268"/>
      <c r="Q68" s="271"/>
      <c r="R68" s="274"/>
      <c r="S68" s="274"/>
      <c r="T68" s="274"/>
    </row>
    <row r="69" spans="1:20" ht="31.5">
      <c r="A69" s="5">
        <v>57</v>
      </c>
      <c r="B69" s="17" t="s">
        <v>50</v>
      </c>
      <c r="C69" s="295" t="s">
        <v>136</v>
      </c>
      <c r="D69" s="264" t="s">
        <v>104</v>
      </c>
      <c r="E69" s="287">
        <v>762</v>
      </c>
      <c r="F69" s="282">
        <v>569</v>
      </c>
      <c r="G69" s="296">
        <v>945</v>
      </c>
      <c r="H69" s="282">
        <v>1436</v>
      </c>
      <c r="I69" s="282">
        <v>752</v>
      </c>
      <c r="J69" s="282">
        <v>1436</v>
      </c>
      <c r="K69" s="294">
        <v>136.89</v>
      </c>
      <c r="L69" s="272">
        <f>I69*K69</f>
        <v>102941.27999999998</v>
      </c>
      <c r="M69" s="312"/>
      <c r="N69" s="312"/>
      <c r="O69" s="282">
        <f>F69+G69-H69</f>
        <v>78</v>
      </c>
      <c r="P69" s="266">
        <f>E69+I69-J69</f>
        <v>78</v>
      </c>
      <c r="Q69" s="269">
        <v>12</v>
      </c>
      <c r="R69" s="272">
        <f>K69/1.12</f>
        <v>122.22321428571426</v>
      </c>
      <c r="S69" s="272">
        <f>K69-R69</f>
        <v>14.666785714285723</v>
      </c>
      <c r="T69" s="272">
        <f>I69*S69</f>
        <v>11029.422857142863</v>
      </c>
    </row>
    <row r="70" spans="1:20" ht="47.25">
      <c r="A70" s="5">
        <v>58</v>
      </c>
      <c r="B70" s="17" t="s">
        <v>83</v>
      </c>
      <c r="C70" s="295"/>
      <c r="D70" s="265"/>
      <c r="E70" s="289"/>
      <c r="F70" s="284"/>
      <c r="G70" s="296"/>
      <c r="H70" s="284"/>
      <c r="I70" s="284"/>
      <c r="J70" s="284"/>
      <c r="K70" s="294"/>
      <c r="L70" s="274"/>
      <c r="M70" s="312"/>
      <c r="N70" s="312"/>
      <c r="O70" s="284"/>
      <c r="P70" s="268"/>
      <c r="Q70" s="271"/>
      <c r="R70" s="274"/>
      <c r="S70" s="274"/>
      <c r="T70" s="274"/>
    </row>
    <row r="71" spans="1:20" ht="47.25">
      <c r="A71" s="5">
        <v>59</v>
      </c>
      <c r="B71" s="17" t="s">
        <v>92</v>
      </c>
      <c r="C71" s="298" t="s">
        <v>129</v>
      </c>
      <c r="D71" s="264" t="s">
        <v>109</v>
      </c>
      <c r="E71" s="287">
        <v>50</v>
      </c>
      <c r="F71" s="282">
        <v>27</v>
      </c>
      <c r="G71" s="296">
        <v>130</v>
      </c>
      <c r="H71" s="282">
        <v>147</v>
      </c>
      <c r="I71" s="282">
        <v>107</v>
      </c>
      <c r="J71" s="282">
        <v>147</v>
      </c>
      <c r="K71" s="294">
        <v>1824.39</v>
      </c>
      <c r="L71" s="272">
        <f>I71*K71</f>
        <v>195209.73</v>
      </c>
      <c r="M71" s="312"/>
      <c r="N71" s="312"/>
      <c r="O71" s="282">
        <f>F71+G71-H71</f>
        <v>10</v>
      </c>
      <c r="P71" s="266">
        <f>E71+I71-J71</f>
        <v>10</v>
      </c>
      <c r="Q71" s="269">
        <v>12</v>
      </c>
      <c r="R71" s="272">
        <f>K71/1.12</f>
        <v>1628.919642857143</v>
      </c>
      <c r="S71" s="272">
        <f>K71-R71</f>
        <v>195.4703571428572</v>
      </c>
      <c r="T71" s="272">
        <f>I71*S71</f>
        <v>20915.32821428572</v>
      </c>
    </row>
    <row r="72" spans="1:20" ht="63">
      <c r="A72" s="5">
        <v>60</v>
      </c>
      <c r="B72" s="17" t="s">
        <v>93</v>
      </c>
      <c r="C72" s="299"/>
      <c r="D72" s="265"/>
      <c r="E72" s="288"/>
      <c r="F72" s="283"/>
      <c r="G72" s="296"/>
      <c r="H72" s="283"/>
      <c r="I72" s="283"/>
      <c r="J72" s="283"/>
      <c r="K72" s="294"/>
      <c r="L72" s="273"/>
      <c r="M72" s="312"/>
      <c r="N72" s="312"/>
      <c r="O72" s="283"/>
      <c r="P72" s="267"/>
      <c r="Q72" s="270"/>
      <c r="R72" s="273"/>
      <c r="S72" s="273"/>
      <c r="T72" s="273"/>
    </row>
    <row r="73" spans="1:20" ht="63">
      <c r="A73" s="5">
        <v>61</v>
      </c>
      <c r="B73" s="17" t="s">
        <v>53</v>
      </c>
      <c r="C73" s="299"/>
      <c r="D73" s="265"/>
      <c r="E73" s="288"/>
      <c r="F73" s="283"/>
      <c r="G73" s="296"/>
      <c r="H73" s="283"/>
      <c r="I73" s="283"/>
      <c r="J73" s="283"/>
      <c r="K73" s="294"/>
      <c r="L73" s="273"/>
      <c r="M73" s="312"/>
      <c r="N73" s="312"/>
      <c r="O73" s="283"/>
      <c r="P73" s="267"/>
      <c r="Q73" s="270"/>
      <c r="R73" s="273"/>
      <c r="S73" s="273"/>
      <c r="T73" s="273"/>
    </row>
    <row r="74" spans="1:20" ht="63">
      <c r="A74" s="5">
        <v>62</v>
      </c>
      <c r="B74" s="17" t="s">
        <v>94</v>
      </c>
      <c r="C74" s="299"/>
      <c r="D74" s="265"/>
      <c r="E74" s="288"/>
      <c r="F74" s="283"/>
      <c r="G74" s="296"/>
      <c r="H74" s="283"/>
      <c r="I74" s="283"/>
      <c r="J74" s="283"/>
      <c r="K74" s="294"/>
      <c r="L74" s="273"/>
      <c r="M74" s="312"/>
      <c r="N74" s="312"/>
      <c r="O74" s="283"/>
      <c r="P74" s="267"/>
      <c r="Q74" s="270"/>
      <c r="R74" s="273"/>
      <c r="S74" s="273"/>
      <c r="T74" s="273"/>
    </row>
    <row r="75" spans="1:20" ht="63">
      <c r="A75" s="5">
        <v>63</v>
      </c>
      <c r="B75" s="17" t="s">
        <v>95</v>
      </c>
      <c r="C75" s="299"/>
      <c r="D75" s="265"/>
      <c r="E75" s="288"/>
      <c r="F75" s="283"/>
      <c r="G75" s="296"/>
      <c r="H75" s="283"/>
      <c r="I75" s="283"/>
      <c r="J75" s="283"/>
      <c r="K75" s="294"/>
      <c r="L75" s="273"/>
      <c r="M75" s="312"/>
      <c r="N75" s="312"/>
      <c r="O75" s="283"/>
      <c r="P75" s="267"/>
      <c r="Q75" s="270"/>
      <c r="R75" s="273"/>
      <c r="S75" s="273"/>
      <c r="T75" s="273"/>
    </row>
    <row r="76" spans="1:20" ht="63">
      <c r="A76" s="5">
        <v>64</v>
      </c>
      <c r="B76" s="17" t="s">
        <v>54</v>
      </c>
      <c r="C76" s="299"/>
      <c r="D76" s="265"/>
      <c r="E76" s="288"/>
      <c r="F76" s="283"/>
      <c r="G76" s="296"/>
      <c r="H76" s="283"/>
      <c r="I76" s="283"/>
      <c r="J76" s="283"/>
      <c r="K76" s="294"/>
      <c r="L76" s="273"/>
      <c r="M76" s="312"/>
      <c r="N76" s="312"/>
      <c r="O76" s="283"/>
      <c r="P76" s="267"/>
      <c r="Q76" s="270"/>
      <c r="R76" s="273"/>
      <c r="S76" s="273"/>
      <c r="T76" s="273"/>
    </row>
    <row r="77" spans="1:20" ht="78.75">
      <c r="A77" s="5">
        <v>65</v>
      </c>
      <c r="B77" s="17" t="s">
        <v>55</v>
      </c>
      <c r="C77" s="300"/>
      <c r="D77" s="265"/>
      <c r="E77" s="289"/>
      <c r="F77" s="284"/>
      <c r="G77" s="296"/>
      <c r="H77" s="284"/>
      <c r="I77" s="284"/>
      <c r="J77" s="284"/>
      <c r="K77" s="294"/>
      <c r="L77" s="274"/>
      <c r="M77" s="312"/>
      <c r="N77" s="312"/>
      <c r="O77" s="284"/>
      <c r="P77" s="268"/>
      <c r="Q77" s="271"/>
      <c r="R77" s="274"/>
      <c r="S77" s="274"/>
      <c r="T77" s="274"/>
    </row>
    <row r="78" spans="1:20" ht="47.25">
      <c r="A78" s="5">
        <v>66</v>
      </c>
      <c r="B78" s="17" t="s">
        <v>96</v>
      </c>
      <c r="C78" s="18" t="s">
        <v>138</v>
      </c>
      <c r="D78" s="22" t="s">
        <v>104</v>
      </c>
      <c r="E78" s="52">
        <v>10</v>
      </c>
      <c r="F78" s="15">
        <v>30</v>
      </c>
      <c r="G78" s="15">
        <v>20</v>
      </c>
      <c r="H78" s="15">
        <v>46</v>
      </c>
      <c r="I78" s="15">
        <v>40</v>
      </c>
      <c r="J78" s="15">
        <v>46</v>
      </c>
      <c r="K78" s="16">
        <v>1218.56</v>
      </c>
      <c r="L78" s="16">
        <f>I78*K78</f>
        <v>48742.399999999994</v>
      </c>
      <c r="M78" s="312"/>
      <c r="N78" s="312"/>
      <c r="O78" s="15">
        <f>F78+G78-H78</f>
        <v>4</v>
      </c>
      <c r="P78" s="37">
        <f>E78+I78-J78</f>
        <v>4</v>
      </c>
      <c r="Q78" s="5">
        <v>12</v>
      </c>
      <c r="R78" s="16">
        <f>K78/1.12</f>
        <v>1087.9999999999998</v>
      </c>
      <c r="S78" s="16">
        <f>K78-R78</f>
        <v>130.56000000000017</v>
      </c>
      <c r="T78" s="16">
        <f>I78*S78</f>
        <v>5222.400000000007</v>
      </c>
    </row>
    <row r="79" spans="1:20" ht="31.5">
      <c r="A79" s="5">
        <v>67</v>
      </c>
      <c r="B79" s="17" t="s">
        <v>52</v>
      </c>
      <c r="C79" s="295" t="s">
        <v>128</v>
      </c>
      <c r="D79" s="264" t="s">
        <v>104</v>
      </c>
      <c r="E79" s="287">
        <v>86</v>
      </c>
      <c r="F79" s="282">
        <v>12</v>
      </c>
      <c r="G79" s="296">
        <v>53</v>
      </c>
      <c r="H79" s="282">
        <v>65</v>
      </c>
      <c r="I79" s="282"/>
      <c r="J79" s="282">
        <v>65</v>
      </c>
      <c r="K79" s="294">
        <v>189.95</v>
      </c>
      <c r="L79" s="272">
        <f>I79*K79</f>
        <v>0</v>
      </c>
      <c r="M79" s="312"/>
      <c r="N79" s="312"/>
      <c r="O79" s="282">
        <f>F79+G79-H79</f>
        <v>0</v>
      </c>
      <c r="P79" s="266">
        <f>E79+I79-J79</f>
        <v>21</v>
      </c>
      <c r="Q79" s="269">
        <v>12</v>
      </c>
      <c r="R79" s="272">
        <f>K79/1.12</f>
        <v>169.59821428571425</v>
      </c>
      <c r="S79" s="272">
        <f>K79-R79</f>
        <v>20.35178571428574</v>
      </c>
      <c r="T79" s="272">
        <f>I79*S79</f>
        <v>0</v>
      </c>
    </row>
    <row r="80" spans="1:20" ht="47.25">
      <c r="A80" s="5">
        <v>68</v>
      </c>
      <c r="B80" s="17" t="s">
        <v>84</v>
      </c>
      <c r="C80" s="295"/>
      <c r="D80" s="265"/>
      <c r="E80" s="289"/>
      <c r="F80" s="284"/>
      <c r="G80" s="296"/>
      <c r="H80" s="284"/>
      <c r="I80" s="284"/>
      <c r="J80" s="284"/>
      <c r="K80" s="294"/>
      <c r="L80" s="274"/>
      <c r="M80" s="312"/>
      <c r="N80" s="312"/>
      <c r="O80" s="284"/>
      <c r="P80" s="268"/>
      <c r="Q80" s="271"/>
      <c r="R80" s="274"/>
      <c r="S80" s="274"/>
      <c r="T80" s="274"/>
    </row>
    <row r="81" spans="1:20" ht="31.5">
      <c r="A81" s="5">
        <v>69</v>
      </c>
      <c r="B81" s="17" t="s">
        <v>76</v>
      </c>
      <c r="C81" s="295" t="s">
        <v>130</v>
      </c>
      <c r="D81" s="264" t="s">
        <v>104</v>
      </c>
      <c r="E81" s="287">
        <v>65</v>
      </c>
      <c r="F81" s="282">
        <v>46</v>
      </c>
      <c r="G81" s="296">
        <v>86</v>
      </c>
      <c r="H81" s="282">
        <v>124</v>
      </c>
      <c r="I81" s="282">
        <v>67</v>
      </c>
      <c r="J81" s="282">
        <v>124</v>
      </c>
      <c r="K81" s="294">
        <v>790.53</v>
      </c>
      <c r="L81" s="272">
        <f>I81*K81</f>
        <v>52965.509999999995</v>
      </c>
      <c r="M81" s="312"/>
      <c r="N81" s="312"/>
      <c r="O81" s="282">
        <f>F81+G81-H81</f>
        <v>8</v>
      </c>
      <c r="P81" s="266">
        <f>E81+I81-J81</f>
        <v>8</v>
      </c>
      <c r="Q81" s="269">
        <v>12</v>
      </c>
      <c r="R81" s="272">
        <f>K81/1.12</f>
        <v>705.830357142857</v>
      </c>
      <c r="S81" s="272">
        <f>K81-R81</f>
        <v>84.69964285714298</v>
      </c>
      <c r="T81" s="272">
        <f>I81*S81</f>
        <v>5674.876071428579</v>
      </c>
    </row>
    <row r="82" spans="1:20" ht="31.5">
      <c r="A82" s="5">
        <v>70</v>
      </c>
      <c r="B82" s="17" t="s">
        <v>97</v>
      </c>
      <c r="C82" s="295"/>
      <c r="D82" s="297"/>
      <c r="E82" s="288"/>
      <c r="F82" s="283"/>
      <c r="G82" s="296"/>
      <c r="H82" s="283"/>
      <c r="I82" s="283"/>
      <c r="J82" s="283"/>
      <c r="K82" s="294"/>
      <c r="L82" s="273"/>
      <c r="M82" s="312"/>
      <c r="N82" s="312"/>
      <c r="O82" s="283"/>
      <c r="P82" s="267"/>
      <c r="Q82" s="270"/>
      <c r="R82" s="273"/>
      <c r="S82" s="273"/>
      <c r="T82" s="273"/>
    </row>
    <row r="83" spans="1:20" ht="47.25">
      <c r="A83" s="5">
        <v>71</v>
      </c>
      <c r="B83" s="17" t="s">
        <v>98</v>
      </c>
      <c r="C83" s="295"/>
      <c r="D83" s="297"/>
      <c r="E83" s="288"/>
      <c r="F83" s="283"/>
      <c r="G83" s="296"/>
      <c r="H83" s="283"/>
      <c r="I83" s="283"/>
      <c r="J83" s="283"/>
      <c r="K83" s="294"/>
      <c r="L83" s="273"/>
      <c r="M83" s="312"/>
      <c r="N83" s="312"/>
      <c r="O83" s="283"/>
      <c r="P83" s="267"/>
      <c r="Q83" s="270"/>
      <c r="R83" s="273"/>
      <c r="S83" s="273"/>
      <c r="T83" s="273"/>
    </row>
    <row r="84" spans="1:20" ht="31.5">
      <c r="A84" s="5">
        <v>72</v>
      </c>
      <c r="B84" s="17" t="s">
        <v>47</v>
      </c>
      <c r="C84" s="295"/>
      <c r="D84" s="297"/>
      <c r="E84" s="288"/>
      <c r="F84" s="283"/>
      <c r="G84" s="296"/>
      <c r="H84" s="283"/>
      <c r="I84" s="283"/>
      <c r="J84" s="283"/>
      <c r="K84" s="294"/>
      <c r="L84" s="273"/>
      <c r="M84" s="312"/>
      <c r="N84" s="312"/>
      <c r="O84" s="283"/>
      <c r="P84" s="267"/>
      <c r="Q84" s="270"/>
      <c r="R84" s="273"/>
      <c r="S84" s="273"/>
      <c r="T84" s="273"/>
    </row>
    <row r="85" spans="1:20" ht="15.75">
      <c r="A85" s="5">
        <v>73</v>
      </c>
      <c r="B85" s="17" t="s">
        <v>48</v>
      </c>
      <c r="C85" s="295"/>
      <c r="D85" s="297"/>
      <c r="E85" s="288"/>
      <c r="F85" s="283"/>
      <c r="G85" s="296"/>
      <c r="H85" s="283"/>
      <c r="I85" s="283"/>
      <c r="J85" s="283"/>
      <c r="K85" s="294"/>
      <c r="L85" s="273"/>
      <c r="M85" s="312"/>
      <c r="N85" s="312"/>
      <c r="O85" s="283"/>
      <c r="P85" s="267"/>
      <c r="Q85" s="270"/>
      <c r="R85" s="273"/>
      <c r="S85" s="273"/>
      <c r="T85" s="273"/>
    </row>
    <row r="86" spans="1:20" ht="31.5">
      <c r="A86" s="5">
        <v>74</v>
      </c>
      <c r="B86" s="17" t="s">
        <v>91</v>
      </c>
      <c r="C86" s="295"/>
      <c r="D86" s="297"/>
      <c r="E86" s="288"/>
      <c r="F86" s="283"/>
      <c r="G86" s="296"/>
      <c r="H86" s="283"/>
      <c r="I86" s="283"/>
      <c r="J86" s="283"/>
      <c r="K86" s="297"/>
      <c r="L86" s="273"/>
      <c r="M86" s="312"/>
      <c r="N86" s="312"/>
      <c r="O86" s="283"/>
      <c r="P86" s="267"/>
      <c r="Q86" s="270"/>
      <c r="R86" s="273"/>
      <c r="S86" s="273"/>
      <c r="T86" s="273"/>
    </row>
    <row r="87" spans="1:20" ht="31.5">
      <c r="A87" s="5">
        <v>75</v>
      </c>
      <c r="B87" s="17" t="s">
        <v>49</v>
      </c>
      <c r="C87" s="295"/>
      <c r="D87" s="297"/>
      <c r="E87" s="289"/>
      <c r="F87" s="284"/>
      <c r="G87" s="296"/>
      <c r="H87" s="284"/>
      <c r="I87" s="284"/>
      <c r="J87" s="284"/>
      <c r="K87" s="297"/>
      <c r="L87" s="274"/>
      <c r="M87" s="312"/>
      <c r="N87" s="312"/>
      <c r="O87" s="284"/>
      <c r="P87" s="268"/>
      <c r="Q87" s="271"/>
      <c r="R87" s="274"/>
      <c r="S87" s="274"/>
      <c r="T87" s="274"/>
    </row>
    <row r="88" spans="1:20" ht="31.5">
      <c r="A88" s="5">
        <v>76</v>
      </c>
      <c r="B88" s="17" t="s">
        <v>99</v>
      </c>
      <c r="C88" s="295" t="s">
        <v>147</v>
      </c>
      <c r="D88" s="295" t="s">
        <v>104</v>
      </c>
      <c r="E88" s="287">
        <v>16</v>
      </c>
      <c r="F88" s="282">
        <v>92</v>
      </c>
      <c r="G88" s="296">
        <v>75</v>
      </c>
      <c r="H88" s="282">
        <v>155</v>
      </c>
      <c r="I88" s="282">
        <v>151</v>
      </c>
      <c r="J88" s="282">
        <v>155</v>
      </c>
      <c r="K88" s="294">
        <v>414.03</v>
      </c>
      <c r="L88" s="272">
        <f>I88*K88</f>
        <v>62518.53</v>
      </c>
      <c r="M88" s="312"/>
      <c r="N88" s="312"/>
      <c r="O88" s="282">
        <f>F88+G88-H88</f>
        <v>12</v>
      </c>
      <c r="P88" s="266">
        <f>E88+I88-J88</f>
        <v>12</v>
      </c>
      <c r="Q88" s="269">
        <v>12</v>
      </c>
      <c r="R88" s="272">
        <f>K88/1.12</f>
        <v>369.6696428571428</v>
      </c>
      <c r="S88" s="272">
        <f>K88-R88</f>
        <v>44.3603571428572</v>
      </c>
      <c r="T88" s="272">
        <f>I88*S88</f>
        <v>6698.413928571436</v>
      </c>
    </row>
    <row r="89" spans="1:20" ht="47.25">
      <c r="A89" s="5">
        <v>77</v>
      </c>
      <c r="B89" s="17" t="s">
        <v>113</v>
      </c>
      <c r="C89" s="295"/>
      <c r="D89" s="295"/>
      <c r="E89" s="289"/>
      <c r="F89" s="284"/>
      <c r="G89" s="296"/>
      <c r="H89" s="284"/>
      <c r="I89" s="284"/>
      <c r="J89" s="284"/>
      <c r="K89" s="294"/>
      <c r="L89" s="274"/>
      <c r="M89" s="312"/>
      <c r="N89" s="312"/>
      <c r="O89" s="284"/>
      <c r="P89" s="268"/>
      <c r="Q89" s="271"/>
      <c r="R89" s="274"/>
      <c r="S89" s="274"/>
      <c r="T89" s="274"/>
    </row>
    <row r="90" spans="1:20" ht="15.75">
      <c r="A90" s="5">
        <v>78</v>
      </c>
      <c r="B90" s="13" t="s">
        <v>14</v>
      </c>
      <c r="C90" s="4" t="s">
        <v>145</v>
      </c>
      <c r="D90" s="24" t="s">
        <v>104</v>
      </c>
      <c r="E90" s="52">
        <v>9</v>
      </c>
      <c r="F90" s="15">
        <v>22</v>
      </c>
      <c r="G90" s="15">
        <v>61</v>
      </c>
      <c r="H90" s="15">
        <v>73</v>
      </c>
      <c r="I90" s="15">
        <v>74</v>
      </c>
      <c r="J90" s="15">
        <v>73</v>
      </c>
      <c r="K90" s="16">
        <v>50.98</v>
      </c>
      <c r="L90" s="16">
        <f>I90*K90</f>
        <v>3772.52</v>
      </c>
      <c r="M90" s="312"/>
      <c r="N90" s="312"/>
      <c r="O90" s="15">
        <f>F90+G90-H90</f>
        <v>10</v>
      </c>
      <c r="P90" s="37">
        <f>E90+I90-J90</f>
        <v>10</v>
      </c>
      <c r="Q90" s="5">
        <v>12</v>
      </c>
      <c r="R90" s="16">
        <f>K90/1.12</f>
        <v>45.51785714285714</v>
      </c>
      <c r="S90" s="16">
        <f>K90-R90</f>
        <v>5.462142857142858</v>
      </c>
      <c r="T90" s="16">
        <f>I90*S90</f>
        <v>404.1985714285715</v>
      </c>
    </row>
    <row r="91" spans="1:20" ht="15.75">
      <c r="A91" s="5">
        <v>79</v>
      </c>
      <c r="B91" s="48" t="s">
        <v>42</v>
      </c>
      <c r="C91" s="285" t="s">
        <v>135</v>
      </c>
      <c r="D91" s="264" t="s">
        <v>106</v>
      </c>
      <c r="E91" s="287">
        <v>7</v>
      </c>
      <c r="F91" s="282">
        <v>9</v>
      </c>
      <c r="G91" s="290">
        <v>13</v>
      </c>
      <c r="H91" s="278">
        <v>20</v>
      </c>
      <c r="I91" s="278">
        <v>15</v>
      </c>
      <c r="J91" s="278">
        <v>20</v>
      </c>
      <c r="K91" s="281">
        <v>1329.52</v>
      </c>
      <c r="L91" s="291">
        <f>I91*K91</f>
        <v>19942.8</v>
      </c>
      <c r="M91" s="312"/>
      <c r="N91" s="312"/>
      <c r="O91" s="282">
        <f>F91+G91-H91</f>
        <v>2</v>
      </c>
      <c r="P91" s="266">
        <f>E91+I91-J91</f>
        <v>2</v>
      </c>
      <c r="Q91" s="269">
        <v>12</v>
      </c>
      <c r="R91" s="272">
        <f>K91/1.12</f>
        <v>1187.0714285714284</v>
      </c>
      <c r="S91" s="272">
        <f>K91-R91</f>
        <v>142.44857142857154</v>
      </c>
      <c r="T91" s="272">
        <f>I91*S91</f>
        <v>2136.728571428573</v>
      </c>
    </row>
    <row r="92" spans="1:20" ht="15.75">
      <c r="A92" s="5">
        <v>80</v>
      </c>
      <c r="B92" s="48" t="s">
        <v>43</v>
      </c>
      <c r="C92" s="285"/>
      <c r="D92" s="264"/>
      <c r="E92" s="288"/>
      <c r="F92" s="283"/>
      <c r="G92" s="290"/>
      <c r="H92" s="279"/>
      <c r="I92" s="279"/>
      <c r="J92" s="279"/>
      <c r="K92" s="281"/>
      <c r="L92" s="292"/>
      <c r="M92" s="312"/>
      <c r="N92" s="312"/>
      <c r="O92" s="283"/>
      <c r="P92" s="267"/>
      <c r="Q92" s="270"/>
      <c r="R92" s="273"/>
      <c r="S92" s="273"/>
      <c r="T92" s="273"/>
    </row>
    <row r="93" spans="1:20" ht="15.75">
      <c r="A93" s="5">
        <v>81</v>
      </c>
      <c r="B93" s="48" t="s">
        <v>44</v>
      </c>
      <c r="C93" s="285"/>
      <c r="D93" s="264"/>
      <c r="E93" s="288"/>
      <c r="F93" s="283"/>
      <c r="G93" s="290"/>
      <c r="H93" s="279"/>
      <c r="I93" s="279"/>
      <c r="J93" s="279"/>
      <c r="K93" s="281"/>
      <c r="L93" s="292"/>
      <c r="M93" s="312"/>
      <c r="N93" s="312"/>
      <c r="O93" s="283"/>
      <c r="P93" s="267"/>
      <c r="Q93" s="270"/>
      <c r="R93" s="273"/>
      <c r="S93" s="273"/>
      <c r="T93" s="273"/>
    </row>
    <row r="94" spans="1:20" ht="31.5">
      <c r="A94" s="5">
        <v>82</v>
      </c>
      <c r="B94" s="48" t="s">
        <v>45</v>
      </c>
      <c r="C94" s="285"/>
      <c r="D94" s="264"/>
      <c r="E94" s="289"/>
      <c r="F94" s="284"/>
      <c r="G94" s="290"/>
      <c r="H94" s="280"/>
      <c r="I94" s="280"/>
      <c r="J94" s="280"/>
      <c r="K94" s="281"/>
      <c r="L94" s="293"/>
      <c r="M94" s="312"/>
      <c r="N94" s="312"/>
      <c r="O94" s="284"/>
      <c r="P94" s="268"/>
      <c r="Q94" s="271"/>
      <c r="R94" s="274"/>
      <c r="S94" s="274"/>
      <c r="T94" s="274"/>
    </row>
    <row r="95" spans="1:20" ht="31.5">
      <c r="A95" s="5">
        <v>83</v>
      </c>
      <c r="B95" s="48" t="s">
        <v>46</v>
      </c>
      <c r="C95" s="92" t="s">
        <v>46</v>
      </c>
      <c r="D95" s="91" t="s">
        <v>106</v>
      </c>
      <c r="E95" s="52">
        <v>15</v>
      </c>
      <c r="F95" s="15">
        <v>15</v>
      </c>
      <c r="G95" s="96">
        <v>14</v>
      </c>
      <c r="H95" s="96">
        <v>25</v>
      </c>
      <c r="I95" s="96">
        <v>14</v>
      </c>
      <c r="J95" s="96">
        <v>25</v>
      </c>
      <c r="K95" s="94">
        <v>976.53</v>
      </c>
      <c r="L95" s="16">
        <f>I95*K95</f>
        <v>13671.42</v>
      </c>
      <c r="M95" s="312"/>
      <c r="N95" s="312"/>
      <c r="O95" s="15">
        <f>F95+G95-H95</f>
        <v>4</v>
      </c>
      <c r="P95" s="37">
        <f>E95+I95-J95</f>
        <v>4</v>
      </c>
      <c r="Q95" s="5">
        <v>12</v>
      </c>
      <c r="R95" s="16">
        <f>K95/1.12</f>
        <v>871.9017857142856</v>
      </c>
      <c r="S95" s="16">
        <f>K95-R95</f>
        <v>104.62821428571442</v>
      </c>
      <c r="T95" s="16">
        <f>I95*S95</f>
        <v>1464.795000000002</v>
      </c>
    </row>
    <row r="96" spans="1:20" ht="15.75">
      <c r="A96" s="5">
        <v>84</v>
      </c>
      <c r="B96" s="48" t="s">
        <v>85</v>
      </c>
      <c r="C96" s="285" t="s">
        <v>131</v>
      </c>
      <c r="D96" s="285" t="s">
        <v>106</v>
      </c>
      <c r="E96" s="287">
        <v>11</v>
      </c>
      <c r="F96" s="282">
        <v>202</v>
      </c>
      <c r="G96" s="290">
        <v>158</v>
      </c>
      <c r="H96" s="278">
        <v>347</v>
      </c>
      <c r="I96" s="278">
        <v>341</v>
      </c>
      <c r="J96" s="278">
        <v>347</v>
      </c>
      <c r="K96" s="281">
        <v>2931.24</v>
      </c>
      <c r="L96" s="291">
        <f>I96*K96</f>
        <v>999552.84</v>
      </c>
      <c r="M96" s="312"/>
      <c r="N96" s="312"/>
      <c r="O96" s="282">
        <f>F96+G96-H96</f>
        <v>13</v>
      </c>
      <c r="P96" s="266">
        <f>E96+I96-J96</f>
        <v>5</v>
      </c>
      <c r="Q96" s="269">
        <v>12</v>
      </c>
      <c r="R96" s="272">
        <f>K96/1.12</f>
        <v>2617.178571428571</v>
      </c>
      <c r="S96" s="272">
        <f>K96-R96</f>
        <v>314.0614285714287</v>
      </c>
      <c r="T96" s="272">
        <f>I96*S96</f>
        <v>107094.94714285719</v>
      </c>
    </row>
    <row r="97" spans="1:20" ht="15.75">
      <c r="A97" s="5">
        <v>85</v>
      </c>
      <c r="B97" s="48" t="s">
        <v>58</v>
      </c>
      <c r="C97" s="285"/>
      <c r="D97" s="285"/>
      <c r="E97" s="288"/>
      <c r="F97" s="283"/>
      <c r="G97" s="290"/>
      <c r="H97" s="279"/>
      <c r="I97" s="279"/>
      <c r="J97" s="279"/>
      <c r="K97" s="281"/>
      <c r="L97" s="292"/>
      <c r="M97" s="312"/>
      <c r="N97" s="312"/>
      <c r="O97" s="283"/>
      <c r="P97" s="267"/>
      <c r="Q97" s="270"/>
      <c r="R97" s="273"/>
      <c r="S97" s="273"/>
      <c r="T97" s="273"/>
    </row>
    <row r="98" spans="1:20" ht="31.5">
      <c r="A98" s="5">
        <v>86</v>
      </c>
      <c r="B98" s="48" t="s">
        <v>86</v>
      </c>
      <c r="C98" s="285"/>
      <c r="D98" s="285"/>
      <c r="E98" s="288"/>
      <c r="F98" s="283"/>
      <c r="G98" s="290"/>
      <c r="H98" s="279"/>
      <c r="I98" s="279"/>
      <c r="J98" s="279"/>
      <c r="K98" s="281"/>
      <c r="L98" s="292"/>
      <c r="M98" s="312"/>
      <c r="N98" s="312"/>
      <c r="O98" s="283"/>
      <c r="P98" s="267"/>
      <c r="Q98" s="270"/>
      <c r="R98" s="273"/>
      <c r="S98" s="273"/>
      <c r="T98" s="273"/>
    </row>
    <row r="99" spans="1:20" ht="47.25">
      <c r="A99" s="5">
        <v>87</v>
      </c>
      <c r="B99" s="48" t="s">
        <v>100</v>
      </c>
      <c r="C99" s="285"/>
      <c r="D99" s="285"/>
      <c r="E99" s="289"/>
      <c r="F99" s="284"/>
      <c r="G99" s="290"/>
      <c r="H99" s="280"/>
      <c r="I99" s="280"/>
      <c r="J99" s="280"/>
      <c r="K99" s="281"/>
      <c r="L99" s="293"/>
      <c r="M99" s="312"/>
      <c r="N99" s="312"/>
      <c r="O99" s="284"/>
      <c r="P99" s="268"/>
      <c r="Q99" s="271"/>
      <c r="R99" s="274"/>
      <c r="S99" s="274"/>
      <c r="T99" s="274"/>
    </row>
    <row r="100" spans="1:20" ht="31.5">
      <c r="A100" s="5">
        <v>88</v>
      </c>
      <c r="B100" s="48" t="s">
        <v>57</v>
      </c>
      <c r="C100" s="92" t="s">
        <v>139</v>
      </c>
      <c r="D100" s="92" t="s">
        <v>105</v>
      </c>
      <c r="E100" s="52">
        <v>0</v>
      </c>
      <c r="F100" s="15">
        <v>14</v>
      </c>
      <c r="G100" s="96">
        <v>13</v>
      </c>
      <c r="H100" s="96">
        <v>24</v>
      </c>
      <c r="I100" s="96">
        <v>27</v>
      </c>
      <c r="J100" s="96">
        <v>24</v>
      </c>
      <c r="K100" s="94">
        <v>4253.76</v>
      </c>
      <c r="L100" s="16">
        <f>I100*K100</f>
        <v>114851.52</v>
      </c>
      <c r="M100" s="312"/>
      <c r="N100" s="312"/>
      <c r="O100" s="15">
        <f>F100+G100-H100</f>
        <v>3</v>
      </c>
      <c r="P100" s="37">
        <f>E100+I100-J100</f>
        <v>3</v>
      </c>
      <c r="Q100" s="5">
        <v>12</v>
      </c>
      <c r="R100" s="16">
        <f>K100/1.12</f>
        <v>3798</v>
      </c>
      <c r="S100" s="16">
        <f>K100-R100</f>
        <v>455.7600000000002</v>
      </c>
      <c r="T100" s="16">
        <f>I100*S100</f>
        <v>12305.520000000006</v>
      </c>
    </row>
    <row r="101" spans="1:20" ht="63">
      <c r="A101" s="5">
        <v>89</v>
      </c>
      <c r="B101" s="48" t="s">
        <v>56</v>
      </c>
      <c r="C101" s="92" t="s">
        <v>56</v>
      </c>
      <c r="D101" s="93" t="s">
        <v>105</v>
      </c>
      <c r="E101" s="52">
        <v>0</v>
      </c>
      <c r="F101" s="15">
        <v>0</v>
      </c>
      <c r="G101" s="96">
        <v>5</v>
      </c>
      <c r="H101" s="96">
        <v>5</v>
      </c>
      <c r="I101" s="96">
        <v>5</v>
      </c>
      <c r="J101" s="96">
        <v>5</v>
      </c>
      <c r="K101" s="94">
        <v>3118.08</v>
      </c>
      <c r="L101" s="16">
        <f>I101*K101</f>
        <v>15590.4</v>
      </c>
      <c r="M101" s="312"/>
      <c r="N101" s="312"/>
      <c r="O101" s="15">
        <f>F101+G101-H101</f>
        <v>0</v>
      </c>
      <c r="P101" s="37">
        <f>E101+I101-J101</f>
        <v>0</v>
      </c>
      <c r="Q101" s="5">
        <v>12</v>
      </c>
      <c r="R101" s="16">
        <f>K101/1.12</f>
        <v>2783.9999999999995</v>
      </c>
      <c r="S101" s="16">
        <f>K101-R101</f>
        <v>334.0800000000004</v>
      </c>
      <c r="T101" s="16">
        <f>I101*S102</f>
        <v>6.8625000000000025</v>
      </c>
    </row>
    <row r="102" spans="1:20" ht="15.75">
      <c r="A102" s="5">
        <v>90</v>
      </c>
      <c r="B102" s="48" t="s">
        <v>28</v>
      </c>
      <c r="C102" s="285" t="s">
        <v>144</v>
      </c>
      <c r="D102" s="286" t="s">
        <v>105</v>
      </c>
      <c r="E102" s="287">
        <v>66</v>
      </c>
      <c r="F102" s="282">
        <v>0</v>
      </c>
      <c r="G102" s="290">
        <v>17</v>
      </c>
      <c r="H102" s="278">
        <v>17</v>
      </c>
      <c r="I102" s="278">
        <v>0</v>
      </c>
      <c r="J102" s="278">
        <v>17</v>
      </c>
      <c r="K102" s="281">
        <v>12.81</v>
      </c>
      <c r="L102" s="272">
        <f>I102*K102</f>
        <v>0</v>
      </c>
      <c r="M102" s="312"/>
      <c r="N102" s="312"/>
      <c r="O102" s="282">
        <f>F102+G102-H102</f>
        <v>0</v>
      </c>
      <c r="P102" s="266">
        <f>E102+I102-J102</f>
        <v>49</v>
      </c>
      <c r="Q102" s="269">
        <v>12</v>
      </c>
      <c r="R102" s="272">
        <f>K102/1.12</f>
        <v>11.4375</v>
      </c>
      <c r="S102" s="272">
        <f>K102-R102</f>
        <v>1.3725000000000005</v>
      </c>
      <c r="T102" s="272">
        <f>I102*S102</f>
        <v>0</v>
      </c>
    </row>
    <row r="103" spans="1:20" ht="15.75">
      <c r="A103" s="5">
        <v>91</v>
      </c>
      <c r="B103" s="48" t="s">
        <v>29</v>
      </c>
      <c r="C103" s="285"/>
      <c r="D103" s="286"/>
      <c r="E103" s="288"/>
      <c r="F103" s="283"/>
      <c r="G103" s="290"/>
      <c r="H103" s="279"/>
      <c r="I103" s="279"/>
      <c r="J103" s="279"/>
      <c r="K103" s="281"/>
      <c r="L103" s="273"/>
      <c r="M103" s="312"/>
      <c r="N103" s="312"/>
      <c r="O103" s="283"/>
      <c r="P103" s="267"/>
      <c r="Q103" s="270"/>
      <c r="R103" s="273"/>
      <c r="S103" s="273"/>
      <c r="T103" s="273"/>
    </row>
    <row r="104" spans="1:20" ht="15.75">
      <c r="A104" s="5">
        <v>92</v>
      </c>
      <c r="B104" s="48" t="s">
        <v>30</v>
      </c>
      <c r="C104" s="285"/>
      <c r="D104" s="286"/>
      <c r="E104" s="289"/>
      <c r="F104" s="284"/>
      <c r="G104" s="290"/>
      <c r="H104" s="280"/>
      <c r="I104" s="280"/>
      <c r="J104" s="280"/>
      <c r="K104" s="281"/>
      <c r="L104" s="274"/>
      <c r="M104" s="312"/>
      <c r="N104" s="312"/>
      <c r="O104" s="284"/>
      <c r="P104" s="268"/>
      <c r="Q104" s="271"/>
      <c r="R104" s="274"/>
      <c r="S104" s="274"/>
      <c r="T104" s="274"/>
    </row>
    <row r="105" spans="1:20" ht="15.75">
      <c r="A105" s="275" t="s">
        <v>159</v>
      </c>
      <c r="B105" s="276"/>
      <c r="C105" s="277"/>
      <c r="D105" s="97"/>
      <c r="E105" s="51">
        <f aca="true" t="shared" si="3" ref="E105:L105">SUM(E107:E108)+SUM(E110:E116)+E117+E119+SUM(E121:E123)</f>
        <v>12</v>
      </c>
      <c r="F105" s="51">
        <f t="shared" si="3"/>
        <v>178</v>
      </c>
      <c r="G105" s="51">
        <f t="shared" si="3"/>
        <v>254</v>
      </c>
      <c r="H105" s="51">
        <f t="shared" si="3"/>
        <v>37</v>
      </c>
      <c r="I105" s="51">
        <f t="shared" si="3"/>
        <v>37</v>
      </c>
      <c r="J105" s="51">
        <f t="shared" si="3"/>
        <v>37</v>
      </c>
      <c r="K105" s="53">
        <f t="shared" si="3"/>
        <v>18157.44</v>
      </c>
      <c r="L105" s="53">
        <f t="shared" si="3"/>
        <v>43161.439999999995</v>
      </c>
      <c r="M105" s="312"/>
      <c r="N105" s="312"/>
      <c r="O105" s="51">
        <f>SUM(O107:O108)+SUM(O110:O116)+O117+O119+SUM(O121:O123)</f>
        <v>395</v>
      </c>
      <c r="P105" s="51">
        <f>SUM(P107:P108)+SUM(P110:P116)+P117+P119+SUM(P121:P123)</f>
        <v>12</v>
      </c>
      <c r="Q105" s="78" t="s">
        <v>112</v>
      </c>
      <c r="R105" s="53">
        <f>SUM(R107:R108)+SUM(R110:R116)+R117+R119+SUM(R121:R123)</f>
        <v>16114.11570247934</v>
      </c>
      <c r="S105" s="53">
        <f>SUM(S107:S108)+SUM(S110:S116)+S117+S119+SUM(S121:S123)</f>
        <v>2043.3242975206622</v>
      </c>
      <c r="T105" s="53">
        <f>SUM(T107:T108)+SUM(T110:T116)+T117+T119+SUM(T121:T123)</f>
        <v>4624.440000000002</v>
      </c>
    </row>
    <row r="106" spans="1:20" ht="15.75" customHeight="1">
      <c r="A106" s="93"/>
      <c r="B106" s="50" t="s">
        <v>168</v>
      </c>
      <c r="C106" s="92"/>
      <c r="D106" s="93"/>
      <c r="E106" s="93"/>
      <c r="F106" s="93"/>
      <c r="G106" s="96"/>
      <c r="H106" s="96"/>
      <c r="I106" s="96"/>
      <c r="J106" s="96"/>
      <c r="K106" s="94"/>
      <c r="L106" s="95"/>
      <c r="M106" s="312"/>
      <c r="N106" s="312"/>
      <c r="O106" s="76"/>
      <c r="P106" s="79"/>
      <c r="Q106" s="63"/>
      <c r="R106" s="54"/>
      <c r="S106" s="54"/>
      <c r="T106" s="54"/>
    </row>
    <row r="107" spans="1:20" ht="15.75">
      <c r="A107" s="93">
        <v>93</v>
      </c>
      <c r="B107" s="49" t="s">
        <v>160</v>
      </c>
      <c r="C107" s="92"/>
      <c r="D107" s="93"/>
      <c r="E107" s="68">
        <v>2</v>
      </c>
      <c r="F107" s="96">
        <v>0</v>
      </c>
      <c r="G107" s="96">
        <v>8</v>
      </c>
      <c r="H107" s="96">
        <v>6</v>
      </c>
      <c r="I107" s="96">
        <v>6</v>
      </c>
      <c r="J107" s="96">
        <v>6</v>
      </c>
      <c r="K107" s="94">
        <v>235.2</v>
      </c>
      <c r="L107" s="95">
        <f>I107*K107</f>
        <v>1411.1999999999998</v>
      </c>
      <c r="M107" s="312"/>
      <c r="N107" s="312"/>
      <c r="O107" s="15">
        <v>2</v>
      </c>
      <c r="P107" s="62">
        <f>E107+I107-J107</f>
        <v>2</v>
      </c>
      <c r="Q107" s="23">
        <v>12</v>
      </c>
      <c r="R107" s="54">
        <f>K107/1.12</f>
        <v>209.99999999999997</v>
      </c>
      <c r="S107" s="54">
        <f>K107-R107</f>
        <v>25.200000000000017</v>
      </c>
      <c r="T107" s="54">
        <f>I107*S107</f>
        <v>151.2000000000001</v>
      </c>
    </row>
    <row r="108" spans="1:20" ht="15.75">
      <c r="A108" s="93">
        <v>94</v>
      </c>
      <c r="B108" s="49" t="s">
        <v>161</v>
      </c>
      <c r="C108" s="92"/>
      <c r="D108" s="93"/>
      <c r="E108" s="68">
        <v>0</v>
      </c>
      <c r="F108" s="96">
        <v>2</v>
      </c>
      <c r="G108" s="96">
        <v>2</v>
      </c>
      <c r="H108" s="96">
        <v>2</v>
      </c>
      <c r="I108" s="96">
        <v>2</v>
      </c>
      <c r="J108" s="96">
        <v>2</v>
      </c>
      <c r="K108" s="94">
        <v>275.52</v>
      </c>
      <c r="L108" s="95">
        <f>I108*K108</f>
        <v>551.04</v>
      </c>
      <c r="M108" s="312"/>
      <c r="N108" s="312"/>
      <c r="O108" s="15">
        <f>F108+G108-H108</f>
        <v>2</v>
      </c>
      <c r="P108" s="62">
        <f>E108+I108-J108</f>
        <v>0</v>
      </c>
      <c r="Q108" s="23">
        <v>12</v>
      </c>
      <c r="R108" s="54">
        <f>K108/1.12</f>
        <v>245.99999999999997</v>
      </c>
      <c r="S108" s="54">
        <f>K108-R108</f>
        <v>29.52000000000001</v>
      </c>
      <c r="T108" s="54">
        <f>I108*S108</f>
        <v>59.04000000000002</v>
      </c>
    </row>
    <row r="109" spans="1:20" ht="15.75">
      <c r="A109" s="93"/>
      <c r="B109" s="50" t="s">
        <v>162</v>
      </c>
      <c r="C109" s="92"/>
      <c r="D109" s="93"/>
      <c r="E109" s="93"/>
      <c r="F109" s="93"/>
      <c r="G109" s="96"/>
      <c r="H109" s="96"/>
      <c r="I109" s="96"/>
      <c r="J109" s="96"/>
      <c r="K109" s="94"/>
      <c r="L109" s="95"/>
      <c r="M109" s="312"/>
      <c r="N109" s="312"/>
      <c r="O109" s="15"/>
      <c r="P109" s="62"/>
      <c r="Q109" s="23"/>
      <c r="R109" s="54"/>
      <c r="S109" s="54"/>
      <c r="T109" s="54"/>
    </row>
    <row r="110" spans="1:20" ht="15.75">
      <c r="A110" s="93">
        <v>95</v>
      </c>
      <c r="B110" s="49" t="s">
        <v>163</v>
      </c>
      <c r="C110" s="92"/>
      <c r="D110" s="93"/>
      <c r="E110" s="68">
        <v>2</v>
      </c>
      <c r="F110" s="96">
        <v>18</v>
      </c>
      <c r="G110" s="96">
        <v>36</v>
      </c>
      <c r="H110" s="96">
        <v>6</v>
      </c>
      <c r="I110" s="96">
        <v>6</v>
      </c>
      <c r="J110" s="96">
        <v>6</v>
      </c>
      <c r="K110" s="94">
        <v>246.4</v>
      </c>
      <c r="L110" s="95">
        <f aca="true" t="shared" si="4" ref="L110:L115">I110*K110</f>
        <v>1478.4</v>
      </c>
      <c r="M110" s="312"/>
      <c r="N110" s="312"/>
      <c r="O110" s="15">
        <f aca="true" t="shared" si="5" ref="O110:O115">F110+G110-H110</f>
        <v>48</v>
      </c>
      <c r="P110" s="62">
        <f aca="true" t="shared" si="6" ref="P110:P115">E110+I110-J110</f>
        <v>2</v>
      </c>
      <c r="Q110" s="23">
        <v>12</v>
      </c>
      <c r="R110" s="54">
        <f aca="true" t="shared" si="7" ref="R110:R115">K110/1.12</f>
        <v>219.99999999999997</v>
      </c>
      <c r="S110" s="54">
        <f aca="true" t="shared" si="8" ref="S110:S115">K110-R110</f>
        <v>26.400000000000034</v>
      </c>
      <c r="T110" s="54">
        <f aca="true" t="shared" si="9" ref="T110:T115">I110*S110</f>
        <v>158.4000000000002</v>
      </c>
    </row>
    <row r="111" spans="1:20" ht="15.75">
      <c r="A111" s="93">
        <v>96</v>
      </c>
      <c r="B111" s="49" t="s">
        <v>164</v>
      </c>
      <c r="C111" s="92"/>
      <c r="D111" s="93"/>
      <c r="E111" s="68">
        <v>0</v>
      </c>
      <c r="F111" s="96">
        <v>3</v>
      </c>
      <c r="G111" s="96">
        <v>3</v>
      </c>
      <c r="H111" s="96">
        <v>3</v>
      </c>
      <c r="I111" s="96">
        <v>3</v>
      </c>
      <c r="J111" s="96">
        <v>3</v>
      </c>
      <c r="K111" s="94">
        <v>5958.4</v>
      </c>
      <c r="L111" s="95">
        <f t="shared" si="4"/>
        <v>17875.199999999997</v>
      </c>
      <c r="M111" s="312"/>
      <c r="N111" s="312"/>
      <c r="O111" s="15">
        <f t="shared" si="5"/>
        <v>3</v>
      </c>
      <c r="P111" s="62">
        <f t="shared" si="6"/>
        <v>0</v>
      </c>
      <c r="Q111" s="23">
        <v>12</v>
      </c>
      <c r="R111" s="54">
        <f t="shared" si="7"/>
        <v>5319.999999999999</v>
      </c>
      <c r="S111" s="54">
        <f t="shared" si="8"/>
        <v>638.4000000000005</v>
      </c>
      <c r="T111" s="54">
        <f t="shared" si="9"/>
        <v>1915.2000000000016</v>
      </c>
    </row>
    <row r="112" spans="1:20" ht="15.75">
      <c r="A112" s="93">
        <v>97</v>
      </c>
      <c r="B112" s="49" t="s">
        <v>165</v>
      </c>
      <c r="C112" s="92"/>
      <c r="D112" s="93"/>
      <c r="E112" s="68">
        <v>2</v>
      </c>
      <c r="F112" s="96">
        <v>18</v>
      </c>
      <c r="G112" s="96">
        <v>36</v>
      </c>
      <c r="H112" s="96"/>
      <c r="I112" s="96"/>
      <c r="J112" s="96"/>
      <c r="K112" s="94">
        <v>1329.44</v>
      </c>
      <c r="L112" s="95">
        <f t="shared" si="4"/>
        <v>0</v>
      </c>
      <c r="M112" s="312"/>
      <c r="N112" s="312"/>
      <c r="O112" s="15">
        <f t="shared" si="5"/>
        <v>54</v>
      </c>
      <c r="P112" s="62">
        <f t="shared" si="6"/>
        <v>2</v>
      </c>
      <c r="Q112" s="23">
        <v>12</v>
      </c>
      <c r="R112" s="54">
        <f t="shared" si="7"/>
        <v>1187</v>
      </c>
      <c r="S112" s="54">
        <f t="shared" si="8"/>
        <v>142.44000000000005</v>
      </c>
      <c r="T112" s="54">
        <f t="shared" si="9"/>
        <v>0</v>
      </c>
    </row>
    <row r="113" spans="1:20" ht="31.5">
      <c r="A113" s="93">
        <v>98</v>
      </c>
      <c r="B113" s="49" t="s">
        <v>166</v>
      </c>
      <c r="C113" s="92"/>
      <c r="D113" s="93"/>
      <c r="E113" s="68">
        <v>2</v>
      </c>
      <c r="F113" s="96">
        <v>31</v>
      </c>
      <c r="G113" s="96">
        <v>48</v>
      </c>
      <c r="H113" s="96">
        <v>5</v>
      </c>
      <c r="I113" s="96">
        <v>5</v>
      </c>
      <c r="J113" s="96">
        <v>5</v>
      </c>
      <c r="K113" s="94">
        <v>3008.32</v>
      </c>
      <c r="L113" s="95">
        <f t="shared" si="4"/>
        <v>15041.6</v>
      </c>
      <c r="M113" s="312"/>
      <c r="N113" s="312"/>
      <c r="O113" s="15">
        <f t="shared" si="5"/>
        <v>74</v>
      </c>
      <c r="P113" s="62">
        <f t="shared" si="6"/>
        <v>2</v>
      </c>
      <c r="Q113" s="23">
        <v>12</v>
      </c>
      <c r="R113" s="54">
        <f t="shared" si="7"/>
        <v>2686</v>
      </c>
      <c r="S113" s="54">
        <f t="shared" si="8"/>
        <v>322.32000000000016</v>
      </c>
      <c r="T113" s="54">
        <f t="shared" si="9"/>
        <v>1611.6000000000008</v>
      </c>
    </row>
    <row r="114" spans="1:20" ht="31.5">
      <c r="A114" s="93">
        <v>99</v>
      </c>
      <c r="B114" s="49" t="s">
        <v>167</v>
      </c>
      <c r="C114" s="92"/>
      <c r="D114" s="93"/>
      <c r="E114" s="68">
        <v>2</v>
      </c>
      <c r="F114" s="96">
        <v>35</v>
      </c>
      <c r="G114" s="96">
        <v>42</v>
      </c>
      <c r="H114" s="96">
        <v>10</v>
      </c>
      <c r="I114" s="96">
        <v>10</v>
      </c>
      <c r="J114" s="96">
        <v>10</v>
      </c>
      <c r="K114" s="94">
        <v>397.6</v>
      </c>
      <c r="L114" s="95">
        <f t="shared" si="4"/>
        <v>3976</v>
      </c>
      <c r="M114" s="312"/>
      <c r="N114" s="312"/>
      <c r="O114" s="15">
        <f t="shared" si="5"/>
        <v>67</v>
      </c>
      <c r="P114" s="62">
        <f t="shared" si="6"/>
        <v>2</v>
      </c>
      <c r="Q114" s="23">
        <v>12</v>
      </c>
      <c r="R114" s="54">
        <f t="shared" si="7"/>
        <v>355</v>
      </c>
      <c r="S114" s="54">
        <f t="shared" si="8"/>
        <v>42.60000000000002</v>
      </c>
      <c r="T114" s="54">
        <f t="shared" si="9"/>
        <v>426.0000000000002</v>
      </c>
    </row>
    <row r="115" spans="1:20" ht="31.5">
      <c r="A115" s="93">
        <v>100</v>
      </c>
      <c r="B115" s="49" t="s">
        <v>177</v>
      </c>
      <c r="C115" s="92"/>
      <c r="D115" s="93"/>
      <c r="E115" s="68">
        <v>2</v>
      </c>
      <c r="F115" s="96">
        <v>16</v>
      </c>
      <c r="G115" s="96">
        <v>24</v>
      </c>
      <c r="H115" s="96">
        <v>5</v>
      </c>
      <c r="I115" s="96">
        <v>5</v>
      </c>
      <c r="J115" s="96">
        <v>5</v>
      </c>
      <c r="K115" s="94">
        <v>565.6</v>
      </c>
      <c r="L115" s="95">
        <f t="shared" si="4"/>
        <v>2828</v>
      </c>
      <c r="M115" s="312"/>
      <c r="N115" s="312"/>
      <c r="O115" s="15">
        <f t="shared" si="5"/>
        <v>35</v>
      </c>
      <c r="P115" s="62">
        <f t="shared" si="6"/>
        <v>2</v>
      </c>
      <c r="Q115" s="23">
        <v>12</v>
      </c>
      <c r="R115" s="54">
        <f t="shared" si="7"/>
        <v>505</v>
      </c>
      <c r="S115" s="54">
        <f t="shared" si="8"/>
        <v>60.60000000000002</v>
      </c>
      <c r="T115" s="54">
        <f t="shared" si="9"/>
        <v>303.0000000000001</v>
      </c>
    </row>
    <row r="116" spans="1:20" ht="15.75">
      <c r="A116" s="93"/>
      <c r="B116" s="50" t="s">
        <v>169</v>
      </c>
      <c r="C116" s="92"/>
      <c r="D116" s="93"/>
      <c r="E116" s="93"/>
      <c r="F116" s="93"/>
      <c r="G116" s="96"/>
      <c r="H116" s="96"/>
      <c r="I116" s="96"/>
      <c r="J116" s="96"/>
      <c r="K116" s="94"/>
      <c r="L116" s="95"/>
      <c r="M116" s="312"/>
      <c r="N116" s="312"/>
      <c r="O116" s="15"/>
      <c r="P116" s="62"/>
      <c r="Q116" s="23"/>
      <c r="R116" s="54"/>
      <c r="S116" s="54"/>
      <c r="T116" s="54"/>
    </row>
    <row r="117" spans="1:20" ht="31.5">
      <c r="A117" s="93">
        <v>101</v>
      </c>
      <c r="B117" s="49" t="s">
        <v>170</v>
      </c>
      <c r="C117" s="92"/>
      <c r="D117" s="93"/>
      <c r="E117" s="68">
        <v>0</v>
      </c>
      <c r="F117" s="96">
        <v>15</v>
      </c>
      <c r="G117" s="96">
        <v>15</v>
      </c>
      <c r="H117" s="96">
        <v>0</v>
      </c>
      <c r="I117" s="96">
        <v>0</v>
      </c>
      <c r="J117" s="96">
        <v>0</v>
      </c>
      <c r="K117" s="94">
        <v>4597.6</v>
      </c>
      <c r="L117" s="95">
        <f>I117*K117</f>
        <v>0</v>
      </c>
      <c r="M117" s="312"/>
      <c r="N117" s="312"/>
      <c r="O117" s="15">
        <f>F117+G117-H117</f>
        <v>30</v>
      </c>
      <c r="P117" s="62">
        <f>E117+I117-J117</f>
        <v>0</v>
      </c>
      <c r="Q117" s="23">
        <v>12</v>
      </c>
      <c r="R117" s="54">
        <f>K117/1.12</f>
        <v>4105</v>
      </c>
      <c r="S117" s="54">
        <f>K117-R117</f>
        <v>492.60000000000036</v>
      </c>
      <c r="T117" s="54">
        <f>I117*S117</f>
        <v>0</v>
      </c>
    </row>
    <row r="118" spans="1:20" ht="15.75">
      <c r="A118" s="93"/>
      <c r="B118" s="50" t="s">
        <v>171</v>
      </c>
      <c r="C118" s="92"/>
      <c r="D118" s="93"/>
      <c r="E118" s="93"/>
      <c r="F118" s="93"/>
      <c r="G118" s="96"/>
      <c r="H118" s="96"/>
      <c r="I118" s="96"/>
      <c r="J118" s="96"/>
      <c r="K118" s="94"/>
      <c r="L118" s="95"/>
      <c r="M118" s="312"/>
      <c r="N118" s="312"/>
      <c r="O118" s="15"/>
      <c r="P118" s="62"/>
      <c r="Q118" s="23"/>
      <c r="R118" s="54"/>
      <c r="S118" s="54"/>
      <c r="T118" s="54"/>
    </row>
    <row r="119" spans="1:20" ht="31.5">
      <c r="A119" s="93">
        <v>102</v>
      </c>
      <c r="B119" s="49" t="s">
        <v>172</v>
      </c>
      <c r="C119" s="92"/>
      <c r="D119" s="93"/>
      <c r="E119" s="68">
        <v>0</v>
      </c>
      <c r="F119" s="96">
        <v>10</v>
      </c>
      <c r="G119" s="96">
        <v>10</v>
      </c>
      <c r="H119" s="96">
        <v>0</v>
      </c>
      <c r="I119" s="96">
        <v>0</v>
      </c>
      <c r="J119" s="96">
        <v>0</v>
      </c>
      <c r="K119" s="94">
        <v>69.44</v>
      </c>
      <c r="L119" s="95">
        <f>I119*K119</f>
        <v>0</v>
      </c>
      <c r="M119" s="312"/>
      <c r="N119" s="312"/>
      <c r="O119" s="15">
        <f>F119+G119-H119</f>
        <v>20</v>
      </c>
      <c r="P119" s="62">
        <f>E119+I119-J119</f>
        <v>0</v>
      </c>
      <c r="Q119" s="23">
        <v>12</v>
      </c>
      <c r="R119" s="54">
        <f>K119/1.12</f>
        <v>61.99999999999999</v>
      </c>
      <c r="S119" s="54">
        <f>K119-R119</f>
        <v>7.440000000000005</v>
      </c>
      <c r="T119" s="54">
        <f>I119*S119</f>
        <v>0</v>
      </c>
    </row>
    <row r="120" spans="1:20" ht="15.75">
      <c r="A120" s="93"/>
      <c r="B120" s="50" t="s">
        <v>173</v>
      </c>
      <c r="C120" s="92"/>
      <c r="D120" s="93"/>
      <c r="E120" s="93"/>
      <c r="F120" s="93"/>
      <c r="G120" s="96"/>
      <c r="H120" s="96"/>
      <c r="I120" s="96"/>
      <c r="J120" s="96"/>
      <c r="K120" s="94"/>
      <c r="L120" s="95"/>
      <c r="M120" s="312"/>
      <c r="N120" s="312"/>
      <c r="O120" s="15"/>
      <c r="P120" s="62"/>
      <c r="Q120" s="23"/>
      <c r="R120" s="54"/>
      <c r="S120" s="54"/>
      <c r="T120" s="54"/>
    </row>
    <row r="121" spans="1:20" ht="15.75">
      <c r="A121" s="93">
        <v>103</v>
      </c>
      <c r="B121" s="49" t="s">
        <v>174</v>
      </c>
      <c r="C121" s="92"/>
      <c r="D121" s="93"/>
      <c r="E121" s="68">
        <v>0</v>
      </c>
      <c r="F121" s="96">
        <v>10</v>
      </c>
      <c r="G121" s="96">
        <v>10</v>
      </c>
      <c r="H121" s="96">
        <v>0</v>
      </c>
      <c r="I121" s="96">
        <v>0</v>
      </c>
      <c r="J121" s="96">
        <v>0</v>
      </c>
      <c r="K121" s="94">
        <v>930.72</v>
      </c>
      <c r="L121" s="95">
        <f>I121*K121</f>
        <v>0</v>
      </c>
      <c r="M121" s="312"/>
      <c r="N121" s="312"/>
      <c r="O121" s="15">
        <f>F121+G121-H121</f>
        <v>20</v>
      </c>
      <c r="P121" s="62">
        <f>E121+I121-J121</f>
        <v>0</v>
      </c>
      <c r="Q121" s="23">
        <v>21</v>
      </c>
      <c r="R121" s="54">
        <f>K121/1.21</f>
        <v>769.1900826446281</v>
      </c>
      <c r="S121" s="54">
        <f>K121-R121</f>
        <v>161.52991735537194</v>
      </c>
      <c r="T121" s="54">
        <f>I121*S121</f>
        <v>0</v>
      </c>
    </row>
    <row r="122" spans="1:20" ht="15.75">
      <c r="A122" s="93">
        <v>104</v>
      </c>
      <c r="B122" s="49" t="s">
        <v>175</v>
      </c>
      <c r="C122" s="92"/>
      <c r="D122" s="93"/>
      <c r="E122" s="68">
        <v>0</v>
      </c>
      <c r="F122" s="96">
        <v>10</v>
      </c>
      <c r="G122" s="96">
        <v>10</v>
      </c>
      <c r="H122" s="103">
        <v>0</v>
      </c>
      <c r="I122" s="103">
        <v>0</v>
      </c>
      <c r="J122" s="103">
        <v>0</v>
      </c>
      <c r="K122" s="94">
        <v>166.88</v>
      </c>
      <c r="L122" s="95">
        <f>I122*K122</f>
        <v>0</v>
      </c>
      <c r="M122" s="312"/>
      <c r="N122" s="312"/>
      <c r="O122" s="15">
        <f>F122+G122-H122</f>
        <v>20</v>
      </c>
      <c r="P122" s="62">
        <f>E122+I122-J122</f>
        <v>0</v>
      </c>
      <c r="Q122" s="23">
        <v>21</v>
      </c>
      <c r="R122" s="54">
        <f>K122/1.21</f>
        <v>137.91735537190084</v>
      </c>
      <c r="S122" s="54">
        <f>K122-R122</f>
        <v>28.962644628099156</v>
      </c>
      <c r="T122" s="54">
        <f>I122*S122</f>
        <v>0</v>
      </c>
    </row>
    <row r="123" spans="1:20" ht="15.75">
      <c r="A123" s="93">
        <v>105</v>
      </c>
      <c r="B123" s="49" t="s">
        <v>176</v>
      </c>
      <c r="C123" s="92"/>
      <c r="D123" s="93"/>
      <c r="E123" s="68">
        <v>0</v>
      </c>
      <c r="F123" s="96">
        <v>10</v>
      </c>
      <c r="G123" s="96">
        <v>10</v>
      </c>
      <c r="H123" s="103">
        <v>0</v>
      </c>
      <c r="I123" s="103">
        <v>0</v>
      </c>
      <c r="J123" s="103">
        <v>0</v>
      </c>
      <c r="K123" s="94">
        <v>376.32</v>
      </c>
      <c r="L123" s="95">
        <f>I123*K123</f>
        <v>0</v>
      </c>
      <c r="M123" s="312"/>
      <c r="N123" s="312"/>
      <c r="O123" s="15">
        <f>F123+G123-H123</f>
        <v>20</v>
      </c>
      <c r="P123" s="62">
        <f>E123+I123-J123</f>
        <v>0</v>
      </c>
      <c r="Q123" s="23">
        <v>21</v>
      </c>
      <c r="R123" s="54">
        <f>K123/1.21</f>
        <v>311.0082644628099</v>
      </c>
      <c r="S123" s="54">
        <f>K123-R123</f>
        <v>65.31173553719009</v>
      </c>
      <c r="T123" s="54">
        <f>I123*S123</f>
        <v>0</v>
      </c>
    </row>
    <row r="124" spans="1:20" ht="15.75">
      <c r="A124" s="263" t="s">
        <v>107</v>
      </c>
      <c r="B124" s="263"/>
      <c r="C124" s="263"/>
      <c r="D124" s="263"/>
      <c r="E124" s="25">
        <f aca="true" t="shared" si="10" ref="E124:L124">E125+E131+E135</f>
        <v>0</v>
      </c>
      <c r="F124" s="26">
        <f t="shared" si="10"/>
        <v>1581</v>
      </c>
      <c r="G124" s="26">
        <f t="shared" si="10"/>
        <v>4862</v>
      </c>
      <c r="H124" s="26">
        <f t="shared" si="10"/>
        <v>726.6698434309054</v>
      </c>
      <c r="I124" s="26">
        <f>I125+I131+I135</f>
        <v>786</v>
      </c>
      <c r="J124" s="26">
        <f t="shared" si="10"/>
        <v>786</v>
      </c>
      <c r="K124" s="46">
        <f t="shared" si="10"/>
        <v>7955.030000000001</v>
      </c>
      <c r="L124" s="27">
        <f t="shared" si="10"/>
        <v>179923.01</v>
      </c>
      <c r="M124" s="312"/>
      <c r="N124" s="312"/>
      <c r="O124" s="26">
        <f>O125+O131+O135</f>
        <v>5716.3301565690945</v>
      </c>
      <c r="P124" s="26">
        <f>P125+P131+P135</f>
        <v>0</v>
      </c>
      <c r="Q124" s="46" t="s">
        <v>112</v>
      </c>
      <c r="R124" s="46">
        <f>R125+R131+R135</f>
        <v>7102.705357142856</v>
      </c>
      <c r="S124" s="46">
        <f>S125+S131+S135</f>
        <v>852.3246428571438</v>
      </c>
      <c r="T124" s="46">
        <f>T125+T131+T135</f>
        <v>19279.53000000002</v>
      </c>
    </row>
    <row r="125" spans="1:20" ht="15.75">
      <c r="A125" s="28"/>
      <c r="B125" s="29" t="s">
        <v>68</v>
      </c>
      <c r="C125" s="42"/>
      <c r="D125" s="30"/>
      <c r="E125" s="31">
        <f aca="true" t="shared" si="11" ref="E125:K125">SUM(E126:E130)</f>
        <v>0</v>
      </c>
      <c r="F125" s="32">
        <f t="shared" si="11"/>
        <v>163</v>
      </c>
      <c r="G125" s="33">
        <f t="shared" si="11"/>
        <v>994</v>
      </c>
      <c r="H125" s="33">
        <f t="shared" si="11"/>
        <v>118.07692307692308</v>
      </c>
      <c r="I125" s="33">
        <f t="shared" si="11"/>
        <v>125</v>
      </c>
      <c r="J125" s="33">
        <f t="shared" si="11"/>
        <v>125</v>
      </c>
      <c r="K125" s="47">
        <f t="shared" si="11"/>
        <v>5753.030000000001</v>
      </c>
      <c r="L125" s="35">
        <f>SUM(L126:L130)</f>
        <v>63971.01</v>
      </c>
      <c r="M125" s="312"/>
      <c r="N125" s="312"/>
      <c r="O125" s="33">
        <f aca="true" t="shared" si="12" ref="O125:T125">SUM(O126:O130)</f>
        <v>1038.923076923077</v>
      </c>
      <c r="P125" s="33">
        <f t="shared" si="12"/>
        <v>0</v>
      </c>
      <c r="Q125" s="47">
        <f t="shared" si="12"/>
        <v>60</v>
      </c>
      <c r="R125" s="47">
        <f t="shared" si="12"/>
        <v>5136.6339285714275</v>
      </c>
      <c r="S125" s="47">
        <f t="shared" si="12"/>
        <v>616.396071428572</v>
      </c>
      <c r="T125" s="47">
        <f t="shared" si="12"/>
        <v>6856.101428571435</v>
      </c>
    </row>
    <row r="126" spans="1:20" ht="15.75">
      <c r="A126" s="5">
        <v>106</v>
      </c>
      <c r="B126" s="36" t="s">
        <v>63</v>
      </c>
      <c r="C126" s="8"/>
      <c r="D126" s="264" t="s">
        <v>104</v>
      </c>
      <c r="E126" s="37">
        <v>0</v>
      </c>
      <c r="F126" s="15">
        <v>39</v>
      </c>
      <c r="G126" s="15">
        <v>531</v>
      </c>
      <c r="H126" s="15">
        <f>76/1.04</f>
        <v>73.07692307692308</v>
      </c>
      <c r="I126" s="15">
        <v>76</v>
      </c>
      <c r="J126" s="15">
        <v>76</v>
      </c>
      <c r="K126" s="16">
        <v>43.03</v>
      </c>
      <c r="L126" s="95">
        <f>I126*K126-19.27</f>
        <v>3251.01</v>
      </c>
      <c r="M126" s="312"/>
      <c r="N126" s="312"/>
      <c r="O126" s="15">
        <f>F126+G126-H126</f>
        <v>496.9230769230769</v>
      </c>
      <c r="P126" s="62">
        <f>E126+I126-J126</f>
        <v>0</v>
      </c>
      <c r="Q126" s="23">
        <v>12</v>
      </c>
      <c r="R126" s="54">
        <f>K126/1.12</f>
        <v>38.419642857142854</v>
      </c>
      <c r="S126" s="54">
        <f>K126-R126</f>
        <v>4.610357142857147</v>
      </c>
      <c r="T126" s="54">
        <f>I126*S126</f>
        <v>350.3871428571432</v>
      </c>
    </row>
    <row r="127" spans="1:20" ht="15.75">
      <c r="A127" s="5">
        <v>107</v>
      </c>
      <c r="B127" s="36" t="s">
        <v>64</v>
      </c>
      <c r="C127" s="8"/>
      <c r="D127" s="264"/>
      <c r="E127" s="37">
        <v>0</v>
      </c>
      <c r="F127" s="15">
        <v>80</v>
      </c>
      <c r="G127" s="15">
        <v>363</v>
      </c>
      <c r="H127" s="15">
        <v>9</v>
      </c>
      <c r="I127" s="15">
        <v>10</v>
      </c>
      <c r="J127" s="15">
        <v>10</v>
      </c>
      <c r="K127" s="16">
        <v>2070</v>
      </c>
      <c r="L127" s="95">
        <f aca="true" t="shared" si="13" ref="L127:L134">I127*K127</f>
        <v>20700</v>
      </c>
      <c r="M127" s="312"/>
      <c r="N127" s="312"/>
      <c r="O127" s="15">
        <f>F127+G127-H127</f>
        <v>434</v>
      </c>
      <c r="P127" s="62">
        <f>E127+I127-J127</f>
        <v>0</v>
      </c>
      <c r="Q127" s="23">
        <v>12</v>
      </c>
      <c r="R127" s="54">
        <f>K127/1.12</f>
        <v>1848.2142857142856</v>
      </c>
      <c r="S127" s="54">
        <f>K127-R127</f>
        <v>221.78571428571445</v>
      </c>
      <c r="T127" s="54">
        <f>I127*S127</f>
        <v>2217.8571428571445</v>
      </c>
    </row>
    <row r="128" spans="1:20" ht="15.75">
      <c r="A128" s="5">
        <v>108</v>
      </c>
      <c r="B128" s="36" t="s">
        <v>65</v>
      </c>
      <c r="C128" s="4" t="s">
        <v>146</v>
      </c>
      <c r="D128" s="264"/>
      <c r="E128" s="37">
        <v>0</v>
      </c>
      <c r="F128" s="15">
        <v>16</v>
      </c>
      <c r="G128" s="15">
        <v>46</v>
      </c>
      <c r="H128" s="15">
        <v>8</v>
      </c>
      <c r="I128" s="15">
        <v>9</v>
      </c>
      <c r="J128" s="15">
        <v>9</v>
      </c>
      <c r="K128" s="16">
        <v>1230</v>
      </c>
      <c r="L128" s="95">
        <f t="shared" si="13"/>
        <v>11070</v>
      </c>
      <c r="M128" s="312"/>
      <c r="N128" s="312"/>
      <c r="O128" s="15">
        <f>F128+G128-H128</f>
        <v>54</v>
      </c>
      <c r="P128" s="62">
        <f>E128+I128-J128</f>
        <v>0</v>
      </c>
      <c r="Q128" s="23">
        <v>12</v>
      </c>
      <c r="R128" s="54">
        <f>K128/1.12</f>
        <v>1098.2142857142856</v>
      </c>
      <c r="S128" s="54">
        <f>K128-R128</f>
        <v>131.78571428571445</v>
      </c>
      <c r="T128" s="54">
        <f>I128*S128</f>
        <v>1186.07142857143</v>
      </c>
    </row>
    <row r="129" spans="1:20" ht="15.75">
      <c r="A129" s="5">
        <v>109</v>
      </c>
      <c r="B129" s="36" t="s">
        <v>66</v>
      </c>
      <c r="C129" s="8"/>
      <c r="D129" s="264"/>
      <c r="E129" s="37">
        <v>0</v>
      </c>
      <c r="F129" s="15">
        <v>18</v>
      </c>
      <c r="G129" s="15">
        <v>36</v>
      </c>
      <c r="H129" s="15">
        <v>28</v>
      </c>
      <c r="I129" s="15">
        <v>30</v>
      </c>
      <c r="J129" s="15">
        <v>30</v>
      </c>
      <c r="K129" s="16">
        <v>965</v>
      </c>
      <c r="L129" s="95">
        <f t="shared" si="13"/>
        <v>28950</v>
      </c>
      <c r="M129" s="312"/>
      <c r="N129" s="312"/>
      <c r="O129" s="15">
        <f>F129+G129-H129</f>
        <v>26</v>
      </c>
      <c r="P129" s="62">
        <f>E129+I129-J129</f>
        <v>0</v>
      </c>
      <c r="Q129" s="23">
        <v>12</v>
      </c>
      <c r="R129" s="54">
        <f>K129/1.12</f>
        <v>861.6071428571428</v>
      </c>
      <c r="S129" s="54">
        <f>K129-R129</f>
        <v>103.39285714285722</v>
      </c>
      <c r="T129" s="54">
        <f>I129*S129</f>
        <v>3101.7857142857165</v>
      </c>
    </row>
    <row r="130" spans="1:20" ht="15.75">
      <c r="A130" s="5">
        <v>110</v>
      </c>
      <c r="B130" s="36" t="s">
        <v>67</v>
      </c>
      <c r="C130" s="8"/>
      <c r="D130" s="264"/>
      <c r="E130" s="37">
        <v>0</v>
      </c>
      <c r="F130" s="15">
        <v>10</v>
      </c>
      <c r="G130" s="15">
        <v>18</v>
      </c>
      <c r="H130" s="15">
        <v>0</v>
      </c>
      <c r="I130" s="15">
        <v>0</v>
      </c>
      <c r="J130" s="15">
        <v>0</v>
      </c>
      <c r="K130" s="16">
        <v>1445</v>
      </c>
      <c r="L130" s="95">
        <f t="shared" si="13"/>
        <v>0</v>
      </c>
      <c r="M130" s="312"/>
      <c r="N130" s="312"/>
      <c r="O130" s="15">
        <f>F130+G130-H130</f>
        <v>28</v>
      </c>
      <c r="P130" s="62">
        <f>E130+I130-J130</f>
        <v>0</v>
      </c>
      <c r="Q130" s="23">
        <v>12</v>
      </c>
      <c r="R130" s="54">
        <f>K130/1.12</f>
        <v>1290.1785714285713</v>
      </c>
      <c r="S130" s="54">
        <f>K130-R130</f>
        <v>154.82142857142867</v>
      </c>
      <c r="T130" s="54">
        <f>I130*S130</f>
        <v>0</v>
      </c>
    </row>
    <row r="131" spans="1:20" ht="15.75">
      <c r="A131" s="28"/>
      <c r="B131" s="29" t="s">
        <v>69</v>
      </c>
      <c r="C131" s="43"/>
      <c r="D131" s="30"/>
      <c r="E131" s="31">
        <f aca="true" t="shared" si="14" ref="E131:K131">SUM(E132:E134)</f>
        <v>0</v>
      </c>
      <c r="F131" s="31">
        <f t="shared" si="14"/>
        <v>691</v>
      </c>
      <c r="G131" s="31">
        <f t="shared" si="14"/>
        <v>1824</v>
      </c>
      <c r="H131" s="31">
        <f t="shared" si="14"/>
        <v>282.5929203539823</v>
      </c>
      <c r="I131" s="31">
        <f t="shared" si="14"/>
        <v>335</v>
      </c>
      <c r="J131" s="31">
        <f t="shared" si="14"/>
        <v>335</v>
      </c>
      <c r="K131" s="34">
        <f t="shared" si="14"/>
        <v>1642</v>
      </c>
      <c r="L131" s="35">
        <f>SUM(L132:L134)</f>
        <v>57992</v>
      </c>
      <c r="M131" s="312"/>
      <c r="N131" s="312"/>
      <c r="O131" s="31">
        <f aca="true" t="shared" si="15" ref="O131:T131">SUM(O132:O134)</f>
        <v>2232.407079646018</v>
      </c>
      <c r="P131" s="31">
        <f t="shared" si="15"/>
        <v>0</v>
      </c>
      <c r="Q131" s="34">
        <f t="shared" si="15"/>
        <v>36</v>
      </c>
      <c r="R131" s="34">
        <f t="shared" si="15"/>
        <v>1466.0714285714284</v>
      </c>
      <c r="S131" s="34">
        <f t="shared" si="15"/>
        <v>175.92857142857167</v>
      </c>
      <c r="T131" s="34">
        <f t="shared" si="15"/>
        <v>6213.428571428578</v>
      </c>
    </row>
    <row r="132" spans="1:20" ht="15.75">
      <c r="A132" s="5">
        <v>111</v>
      </c>
      <c r="B132" s="36" t="s">
        <v>70</v>
      </c>
      <c r="C132" s="8"/>
      <c r="D132" s="264" t="s">
        <v>104</v>
      </c>
      <c r="E132" s="37">
        <v>0</v>
      </c>
      <c r="F132" s="15">
        <v>11</v>
      </c>
      <c r="G132" s="15">
        <v>17</v>
      </c>
      <c r="H132" s="15">
        <v>15</v>
      </c>
      <c r="I132" s="15">
        <v>20</v>
      </c>
      <c r="J132" s="15">
        <v>20</v>
      </c>
      <c r="K132" s="16">
        <v>1343</v>
      </c>
      <c r="L132" s="95">
        <f t="shared" si="13"/>
        <v>26860</v>
      </c>
      <c r="M132" s="312"/>
      <c r="N132" s="312"/>
      <c r="O132" s="15">
        <f>F132+G132-H132</f>
        <v>13</v>
      </c>
      <c r="P132" s="62">
        <f>E132+I132-J132</f>
        <v>0</v>
      </c>
      <c r="Q132" s="23">
        <v>12</v>
      </c>
      <c r="R132" s="54">
        <f>K132/1.12</f>
        <v>1199.1071428571427</v>
      </c>
      <c r="S132" s="54">
        <f>K132-R132</f>
        <v>143.89285714285734</v>
      </c>
      <c r="T132" s="54">
        <f>I132*S132</f>
        <v>2877.8571428571468</v>
      </c>
    </row>
    <row r="133" spans="1:20" ht="15.75">
      <c r="A133" s="5">
        <v>112</v>
      </c>
      <c r="B133" s="36" t="s">
        <v>71</v>
      </c>
      <c r="C133" s="8"/>
      <c r="D133" s="264"/>
      <c r="E133" s="37">
        <v>0</v>
      </c>
      <c r="F133" s="15">
        <v>482</v>
      </c>
      <c r="G133" s="15">
        <v>1188</v>
      </c>
      <c r="H133" s="15">
        <f>273/1.13</f>
        <v>241.59292035398232</v>
      </c>
      <c r="I133" s="15">
        <v>274</v>
      </c>
      <c r="J133" s="15">
        <v>274</v>
      </c>
      <c r="K133" s="16">
        <v>81</v>
      </c>
      <c r="L133" s="95">
        <f>I133*K133</f>
        <v>22194</v>
      </c>
      <c r="M133" s="312"/>
      <c r="N133" s="312"/>
      <c r="O133" s="15">
        <f>F133+G133-H133</f>
        <v>1428.4070796460178</v>
      </c>
      <c r="P133" s="62">
        <f>E133+I133-J133</f>
        <v>0</v>
      </c>
      <c r="Q133" s="23">
        <v>12</v>
      </c>
      <c r="R133" s="54">
        <f>K133/1.12</f>
        <v>72.32142857142857</v>
      </c>
      <c r="S133" s="54">
        <f>K133-R133</f>
        <v>8.67857142857143</v>
      </c>
      <c r="T133" s="54">
        <f>I133*S133</f>
        <v>2377.928571428572</v>
      </c>
    </row>
    <row r="134" spans="1:20" ht="15.75">
      <c r="A134" s="5">
        <v>113</v>
      </c>
      <c r="B134" s="36" t="s">
        <v>72</v>
      </c>
      <c r="C134" s="8"/>
      <c r="D134" s="264"/>
      <c r="E134" s="37">
        <v>0</v>
      </c>
      <c r="F134" s="15">
        <v>198</v>
      </c>
      <c r="G134" s="15">
        <v>619</v>
      </c>
      <c r="H134" s="15">
        <v>26</v>
      </c>
      <c r="I134" s="15">
        <v>41</v>
      </c>
      <c r="J134" s="15">
        <v>41</v>
      </c>
      <c r="K134" s="16">
        <v>218</v>
      </c>
      <c r="L134" s="95">
        <f t="shared" si="13"/>
        <v>8938</v>
      </c>
      <c r="M134" s="312"/>
      <c r="N134" s="312"/>
      <c r="O134" s="15">
        <f>F134+G134-H134</f>
        <v>791</v>
      </c>
      <c r="P134" s="62">
        <f>E134+I134-J134</f>
        <v>0</v>
      </c>
      <c r="Q134" s="23">
        <v>12</v>
      </c>
      <c r="R134" s="54">
        <f>K134/1.12</f>
        <v>194.6428571428571</v>
      </c>
      <c r="S134" s="54">
        <f>K134-R134</f>
        <v>23.35714285714289</v>
      </c>
      <c r="T134" s="54">
        <f>I134*S134</f>
        <v>957.6428571428585</v>
      </c>
    </row>
    <row r="135" spans="1:20" ht="15.75">
      <c r="A135" s="28"/>
      <c r="B135" s="29" t="s">
        <v>73</v>
      </c>
      <c r="C135" s="44"/>
      <c r="D135" s="30"/>
      <c r="E135" s="31">
        <f aca="true" t="shared" si="16" ref="E135:K135">E136+E137</f>
        <v>0</v>
      </c>
      <c r="F135" s="31">
        <f t="shared" si="16"/>
        <v>727</v>
      </c>
      <c r="G135" s="31">
        <f t="shared" si="16"/>
        <v>2044</v>
      </c>
      <c r="H135" s="31">
        <f t="shared" si="16"/>
        <v>326</v>
      </c>
      <c r="I135" s="31">
        <f t="shared" si="16"/>
        <v>326</v>
      </c>
      <c r="J135" s="31">
        <f t="shared" si="16"/>
        <v>326</v>
      </c>
      <c r="K135" s="34">
        <f t="shared" si="16"/>
        <v>560</v>
      </c>
      <c r="L135" s="35">
        <f>SUM(L136:L137)</f>
        <v>57960</v>
      </c>
      <c r="M135" s="312"/>
      <c r="N135" s="312"/>
      <c r="O135" s="31">
        <f aca="true" t="shared" si="17" ref="O135:T135">O136+O137</f>
        <v>2445</v>
      </c>
      <c r="P135" s="31">
        <f t="shared" si="17"/>
        <v>0</v>
      </c>
      <c r="Q135" s="34">
        <f t="shared" si="17"/>
        <v>24</v>
      </c>
      <c r="R135" s="34">
        <f t="shared" si="17"/>
        <v>499.99999999999994</v>
      </c>
      <c r="S135" s="34">
        <f t="shared" si="17"/>
        <v>60.00000000000007</v>
      </c>
      <c r="T135" s="34">
        <f t="shared" si="17"/>
        <v>6210.0000000000055</v>
      </c>
    </row>
    <row r="136" spans="1:20" ht="15.75">
      <c r="A136" s="5">
        <v>114</v>
      </c>
      <c r="B136" s="36" t="s">
        <v>74</v>
      </c>
      <c r="C136" s="8"/>
      <c r="D136" s="264" t="s">
        <v>104</v>
      </c>
      <c r="E136" s="37">
        <v>0</v>
      </c>
      <c r="F136" s="15">
        <v>131</v>
      </c>
      <c r="G136" s="15">
        <v>560</v>
      </c>
      <c r="H136" s="15">
        <v>65</v>
      </c>
      <c r="I136" s="15">
        <v>65</v>
      </c>
      <c r="J136" s="15">
        <v>65</v>
      </c>
      <c r="K136" s="16">
        <v>450</v>
      </c>
      <c r="L136" s="95">
        <f>I136*K136</f>
        <v>29250</v>
      </c>
      <c r="M136" s="312"/>
      <c r="N136" s="312"/>
      <c r="O136" s="15">
        <f>F136+G136-H136</f>
        <v>626</v>
      </c>
      <c r="P136" s="62">
        <f>E136+I136-J136</f>
        <v>0</v>
      </c>
      <c r="Q136" s="62">
        <v>12</v>
      </c>
      <c r="R136" s="54">
        <f>K136/1.12</f>
        <v>401.7857142857142</v>
      </c>
      <c r="S136" s="54">
        <f>K136-R136</f>
        <v>48.21428571428578</v>
      </c>
      <c r="T136" s="54">
        <f>I136*S136</f>
        <v>3133.9285714285757</v>
      </c>
    </row>
    <row r="137" spans="1:20" ht="15.75">
      <c r="A137" s="5">
        <v>115</v>
      </c>
      <c r="B137" s="36" t="s">
        <v>75</v>
      </c>
      <c r="C137" s="8"/>
      <c r="D137" s="265"/>
      <c r="E137" s="37">
        <v>0</v>
      </c>
      <c r="F137" s="15">
        <v>596</v>
      </c>
      <c r="G137" s="15">
        <v>1484</v>
      </c>
      <c r="H137" s="15">
        <v>261</v>
      </c>
      <c r="I137" s="15">
        <v>261</v>
      </c>
      <c r="J137" s="15">
        <v>261</v>
      </c>
      <c r="K137" s="16">
        <v>110</v>
      </c>
      <c r="L137" s="95">
        <f>I137*K137</f>
        <v>28710</v>
      </c>
      <c r="M137" s="312"/>
      <c r="N137" s="312"/>
      <c r="O137" s="15">
        <f>F137+G137-H137</f>
        <v>1819</v>
      </c>
      <c r="P137" s="62">
        <f>E137+I137-J137</f>
        <v>0</v>
      </c>
      <c r="Q137" s="62">
        <v>12</v>
      </c>
      <c r="R137" s="54">
        <f>K137/1.12</f>
        <v>98.21428571428571</v>
      </c>
      <c r="S137" s="54">
        <f>K137-R137</f>
        <v>11.785714285714292</v>
      </c>
      <c r="T137" s="54">
        <f>I137*S137</f>
        <v>3076.0714285714303</v>
      </c>
    </row>
    <row r="138" spans="1:20" ht="15.75">
      <c r="A138" s="69"/>
      <c r="B138" s="70" t="s">
        <v>182</v>
      </c>
      <c r="C138" s="71"/>
      <c r="D138" s="72"/>
      <c r="E138" s="73">
        <f>E139+E140</f>
        <v>0</v>
      </c>
      <c r="F138" s="73">
        <f aca="true" t="shared" si="18" ref="F138:L138">F139+F140</f>
        <v>0</v>
      </c>
      <c r="G138" s="73">
        <f t="shared" si="18"/>
        <v>420</v>
      </c>
      <c r="H138" s="73">
        <f t="shared" si="18"/>
        <v>0</v>
      </c>
      <c r="I138" s="73">
        <f t="shared" si="18"/>
        <v>0</v>
      </c>
      <c r="J138" s="73">
        <f t="shared" si="18"/>
        <v>0</v>
      </c>
      <c r="K138" s="74">
        <f t="shared" si="18"/>
        <v>1250</v>
      </c>
      <c r="L138" s="74">
        <f t="shared" si="18"/>
        <v>0</v>
      </c>
      <c r="M138" s="312"/>
      <c r="N138" s="312"/>
      <c r="O138" s="75">
        <f>O139+O140</f>
        <v>420</v>
      </c>
      <c r="P138" s="75">
        <f>P139+P140</f>
        <v>0</v>
      </c>
      <c r="Q138" s="74" t="s">
        <v>112</v>
      </c>
      <c r="R138" s="74">
        <f>R139+R140</f>
        <v>1116.0714285714284</v>
      </c>
      <c r="S138" s="74">
        <f>S139+S140</f>
        <v>133.92857142857162</v>
      </c>
      <c r="T138" s="74">
        <f>T139+T140</f>
        <v>0</v>
      </c>
    </row>
    <row r="139" spans="1:20" ht="31.5">
      <c r="A139" s="5">
        <v>116</v>
      </c>
      <c r="B139" s="64" t="s">
        <v>178</v>
      </c>
      <c r="C139" s="8"/>
      <c r="D139" s="4"/>
      <c r="E139" s="37">
        <v>0</v>
      </c>
      <c r="F139" s="15">
        <v>0</v>
      </c>
      <c r="G139" s="15">
        <v>210</v>
      </c>
      <c r="H139" s="15">
        <v>0</v>
      </c>
      <c r="I139" s="15">
        <v>0</v>
      </c>
      <c r="J139" s="15">
        <v>0</v>
      </c>
      <c r="K139" s="16">
        <v>550</v>
      </c>
      <c r="L139" s="95">
        <f>I139*K139</f>
        <v>0</v>
      </c>
      <c r="M139" s="312"/>
      <c r="N139" s="312"/>
      <c r="O139" s="15">
        <f>F139+G139-H139</f>
        <v>210</v>
      </c>
      <c r="P139" s="62">
        <f>E139+I139-J139</f>
        <v>0</v>
      </c>
      <c r="Q139" s="62">
        <v>12</v>
      </c>
      <c r="R139" s="54">
        <f>K139/1.12</f>
        <v>491.0714285714285</v>
      </c>
      <c r="S139" s="54">
        <f>K139-R139</f>
        <v>58.9285714285715</v>
      </c>
      <c r="T139" s="54">
        <f>I139*S139</f>
        <v>0</v>
      </c>
    </row>
    <row r="140" spans="1:20" ht="31.5">
      <c r="A140" s="5">
        <v>117</v>
      </c>
      <c r="B140" s="65" t="s">
        <v>179</v>
      </c>
      <c r="C140" s="8"/>
      <c r="D140" s="4"/>
      <c r="E140" s="37">
        <v>0</v>
      </c>
      <c r="F140" s="15">
        <v>0</v>
      </c>
      <c r="G140" s="15">
        <v>210</v>
      </c>
      <c r="H140" s="15">
        <v>0</v>
      </c>
      <c r="I140" s="15">
        <v>0</v>
      </c>
      <c r="J140" s="15">
        <v>0</v>
      </c>
      <c r="K140" s="16">
        <v>700</v>
      </c>
      <c r="L140" s="95">
        <f>I140*K140</f>
        <v>0</v>
      </c>
      <c r="M140" s="305"/>
      <c r="N140" s="305"/>
      <c r="O140" s="15">
        <f>F140+G140-H140</f>
        <v>210</v>
      </c>
      <c r="P140" s="62">
        <f>E140+I140-J140</f>
        <v>0</v>
      </c>
      <c r="Q140" s="62">
        <v>12</v>
      </c>
      <c r="R140" s="54">
        <f>K140/1.12</f>
        <v>624.9999999999999</v>
      </c>
      <c r="S140" s="54">
        <f>K140-R140</f>
        <v>75.00000000000011</v>
      </c>
      <c r="T140" s="54">
        <f>I140*S140</f>
        <v>0</v>
      </c>
    </row>
    <row r="141" spans="1:20" ht="15.75">
      <c r="A141" s="86"/>
      <c r="B141" s="89" t="s">
        <v>194</v>
      </c>
      <c r="C141" s="87"/>
      <c r="D141" s="88"/>
      <c r="E141" s="38">
        <f>E124+E10+E138</f>
        <v>4921</v>
      </c>
      <c r="F141" s="38">
        <f aca="true" t="shared" si="19" ref="F141:L141">F124+F10+F138</f>
        <v>4223</v>
      </c>
      <c r="G141" s="38">
        <f t="shared" si="19"/>
        <v>10285</v>
      </c>
      <c r="H141" s="38">
        <f t="shared" si="19"/>
        <v>5973.6698434309055</v>
      </c>
      <c r="I141" s="38">
        <f t="shared" si="19"/>
        <v>3635</v>
      </c>
      <c r="J141" s="38">
        <f t="shared" si="19"/>
        <v>6394</v>
      </c>
      <c r="K141" s="39">
        <f t="shared" si="19"/>
        <v>57044.729999999996</v>
      </c>
      <c r="L141" s="39">
        <f t="shared" si="19"/>
        <v>2182552.8</v>
      </c>
      <c r="M141" s="40">
        <v>2182551</v>
      </c>
      <c r="N141" s="40">
        <f>L141-M141</f>
        <v>1.7999999998137355</v>
      </c>
      <c r="O141" s="38">
        <f>O124+O10+O138</f>
        <v>8534.330156569094</v>
      </c>
      <c r="P141" s="38">
        <f>P124+P10+P138</f>
        <v>2162</v>
      </c>
      <c r="Q141" s="39" t="s">
        <v>112</v>
      </c>
      <c r="R141" s="39">
        <f>R124+R10+R138</f>
        <v>50832.178202479336</v>
      </c>
      <c r="S141" s="39">
        <f>S124+S10+S138</f>
        <v>6209.491797520665</v>
      </c>
      <c r="T141" s="39">
        <f>T124+T10+T138</f>
        <v>232183.47000000015</v>
      </c>
    </row>
    <row r="142" spans="1:20" ht="15.75">
      <c r="A142" s="63"/>
      <c r="B142" s="81" t="s">
        <v>196</v>
      </c>
      <c r="C142" s="63"/>
      <c r="D142" s="63"/>
      <c r="E142" s="80" t="s">
        <v>112</v>
      </c>
      <c r="F142" s="80" t="s">
        <v>112</v>
      </c>
      <c r="G142" s="80" t="s">
        <v>112</v>
      </c>
      <c r="H142" s="80" t="s">
        <v>112</v>
      </c>
      <c r="I142" s="80" t="s">
        <v>112</v>
      </c>
      <c r="J142" s="80" t="s">
        <v>112</v>
      </c>
      <c r="K142" s="80" t="s">
        <v>112</v>
      </c>
      <c r="L142" s="84">
        <f>M142</f>
        <v>245257</v>
      </c>
      <c r="M142" s="84">
        <v>245257</v>
      </c>
      <c r="N142" s="85">
        <f>L142-M142</f>
        <v>0</v>
      </c>
      <c r="O142" s="80" t="s">
        <v>112</v>
      </c>
      <c r="P142" s="80" t="s">
        <v>112</v>
      </c>
      <c r="Q142" s="80" t="s">
        <v>112</v>
      </c>
      <c r="R142" s="80" t="s">
        <v>112</v>
      </c>
      <c r="S142" s="80" t="s">
        <v>112</v>
      </c>
      <c r="T142" s="80" t="s">
        <v>112</v>
      </c>
    </row>
    <row r="143" spans="1:20" ht="15.75">
      <c r="A143" s="63"/>
      <c r="B143" s="81" t="s">
        <v>195</v>
      </c>
      <c r="C143" s="63"/>
      <c r="D143" s="63"/>
      <c r="E143" s="80" t="s">
        <v>112</v>
      </c>
      <c r="F143" s="80" t="s">
        <v>112</v>
      </c>
      <c r="G143" s="80" t="s">
        <v>112</v>
      </c>
      <c r="H143" s="80" t="s">
        <v>112</v>
      </c>
      <c r="I143" s="80" t="s">
        <v>112</v>
      </c>
      <c r="J143" s="80" t="s">
        <v>112</v>
      </c>
      <c r="K143" s="80" t="s">
        <v>112</v>
      </c>
      <c r="L143" s="84">
        <f>M143-1.8</f>
        <v>284572.2</v>
      </c>
      <c r="M143" s="84">
        <v>284574</v>
      </c>
      <c r="N143" s="85">
        <f>L143-M143</f>
        <v>-1.7999999999883585</v>
      </c>
      <c r="O143" s="80" t="s">
        <v>112</v>
      </c>
      <c r="P143" s="80" t="s">
        <v>112</v>
      </c>
      <c r="Q143" s="80" t="s">
        <v>112</v>
      </c>
      <c r="R143" s="80" t="s">
        <v>112</v>
      </c>
      <c r="S143" s="80" t="s">
        <v>112</v>
      </c>
      <c r="T143" s="80" t="s">
        <v>112</v>
      </c>
    </row>
    <row r="144" spans="1:20" ht="15.75">
      <c r="A144" s="63"/>
      <c r="B144" s="81" t="s">
        <v>197</v>
      </c>
      <c r="C144" s="82"/>
      <c r="D144" s="82"/>
      <c r="E144" s="80" t="s">
        <v>112</v>
      </c>
      <c r="F144" s="80" t="s">
        <v>112</v>
      </c>
      <c r="G144" s="80" t="s">
        <v>112</v>
      </c>
      <c r="H144" s="80" t="s">
        <v>112</v>
      </c>
      <c r="I144" s="80" t="s">
        <v>112</v>
      </c>
      <c r="J144" s="80" t="s">
        <v>112</v>
      </c>
      <c r="K144" s="80" t="s">
        <v>112</v>
      </c>
      <c r="L144" s="83">
        <f>L141+L142+L143</f>
        <v>2712382</v>
      </c>
      <c r="M144" s="83">
        <f>M141+M142+M143</f>
        <v>2712382</v>
      </c>
      <c r="N144" s="83">
        <f>N141+N142+N143</f>
        <v>-1.7462298274040222E-10</v>
      </c>
      <c r="O144" s="80" t="s">
        <v>112</v>
      </c>
      <c r="P144" s="80" t="s">
        <v>112</v>
      </c>
      <c r="Q144" s="80" t="s">
        <v>112</v>
      </c>
      <c r="R144" s="80" t="s">
        <v>112</v>
      </c>
      <c r="S144" s="80" t="s">
        <v>112</v>
      </c>
      <c r="T144" s="80" t="s">
        <v>112</v>
      </c>
    </row>
    <row r="146" spans="2:12" ht="15.75">
      <c r="B146" s="108" t="s">
        <v>314</v>
      </c>
      <c r="C146" s="108"/>
      <c r="D146" s="108"/>
      <c r="E146" s="108"/>
      <c r="F146" s="108"/>
      <c r="G146" s="108"/>
      <c r="H146" s="108"/>
      <c r="I146" s="108"/>
      <c r="J146" s="108" t="s">
        <v>315</v>
      </c>
      <c r="L146" s="67"/>
    </row>
    <row r="147" spans="2:10" ht="15.75">
      <c r="B147" s="108"/>
      <c r="C147" s="108"/>
      <c r="D147" s="108"/>
      <c r="E147" s="108"/>
      <c r="F147" s="108"/>
      <c r="G147" s="108"/>
      <c r="H147" s="108"/>
      <c r="I147" s="108"/>
      <c r="J147" s="108"/>
    </row>
    <row r="148" spans="2:10" ht="15.75">
      <c r="B148" s="41" t="s">
        <v>337</v>
      </c>
      <c r="C148" s="41"/>
      <c r="D148" s="41"/>
      <c r="E148" s="108"/>
      <c r="F148" s="108"/>
      <c r="G148" s="108"/>
      <c r="H148" s="108"/>
      <c r="I148" s="108"/>
      <c r="J148" s="108"/>
    </row>
    <row r="149" spans="2:10" ht="15.75">
      <c r="B149" s="41" t="s">
        <v>316</v>
      </c>
      <c r="C149" s="41"/>
      <c r="D149" s="41"/>
      <c r="E149" s="108"/>
      <c r="F149" s="108"/>
      <c r="G149" s="108"/>
      <c r="H149" s="108"/>
      <c r="I149" s="108"/>
      <c r="J149" s="108"/>
    </row>
    <row r="150" spans="2:10" ht="15.75">
      <c r="B150" s="41" t="s">
        <v>317</v>
      </c>
      <c r="C150" s="41"/>
      <c r="D150" s="41"/>
      <c r="E150" s="108"/>
      <c r="F150" s="108"/>
      <c r="G150" s="108"/>
      <c r="H150" s="108"/>
      <c r="I150" s="108"/>
      <c r="J150" s="108"/>
    </row>
  </sheetData>
  <sheetProtection/>
  <mergeCells count="392">
    <mergeCell ref="R1:T1"/>
    <mergeCell ref="A7:A8"/>
    <mergeCell ref="B7:B8"/>
    <mergeCell ref="C7:C8"/>
    <mergeCell ref="D7:D8"/>
    <mergeCell ref="E7:E8"/>
    <mergeCell ref="F7:N7"/>
    <mergeCell ref="O7:O8"/>
    <mergeCell ref="C4:G4"/>
    <mergeCell ref="A5:N5"/>
    <mergeCell ref="P7:P8"/>
    <mergeCell ref="Q7:Q8"/>
    <mergeCell ref="R7:R8"/>
    <mergeCell ref="S7:S8"/>
    <mergeCell ref="T7:T8"/>
    <mergeCell ref="A10:D10"/>
    <mergeCell ref="N10:N140"/>
    <mergeCell ref="B11:D11"/>
    <mergeCell ref="C14:C15"/>
    <mergeCell ref="D14:D20"/>
    <mergeCell ref="E14:E15"/>
    <mergeCell ref="F14:F15"/>
    <mergeCell ref="G14:G15"/>
    <mergeCell ref="H14:H15"/>
    <mergeCell ref="I14:I15"/>
    <mergeCell ref="J14:J15"/>
    <mergeCell ref="K14:K15"/>
    <mergeCell ref="L14:L15"/>
    <mergeCell ref="O14:O15"/>
    <mergeCell ref="P14:P15"/>
    <mergeCell ref="Q14:Q15"/>
    <mergeCell ref="M10:M140"/>
    <mergeCell ref="K17:K18"/>
    <mergeCell ref="L17:L18"/>
    <mergeCell ref="O17:O18"/>
    <mergeCell ref="P17:P18"/>
    <mergeCell ref="R14:R15"/>
    <mergeCell ref="S14:S15"/>
    <mergeCell ref="T14:T15"/>
    <mergeCell ref="C17:C18"/>
    <mergeCell ref="E17:E18"/>
    <mergeCell ref="F17:F18"/>
    <mergeCell ref="G17:G18"/>
    <mergeCell ref="H17:H18"/>
    <mergeCell ref="I17:I18"/>
    <mergeCell ref="J17:J18"/>
    <mergeCell ref="Q17:Q18"/>
    <mergeCell ref="R17:R18"/>
    <mergeCell ref="S17:S18"/>
    <mergeCell ref="T17:T18"/>
    <mergeCell ref="C19:C20"/>
    <mergeCell ref="E19:E20"/>
    <mergeCell ref="F19:F20"/>
    <mergeCell ref="G19:G20"/>
    <mergeCell ref="H19:H20"/>
    <mergeCell ref="I19:I20"/>
    <mergeCell ref="J19:J20"/>
    <mergeCell ref="K19:K20"/>
    <mergeCell ref="L19:L20"/>
    <mergeCell ref="O19:O20"/>
    <mergeCell ref="P19:P20"/>
    <mergeCell ref="Q19:Q20"/>
    <mergeCell ref="R19:R20"/>
    <mergeCell ref="S19:S20"/>
    <mergeCell ref="T19:T20"/>
    <mergeCell ref="C21:C25"/>
    <mergeCell ref="D21:D25"/>
    <mergeCell ref="E21:E25"/>
    <mergeCell ref="F21:F25"/>
    <mergeCell ref="G21:G25"/>
    <mergeCell ref="H21:H25"/>
    <mergeCell ref="I21:I25"/>
    <mergeCell ref="J21:J25"/>
    <mergeCell ref="K21:K25"/>
    <mergeCell ref="L21:L25"/>
    <mergeCell ref="O21:O25"/>
    <mergeCell ref="P21:P25"/>
    <mergeCell ref="Q21:Q25"/>
    <mergeCell ref="R21:R25"/>
    <mergeCell ref="S21:S25"/>
    <mergeCell ref="T21:T25"/>
    <mergeCell ref="C26:C31"/>
    <mergeCell ref="D26:D36"/>
    <mergeCell ref="E26:E31"/>
    <mergeCell ref="F26:F31"/>
    <mergeCell ref="G26:G31"/>
    <mergeCell ref="H26:H31"/>
    <mergeCell ref="I26:I31"/>
    <mergeCell ref="J26:J31"/>
    <mergeCell ref="K26:K31"/>
    <mergeCell ref="L26:L31"/>
    <mergeCell ref="O26:O31"/>
    <mergeCell ref="P26:P31"/>
    <mergeCell ref="Q26:Q31"/>
    <mergeCell ref="R26:R31"/>
    <mergeCell ref="S26:S31"/>
    <mergeCell ref="T26:T31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O32:O33"/>
    <mergeCell ref="P32:P33"/>
    <mergeCell ref="Q32:Q33"/>
    <mergeCell ref="R32:R33"/>
    <mergeCell ref="S32:S33"/>
    <mergeCell ref="T32:T33"/>
    <mergeCell ref="C34:C36"/>
    <mergeCell ref="E34:E36"/>
    <mergeCell ref="F34:F36"/>
    <mergeCell ref="G34:G36"/>
    <mergeCell ref="H34:H36"/>
    <mergeCell ref="I34:I36"/>
    <mergeCell ref="J34:J36"/>
    <mergeCell ref="K34:K36"/>
    <mergeCell ref="L34:L36"/>
    <mergeCell ref="O34:O36"/>
    <mergeCell ref="P34:P36"/>
    <mergeCell ref="Q34:Q36"/>
    <mergeCell ref="R34:R36"/>
    <mergeCell ref="S34:S36"/>
    <mergeCell ref="T34:T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O37:O38"/>
    <mergeCell ref="P37:P38"/>
    <mergeCell ref="Q37:Q38"/>
    <mergeCell ref="R37:R38"/>
    <mergeCell ref="S37:S38"/>
    <mergeCell ref="T37:T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O39:O40"/>
    <mergeCell ref="P39:P40"/>
    <mergeCell ref="Q39:Q40"/>
    <mergeCell ref="R39:R40"/>
    <mergeCell ref="S39:S40"/>
    <mergeCell ref="T39:T40"/>
    <mergeCell ref="C42:C43"/>
    <mergeCell ref="A44:D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O45:O46"/>
    <mergeCell ref="P45:P46"/>
    <mergeCell ref="Q45:Q46"/>
    <mergeCell ref="R45:R46"/>
    <mergeCell ref="S45:S46"/>
    <mergeCell ref="T45:T46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O47:O49"/>
    <mergeCell ref="P47:P49"/>
    <mergeCell ref="Q47:Q49"/>
    <mergeCell ref="R47:R49"/>
    <mergeCell ref="S47:S49"/>
    <mergeCell ref="T47:T49"/>
    <mergeCell ref="C50:C56"/>
    <mergeCell ref="D50:D56"/>
    <mergeCell ref="E50:E56"/>
    <mergeCell ref="F50:F56"/>
    <mergeCell ref="G50:G56"/>
    <mergeCell ref="H50:H56"/>
    <mergeCell ref="I50:I56"/>
    <mergeCell ref="J50:J56"/>
    <mergeCell ref="K50:K56"/>
    <mergeCell ref="L50:L56"/>
    <mergeCell ref="O50:O56"/>
    <mergeCell ref="P50:P56"/>
    <mergeCell ref="Q50:Q56"/>
    <mergeCell ref="R50:R56"/>
    <mergeCell ref="S50:S56"/>
    <mergeCell ref="T50:T56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O57:O62"/>
    <mergeCell ref="P57:P62"/>
    <mergeCell ref="Q57:Q62"/>
    <mergeCell ref="R57:R62"/>
    <mergeCell ref="S57:S62"/>
    <mergeCell ref="T57:T62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O64:O65"/>
    <mergeCell ref="P64:P65"/>
    <mergeCell ref="Q64:Q65"/>
    <mergeCell ref="R64:R65"/>
    <mergeCell ref="S64:S65"/>
    <mergeCell ref="T64:T65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O67:O68"/>
    <mergeCell ref="P67:P68"/>
    <mergeCell ref="Q67:Q68"/>
    <mergeCell ref="R67:R68"/>
    <mergeCell ref="S67:S68"/>
    <mergeCell ref="T67:T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O69:O70"/>
    <mergeCell ref="P69:P70"/>
    <mergeCell ref="Q69:Q70"/>
    <mergeCell ref="R69:R70"/>
    <mergeCell ref="S69:S70"/>
    <mergeCell ref="T69:T70"/>
    <mergeCell ref="C71:C77"/>
    <mergeCell ref="D71:D77"/>
    <mergeCell ref="E71:E77"/>
    <mergeCell ref="F71:F77"/>
    <mergeCell ref="G71:G77"/>
    <mergeCell ref="H71:H77"/>
    <mergeCell ref="I71:I77"/>
    <mergeCell ref="J71:J77"/>
    <mergeCell ref="K71:K77"/>
    <mergeCell ref="L71:L77"/>
    <mergeCell ref="O71:O77"/>
    <mergeCell ref="P71:P77"/>
    <mergeCell ref="Q71:Q77"/>
    <mergeCell ref="R71:R77"/>
    <mergeCell ref="S71:S77"/>
    <mergeCell ref="T71:T77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O79:O80"/>
    <mergeCell ref="P79:P80"/>
    <mergeCell ref="Q79:Q80"/>
    <mergeCell ref="R79:R80"/>
    <mergeCell ref="S79:S80"/>
    <mergeCell ref="T79:T80"/>
    <mergeCell ref="C81:C87"/>
    <mergeCell ref="D81:D87"/>
    <mergeCell ref="E81:E87"/>
    <mergeCell ref="F81:F87"/>
    <mergeCell ref="G81:G87"/>
    <mergeCell ref="H81:H87"/>
    <mergeCell ref="I81:I87"/>
    <mergeCell ref="J81:J87"/>
    <mergeCell ref="K81:K87"/>
    <mergeCell ref="L81:L87"/>
    <mergeCell ref="O81:O87"/>
    <mergeCell ref="P81:P87"/>
    <mergeCell ref="Q81:Q87"/>
    <mergeCell ref="R81:R87"/>
    <mergeCell ref="S81:S87"/>
    <mergeCell ref="T81:T87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O88:O89"/>
    <mergeCell ref="P88:P89"/>
    <mergeCell ref="Q88:Q89"/>
    <mergeCell ref="R88:R89"/>
    <mergeCell ref="S88:S89"/>
    <mergeCell ref="T88:T89"/>
    <mergeCell ref="C91:C94"/>
    <mergeCell ref="D91:D94"/>
    <mergeCell ref="E91:E94"/>
    <mergeCell ref="F91:F94"/>
    <mergeCell ref="G91:G94"/>
    <mergeCell ref="H91:H94"/>
    <mergeCell ref="I91:I94"/>
    <mergeCell ref="J91:J94"/>
    <mergeCell ref="K91:K94"/>
    <mergeCell ref="L91:L94"/>
    <mergeCell ref="O91:O94"/>
    <mergeCell ref="P91:P94"/>
    <mergeCell ref="Q91:Q94"/>
    <mergeCell ref="R91:R94"/>
    <mergeCell ref="S91:S94"/>
    <mergeCell ref="T91:T94"/>
    <mergeCell ref="C96:C99"/>
    <mergeCell ref="D96:D99"/>
    <mergeCell ref="E96:E99"/>
    <mergeCell ref="F96:F99"/>
    <mergeCell ref="G96:G99"/>
    <mergeCell ref="H96:H99"/>
    <mergeCell ref="I96:I99"/>
    <mergeCell ref="J96:J99"/>
    <mergeCell ref="K96:K99"/>
    <mergeCell ref="L96:L99"/>
    <mergeCell ref="O96:O99"/>
    <mergeCell ref="P96:P99"/>
    <mergeCell ref="Q96:Q99"/>
    <mergeCell ref="R96:R99"/>
    <mergeCell ref="S96:S99"/>
    <mergeCell ref="T96:T99"/>
    <mergeCell ref="C102:C104"/>
    <mergeCell ref="D102:D104"/>
    <mergeCell ref="E102:E104"/>
    <mergeCell ref="F102:F104"/>
    <mergeCell ref="G102:G104"/>
    <mergeCell ref="R102:R104"/>
    <mergeCell ref="S102:S104"/>
    <mergeCell ref="H102:H104"/>
    <mergeCell ref="I102:I104"/>
    <mergeCell ref="J102:J104"/>
    <mergeCell ref="K102:K104"/>
    <mergeCell ref="L102:L104"/>
    <mergeCell ref="O102:O104"/>
    <mergeCell ref="S2:T2"/>
    <mergeCell ref="P3:T3"/>
    <mergeCell ref="A124:D124"/>
    <mergeCell ref="D126:D130"/>
    <mergeCell ref="D132:D134"/>
    <mergeCell ref="D136:D137"/>
    <mergeCell ref="P102:P104"/>
    <mergeCell ref="Q102:Q104"/>
    <mergeCell ref="T102:T104"/>
    <mergeCell ref="A105:C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Footer>&amp;CLMpielik_24_070815_LMZino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0"/>
  <sheetViews>
    <sheetView workbookViewId="0" topLeftCell="A141">
      <selection activeCell="B158" sqref="B158"/>
    </sheetView>
  </sheetViews>
  <sheetFormatPr defaultColWidth="9.140625" defaultRowHeight="12.75"/>
  <cols>
    <col min="1" max="1" width="6.140625" style="0" customWidth="1"/>
    <col min="2" max="2" width="49.57421875" style="0" customWidth="1"/>
    <col min="3" max="3" width="21.00390625" style="0" customWidth="1"/>
    <col min="4" max="4" width="0" style="0" hidden="1" customWidth="1"/>
    <col min="5" max="5" width="10.140625" style="0" customWidth="1"/>
    <col min="6" max="6" width="11.7109375" style="0" customWidth="1"/>
    <col min="7" max="7" width="12.7109375" style="0" customWidth="1"/>
    <col min="8" max="8" width="11.00390625" style="0" customWidth="1"/>
    <col min="9" max="9" width="9.28125" style="0" customWidth="1"/>
    <col min="10" max="10" width="9.421875" style="0" customWidth="1"/>
    <col min="11" max="11" width="12.00390625" style="0" customWidth="1"/>
    <col min="12" max="12" width="13.8515625" style="0" customWidth="1"/>
    <col min="13" max="13" width="13.421875" style="0" customWidth="1"/>
    <col min="14" max="14" width="13.57421875" style="0" customWidth="1"/>
    <col min="15" max="15" width="11.7109375" style="0" customWidth="1"/>
    <col min="16" max="16" width="12.8515625" style="0" customWidth="1"/>
    <col min="17" max="17" width="10.140625" style="0" customWidth="1"/>
    <col min="18" max="18" width="11.421875" style="0" customWidth="1"/>
    <col min="20" max="20" width="12.00390625" style="0" customWidth="1"/>
  </cols>
  <sheetData>
    <row r="1" spans="18:20" ht="15.75">
      <c r="R1" s="320" t="s">
        <v>311</v>
      </c>
      <c r="S1" s="320"/>
      <c r="T1" s="320"/>
    </row>
    <row r="2" spans="19:20" ht="15.75">
      <c r="S2" s="261" t="s">
        <v>318</v>
      </c>
      <c r="T2" s="261"/>
    </row>
    <row r="3" spans="16:20" ht="32.25" customHeight="1">
      <c r="P3" s="262" t="s">
        <v>320</v>
      </c>
      <c r="Q3" s="262"/>
      <c r="R3" s="262"/>
      <c r="S3" s="262"/>
      <c r="T3" s="262"/>
    </row>
    <row r="4" spans="3:7" ht="18.75">
      <c r="C4" s="327" t="s">
        <v>202</v>
      </c>
      <c r="D4" s="327"/>
      <c r="E4" s="327"/>
      <c r="F4" s="327"/>
      <c r="G4" s="327"/>
    </row>
    <row r="5" spans="1:14" ht="45.75" customHeight="1">
      <c r="A5" s="328" t="s">
        <v>204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</row>
    <row r="6" spans="1:11" ht="12.75">
      <c r="A6" s="2"/>
      <c r="E6" s="2"/>
      <c r="G6" s="1"/>
      <c r="H6" s="1"/>
      <c r="I6" s="1"/>
      <c r="J6" s="1"/>
      <c r="K6" s="3"/>
    </row>
    <row r="7" spans="1:20" ht="15.75">
      <c r="A7" s="265" t="s">
        <v>12</v>
      </c>
      <c r="B7" s="265" t="s">
        <v>101</v>
      </c>
      <c r="C7" s="297" t="s">
        <v>116</v>
      </c>
      <c r="D7" s="321" t="s">
        <v>110</v>
      </c>
      <c r="E7" s="322" t="s">
        <v>199</v>
      </c>
      <c r="F7" s="323" t="s">
        <v>198</v>
      </c>
      <c r="G7" s="324"/>
      <c r="H7" s="324"/>
      <c r="I7" s="324"/>
      <c r="J7" s="324"/>
      <c r="K7" s="324"/>
      <c r="L7" s="324"/>
      <c r="M7" s="324"/>
      <c r="N7" s="325"/>
      <c r="O7" s="326" t="s">
        <v>201</v>
      </c>
      <c r="P7" s="313" t="s">
        <v>184</v>
      </c>
      <c r="Q7" s="315" t="s">
        <v>186</v>
      </c>
      <c r="R7" s="315" t="s">
        <v>187</v>
      </c>
      <c r="S7" s="315" t="s">
        <v>188</v>
      </c>
      <c r="T7" s="316" t="s">
        <v>189</v>
      </c>
    </row>
    <row r="8" spans="1:20" ht="110.25">
      <c r="A8" s="265"/>
      <c r="B8" s="265"/>
      <c r="C8" s="297"/>
      <c r="D8" s="321"/>
      <c r="E8" s="322"/>
      <c r="F8" s="6" t="s">
        <v>200</v>
      </c>
      <c r="G8" s="6" t="s">
        <v>323</v>
      </c>
      <c r="H8" s="7" t="s">
        <v>154</v>
      </c>
      <c r="I8" s="7" t="s">
        <v>155</v>
      </c>
      <c r="J8" s="7" t="s">
        <v>156</v>
      </c>
      <c r="K8" s="7" t="s">
        <v>324</v>
      </c>
      <c r="L8" s="8" t="s">
        <v>149</v>
      </c>
      <c r="M8" s="8" t="s">
        <v>149</v>
      </c>
      <c r="N8" s="8" t="s">
        <v>148</v>
      </c>
      <c r="O8" s="326"/>
      <c r="P8" s="314"/>
      <c r="Q8" s="315"/>
      <c r="R8" s="315"/>
      <c r="S8" s="315"/>
      <c r="T8" s="316"/>
    </row>
    <row r="9" spans="1:20" ht="31.5">
      <c r="A9" s="56">
        <v>1</v>
      </c>
      <c r="B9" s="56">
        <v>2</v>
      </c>
      <c r="C9" s="15">
        <v>3</v>
      </c>
      <c r="D9" s="57"/>
      <c r="E9" s="58">
        <v>4</v>
      </c>
      <c r="F9" s="58">
        <v>5</v>
      </c>
      <c r="G9" s="58">
        <v>6</v>
      </c>
      <c r="H9" s="59">
        <v>7</v>
      </c>
      <c r="I9" s="59">
        <v>8</v>
      </c>
      <c r="J9" s="59">
        <v>9</v>
      </c>
      <c r="K9" s="59">
        <v>10</v>
      </c>
      <c r="L9" s="60">
        <v>11</v>
      </c>
      <c r="M9" s="60">
        <v>12</v>
      </c>
      <c r="N9" s="60">
        <v>13</v>
      </c>
      <c r="O9" s="61" t="s">
        <v>183</v>
      </c>
      <c r="P9" s="41" t="s">
        <v>190</v>
      </c>
      <c r="Q9" s="77">
        <v>16</v>
      </c>
      <c r="R9" s="77" t="s">
        <v>191</v>
      </c>
      <c r="S9" s="77" t="s">
        <v>192</v>
      </c>
      <c r="T9" s="77" t="s">
        <v>193</v>
      </c>
    </row>
    <row r="10" spans="1:20" ht="15.75">
      <c r="A10" s="317" t="s">
        <v>108</v>
      </c>
      <c r="B10" s="317"/>
      <c r="C10" s="317"/>
      <c r="D10" s="317"/>
      <c r="E10" s="9">
        <f aca="true" t="shared" si="0" ref="E10:J10">E11+E44+E105</f>
        <v>2162</v>
      </c>
      <c r="F10" s="9">
        <f t="shared" si="0"/>
        <v>2398</v>
      </c>
      <c r="G10" s="9">
        <f t="shared" si="0"/>
        <v>5003</v>
      </c>
      <c r="H10" s="9">
        <f t="shared" si="0"/>
        <v>2435</v>
      </c>
      <c r="I10" s="9">
        <f t="shared" si="0"/>
        <v>1855</v>
      </c>
      <c r="J10" s="9">
        <f t="shared" si="0"/>
        <v>2588</v>
      </c>
      <c r="K10" s="10">
        <f>K11+K44+K105</f>
        <v>47839.7</v>
      </c>
      <c r="L10" s="10">
        <f>L11+L44+L105</f>
        <v>229101.01</v>
      </c>
      <c r="M10" s="304"/>
      <c r="N10" s="304"/>
      <c r="O10" s="9">
        <f>O11+O44+O105</f>
        <v>4966</v>
      </c>
      <c r="P10" s="9">
        <f>P11+P44+P105</f>
        <v>1429</v>
      </c>
      <c r="Q10" s="10" t="s">
        <v>112</v>
      </c>
      <c r="R10" s="10">
        <f>R11+R44+R105</f>
        <v>42613.40141676505</v>
      </c>
      <c r="S10" s="10">
        <f>S11+S44+S105</f>
        <v>5223.23858323495</v>
      </c>
      <c r="T10" s="10">
        <f>T11+T44+T105</f>
        <v>24440.423571428586</v>
      </c>
    </row>
    <row r="11" spans="1:20" ht="15.75">
      <c r="A11" s="28"/>
      <c r="B11" s="318" t="s">
        <v>102</v>
      </c>
      <c r="C11" s="318"/>
      <c r="D11" s="319"/>
      <c r="E11" s="11">
        <f>SUM(E12:E43)</f>
        <v>1871</v>
      </c>
      <c r="F11" s="11">
        <f aca="true" t="shared" si="1" ref="F11:L11">SUM(F12:F43)</f>
        <v>1785</v>
      </c>
      <c r="G11" s="11">
        <f>SUM(G12:G43)</f>
        <v>2086</v>
      </c>
      <c r="H11" s="11">
        <f t="shared" si="1"/>
        <v>2184</v>
      </c>
      <c r="I11" s="11">
        <f t="shared" si="1"/>
        <v>1815</v>
      </c>
      <c r="J11" s="11">
        <f t="shared" si="1"/>
        <v>2327</v>
      </c>
      <c r="K11" s="21">
        <f t="shared" si="1"/>
        <v>6900.76</v>
      </c>
      <c r="L11" s="21">
        <f t="shared" si="1"/>
        <v>223305.16</v>
      </c>
      <c r="M11" s="312"/>
      <c r="N11" s="312"/>
      <c r="O11" s="12">
        <f>SUM(O12:O43)</f>
        <v>1687</v>
      </c>
      <c r="P11" s="12">
        <f>SUM(P12:P43)</f>
        <v>1359</v>
      </c>
      <c r="Q11" s="45" t="s">
        <v>112</v>
      </c>
      <c r="R11" s="45">
        <f>SUM(R12:R43)</f>
        <v>6158.660714285714</v>
      </c>
      <c r="S11" s="45">
        <f>SUM(S12:S43)</f>
        <v>739.0392857142862</v>
      </c>
      <c r="T11" s="45">
        <f>SUM(T12:T43)</f>
        <v>23853.752142857156</v>
      </c>
    </row>
    <row r="12" spans="1:20" ht="15.75">
      <c r="A12" s="5">
        <v>1</v>
      </c>
      <c r="B12" s="48" t="s">
        <v>3</v>
      </c>
      <c r="C12" s="4" t="s">
        <v>121</v>
      </c>
      <c r="D12" s="14" t="s">
        <v>104</v>
      </c>
      <c r="E12" s="37">
        <f>LMpielik_24_LMZino!P12</f>
        <v>0</v>
      </c>
      <c r="F12" s="15">
        <f>LMpielik_24_LMZino!O12</f>
        <v>390</v>
      </c>
      <c r="G12" s="15">
        <v>212</v>
      </c>
      <c r="H12" s="99">
        <v>212</v>
      </c>
      <c r="I12" s="15">
        <v>212</v>
      </c>
      <c r="J12" s="15">
        <v>212</v>
      </c>
      <c r="K12" s="16">
        <v>226.45</v>
      </c>
      <c r="L12" s="16">
        <f>I12*K12</f>
        <v>48007.399999999994</v>
      </c>
      <c r="M12" s="312"/>
      <c r="N12" s="312"/>
      <c r="O12" s="96">
        <f aca="true" t="shared" si="2" ref="O12:O17">F12+G12-H12</f>
        <v>390</v>
      </c>
      <c r="P12" s="37">
        <f>E12+I12-J12</f>
        <v>0</v>
      </c>
      <c r="Q12" s="5">
        <v>12</v>
      </c>
      <c r="R12" s="16">
        <f>K12/1.12</f>
        <v>202.18749999999997</v>
      </c>
      <c r="S12" s="16">
        <f>K12-R12</f>
        <v>24.262500000000017</v>
      </c>
      <c r="T12" s="16">
        <f>I12*S12</f>
        <v>5143.650000000003</v>
      </c>
    </row>
    <row r="13" spans="1:20" ht="31.5">
      <c r="A13" s="4">
        <v>2</v>
      </c>
      <c r="B13" s="48" t="s">
        <v>16</v>
      </c>
      <c r="C13" s="18" t="s">
        <v>127</v>
      </c>
      <c r="D13" s="19" t="s">
        <v>104</v>
      </c>
      <c r="E13" s="37">
        <f>LMpielik_24_LMZino!P13</f>
        <v>20</v>
      </c>
      <c r="F13" s="15">
        <f>LMpielik_24_LMZino!O13</f>
        <v>0</v>
      </c>
      <c r="G13" s="15">
        <v>38</v>
      </c>
      <c r="H13" s="15">
        <v>38</v>
      </c>
      <c r="I13" s="15">
        <v>18</v>
      </c>
      <c r="J13" s="15">
        <v>38</v>
      </c>
      <c r="K13" s="16">
        <v>16.11</v>
      </c>
      <c r="L13" s="16">
        <f>I13*K13</f>
        <v>289.98</v>
      </c>
      <c r="M13" s="312"/>
      <c r="N13" s="312"/>
      <c r="O13" s="15">
        <f t="shared" si="2"/>
        <v>0</v>
      </c>
      <c r="P13" s="37">
        <f>E13+I13-J13</f>
        <v>0</v>
      </c>
      <c r="Q13" s="5">
        <v>12</v>
      </c>
      <c r="R13" s="16">
        <f>K13/1.12</f>
        <v>14.38392857142857</v>
      </c>
      <c r="S13" s="16">
        <f>K13-R13</f>
        <v>1.72607142857143</v>
      </c>
      <c r="T13" s="16">
        <f>I13*S13</f>
        <v>31.06928571428574</v>
      </c>
    </row>
    <row r="14" spans="1:20" ht="15.75">
      <c r="A14" s="5">
        <v>3</v>
      </c>
      <c r="B14" s="48" t="s">
        <v>4</v>
      </c>
      <c r="C14" s="295" t="s">
        <v>4</v>
      </c>
      <c r="D14" s="311" t="s">
        <v>104</v>
      </c>
      <c r="E14" s="266">
        <f>LMpielik_24_LMZino!P14</f>
        <v>0</v>
      </c>
      <c r="F14" s="282">
        <f>LMpielik_24_LMZino!O14</f>
        <v>387</v>
      </c>
      <c r="G14" s="296">
        <v>299</v>
      </c>
      <c r="H14" s="282">
        <v>299</v>
      </c>
      <c r="I14" s="282">
        <v>299</v>
      </c>
      <c r="J14" s="282">
        <v>299</v>
      </c>
      <c r="K14" s="294">
        <v>112.86</v>
      </c>
      <c r="L14" s="272">
        <f>I14*K14</f>
        <v>33745.14</v>
      </c>
      <c r="M14" s="312"/>
      <c r="N14" s="312"/>
      <c r="O14" s="282">
        <f t="shared" si="2"/>
        <v>387</v>
      </c>
      <c r="P14" s="266">
        <f>E14+I14-J14</f>
        <v>0</v>
      </c>
      <c r="Q14" s="269">
        <v>12</v>
      </c>
      <c r="R14" s="272">
        <f>K14/1.12</f>
        <v>100.76785714285714</v>
      </c>
      <c r="S14" s="272">
        <f>K14-R14</f>
        <v>12.09214285714286</v>
      </c>
      <c r="T14" s="272">
        <f>I14*S14</f>
        <v>3615.5507142857155</v>
      </c>
    </row>
    <row r="15" spans="1:20" ht="15.75">
      <c r="A15" s="5">
        <v>4</v>
      </c>
      <c r="B15" s="48" t="s">
        <v>60</v>
      </c>
      <c r="C15" s="295"/>
      <c r="D15" s="311"/>
      <c r="E15" s="268"/>
      <c r="F15" s="284"/>
      <c r="G15" s="296"/>
      <c r="H15" s="284"/>
      <c r="I15" s="284"/>
      <c r="J15" s="284"/>
      <c r="K15" s="297"/>
      <c r="L15" s="274"/>
      <c r="M15" s="312"/>
      <c r="N15" s="312"/>
      <c r="O15" s="284"/>
      <c r="P15" s="268"/>
      <c r="Q15" s="271"/>
      <c r="R15" s="274"/>
      <c r="S15" s="274"/>
      <c r="T15" s="274"/>
    </row>
    <row r="16" spans="1:20" ht="31.5">
      <c r="A16" s="5">
        <v>5</v>
      </c>
      <c r="B16" s="48" t="s">
        <v>0</v>
      </c>
      <c r="C16" s="18" t="s">
        <v>0</v>
      </c>
      <c r="D16" s="311"/>
      <c r="E16" s="37">
        <f>LMpielik_24_LMZino!P16</f>
        <v>0</v>
      </c>
      <c r="F16" s="15">
        <f>LMpielik_24_LMZino!O16</f>
        <v>121</v>
      </c>
      <c r="G16" s="15">
        <v>159</v>
      </c>
      <c r="H16" s="15">
        <v>159</v>
      </c>
      <c r="I16" s="15">
        <v>159</v>
      </c>
      <c r="J16" s="15">
        <v>159</v>
      </c>
      <c r="K16" s="16">
        <v>70.56</v>
      </c>
      <c r="L16" s="16">
        <f>I16*K16</f>
        <v>11219.04</v>
      </c>
      <c r="M16" s="312"/>
      <c r="N16" s="312"/>
      <c r="O16" s="15">
        <f t="shared" si="2"/>
        <v>121</v>
      </c>
      <c r="P16" s="37">
        <f>E16+I16-J16</f>
        <v>0</v>
      </c>
      <c r="Q16" s="5">
        <v>12</v>
      </c>
      <c r="R16" s="16">
        <f>K16/1.12</f>
        <v>62.99999999999999</v>
      </c>
      <c r="S16" s="16">
        <f>K16-R16</f>
        <v>7.560000000000009</v>
      </c>
      <c r="T16" s="16">
        <f>I16*S16</f>
        <v>1202.0400000000016</v>
      </c>
    </row>
    <row r="17" spans="1:20" ht="15.75">
      <c r="A17" s="20">
        <v>6</v>
      </c>
      <c r="B17" s="48" t="s">
        <v>18</v>
      </c>
      <c r="C17" s="295" t="s">
        <v>118</v>
      </c>
      <c r="D17" s="311"/>
      <c r="E17" s="266">
        <f>LMpielik_24_LMZino!P17</f>
        <v>58</v>
      </c>
      <c r="F17" s="282">
        <f>LMpielik_24_LMZino!O17</f>
        <v>0</v>
      </c>
      <c r="G17" s="296">
        <v>22</v>
      </c>
      <c r="H17" s="282">
        <v>20</v>
      </c>
      <c r="I17" s="282"/>
      <c r="J17" s="282">
        <v>22</v>
      </c>
      <c r="K17" s="294">
        <v>536.57</v>
      </c>
      <c r="L17" s="272">
        <f>I17*K17</f>
        <v>0</v>
      </c>
      <c r="M17" s="312"/>
      <c r="N17" s="312"/>
      <c r="O17" s="282">
        <f t="shared" si="2"/>
        <v>2</v>
      </c>
      <c r="P17" s="266">
        <f>E17+I17-J17</f>
        <v>36</v>
      </c>
      <c r="Q17" s="269">
        <v>12</v>
      </c>
      <c r="R17" s="272">
        <f>K17/1.12</f>
        <v>479.08035714285717</v>
      </c>
      <c r="S17" s="272">
        <f>K17-R17</f>
        <v>57.48964285714288</v>
      </c>
      <c r="T17" s="272">
        <f>I17*S17</f>
        <v>0</v>
      </c>
    </row>
    <row r="18" spans="1:20" ht="15.75">
      <c r="A18" s="20">
        <v>7</v>
      </c>
      <c r="B18" s="48" t="s">
        <v>6</v>
      </c>
      <c r="C18" s="295"/>
      <c r="D18" s="311"/>
      <c r="E18" s="268"/>
      <c r="F18" s="284"/>
      <c r="G18" s="296"/>
      <c r="H18" s="284"/>
      <c r="I18" s="284"/>
      <c r="J18" s="284"/>
      <c r="K18" s="297"/>
      <c r="L18" s="274"/>
      <c r="M18" s="312"/>
      <c r="N18" s="312"/>
      <c r="O18" s="284"/>
      <c r="P18" s="268"/>
      <c r="Q18" s="271"/>
      <c r="R18" s="274"/>
      <c r="S18" s="274"/>
      <c r="T18" s="274"/>
    </row>
    <row r="19" spans="1:20" ht="15.75">
      <c r="A19" s="5">
        <v>8</v>
      </c>
      <c r="B19" s="17" t="s">
        <v>5</v>
      </c>
      <c r="C19" s="295" t="s">
        <v>126</v>
      </c>
      <c r="D19" s="311"/>
      <c r="E19" s="266">
        <f>LMpielik_24_LMZino!P19</f>
        <v>0</v>
      </c>
      <c r="F19" s="282">
        <f>LMpielik_24_LMZino!O19</f>
        <v>166</v>
      </c>
      <c r="G19" s="296">
        <v>154</v>
      </c>
      <c r="H19" s="282">
        <v>154</v>
      </c>
      <c r="I19" s="282">
        <v>154</v>
      </c>
      <c r="J19" s="282">
        <v>154</v>
      </c>
      <c r="K19" s="294">
        <v>16.74</v>
      </c>
      <c r="L19" s="272">
        <f>I19*K19</f>
        <v>2577.9599999999996</v>
      </c>
      <c r="M19" s="312"/>
      <c r="N19" s="312"/>
      <c r="O19" s="282">
        <f>F19+G19-H19</f>
        <v>166</v>
      </c>
      <c r="P19" s="266">
        <f>E19+I19-J19</f>
        <v>0</v>
      </c>
      <c r="Q19" s="269">
        <v>12</v>
      </c>
      <c r="R19" s="272">
        <f>K19/1.12</f>
        <v>14.94642857142857</v>
      </c>
      <c r="S19" s="272">
        <f>K19-R19</f>
        <v>1.793571428571429</v>
      </c>
      <c r="T19" s="272">
        <f>I19*S19</f>
        <v>276.2100000000001</v>
      </c>
    </row>
    <row r="20" spans="1:20" ht="15.75">
      <c r="A20" s="5">
        <v>9</v>
      </c>
      <c r="B20" s="17" t="s">
        <v>19</v>
      </c>
      <c r="C20" s="295"/>
      <c r="D20" s="311"/>
      <c r="E20" s="268"/>
      <c r="F20" s="284"/>
      <c r="G20" s="296"/>
      <c r="H20" s="284"/>
      <c r="I20" s="284"/>
      <c r="J20" s="284"/>
      <c r="K20" s="297"/>
      <c r="L20" s="274"/>
      <c r="M20" s="312"/>
      <c r="N20" s="312"/>
      <c r="O20" s="284"/>
      <c r="P20" s="268"/>
      <c r="Q20" s="271"/>
      <c r="R20" s="274"/>
      <c r="S20" s="274"/>
      <c r="T20" s="274"/>
    </row>
    <row r="21" spans="1:20" ht="15.75">
      <c r="A21" s="5">
        <v>10</v>
      </c>
      <c r="B21" s="17" t="s">
        <v>20</v>
      </c>
      <c r="C21" s="295" t="s">
        <v>117</v>
      </c>
      <c r="D21" s="297" t="s">
        <v>104</v>
      </c>
      <c r="E21" s="266">
        <f>LMpielik_24_LMZino!P21</f>
        <v>108</v>
      </c>
      <c r="F21" s="282">
        <f>LMpielik_24_LMZino!O21</f>
        <v>246</v>
      </c>
      <c r="G21" s="296">
        <v>359</v>
      </c>
      <c r="H21" s="282">
        <v>450</v>
      </c>
      <c r="I21" s="282">
        <v>371</v>
      </c>
      <c r="J21" s="282">
        <v>450</v>
      </c>
      <c r="K21" s="294">
        <v>9.9</v>
      </c>
      <c r="L21" s="272">
        <f>I21*K21</f>
        <v>3672.9</v>
      </c>
      <c r="M21" s="312"/>
      <c r="N21" s="312"/>
      <c r="O21" s="282">
        <f>F21+G21-H21</f>
        <v>155</v>
      </c>
      <c r="P21" s="266">
        <f>E21+I21-J21</f>
        <v>29</v>
      </c>
      <c r="Q21" s="269">
        <v>12</v>
      </c>
      <c r="R21" s="272">
        <f>K21/1.12</f>
        <v>8.839285714285714</v>
      </c>
      <c r="S21" s="272">
        <f>K21-R21</f>
        <v>1.0607142857142868</v>
      </c>
      <c r="T21" s="272">
        <f>I21*S21</f>
        <v>393.52500000000043</v>
      </c>
    </row>
    <row r="22" spans="1:20" ht="31.5">
      <c r="A22" s="5">
        <v>11</v>
      </c>
      <c r="B22" s="17" t="s">
        <v>87</v>
      </c>
      <c r="C22" s="295"/>
      <c r="D22" s="297"/>
      <c r="E22" s="267"/>
      <c r="F22" s="283"/>
      <c r="G22" s="297"/>
      <c r="H22" s="283"/>
      <c r="I22" s="283"/>
      <c r="J22" s="283"/>
      <c r="K22" s="294"/>
      <c r="L22" s="273"/>
      <c r="M22" s="312"/>
      <c r="N22" s="312"/>
      <c r="O22" s="283"/>
      <c r="P22" s="267"/>
      <c r="Q22" s="270"/>
      <c r="R22" s="273"/>
      <c r="S22" s="273"/>
      <c r="T22" s="273"/>
    </row>
    <row r="23" spans="1:20" ht="15.75">
      <c r="A23" s="5">
        <v>12</v>
      </c>
      <c r="B23" s="17" t="s">
        <v>21</v>
      </c>
      <c r="C23" s="295"/>
      <c r="D23" s="297"/>
      <c r="E23" s="267"/>
      <c r="F23" s="283"/>
      <c r="G23" s="297"/>
      <c r="H23" s="283"/>
      <c r="I23" s="283"/>
      <c r="J23" s="283"/>
      <c r="K23" s="294"/>
      <c r="L23" s="273"/>
      <c r="M23" s="312"/>
      <c r="N23" s="312"/>
      <c r="O23" s="283"/>
      <c r="P23" s="267"/>
      <c r="Q23" s="270"/>
      <c r="R23" s="273"/>
      <c r="S23" s="273"/>
      <c r="T23" s="273"/>
    </row>
    <row r="24" spans="1:20" ht="31.5">
      <c r="A24" s="5">
        <v>13</v>
      </c>
      <c r="B24" s="17" t="s">
        <v>88</v>
      </c>
      <c r="C24" s="295"/>
      <c r="D24" s="297"/>
      <c r="E24" s="267"/>
      <c r="F24" s="283"/>
      <c r="G24" s="297"/>
      <c r="H24" s="283"/>
      <c r="I24" s="283"/>
      <c r="J24" s="283"/>
      <c r="K24" s="294"/>
      <c r="L24" s="273"/>
      <c r="M24" s="312"/>
      <c r="N24" s="312"/>
      <c r="O24" s="283"/>
      <c r="P24" s="267"/>
      <c r="Q24" s="270"/>
      <c r="R24" s="273"/>
      <c r="S24" s="273"/>
      <c r="T24" s="273"/>
    </row>
    <row r="25" spans="1:20" ht="15.75">
      <c r="A25" s="5">
        <v>14</v>
      </c>
      <c r="B25" s="17" t="s">
        <v>22</v>
      </c>
      <c r="C25" s="295"/>
      <c r="D25" s="297"/>
      <c r="E25" s="268"/>
      <c r="F25" s="284"/>
      <c r="G25" s="297"/>
      <c r="H25" s="284"/>
      <c r="I25" s="284"/>
      <c r="J25" s="284"/>
      <c r="K25" s="294"/>
      <c r="L25" s="274"/>
      <c r="M25" s="312"/>
      <c r="N25" s="312"/>
      <c r="O25" s="284"/>
      <c r="P25" s="268"/>
      <c r="Q25" s="271"/>
      <c r="R25" s="274"/>
      <c r="S25" s="274"/>
      <c r="T25" s="274"/>
    </row>
    <row r="26" spans="1:20" ht="15.75">
      <c r="A26" s="5">
        <v>15</v>
      </c>
      <c r="B26" s="17" t="s">
        <v>23</v>
      </c>
      <c r="C26" s="308" t="s">
        <v>119</v>
      </c>
      <c r="D26" s="311" t="s">
        <v>104</v>
      </c>
      <c r="E26" s="266">
        <f>LMpielik_24_LMZino!P26</f>
        <v>0</v>
      </c>
      <c r="F26" s="282">
        <f>LMpielik_24_LMZino!O26</f>
        <v>175</v>
      </c>
      <c r="G26" s="282">
        <v>147</v>
      </c>
      <c r="H26" s="282">
        <v>147</v>
      </c>
      <c r="I26" s="282">
        <v>147</v>
      </c>
      <c r="J26" s="282">
        <v>147</v>
      </c>
      <c r="K26" s="272">
        <v>155.93</v>
      </c>
      <c r="L26" s="272">
        <f>I26*K26</f>
        <v>22921.710000000003</v>
      </c>
      <c r="M26" s="312"/>
      <c r="N26" s="312"/>
      <c r="O26" s="282">
        <f>F26+G26-H26</f>
        <v>175</v>
      </c>
      <c r="P26" s="266">
        <f>E26+I26-J26</f>
        <v>0</v>
      </c>
      <c r="Q26" s="269">
        <v>12</v>
      </c>
      <c r="R26" s="272">
        <f>K26/1.12</f>
        <v>139.22321428571428</v>
      </c>
      <c r="S26" s="272">
        <f>K26-R26</f>
        <v>16.70678571428573</v>
      </c>
      <c r="T26" s="272">
        <f>I26*S26</f>
        <v>2455.8975000000023</v>
      </c>
    </row>
    <row r="27" spans="1:20" ht="15.75">
      <c r="A27" s="5">
        <v>16</v>
      </c>
      <c r="B27" s="17" t="s">
        <v>24</v>
      </c>
      <c r="C27" s="309"/>
      <c r="D27" s="311"/>
      <c r="E27" s="267"/>
      <c r="F27" s="283"/>
      <c r="G27" s="283"/>
      <c r="H27" s="283"/>
      <c r="I27" s="283"/>
      <c r="J27" s="283"/>
      <c r="K27" s="273"/>
      <c r="L27" s="273"/>
      <c r="M27" s="312"/>
      <c r="N27" s="312"/>
      <c r="O27" s="283"/>
      <c r="P27" s="267"/>
      <c r="Q27" s="270"/>
      <c r="R27" s="273"/>
      <c r="S27" s="273"/>
      <c r="T27" s="273"/>
    </row>
    <row r="28" spans="1:20" ht="31.5">
      <c r="A28" s="5">
        <v>17</v>
      </c>
      <c r="B28" s="17" t="s">
        <v>77</v>
      </c>
      <c r="C28" s="309"/>
      <c r="D28" s="311"/>
      <c r="E28" s="267"/>
      <c r="F28" s="283"/>
      <c r="G28" s="283"/>
      <c r="H28" s="283"/>
      <c r="I28" s="283"/>
      <c r="J28" s="283"/>
      <c r="K28" s="273"/>
      <c r="L28" s="273"/>
      <c r="M28" s="312"/>
      <c r="N28" s="312"/>
      <c r="O28" s="283"/>
      <c r="P28" s="267"/>
      <c r="Q28" s="270"/>
      <c r="R28" s="273"/>
      <c r="S28" s="273"/>
      <c r="T28" s="273"/>
    </row>
    <row r="29" spans="1:20" ht="15.75">
      <c r="A29" s="5">
        <v>18</v>
      </c>
      <c r="B29" s="17" t="s">
        <v>25</v>
      </c>
      <c r="C29" s="309"/>
      <c r="D29" s="311"/>
      <c r="E29" s="267"/>
      <c r="F29" s="283"/>
      <c r="G29" s="283"/>
      <c r="H29" s="283"/>
      <c r="I29" s="283"/>
      <c r="J29" s="283"/>
      <c r="K29" s="273"/>
      <c r="L29" s="273"/>
      <c r="M29" s="312"/>
      <c r="N29" s="312"/>
      <c r="O29" s="283"/>
      <c r="P29" s="267"/>
      <c r="Q29" s="270"/>
      <c r="R29" s="273"/>
      <c r="S29" s="273"/>
      <c r="T29" s="273"/>
    </row>
    <row r="30" spans="1:20" ht="15.75">
      <c r="A30" s="5">
        <v>19</v>
      </c>
      <c r="B30" s="17" t="s">
        <v>17</v>
      </c>
      <c r="C30" s="309"/>
      <c r="D30" s="311"/>
      <c r="E30" s="267"/>
      <c r="F30" s="283"/>
      <c r="G30" s="283"/>
      <c r="H30" s="283"/>
      <c r="I30" s="283"/>
      <c r="J30" s="283"/>
      <c r="K30" s="273"/>
      <c r="L30" s="273"/>
      <c r="M30" s="312"/>
      <c r="N30" s="312"/>
      <c r="O30" s="283"/>
      <c r="P30" s="267"/>
      <c r="Q30" s="270"/>
      <c r="R30" s="273"/>
      <c r="S30" s="273"/>
      <c r="T30" s="273"/>
    </row>
    <row r="31" spans="1:20" ht="15.75">
      <c r="A31" s="5">
        <v>20</v>
      </c>
      <c r="B31" s="17" t="s">
        <v>157</v>
      </c>
      <c r="C31" s="310"/>
      <c r="D31" s="311"/>
      <c r="E31" s="268"/>
      <c r="F31" s="284"/>
      <c r="G31" s="284"/>
      <c r="H31" s="284"/>
      <c r="I31" s="284"/>
      <c r="J31" s="284"/>
      <c r="K31" s="274"/>
      <c r="L31" s="274"/>
      <c r="M31" s="312"/>
      <c r="N31" s="312"/>
      <c r="O31" s="284"/>
      <c r="P31" s="268"/>
      <c r="Q31" s="271"/>
      <c r="R31" s="274"/>
      <c r="S31" s="274"/>
      <c r="T31" s="274"/>
    </row>
    <row r="32" spans="1:20" ht="15.75">
      <c r="A32" s="5">
        <v>21</v>
      </c>
      <c r="B32" s="17" t="s">
        <v>1</v>
      </c>
      <c r="C32" s="298" t="s">
        <v>123</v>
      </c>
      <c r="D32" s="311"/>
      <c r="E32" s="266">
        <f>LMpielik_24_LMZino!P32</f>
        <v>0</v>
      </c>
      <c r="F32" s="282">
        <f>LMpielik_24_LMZino!O32</f>
        <v>178</v>
      </c>
      <c r="G32" s="282">
        <v>219</v>
      </c>
      <c r="H32" s="282">
        <v>219</v>
      </c>
      <c r="I32" s="282">
        <v>219</v>
      </c>
      <c r="J32" s="282">
        <v>219</v>
      </c>
      <c r="K32" s="272">
        <v>19.17</v>
      </c>
      <c r="L32" s="272">
        <f>I32*K32</f>
        <v>4198.2300000000005</v>
      </c>
      <c r="M32" s="312"/>
      <c r="N32" s="312"/>
      <c r="O32" s="282">
        <f>F32+G32-H32</f>
        <v>178</v>
      </c>
      <c r="P32" s="266">
        <f>E32+I32-J32</f>
        <v>0</v>
      </c>
      <c r="Q32" s="269">
        <v>12</v>
      </c>
      <c r="R32" s="272">
        <v>14.38392857142857</v>
      </c>
      <c r="S32" s="272">
        <v>1.72607142857143</v>
      </c>
      <c r="T32" s="272">
        <f>I32*S32</f>
        <v>378.00964285714315</v>
      </c>
    </row>
    <row r="33" spans="1:20" ht="15.75">
      <c r="A33" s="5">
        <v>22</v>
      </c>
      <c r="B33" s="17" t="s">
        <v>158</v>
      </c>
      <c r="C33" s="300"/>
      <c r="D33" s="311"/>
      <c r="E33" s="268"/>
      <c r="F33" s="284"/>
      <c r="G33" s="284"/>
      <c r="H33" s="284"/>
      <c r="I33" s="284"/>
      <c r="J33" s="284"/>
      <c r="K33" s="274"/>
      <c r="L33" s="274"/>
      <c r="M33" s="312"/>
      <c r="N33" s="312"/>
      <c r="O33" s="284"/>
      <c r="P33" s="268"/>
      <c r="Q33" s="271"/>
      <c r="R33" s="274"/>
      <c r="S33" s="274"/>
      <c r="T33" s="274"/>
    </row>
    <row r="34" spans="1:20" ht="15.75">
      <c r="A34" s="5">
        <v>23</v>
      </c>
      <c r="B34" s="17" t="s">
        <v>26</v>
      </c>
      <c r="C34" s="295" t="s">
        <v>124</v>
      </c>
      <c r="D34" s="311"/>
      <c r="E34" s="266">
        <f>LMpielik_24_LMZino!P34</f>
        <v>0</v>
      </c>
      <c r="F34" s="282">
        <f>LMpielik_24_LMZino!O34</f>
        <v>73</v>
      </c>
      <c r="G34" s="296">
        <v>206</v>
      </c>
      <c r="H34" s="282">
        <v>206</v>
      </c>
      <c r="I34" s="282">
        <v>206</v>
      </c>
      <c r="J34" s="282">
        <v>206</v>
      </c>
      <c r="K34" s="294">
        <v>68.8</v>
      </c>
      <c r="L34" s="272">
        <f>I34*K34</f>
        <v>14172.8</v>
      </c>
      <c r="M34" s="312"/>
      <c r="N34" s="312"/>
      <c r="O34" s="282">
        <f>F34+G34-H34</f>
        <v>73</v>
      </c>
      <c r="P34" s="266">
        <f>E34+I34-J34</f>
        <v>0</v>
      </c>
      <c r="Q34" s="269">
        <v>12</v>
      </c>
      <c r="R34" s="272">
        <f>K34/1.12</f>
        <v>61.42857142857142</v>
      </c>
      <c r="S34" s="272">
        <f>K34-R34</f>
        <v>7.371428571428574</v>
      </c>
      <c r="T34" s="272">
        <f>I34*S34</f>
        <v>1518.5142857142862</v>
      </c>
    </row>
    <row r="35" spans="1:20" ht="31.5">
      <c r="A35" s="5">
        <v>24</v>
      </c>
      <c r="B35" s="17" t="s">
        <v>61</v>
      </c>
      <c r="C35" s="295"/>
      <c r="D35" s="311"/>
      <c r="E35" s="267"/>
      <c r="F35" s="283"/>
      <c r="G35" s="297"/>
      <c r="H35" s="283"/>
      <c r="I35" s="283"/>
      <c r="J35" s="283"/>
      <c r="K35" s="297"/>
      <c r="L35" s="273"/>
      <c r="M35" s="312"/>
      <c r="N35" s="312"/>
      <c r="O35" s="283"/>
      <c r="P35" s="267"/>
      <c r="Q35" s="270"/>
      <c r="R35" s="273"/>
      <c r="S35" s="273"/>
      <c r="T35" s="273"/>
    </row>
    <row r="36" spans="1:20" ht="15.75">
      <c r="A36" s="5">
        <v>25</v>
      </c>
      <c r="B36" s="17" t="s">
        <v>27</v>
      </c>
      <c r="C36" s="295"/>
      <c r="D36" s="311"/>
      <c r="E36" s="268"/>
      <c r="F36" s="284"/>
      <c r="G36" s="297"/>
      <c r="H36" s="284"/>
      <c r="I36" s="284"/>
      <c r="J36" s="284"/>
      <c r="K36" s="297"/>
      <c r="L36" s="274"/>
      <c r="M36" s="312"/>
      <c r="N36" s="312"/>
      <c r="O36" s="284"/>
      <c r="P36" s="268"/>
      <c r="Q36" s="271"/>
      <c r="R36" s="274"/>
      <c r="S36" s="274"/>
      <c r="T36" s="274"/>
    </row>
    <row r="37" spans="1:20" ht="31.5">
      <c r="A37" s="5">
        <v>26</v>
      </c>
      <c r="B37" s="17" t="s">
        <v>13</v>
      </c>
      <c r="C37" s="295" t="s">
        <v>120</v>
      </c>
      <c r="D37" s="307" t="s">
        <v>104</v>
      </c>
      <c r="E37" s="266">
        <f>LMpielik_24_LMZino!P37</f>
        <v>215</v>
      </c>
      <c r="F37" s="282">
        <f>LMpielik_24_LMZino!O37</f>
        <v>17</v>
      </c>
      <c r="G37" s="296">
        <v>82</v>
      </c>
      <c r="H37" s="282">
        <v>91</v>
      </c>
      <c r="I37" s="282"/>
      <c r="J37" s="282">
        <v>173</v>
      </c>
      <c r="K37" s="294">
        <v>94.17</v>
      </c>
      <c r="L37" s="272">
        <f>I37*K37</f>
        <v>0</v>
      </c>
      <c r="M37" s="312"/>
      <c r="N37" s="312"/>
      <c r="O37" s="282">
        <f>F37+G37-H37</f>
        <v>8</v>
      </c>
      <c r="P37" s="266">
        <f>E37+I37-J37</f>
        <v>42</v>
      </c>
      <c r="Q37" s="269">
        <v>12</v>
      </c>
      <c r="R37" s="272">
        <f>K37/1.12</f>
        <v>84.08035714285714</v>
      </c>
      <c r="S37" s="272">
        <f>K37-R37</f>
        <v>10.089642857142863</v>
      </c>
      <c r="T37" s="272">
        <f>I37*S37</f>
        <v>0</v>
      </c>
    </row>
    <row r="38" spans="1:20" ht="31.5">
      <c r="A38" s="5">
        <v>27</v>
      </c>
      <c r="B38" s="17" t="s">
        <v>89</v>
      </c>
      <c r="C38" s="295"/>
      <c r="D38" s="307"/>
      <c r="E38" s="268"/>
      <c r="F38" s="284"/>
      <c r="G38" s="296"/>
      <c r="H38" s="284"/>
      <c r="I38" s="284"/>
      <c r="J38" s="284"/>
      <c r="K38" s="294"/>
      <c r="L38" s="274"/>
      <c r="M38" s="312"/>
      <c r="N38" s="312"/>
      <c r="O38" s="284"/>
      <c r="P38" s="268"/>
      <c r="Q38" s="271"/>
      <c r="R38" s="274"/>
      <c r="S38" s="274"/>
      <c r="T38" s="274"/>
    </row>
    <row r="39" spans="1:20" ht="31.5">
      <c r="A39" s="5">
        <v>28</v>
      </c>
      <c r="B39" s="48" t="s">
        <v>15</v>
      </c>
      <c r="C39" s="285" t="s">
        <v>125</v>
      </c>
      <c r="D39" s="286" t="s">
        <v>105</v>
      </c>
      <c r="E39" s="266">
        <f>LMpielik_24_LMZino!P39</f>
        <v>460</v>
      </c>
      <c r="F39" s="282">
        <f>LMpielik_24_LMZino!O39</f>
        <v>2</v>
      </c>
      <c r="G39" s="290">
        <v>101</v>
      </c>
      <c r="H39" s="278">
        <v>101</v>
      </c>
      <c r="I39" s="278"/>
      <c r="J39" s="278">
        <v>160</v>
      </c>
      <c r="K39" s="281">
        <v>64.96</v>
      </c>
      <c r="L39" s="291">
        <f>I39*K39</f>
        <v>0</v>
      </c>
      <c r="M39" s="312"/>
      <c r="N39" s="312"/>
      <c r="O39" s="282">
        <f>F39+G39-H39</f>
        <v>2</v>
      </c>
      <c r="P39" s="266">
        <f>E39+I39-J39</f>
        <v>300</v>
      </c>
      <c r="Q39" s="269">
        <v>12</v>
      </c>
      <c r="R39" s="272">
        <f>K39/1.12</f>
        <v>57.999999999999986</v>
      </c>
      <c r="S39" s="272">
        <f>K39-R39</f>
        <v>6.960000000000008</v>
      </c>
      <c r="T39" s="272">
        <f>I39*S39</f>
        <v>0</v>
      </c>
    </row>
    <row r="40" spans="1:20" ht="15.75">
      <c r="A40" s="5">
        <v>29</v>
      </c>
      <c r="B40" s="48" t="s">
        <v>59</v>
      </c>
      <c r="C40" s="285"/>
      <c r="D40" s="286"/>
      <c r="E40" s="268"/>
      <c r="F40" s="284"/>
      <c r="G40" s="290"/>
      <c r="H40" s="280"/>
      <c r="I40" s="280"/>
      <c r="J40" s="280"/>
      <c r="K40" s="281"/>
      <c r="L40" s="293"/>
      <c r="M40" s="312"/>
      <c r="N40" s="312"/>
      <c r="O40" s="284"/>
      <c r="P40" s="268"/>
      <c r="Q40" s="271"/>
      <c r="R40" s="274"/>
      <c r="S40" s="274"/>
      <c r="T40" s="274"/>
    </row>
    <row r="41" spans="1:20" ht="15.75">
      <c r="A41" s="5">
        <v>30</v>
      </c>
      <c r="B41" s="48" t="s">
        <v>62</v>
      </c>
      <c r="C41" s="92" t="s">
        <v>122</v>
      </c>
      <c r="D41" s="93" t="s">
        <v>111</v>
      </c>
      <c r="E41" s="37">
        <f>LMpielik_24_LMZino!P41</f>
        <v>1010</v>
      </c>
      <c r="F41" s="15">
        <f>LMpielik_24_LMZino!O41</f>
        <v>0</v>
      </c>
      <c r="G41" s="96">
        <v>58</v>
      </c>
      <c r="H41" s="99">
        <v>58</v>
      </c>
      <c r="I41" s="99"/>
      <c r="J41" s="99">
        <v>58</v>
      </c>
      <c r="K41" s="94">
        <v>8.54</v>
      </c>
      <c r="L41" s="16">
        <f>I41*K41</f>
        <v>0</v>
      </c>
      <c r="M41" s="312"/>
      <c r="N41" s="312"/>
      <c r="O41" s="15">
        <f>F41+G41-H41</f>
        <v>0</v>
      </c>
      <c r="P41" s="37">
        <f>E41+I41-J41</f>
        <v>952</v>
      </c>
      <c r="Q41" s="5">
        <v>12</v>
      </c>
      <c r="R41" s="16">
        <f>K41/1.12</f>
        <v>7.624999999999998</v>
      </c>
      <c r="S41" s="16">
        <f>K41-R41</f>
        <v>0.9150000000000009</v>
      </c>
      <c r="T41" s="16">
        <f>I41*S41</f>
        <v>0</v>
      </c>
    </row>
    <row r="42" spans="1:20" ht="15.75">
      <c r="A42" s="5">
        <v>31</v>
      </c>
      <c r="B42" s="66" t="s">
        <v>180</v>
      </c>
      <c r="C42" s="304" t="s">
        <v>185</v>
      </c>
      <c r="D42" s="63"/>
      <c r="E42" s="37">
        <f>LMpielik_24_LMZino!P42</f>
        <v>0</v>
      </c>
      <c r="F42" s="15">
        <f>LMpielik_24_LMZino!O42</f>
        <v>15</v>
      </c>
      <c r="G42" s="55">
        <v>15</v>
      </c>
      <c r="H42" s="23">
        <v>15</v>
      </c>
      <c r="I42" s="23">
        <v>15</v>
      </c>
      <c r="J42" s="23">
        <v>15</v>
      </c>
      <c r="K42" s="94">
        <v>3000</v>
      </c>
      <c r="L42" s="16">
        <f>I42*K42</f>
        <v>45000</v>
      </c>
      <c r="M42" s="312"/>
      <c r="N42" s="312"/>
      <c r="O42" s="15">
        <f>F42+G42-H42</f>
        <v>15</v>
      </c>
      <c r="P42" s="37">
        <f>E42+I42-J42</f>
        <v>0</v>
      </c>
      <c r="Q42" s="5">
        <v>12</v>
      </c>
      <c r="R42" s="16">
        <f>K42/1.12</f>
        <v>2678.5714285714284</v>
      </c>
      <c r="S42" s="16">
        <f>K42-R42</f>
        <v>321.42857142857156</v>
      </c>
      <c r="T42" s="16">
        <f>I42*S42</f>
        <v>4821.428571428573</v>
      </c>
    </row>
    <row r="43" spans="1:20" ht="15.75">
      <c r="A43" s="5">
        <v>32</v>
      </c>
      <c r="B43" s="48" t="s">
        <v>181</v>
      </c>
      <c r="C43" s="305"/>
      <c r="D43" s="63"/>
      <c r="E43" s="37">
        <f>LMpielik_24_LMZino!P43</f>
        <v>0</v>
      </c>
      <c r="F43" s="15">
        <f>LMpielik_24_LMZino!O43</f>
        <v>15</v>
      </c>
      <c r="G43" s="55">
        <v>15</v>
      </c>
      <c r="H43" s="23">
        <v>15</v>
      </c>
      <c r="I43" s="23">
        <v>15</v>
      </c>
      <c r="J43" s="23">
        <v>15</v>
      </c>
      <c r="K43" s="94">
        <v>2500</v>
      </c>
      <c r="L43" s="16">
        <f>I43*K43</f>
        <v>37500</v>
      </c>
      <c r="M43" s="312"/>
      <c r="N43" s="312"/>
      <c r="O43" s="15">
        <f>F43+G43-H43</f>
        <v>15</v>
      </c>
      <c r="P43" s="37">
        <f>E43+I43-J43</f>
        <v>0</v>
      </c>
      <c r="Q43" s="5">
        <v>12</v>
      </c>
      <c r="R43" s="16">
        <f>K43/1.12</f>
        <v>2232.142857142857</v>
      </c>
      <c r="S43" s="16">
        <f>K43-R43</f>
        <v>267.8571428571431</v>
      </c>
      <c r="T43" s="16">
        <f>I43*S43</f>
        <v>4017.8571428571468</v>
      </c>
    </row>
    <row r="44" spans="1:20" ht="15.75">
      <c r="A44" s="306" t="s">
        <v>103</v>
      </c>
      <c r="B44" s="306"/>
      <c r="C44" s="306"/>
      <c r="D44" s="306"/>
      <c r="E44" s="11">
        <f aca="true" t="shared" si="3" ref="E44:L44">SUM(E45:E104)</f>
        <v>279</v>
      </c>
      <c r="F44" s="11">
        <f t="shared" si="3"/>
        <v>218</v>
      </c>
      <c r="G44" s="11">
        <f t="shared" si="3"/>
        <v>2663</v>
      </c>
      <c r="H44" s="11">
        <f t="shared" si="3"/>
        <v>245</v>
      </c>
      <c r="I44" s="11">
        <f t="shared" si="3"/>
        <v>40</v>
      </c>
      <c r="J44" s="11">
        <f t="shared" si="3"/>
        <v>255</v>
      </c>
      <c r="K44" s="11">
        <f t="shared" si="3"/>
        <v>22781.500000000004</v>
      </c>
      <c r="L44" s="11">
        <f t="shared" si="3"/>
        <v>5795.849999999999</v>
      </c>
      <c r="M44" s="312"/>
      <c r="N44" s="312"/>
      <c r="O44" s="11">
        <f>SUM(O45:O104)</f>
        <v>2636</v>
      </c>
      <c r="P44" s="11">
        <f>SUM(P45:P104)</f>
        <v>64</v>
      </c>
      <c r="Q44" s="11" t="s">
        <v>112</v>
      </c>
      <c r="R44" s="21">
        <f>SUM(R45:R104)</f>
        <v>20340.625</v>
      </c>
      <c r="S44" s="21">
        <f>SUM(S45:S104)</f>
        <v>2440.875000000002</v>
      </c>
      <c r="T44" s="21">
        <f>SUM(T45:T104)</f>
        <v>586.6714285714289</v>
      </c>
    </row>
    <row r="45" spans="1:20" ht="15.75">
      <c r="A45" s="5">
        <v>33</v>
      </c>
      <c r="B45" s="17" t="s">
        <v>2</v>
      </c>
      <c r="C45" s="295" t="s">
        <v>132</v>
      </c>
      <c r="D45" s="264" t="s">
        <v>104</v>
      </c>
      <c r="E45" s="287">
        <f>LMpielik_24_LMZino!P45:P46</f>
        <v>13</v>
      </c>
      <c r="F45" s="282">
        <f>LMpielik_24_LMZino!O45:O46</f>
        <v>13</v>
      </c>
      <c r="G45" s="296">
        <v>119</v>
      </c>
      <c r="H45" s="282"/>
      <c r="I45" s="282"/>
      <c r="J45" s="282"/>
      <c r="K45" s="294">
        <v>26.27</v>
      </c>
      <c r="L45" s="272">
        <f>I45*K45</f>
        <v>0</v>
      </c>
      <c r="M45" s="312"/>
      <c r="N45" s="312"/>
      <c r="O45" s="282">
        <f>F45+G45-H45</f>
        <v>132</v>
      </c>
      <c r="P45" s="266">
        <f>E45+I45-J45</f>
        <v>13</v>
      </c>
      <c r="Q45" s="269">
        <v>12</v>
      </c>
      <c r="R45" s="272">
        <f>K45/1.12</f>
        <v>23.45535714285714</v>
      </c>
      <c r="S45" s="272">
        <f>K45-R45</f>
        <v>2.8146428571428608</v>
      </c>
      <c r="T45" s="272">
        <f>I45*S45</f>
        <v>0</v>
      </c>
    </row>
    <row r="46" spans="1:20" ht="15.75">
      <c r="A46" s="5">
        <v>34</v>
      </c>
      <c r="B46" s="17" t="s">
        <v>90</v>
      </c>
      <c r="C46" s="295"/>
      <c r="D46" s="265"/>
      <c r="E46" s="289"/>
      <c r="F46" s="284"/>
      <c r="G46" s="296"/>
      <c r="H46" s="284"/>
      <c r="I46" s="284"/>
      <c r="J46" s="284"/>
      <c r="K46" s="294"/>
      <c r="L46" s="274"/>
      <c r="M46" s="312"/>
      <c r="N46" s="312"/>
      <c r="O46" s="271"/>
      <c r="P46" s="268"/>
      <c r="Q46" s="271"/>
      <c r="R46" s="274"/>
      <c r="S46" s="274"/>
      <c r="T46" s="274"/>
    </row>
    <row r="47" spans="1:20" ht="15.75">
      <c r="A47" s="5">
        <v>35</v>
      </c>
      <c r="B47" s="17" t="s">
        <v>7</v>
      </c>
      <c r="C47" s="295" t="s">
        <v>134</v>
      </c>
      <c r="D47" s="264" t="s">
        <v>104</v>
      </c>
      <c r="E47" s="287">
        <f>LMpielik_24_LMZino!P47:P48</f>
        <v>17</v>
      </c>
      <c r="F47" s="282">
        <f>LMpielik_24_LMZino!O47:O48</f>
        <v>17</v>
      </c>
      <c r="G47" s="296">
        <v>209</v>
      </c>
      <c r="H47" s="282">
        <v>17</v>
      </c>
      <c r="I47" s="282"/>
      <c r="J47" s="282">
        <v>17</v>
      </c>
      <c r="K47" s="294">
        <v>20.95</v>
      </c>
      <c r="L47" s="272">
        <f>I47*K47</f>
        <v>0</v>
      </c>
      <c r="M47" s="312"/>
      <c r="N47" s="312"/>
      <c r="O47" s="282">
        <f>F47+G47-H47</f>
        <v>209</v>
      </c>
      <c r="P47" s="266">
        <f>E47+I47-J47</f>
        <v>0</v>
      </c>
      <c r="Q47" s="269">
        <v>12</v>
      </c>
      <c r="R47" s="272">
        <f>K47/1.12</f>
        <v>18.70535714285714</v>
      </c>
      <c r="S47" s="272">
        <f>K47-R47</f>
        <v>2.2446428571428605</v>
      </c>
      <c r="T47" s="272">
        <f>I47*S47</f>
        <v>0</v>
      </c>
    </row>
    <row r="48" spans="1:20" ht="31.5">
      <c r="A48" s="5">
        <v>36</v>
      </c>
      <c r="B48" s="17" t="s">
        <v>78</v>
      </c>
      <c r="C48" s="295"/>
      <c r="D48" s="264"/>
      <c r="E48" s="288"/>
      <c r="F48" s="283"/>
      <c r="G48" s="296"/>
      <c r="H48" s="283"/>
      <c r="I48" s="283"/>
      <c r="J48" s="283"/>
      <c r="K48" s="294"/>
      <c r="L48" s="273"/>
      <c r="M48" s="312"/>
      <c r="N48" s="312"/>
      <c r="O48" s="270"/>
      <c r="P48" s="267"/>
      <c r="Q48" s="270"/>
      <c r="R48" s="273"/>
      <c r="S48" s="273"/>
      <c r="T48" s="273"/>
    </row>
    <row r="49" spans="1:20" ht="15.75">
      <c r="A49" s="5">
        <v>37</v>
      </c>
      <c r="B49" s="17" t="s">
        <v>31</v>
      </c>
      <c r="C49" s="295"/>
      <c r="D49" s="264"/>
      <c r="E49" s="289"/>
      <c r="F49" s="284"/>
      <c r="G49" s="296"/>
      <c r="H49" s="284"/>
      <c r="I49" s="284"/>
      <c r="J49" s="284"/>
      <c r="K49" s="297"/>
      <c r="L49" s="274"/>
      <c r="M49" s="312"/>
      <c r="N49" s="312"/>
      <c r="O49" s="271"/>
      <c r="P49" s="268"/>
      <c r="Q49" s="271"/>
      <c r="R49" s="274"/>
      <c r="S49" s="274"/>
      <c r="T49" s="274"/>
    </row>
    <row r="50" spans="1:20" ht="15.75">
      <c r="A50" s="5">
        <v>38</v>
      </c>
      <c r="B50" s="17" t="s">
        <v>8</v>
      </c>
      <c r="C50" s="295" t="s">
        <v>133</v>
      </c>
      <c r="D50" s="264" t="s">
        <v>104</v>
      </c>
      <c r="E50" s="287">
        <f>LMpielik_24_LMZino!P50:P51</f>
        <v>9</v>
      </c>
      <c r="F50" s="282">
        <f>LMpielik_24_LMZino!O50:O51</f>
        <v>10</v>
      </c>
      <c r="G50" s="296">
        <v>389</v>
      </c>
      <c r="H50" s="282">
        <v>9</v>
      </c>
      <c r="I50" s="282"/>
      <c r="J50" s="282">
        <v>9</v>
      </c>
      <c r="K50" s="294">
        <v>51.16</v>
      </c>
      <c r="L50" s="272">
        <f>I50*K50</f>
        <v>0</v>
      </c>
      <c r="M50" s="312"/>
      <c r="N50" s="312"/>
      <c r="O50" s="282">
        <f>F50+G50-H50</f>
        <v>390</v>
      </c>
      <c r="P50" s="266">
        <f>E50+I50-J50</f>
        <v>0</v>
      </c>
      <c r="Q50" s="269">
        <v>12</v>
      </c>
      <c r="R50" s="272">
        <f>K50/1.12</f>
        <v>45.67857142857142</v>
      </c>
      <c r="S50" s="272">
        <f>K50-R50</f>
        <v>5.481428571428573</v>
      </c>
      <c r="T50" s="272">
        <f>I50*S50</f>
        <v>0</v>
      </c>
    </row>
    <row r="51" spans="1:20" ht="15.75">
      <c r="A51" s="5">
        <v>39</v>
      </c>
      <c r="B51" s="17" t="s">
        <v>32</v>
      </c>
      <c r="C51" s="295"/>
      <c r="D51" s="264"/>
      <c r="E51" s="288"/>
      <c r="F51" s="283"/>
      <c r="G51" s="296"/>
      <c r="H51" s="283"/>
      <c r="I51" s="283"/>
      <c r="J51" s="283"/>
      <c r="K51" s="294"/>
      <c r="L51" s="273"/>
      <c r="M51" s="312"/>
      <c r="N51" s="312"/>
      <c r="O51" s="270"/>
      <c r="P51" s="267"/>
      <c r="Q51" s="270"/>
      <c r="R51" s="273"/>
      <c r="S51" s="273"/>
      <c r="T51" s="273"/>
    </row>
    <row r="52" spans="1:20" ht="15.75">
      <c r="A52" s="5">
        <v>40</v>
      </c>
      <c r="B52" s="17" t="s">
        <v>33</v>
      </c>
      <c r="C52" s="295"/>
      <c r="D52" s="264"/>
      <c r="E52" s="288"/>
      <c r="F52" s="283"/>
      <c r="G52" s="296"/>
      <c r="H52" s="283"/>
      <c r="I52" s="283"/>
      <c r="J52" s="283"/>
      <c r="K52" s="294"/>
      <c r="L52" s="273"/>
      <c r="M52" s="312"/>
      <c r="N52" s="312"/>
      <c r="O52" s="270"/>
      <c r="P52" s="267"/>
      <c r="Q52" s="270"/>
      <c r="R52" s="273"/>
      <c r="S52" s="273"/>
      <c r="T52" s="273"/>
    </row>
    <row r="53" spans="1:20" ht="15.75">
      <c r="A53" s="5">
        <v>41</v>
      </c>
      <c r="B53" s="17" t="s">
        <v>79</v>
      </c>
      <c r="C53" s="295"/>
      <c r="D53" s="264"/>
      <c r="E53" s="288"/>
      <c r="F53" s="283"/>
      <c r="G53" s="296"/>
      <c r="H53" s="283"/>
      <c r="I53" s="283"/>
      <c r="J53" s="283"/>
      <c r="K53" s="294"/>
      <c r="L53" s="273"/>
      <c r="M53" s="312"/>
      <c r="N53" s="312"/>
      <c r="O53" s="270"/>
      <c r="P53" s="267"/>
      <c r="Q53" s="270"/>
      <c r="R53" s="273"/>
      <c r="S53" s="273"/>
      <c r="T53" s="273"/>
    </row>
    <row r="54" spans="1:20" ht="31.5">
      <c r="A54" s="5">
        <v>42</v>
      </c>
      <c r="B54" s="17" t="s">
        <v>80</v>
      </c>
      <c r="C54" s="295"/>
      <c r="D54" s="264"/>
      <c r="E54" s="288"/>
      <c r="F54" s="283"/>
      <c r="G54" s="296"/>
      <c r="H54" s="283"/>
      <c r="I54" s="283"/>
      <c r="J54" s="283"/>
      <c r="K54" s="294"/>
      <c r="L54" s="273"/>
      <c r="M54" s="312"/>
      <c r="N54" s="312"/>
      <c r="O54" s="270"/>
      <c r="P54" s="267"/>
      <c r="Q54" s="270"/>
      <c r="R54" s="273"/>
      <c r="S54" s="273"/>
      <c r="T54" s="273"/>
    </row>
    <row r="55" spans="1:20" ht="15.75">
      <c r="A55" s="5">
        <v>43</v>
      </c>
      <c r="B55" s="17" t="s">
        <v>81</v>
      </c>
      <c r="C55" s="295"/>
      <c r="D55" s="264"/>
      <c r="E55" s="288"/>
      <c r="F55" s="283"/>
      <c r="G55" s="296"/>
      <c r="H55" s="283"/>
      <c r="I55" s="283"/>
      <c r="J55" s="283"/>
      <c r="K55" s="294"/>
      <c r="L55" s="273"/>
      <c r="M55" s="312"/>
      <c r="N55" s="312"/>
      <c r="O55" s="270"/>
      <c r="P55" s="267"/>
      <c r="Q55" s="270"/>
      <c r="R55" s="273"/>
      <c r="S55" s="273"/>
      <c r="T55" s="273"/>
    </row>
    <row r="56" spans="1:20" ht="15.75">
      <c r="A56" s="5">
        <v>44</v>
      </c>
      <c r="B56" s="17" t="s">
        <v>34</v>
      </c>
      <c r="C56" s="295"/>
      <c r="D56" s="264"/>
      <c r="E56" s="289"/>
      <c r="F56" s="284"/>
      <c r="G56" s="296"/>
      <c r="H56" s="284"/>
      <c r="I56" s="284"/>
      <c r="J56" s="284"/>
      <c r="K56" s="294"/>
      <c r="L56" s="274"/>
      <c r="M56" s="312"/>
      <c r="N56" s="312"/>
      <c r="O56" s="271"/>
      <c r="P56" s="268"/>
      <c r="Q56" s="271"/>
      <c r="R56" s="274"/>
      <c r="S56" s="274"/>
      <c r="T56" s="274"/>
    </row>
    <row r="57" spans="1:20" ht="15.75">
      <c r="A57" s="5">
        <v>45</v>
      </c>
      <c r="B57" s="17" t="s">
        <v>10</v>
      </c>
      <c r="C57" s="295" t="s">
        <v>143</v>
      </c>
      <c r="D57" s="264" t="s">
        <v>104</v>
      </c>
      <c r="E57" s="287">
        <f>LMpielik_24_LMZino!P57:P58</f>
        <v>4</v>
      </c>
      <c r="F57" s="282">
        <f>LMpielik_24_LMZino!O57:O58</f>
        <v>4</v>
      </c>
      <c r="G57" s="296">
        <v>24</v>
      </c>
      <c r="H57" s="282">
        <v>4</v>
      </c>
      <c r="I57" s="282"/>
      <c r="J57" s="282">
        <v>4</v>
      </c>
      <c r="K57" s="294">
        <v>512.78</v>
      </c>
      <c r="L57" s="272">
        <f>I57*K57</f>
        <v>0</v>
      </c>
      <c r="M57" s="312"/>
      <c r="N57" s="312"/>
      <c r="O57" s="282">
        <f>F57+G57-H57</f>
        <v>24</v>
      </c>
      <c r="P57" s="266">
        <f>E57+I57-J57</f>
        <v>0</v>
      </c>
      <c r="Q57" s="269">
        <v>12</v>
      </c>
      <c r="R57" s="272">
        <f>K57/1.12</f>
        <v>457.83928571428567</v>
      </c>
      <c r="S57" s="272">
        <f>K57-R57</f>
        <v>54.94071428571431</v>
      </c>
      <c r="T57" s="272">
        <f>I57*S57</f>
        <v>0</v>
      </c>
    </row>
    <row r="58" spans="1:20" ht="15.75">
      <c r="A58" s="5">
        <v>46</v>
      </c>
      <c r="B58" s="17" t="s">
        <v>11</v>
      </c>
      <c r="C58" s="295"/>
      <c r="D58" s="301"/>
      <c r="E58" s="288"/>
      <c r="F58" s="283"/>
      <c r="G58" s="296"/>
      <c r="H58" s="283"/>
      <c r="I58" s="283"/>
      <c r="J58" s="283"/>
      <c r="K58" s="294"/>
      <c r="L58" s="273"/>
      <c r="M58" s="312"/>
      <c r="N58" s="312"/>
      <c r="O58" s="270"/>
      <c r="P58" s="267"/>
      <c r="Q58" s="270"/>
      <c r="R58" s="273"/>
      <c r="S58" s="273"/>
      <c r="T58" s="273"/>
    </row>
    <row r="59" spans="1:20" ht="15.75">
      <c r="A59" s="5">
        <v>47</v>
      </c>
      <c r="B59" s="17" t="s">
        <v>9</v>
      </c>
      <c r="C59" s="295"/>
      <c r="D59" s="301"/>
      <c r="E59" s="288"/>
      <c r="F59" s="283"/>
      <c r="G59" s="296"/>
      <c r="H59" s="283"/>
      <c r="I59" s="283"/>
      <c r="J59" s="283"/>
      <c r="K59" s="294"/>
      <c r="L59" s="273"/>
      <c r="M59" s="312"/>
      <c r="N59" s="312"/>
      <c r="O59" s="270"/>
      <c r="P59" s="267"/>
      <c r="Q59" s="270"/>
      <c r="R59" s="273"/>
      <c r="S59" s="273"/>
      <c r="T59" s="273"/>
    </row>
    <row r="60" spans="1:20" ht="15.75">
      <c r="A60" s="5">
        <v>48</v>
      </c>
      <c r="B60" s="17" t="s">
        <v>36</v>
      </c>
      <c r="C60" s="295"/>
      <c r="D60" s="301"/>
      <c r="E60" s="288"/>
      <c r="F60" s="283"/>
      <c r="G60" s="296"/>
      <c r="H60" s="283"/>
      <c r="I60" s="283"/>
      <c r="J60" s="283"/>
      <c r="K60" s="294"/>
      <c r="L60" s="273"/>
      <c r="M60" s="312"/>
      <c r="N60" s="312"/>
      <c r="O60" s="270"/>
      <c r="P60" s="267"/>
      <c r="Q60" s="270"/>
      <c r="R60" s="273"/>
      <c r="S60" s="273"/>
      <c r="T60" s="273"/>
    </row>
    <row r="61" spans="1:20" ht="15.75">
      <c r="A61" s="5">
        <v>49</v>
      </c>
      <c r="B61" s="17" t="s">
        <v>37</v>
      </c>
      <c r="C61" s="295"/>
      <c r="D61" s="301"/>
      <c r="E61" s="288"/>
      <c r="F61" s="283"/>
      <c r="G61" s="296"/>
      <c r="H61" s="283"/>
      <c r="I61" s="283"/>
      <c r="J61" s="283"/>
      <c r="K61" s="294"/>
      <c r="L61" s="273"/>
      <c r="M61" s="312"/>
      <c r="N61" s="312"/>
      <c r="O61" s="270"/>
      <c r="P61" s="267"/>
      <c r="Q61" s="270"/>
      <c r="R61" s="273"/>
      <c r="S61" s="273"/>
      <c r="T61" s="273"/>
    </row>
    <row r="62" spans="1:20" ht="15.75">
      <c r="A62" s="5">
        <v>50</v>
      </c>
      <c r="B62" s="17" t="s">
        <v>39</v>
      </c>
      <c r="C62" s="295"/>
      <c r="D62" s="301"/>
      <c r="E62" s="289"/>
      <c r="F62" s="284"/>
      <c r="G62" s="296"/>
      <c r="H62" s="284"/>
      <c r="I62" s="284"/>
      <c r="J62" s="284"/>
      <c r="K62" s="294"/>
      <c r="L62" s="274"/>
      <c r="M62" s="312"/>
      <c r="N62" s="312"/>
      <c r="O62" s="271"/>
      <c r="P62" s="268"/>
      <c r="Q62" s="271"/>
      <c r="R62" s="274"/>
      <c r="S62" s="274"/>
      <c r="T62" s="274"/>
    </row>
    <row r="63" spans="1:20" ht="31.5">
      <c r="A63" s="5">
        <v>51</v>
      </c>
      <c r="B63" s="17" t="s">
        <v>38</v>
      </c>
      <c r="C63" s="18" t="s">
        <v>137</v>
      </c>
      <c r="D63" s="23" t="s">
        <v>104</v>
      </c>
      <c r="E63" s="100">
        <f>LMpielik_24_LMZino!P63:P64</f>
        <v>6</v>
      </c>
      <c r="F63" s="102">
        <f>LMpielik_24_LMZino!O63:O64</f>
        <v>6</v>
      </c>
      <c r="G63" s="15">
        <v>38</v>
      </c>
      <c r="H63" s="15">
        <v>6</v>
      </c>
      <c r="I63" s="15"/>
      <c r="J63" s="15">
        <v>6</v>
      </c>
      <c r="K63" s="16">
        <v>1666.56</v>
      </c>
      <c r="L63" s="16">
        <f>I63*K63</f>
        <v>0</v>
      </c>
      <c r="M63" s="312"/>
      <c r="N63" s="312"/>
      <c r="O63" s="15">
        <f>F63+G63-H63</f>
        <v>38</v>
      </c>
      <c r="P63" s="37">
        <f>E63+I63-J63</f>
        <v>0</v>
      </c>
      <c r="Q63" s="5">
        <v>12</v>
      </c>
      <c r="R63" s="16">
        <f>K63/1.12</f>
        <v>1487.9999999999998</v>
      </c>
      <c r="S63" s="16">
        <f>K63-R63</f>
        <v>178.56000000000017</v>
      </c>
      <c r="T63" s="16">
        <f>I63*S63</f>
        <v>0</v>
      </c>
    </row>
    <row r="64" spans="1:20" ht="15.75">
      <c r="A64" s="5">
        <v>52</v>
      </c>
      <c r="B64" s="17" t="s">
        <v>35</v>
      </c>
      <c r="C64" s="295" t="s">
        <v>141</v>
      </c>
      <c r="D64" s="297" t="s">
        <v>104</v>
      </c>
      <c r="E64" s="287">
        <f>LMpielik_24_LMZino!P64:P65</f>
        <v>9</v>
      </c>
      <c r="F64" s="282">
        <f>LMpielik_24_LMZino!O64:O65</f>
        <v>9</v>
      </c>
      <c r="G64" s="296">
        <v>119</v>
      </c>
      <c r="H64" s="282">
        <v>9</v>
      </c>
      <c r="I64" s="282"/>
      <c r="J64" s="282">
        <v>9</v>
      </c>
      <c r="K64" s="294">
        <v>825.99</v>
      </c>
      <c r="L64" s="272">
        <f>I64*K64</f>
        <v>0</v>
      </c>
      <c r="M64" s="312"/>
      <c r="N64" s="312"/>
      <c r="O64" s="282">
        <f>F64+G64-H64</f>
        <v>119</v>
      </c>
      <c r="P64" s="266">
        <f>E64+I64-J64</f>
        <v>0</v>
      </c>
      <c r="Q64" s="269">
        <v>12</v>
      </c>
      <c r="R64" s="272">
        <f>K64/1.12</f>
        <v>737.4910714285713</v>
      </c>
      <c r="S64" s="272">
        <f>K64-R64</f>
        <v>88.49892857142868</v>
      </c>
      <c r="T64" s="272">
        <f>I64*S64</f>
        <v>0</v>
      </c>
    </row>
    <row r="65" spans="1:20" ht="15.75">
      <c r="A65" s="5">
        <v>53</v>
      </c>
      <c r="B65" s="17" t="s">
        <v>41</v>
      </c>
      <c r="C65" s="295"/>
      <c r="D65" s="297"/>
      <c r="E65" s="289"/>
      <c r="F65" s="284"/>
      <c r="G65" s="297"/>
      <c r="H65" s="284"/>
      <c r="I65" s="284"/>
      <c r="J65" s="284"/>
      <c r="K65" s="294"/>
      <c r="L65" s="274"/>
      <c r="M65" s="312"/>
      <c r="N65" s="312"/>
      <c r="O65" s="284"/>
      <c r="P65" s="268"/>
      <c r="Q65" s="271"/>
      <c r="R65" s="274"/>
      <c r="S65" s="274"/>
      <c r="T65" s="274"/>
    </row>
    <row r="66" spans="1:20" ht="15.75">
      <c r="A66" s="5">
        <v>54</v>
      </c>
      <c r="B66" s="17" t="s">
        <v>40</v>
      </c>
      <c r="C66" s="18" t="s">
        <v>142</v>
      </c>
      <c r="D66" s="23" t="s">
        <v>104</v>
      </c>
      <c r="E66" s="100">
        <f>LMpielik_24_LMZino!P66:P67</f>
        <v>3</v>
      </c>
      <c r="F66" s="102">
        <f>LMpielik_24_LMZino!O66:O67</f>
        <v>3</v>
      </c>
      <c r="G66" s="15">
        <v>20</v>
      </c>
      <c r="H66" s="15">
        <v>3</v>
      </c>
      <c r="I66" s="15"/>
      <c r="J66" s="15">
        <v>3</v>
      </c>
      <c r="K66" s="16">
        <v>2279.2</v>
      </c>
      <c r="L66" s="16">
        <f>I66*K66</f>
        <v>0</v>
      </c>
      <c r="M66" s="312"/>
      <c r="N66" s="312"/>
      <c r="O66" s="15">
        <f>F66+G66-H66</f>
        <v>20</v>
      </c>
      <c r="P66" s="37">
        <f>E66+I66-J66</f>
        <v>0</v>
      </c>
      <c r="Q66" s="5">
        <v>12</v>
      </c>
      <c r="R66" s="16">
        <f>K66/1.12</f>
        <v>2034.9999999999995</v>
      </c>
      <c r="S66" s="16">
        <f>K66-R66</f>
        <v>244.20000000000027</v>
      </c>
      <c r="T66" s="16">
        <f>I66*S66</f>
        <v>0</v>
      </c>
    </row>
    <row r="67" spans="1:20" ht="15.75">
      <c r="A67" s="5">
        <v>55</v>
      </c>
      <c r="B67" s="17" t="s">
        <v>51</v>
      </c>
      <c r="C67" s="295" t="s">
        <v>140</v>
      </c>
      <c r="D67" s="264" t="s">
        <v>104</v>
      </c>
      <c r="E67" s="287">
        <f>LMpielik_24_LMZino!P67:P68</f>
        <v>12</v>
      </c>
      <c r="F67" s="282">
        <f>LMpielik_24_LMZino!O67:O68</f>
        <v>12</v>
      </c>
      <c r="G67" s="296">
        <v>155</v>
      </c>
      <c r="H67" s="282">
        <v>10</v>
      </c>
      <c r="I67" s="282"/>
      <c r="J67" s="282">
        <v>10</v>
      </c>
      <c r="K67" s="294">
        <v>151.32</v>
      </c>
      <c r="L67" s="272">
        <f>I67*K67</f>
        <v>0</v>
      </c>
      <c r="M67" s="312"/>
      <c r="N67" s="312"/>
      <c r="O67" s="282">
        <f>F67+G67-H67</f>
        <v>157</v>
      </c>
      <c r="P67" s="266">
        <f>E67+I67-J67</f>
        <v>2</v>
      </c>
      <c r="Q67" s="269">
        <v>12</v>
      </c>
      <c r="R67" s="272">
        <f>K67/1.12</f>
        <v>135.10714285714283</v>
      </c>
      <c r="S67" s="272">
        <f>K67-R67</f>
        <v>16.21285714285716</v>
      </c>
      <c r="T67" s="272">
        <f>I67*S67</f>
        <v>0</v>
      </c>
    </row>
    <row r="68" spans="1:20" ht="31.5">
      <c r="A68" s="5">
        <v>56</v>
      </c>
      <c r="B68" s="17" t="s">
        <v>82</v>
      </c>
      <c r="C68" s="295"/>
      <c r="D68" s="264"/>
      <c r="E68" s="289"/>
      <c r="F68" s="284"/>
      <c r="G68" s="296"/>
      <c r="H68" s="284"/>
      <c r="I68" s="284"/>
      <c r="J68" s="284"/>
      <c r="K68" s="294"/>
      <c r="L68" s="274"/>
      <c r="M68" s="312"/>
      <c r="N68" s="312"/>
      <c r="O68" s="284"/>
      <c r="P68" s="268"/>
      <c r="Q68" s="271"/>
      <c r="R68" s="274"/>
      <c r="S68" s="274"/>
      <c r="T68" s="274"/>
    </row>
    <row r="69" spans="1:20" ht="31.5">
      <c r="A69" s="5">
        <v>57</v>
      </c>
      <c r="B69" s="17" t="s">
        <v>50</v>
      </c>
      <c r="C69" s="295" t="s">
        <v>136</v>
      </c>
      <c r="D69" s="264" t="s">
        <v>104</v>
      </c>
      <c r="E69" s="287">
        <f>LMpielik_24_LMZino!P69:P70</f>
        <v>78</v>
      </c>
      <c r="F69" s="282">
        <f>LMpielik_24_LMZino!O69:O70</f>
        <v>78</v>
      </c>
      <c r="G69" s="296">
        <v>945</v>
      </c>
      <c r="H69" s="282">
        <v>118</v>
      </c>
      <c r="I69" s="282">
        <v>40</v>
      </c>
      <c r="J69" s="282">
        <v>118</v>
      </c>
      <c r="K69" s="294">
        <v>136.89</v>
      </c>
      <c r="L69" s="272">
        <f>I69*K69</f>
        <v>5475.599999999999</v>
      </c>
      <c r="M69" s="312"/>
      <c r="N69" s="312"/>
      <c r="O69" s="282">
        <f>F69+G69-H69</f>
        <v>905</v>
      </c>
      <c r="P69" s="266">
        <f>E69+I69-J69</f>
        <v>0</v>
      </c>
      <c r="Q69" s="269">
        <v>12</v>
      </c>
      <c r="R69" s="272">
        <f>K69/1.12</f>
        <v>122.22321428571426</v>
      </c>
      <c r="S69" s="272">
        <f>K69-R69</f>
        <v>14.666785714285723</v>
      </c>
      <c r="T69" s="272">
        <f>I69*S69</f>
        <v>586.6714285714289</v>
      </c>
    </row>
    <row r="70" spans="1:20" ht="47.25">
      <c r="A70" s="5">
        <v>58</v>
      </c>
      <c r="B70" s="17" t="s">
        <v>83</v>
      </c>
      <c r="C70" s="295"/>
      <c r="D70" s="265"/>
      <c r="E70" s="289"/>
      <c r="F70" s="284"/>
      <c r="G70" s="296"/>
      <c r="H70" s="284"/>
      <c r="I70" s="284"/>
      <c r="J70" s="284"/>
      <c r="K70" s="294"/>
      <c r="L70" s="274"/>
      <c r="M70" s="312"/>
      <c r="N70" s="312"/>
      <c r="O70" s="284"/>
      <c r="P70" s="268"/>
      <c r="Q70" s="271"/>
      <c r="R70" s="274"/>
      <c r="S70" s="274"/>
      <c r="T70" s="274"/>
    </row>
    <row r="71" spans="1:20" ht="47.25">
      <c r="A71" s="5">
        <v>59</v>
      </c>
      <c r="B71" s="17" t="s">
        <v>92</v>
      </c>
      <c r="C71" s="298" t="s">
        <v>129</v>
      </c>
      <c r="D71" s="264" t="s">
        <v>109</v>
      </c>
      <c r="E71" s="287">
        <f>LMpielik_24_LMZino!P71:P72</f>
        <v>10</v>
      </c>
      <c r="F71" s="282">
        <f>LMpielik_24_LMZino!O71:O72</f>
        <v>10</v>
      </c>
      <c r="G71" s="296">
        <v>130</v>
      </c>
      <c r="H71" s="282">
        <v>9</v>
      </c>
      <c r="I71" s="282"/>
      <c r="J71" s="282">
        <v>9</v>
      </c>
      <c r="K71" s="294">
        <v>1824.39</v>
      </c>
      <c r="L71" s="272">
        <f>I71*K71</f>
        <v>0</v>
      </c>
      <c r="M71" s="312"/>
      <c r="N71" s="312"/>
      <c r="O71" s="282">
        <f>F71+G71-H71</f>
        <v>131</v>
      </c>
      <c r="P71" s="266">
        <f>E71+I71-J71</f>
        <v>1</v>
      </c>
      <c r="Q71" s="269">
        <v>12</v>
      </c>
      <c r="R71" s="272">
        <f>K71/1.12</f>
        <v>1628.919642857143</v>
      </c>
      <c r="S71" s="272">
        <f>K71-R71</f>
        <v>195.4703571428572</v>
      </c>
      <c r="T71" s="272">
        <f>I71*S71</f>
        <v>0</v>
      </c>
    </row>
    <row r="72" spans="1:20" ht="63">
      <c r="A72" s="5">
        <v>60</v>
      </c>
      <c r="B72" s="17" t="s">
        <v>93</v>
      </c>
      <c r="C72" s="299"/>
      <c r="D72" s="265"/>
      <c r="E72" s="288"/>
      <c r="F72" s="283"/>
      <c r="G72" s="296"/>
      <c r="H72" s="283"/>
      <c r="I72" s="283"/>
      <c r="J72" s="283"/>
      <c r="K72" s="294"/>
      <c r="L72" s="273"/>
      <c r="M72" s="312"/>
      <c r="N72" s="312"/>
      <c r="O72" s="283"/>
      <c r="P72" s="267"/>
      <c r="Q72" s="270"/>
      <c r="R72" s="273"/>
      <c r="S72" s="273"/>
      <c r="T72" s="273"/>
    </row>
    <row r="73" spans="1:20" ht="63">
      <c r="A73" s="5">
        <v>61</v>
      </c>
      <c r="B73" s="17" t="s">
        <v>53</v>
      </c>
      <c r="C73" s="299"/>
      <c r="D73" s="265"/>
      <c r="E73" s="288"/>
      <c r="F73" s="283"/>
      <c r="G73" s="296"/>
      <c r="H73" s="283"/>
      <c r="I73" s="283"/>
      <c r="J73" s="283"/>
      <c r="K73" s="294"/>
      <c r="L73" s="273"/>
      <c r="M73" s="312"/>
      <c r="N73" s="312"/>
      <c r="O73" s="283"/>
      <c r="P73" s="267"/>
      <c r="Q73" s="270"/>
      <c r="R73" s="273"/>
      <c r="S73" s="273"/>
      <c r="T73" s="273"/>
    </row>
    <row r="74" spans="1:20" ht="63">
      <c r="A74" s="5">
        <v>62</v>
      </c>
      <c r="B74" s="17" t="s">
        <v>94</v>
      </c>
      <c r="C74" s="299"/>
      <c r="D74" s="265"/>
      <c r="E74" s="288"/>
      <c r="F74" s="283"/>
      <c r="G74" s="296"/>
      <c r="H74" s="283"/>
      <c r="I74" s="283"/>
      <c r="J74" s="283"/>
      <c r="K74" s="294"/>
      <c r="L74" s="273"/>
      <c r="M74" s="312"/>
      <c r="N74" s="312"/>
      <c r="O74" s="283"/>
      <c r="P74" s="267"/>
      <c r="Q74" s="270"/>
      <c r="R74" s="273"/>
      <c r="S74" s="273"/>
      <c r="T74" s="273"/>
    </row>
    <row r="75" spans="1:20" ht="63">
      <c r="A75" s="5">
        <v>63</v>
      </c>
      <c r="B75" s="17" t="s">
        <v>95</v>
      </c>
      <c r="C75" s="299"/>
      <c r="D75" s="265"/>
      <c r="E75" s="288"/>
      <c r="F75" s="283"/>
      <c r="G75" s="296"/>
      <c r="H75" s="283"/>
      <c r="I75" s="283"/>
      <c r="J75" s="283"/>
      <c r="K75" s="294"/>
      <c r="L75" s="273"/>
      <c r="M75" s="312"/>
      <c r="N75" s="312"/>
      <c r="O75" s="283"/>
      <c r="P75" s="267"/>
      <c r="Q75" s="270"/>
      <c r="R75" s="273"/>
      <c r="S75" s="273"/>
      <c r="T75" s="273"/>
    </row>
    <row r="76" spans="1:20" ht="63">
      <c r="A76" s="5">
        <v>64</v>
      </c>
      <c r="B76" s="17" t="s">
        <v>54</v>
      </c>
      <c r="C76" s="299"/>
      <c r="D76" s="265"/>
      <c r="E76" s="288"/>
      <c r="F76" s="283"/>
      <c r="G76" s="296"/>
      <c r="H76" s="283"/>
      <c r="I76" s="283"/>
      <c r="J76" s="283"/>
      <c r="K76" s="294"/>
      <c r="L76" s="273"/>
      <c r="M76" s="312"/>
      <c r="N76" s="312"/>
      <c r="O76" s="283"/>
      <c r="P76" s="267"/>
      <c r="Q76" s="270"/>
      <c r="R76" s="273"/>
      <c r="S76" s="273"/>
      <c r="T76" s="273"/>
    </row>
    <row r="77" spans="1:20" ht="78.75">
      <c r="A77" s="5">
        <v>65</v>
      </c>
      <c r="B77" s="17" t="s">
        <v>55</v>
      </c>
      <c r="C77" s="300"/>
      <c r="D77" s="265"/>
      <c r="E77" s="289"/>
      <c r="F77" s="284"/>
      <c r="G77" s="296"/>
      <c r="H77" s="284"/>
      <c r="I77" s="284"/>
      <c r="J77" s="284"/>
      <c r="K77" s="294"/>
      <c r="L77" s="274"/>
      <c r="M77" s="312"/>
      <c r="N77" s="312"/>
      <c r="O77" s="284"/>
      <c r="P77" s="268"/>
      <c r="Q77" s="271"/>
      <c r="R77" s="274"/>
      <c r="S77" s="274"/>
      <c r="T77" s="274"/>
    </row>
    <row r="78" spans="1:20" ht="47.25">
      <c r="A78" s="5">
        <v>66</v>
      </c>
      <c r="B78" s="17" t="s">
        <v>96</v>
      </c>
      <c r="C78" s="18" t="s">
        <v>138</v>
      </c>
      <c r="D78" s="22" t="s">
        <v>104</v>
      </c>
      <c r="E78" s="100">
        <f>LMpielik_24_LMZino!P78:P79</f>
        <v>4</v>
      </c>
      <c r="F78" s="102">
        <f>LMpielik_24_LMZino!O78:O79</f>
        <v>4</v>
      </c>
      <c r="G78" s="15">
        <v>20</v>
      </c>
      <c r="H78" s="15"/>
      <c r="I78" s="15"/>
      <c r="J78" s="15"/>
      <c r="K78" s="16">
        <v>1218.56</v>
      </c>
      <c r="L78" s="16">
        <f>I78*K78</f>
        <v>0</v>
      </c>
      <c r="M78" s="312"/>
      <c r="N78" s="312"/>
      <c r="O78" s="15">
        <f>F78+G78-H78</f>
        <v>24</v>
      </c>
      <c r="P78" s="37">
        <f>E78+I78-J78</f>
        <v>4</v>
      </c>
      <c r="Q78" s="5">
        <v>12</v>
      </c>
      <c r="R78" s="16">
        <f>K78/1.12</f>
        <v>1087.9999999999998</v>
      </c>
      <c r="S78" s="16">
        <f>K78-R78</f>
        <v>130.56000000000017</v>
      </c>
      <c r="T78" s="16">
        <f>I78*S78</f>
        <v>0</v>
      </c>
    </row>
    <row r="79" spans="1:20" ht="31.5">
      <c r="A79" s="5">
        <v>67</v>
      </c>
      <c r="B79" s="17" t="s">
        <v>52</v>
      </c>
      <c r="C79" s="295" t="s">
        <v>128</v>
      </c>
      <c r="D79" s="264" t="s">
        <v>104</v>
      </c>
      <c r="E79" s="287">
        <f>LMpielik_24_LMZino!P79:P80</f>
        <v>21</v>
      </c>
      <c r="F79" s="282">
        <f>LMpielik_24_LMZino!O79:O80</f>
        <v>0</v>
      </c>
      <c r="G79" s="296">
        <v>53</v>
      </c>
      <c r="H79" s="282">
        <v>20</v>
      </c>
      <c r="I79" s="282"/>
      <c r="J79" s="282">
        <v>20</v>
      </c>
      <c r="K79" s="294">
        <v>189.95</v>
      </c>
      <c r="L79" s="272">
        <f>I79*K79</f>
        <v>0</v>
      </c>
      <c r="M79" s="312"/>
      <c r="N79" s="312"/>
      <c r="O79" s="282">
        <f>F79+G79-H79</f>
        <v>33</v>
      </c>
      <c r="P79" s="266">
        <f>E79+I79-J79</f>
        <v>1</v>
      </c>
      <c r="Q79" s="269">
        <v>12</v>
      </c>
      <c r="R79" s="272">
        <f>K79/1.12</f>
        <v>169.59821428571425</v>
      </c>
      <c r="S79" s="272">
        <f>K79-R79</f>
        <v>20.35178571428574</v>
      </c>
      <c r="T79" s="272">
        <f>I79*S79</f>
        <v>0</v>
      </c>
    </row>
    <row r="80" spans="1:20" ht="47.25">
      <c r="A80" s="5">
        <v>68</v>
      </c>
      <c r="B80" s="17" t="s">
        <v>84</v>
      </c>
      <c r="C80" s="295"/>
      <c r="D80" s="265"/>
      <c r="E80" s="289"/>
      <c r="F80" s="284"/>
      <c r="G80" s="296"/>
      <c r="H80" s="284"/>
      <c r="I80" s="284"/>
      <c r="J80" s="284"/>
      <c r="K80" s="294"/>
      <c r="L80" s="274"/>
      <c r="M80" s="312"/>
      <c r="N80" s="312"/>
      <c r="O80" s="284"/>
      <c r="P80" s="268"/>
      <c r="Q80" s="271"/>
      <c r="R80" s="274"/>
      <c r="S80" s="274"/>
      <c r="T80" s="274"/>
    </row>
    <row r="81" spans="1:20" ht="31.5">
      <c r="A81" s="5">
        <v>69</v>
      </c>
      <c r="B81" s="17" t="s">
        <v>76</v>
      </c>
      <c r="C81" s="295" t="s">
        <v>130</v>
      </c>
      <c r="D81" s="264" t="s">
        <v>104</v>
      </c>
      <c r="E81" s="287">
        <f>LMpielik_24_LMZino!P81:P82</f>
        <v>8</v>
      </c>
      <c r="F81" s="282">
        <f>LMpielik_24_LMZino!O81:O82</f>
        <v>8</v>
      </c>
      <c r="G81" s="296">
        <v>86</v>
      </c>
      <c r="H81" s="282">
        <v>5</v>
      </c>
      <c r="I81" s="282"/>
      <c r="J81" s="282">
        <v>5</v>
      </c>
      <c r="K81" s="294">
        <v>790.53</v>
      </c>
      <c r="L81" s="272">
        <f>I81*K81</f>
        <v>0</v>
      </c>
      <c r="M81" s="312"/>
      <c r="N81" s="312"/>
      <c r="O81" s="282">
        <f>F81+G81-H81</f>
        <v>89</v>
      </c>
      <c r="P81" s="266">
        <f>E81+I81-J81</f>
        <v>3</v>
      </c>
      <c r="Q81" s="269">
        <v>12</v>
      </c>
      <c r="R81" s="272">
        <f>K81/1.12</f>
        <v>705.830357142857</v>
      </c>
      <c r="S81" s="272">
        <f>K81-R81</f>
        <v>84.69964285714298</v>
      </c>
      <c r="T81" s="272">
        <f>I81*S81</f>
        <v>0</v>
      </c>
    </row>
    <row r="82" spans="1:20" ht="31.5">
      <c r="A82" s="5">
        <v>70</v>
      </c>
      <c r="B82" s="17" t="s">
        <v>97</v>
      </c>
      <c r="C82" s="295"/>
      <c r="D82" s="297"/>
      <c r="E82" s="288"/>
      <c r="F82" s="283"/>
      <c r="G82" s="296"/>
      <c r="H82" s="283"/>
      <c r="I82" s="283"/>
      <c r="J82" s="283"/>
      <c r="K82" s="294"/>
      <c r="L82" s="273"/>
      <c r="M82" s="312"/>
      <c r="N82" s="312"/>
      <c r="O82" s="283"/>
      <c r="P82" s="267"/>
      <c r="Q82" s="270"/>
      <c r="R82" s="273"/>
      <c r="S82" s="273"/>
      <c r="T82" s="273"/>
    </row>
    <row r="83" spans="1:20" ht="47.25">
      <c r="A83" s="5">
        <v>71</v>
      </c>
      <c r="B83" s="17" t="s">
        <v>98</v>
      </c>
      <c r="C83" s="295"/>
      <c r="D83" s="297"/>
      <c r="E83" s="288"/>
      <c r="F83" s="283"/>
      <c r="G83" s="296"/>
      <c r="H83" s="283"/>
      <c r="I83" s="283"/>
      <c r="J83" s="283"/>
      <c r="K83" s="294"/>
      <c r="L83" s="273"/>
      <c r="M83" s="312"/>
      <c r="N83" s="312"/>
      <c r="O83" s="283"/>
      <c r="P83" s="267"/>
      <c r="Q83" s="270"/>
      <c r="R83" s="273"/>
      <c r="S83" s="273"/>
      <c r="T83" s="273"/>
    </row>
    <row r="84" spans="1:20" ht="31.5">
      <c r="A84" s="5">
        <v>72</v>
      </c>
      <c r="B84" s="17" t="s">
        <v>47</v>
      </c>
      <c r="C84" s="295"/>
      <c r="D84" s="297"/>
      <c r="E84" s="288"/>
      <c r="F84" s="283"/>
      <c r="G84" s="296"/>
      <c r="H84" s="283"/>
      <c r="I84" s="283"/>
      <c r="J84" s="283"/>
      <c r="K84" s="294"/>
      <c r="L84" s="273"/>
      <c r="M84" s="312"/>
      <c r="N84" s="312"/>
      <c r="O84" s="283"/>
      <c r="P84" s="267"/>
      <c r="Q84" s="270"/>
      <c r="R84" s="273"/>
      <c r="S84" s="273"/>
      <c r="T84" s="273"/>
    </row>
    <row r="85" spans="1:20" ht="15.75">
      <c r="A85" s="5">
        <v>73</v>
      </c>
      <c r="B85" s="17" t="s">
        <v>48</v>
      </c>
      <c r="C85" s="295"/>
      <c r="D85" s="297"/>
      <c r="E85" s="288"/>
      <c r="F85" s="283"/>
      <c r="G85" s="296"/>
      <c r="H85" s="283"/>
      <c r="I85" s="283"/>
      <c r="J85" s="283"/>
      <c r="K85" s="294"/>
      <c r="L85" s="273"/>
      <c r="M85" s="312"/>
      <c r="N85" s="312"/>
      <c r="O85" s="283"/>
      <c r="P85" s="267"/>
      <c r="Q85" s="270"/>
      <c r="R85" s="273"/>
      <c r="S85" s="273"/>
      <c r="T85" s="273"/>
    </row>
    <row r="86" spans="1:20" ht="31.5">
      <c r="A86" s="5">
        <v>74</v>
      </c>
      <c r="B86" s="17" t="s">
        <v>91</v>
      </c>
      <c r="C86" s="295"/>
      <c r="D86" s="297"/>
      <c r="E86" s="288"/>
      <c r="F86" s="283"/>
      <c r="G86" s="296"/>
      <c r="H86" s="283"/>
      <c r="I86" s="283"/>
      <c r="J86" s="283"/>
      <c r="K86" s="297"/>
      <c r="L86" s="273"/>
      <c r="M86" s="312"/>
      <c r="N86" s="312"/>
      <c r="O86" s="283"/>
      <c r="P86" s="267"/>
      <c r="Q86" s="270"/>
      <c r="R86" s="273"/>
      <c r="S86" s="273"/>
      <c r="T86" s="273"/>
    </row>
    <row r="87" spans="1:20" ht="31.5">
      <c r="A87" s="5">
        <v>75</v>
      </c>
      <c r="B87" s="17" t="s">
        <v>49</v>
      </c>
      <c r="C87" s="295"/>
      <c r="D87" s="297"/>
      <c r="E87" s="289"/>
      <c r="F87" s="284"/>
      <c r="G87" s="296"/>
      <c r="H87" s="284"/>
      <c r="I87" s="284"/>
      <c r="J87" s="284"/>
      <c r="K87" s="297"/>
      <c r="L87" s="274"/>
      <c r="M87" s="312"/>
      <c r="N87" s="312"/>
      <c r="O87" s="284"/>
      <c r="P87" s="268"/>
      <c r="Q87" s="271"/>
      <c r="R87" s="274"/>
      <c r="S87" s="274"/>
      <c r="T87" s="274"/>
    </row>
    <row r="88" spans="1:20" ht="31.5">
      <c r="A88" s="5">
        <v>76</v>
      </c>
      <c r="B88" s="17" t="s">
        <v>99</v>
      </c>
      <c r="C88" s="295" t="s">
        <v>147</v>
      </c>
      <c r="D88" s="295" t="s">
        <v>104</v>
      </c>
      <c r="E88" s="287">
        <f>LMpielik_24_LMZino!P88:P89</f>
        <v>12</v>
      </c>
      <c r="F88" s="282">
        <f>LMpielik_24_LMZino!O88:O89</f>
        <v>12</v>
      </c>
      <c r="G88" s="296">
        <v>75</v>
      </c>
      <c r="H88" s="282">
        <v>10</v>
      </c>
      <c r="I88" s="282"/>
      <c r="J88" s="282">
        <v>10</v>
      </c>
      <c r="K88" s="294">
        <v>414.03</v>
      </c>
      <c r="L88" s="272">
        <f>I88*K88</f>
        <v>0</v>
      </c>
      <c r="M88" s="312"/>
      <c r="N88" s="312"/>
      <c r="O88" s="282">
        <f>F88+G88-H88</f>
        <v>77</v>
      </c>
      <c r="P88" s="266">
        <f>E88+I88-J88</f>
        <v>2</v>
      </c>
      <c r="Q88" s="269">
        <v>12</v>
      </c>
      <c r="R88" s="272">
        <f>K88/1.12</f>
        <v>369.6696428571428</v>
      </c>
      <c r="S88" s="272">
        <f>K88-R88</f>
        <v>44.3603571428572</v>
      </c>
      <c r="T88" s="272">
        <f>I88*S88</f>
        <v>0</v>
      </c>
    </row>
    <row r="89" spans="1:20" ht="47.25">
      <c r="A89" s="5">
        <v>77</v>
      </c>
      <c r="B89" s="17" t="s">
        <v>113</v>
      </c>
      <c r="C89" s="295"/>
      <c r="D89" s="295"/>
      <c r="E89" s="289"/>
      <c r="F89" s="284"/>
      <c r="G89" s="296"/>
      <c r="H89" s="284"/>
      <c r="I89" s="284"/>
      <c r="J89" s="284"/>
      <c r="K89" s="294"/>
      <c r="L89" s="274"/>
      <c r="M89" s="312"/>
      <c r="N89" s="312"/>
      <c r="O89" s="284"/>
      <c r="P89" s="268"/>
      <c r="Q89" s="271"/>
      <c r="R89" s="274"/>
      <c r="S89" s="274"/>
      <c r="T89" s="274"/>
    </row>
    <row r="90" spans="1:20" ht="15.75">
      <c r="A90" s="5">
        <v>78</v>
      </c>
      <c r="B90" s="13" t="s">
        <v>14</v>
      </c>
      <c r="C90" s="4" t="s">
        <v>145</v>
      </c>
      <c r="D90" s="24" t="s">
        <v>104</v>
      </c>
      <c r="E90" s="100">
        <f>LMpielik_24_LMZino!P90:P91</f>
        <v>10</v>
      </c>
      <c r="F90" s="102">
        <f>LMpielik_24_LMZino!O90:O91</f>
        <v>10</v>
      </c>
      <c r="G90" s="15">
        <v>61</v>
      </c>
      <c r="H90" s="15">
        <v>4</v>
      </c>
      <c r="I90" s="15"/>
      <c r="J90" s="15">
        <v>4</v>
      </c>
      <c r="K90" s="16">
        <v>50.98</v>
      </c>
      <c r="L90" s="16">
        <f>I90*K90</f>
        <v>0</v>
      </c>
      <c r="M90" s="312"/>
      <c r="N90" s="312"/>
      <c r="O90" s="15">
        <f>F90+G90-H90</f>
        <v>67</v>
      </c>
      <c r="P90" s="37">
        <f>E90+I90-J90</f>
        <v>6</v>
      </c>
      <c r="Q90" s="5">
        <v>12</v>
      </c>
      <c r="R90" s="16">
        <f>K90/1.12</f>
        <v>45.51785714285714</v>
      </c>
      <c r="S90" s="16">
        <f>K90-R90</f>
        <v>5.462142857142858</v>
      </c>
      <c r="T90" s="16">
        <f>I90*S90</f>
        <v>0</v>
      </c>
    </row>
    <row r="91" spans="1:20" ht="15.75">
      <c r="A91" s="5">
        <v>79</v>
      </c>
      <c r="B91" s="48" t="s">
        <v>42</v>
      </c>
      <c r="C91" s="285" t="s">
        <v>135</v>
      </c>
      <c r="D91" s="264" t="s">
        <v>106</v>
      </c>
      <c r="E91" s="287">
        <f>LMpielik_24_LMZino!P91:P92</f>
        <v>2</v>
      </c>
      <c r="F91" s="282">
        <f>LMpielik_24_LMZino!O91:O92</f>
        <v>2</v>
      </c>
      <c r="G91" s="290">
        <v>13</v>
      </c>
      <c r="H91" s="278"/>
      <c r="I91" s="278"/>
      <c r="J91" s="278"/>
      <c r="K91" s="281">
        <v>1329.52</v>
      </c>
      <c r="L91" s="291">
        <f>I91*K91</f>
        <v>0</v>
      </c>
      <c r="M91" s="312"/>
      <c r="N91" s="312"/>
      <c r="O91" s="282">
        <f>F91+G91-H91</f>
        <v>15</v>
      </c>
      <c r="P91" s="266">
        <f>E91+I91-J91</f>
        <v>2</v>
      </c>
      <c r="Q91" s="269">
        <v>12</v>
      </c>
      <c r="R91" s="272">
        <f>K91/1.12</f>
        <v>1187.0714285714284</v>
      </c>
      <c r="S91" s="272">
        <f>K91-R91</f>
        <v>142.44857142857154</v>
      </c>
      <c r="T91" s="272">
        <f>I91*S91</f>
        <v>0</v>
      </c>
    </row>
    <row r="92" spans="1:20" ht="15.75">
      <c r="A92" s="5">
        <v>80</v>
      </c>
      <c r="B92" s="48" t="s">
        <v>43</v>
      </c>
      <c r="C92" s="285"/>
      <c r="D92" s="264"/>
      <c r="E92" s="288"/>
      <c r="F92" s="283"/>
      <c r="G92" s="290"/>
      <c r="H92" s="279"/>
      <c r="I92" s="279"/>
      <c r="J92" s="279"/>
      <c r="K92" s="281"/>
      <c r="L92" s="292"/>
      <c r="M92" s="312"/>
      <c r="N92" s="312"/>
      <c r="O92" s="283"/>
      <c r="P92" s="267"/>
      <c r="Q92" s="270"/>
      <c r="R92" s="273"/>
      <c r="S92" s="273"/>
      <c r="T92" s="273"/>
    </row>
    <row r="93" spans="1:20" ht="15.75">
      <c r="A93" s="5">
        <v>81</v>
      </c>
      <c r="B93" s="48" t="s">
        <v>44</v>
      </c>
      <c r="C93" s="285"/>
      <c r="D93" s="264"/>
      <c r="E93" s="288"/>
      <c r="F93" s="283"/>
      <c r="G93" s="290"/>
      <c r="H93" s="279"/>
      <c r="I93" s="279"/>
      <c r="J93" s="279"/>
      <c r="K93" s="281"/>
      <c r="L93" s="292"/>
      <c r="M93" s="312"/>
      <c r="N93" s="312"/>
      <c r="O93" s="283"/>
      <c r="P93" s="267"/>
      <c r="Q93" s="270"/>
      <c r="R93" s="273"/>
      <c r="S93" s="273"/>
      <c r="T93" s="273"/>
    </row>
    <row r="94" spans="1:20" ht="31.5">
      <c r="A94" s="5">
        <v>82</v>
      </c>
      <c r="B94" s="48" t="s">
        <v>45</v>
      </c>
      <c r="C94" s="285"/>
      <c r="D94" s="264"/>
      <c r="E94" s="289"/>
      <c r="F94" s="284"/>
      <c r="G94" s="290"/>
      <c r="H94" s="280"/>
      <c r="I94" s="280"/>
      <c r="J94" s="280"/>
      <c r="K94" s="281"/>
      <c r="L94" s="293"/>
      <c r="M94" s="312"/>
      <c r="N94" s="312"/>
      <c r="O94" s="284"/>
      <c r="P94" s="268"/>
      <c r="Q94" s="271"/>
      <c r="R94" s="274"/>
      <c r="S94" s="274"/>
      <c r="T94" s="274"/>
    </row>
    <row r="95" spans="1:20" ht="31.5">
      <c r="A95" s="5">
        <v>83</v>
      </c>
      <c r="B95" s="48" t="s">
        <v>46</v>
      </c>
      <c r="C95" s="92" t="s">
        <v>46</v>
      </c>
      <c r="D95" s="91" t="s">
        <v>106</v>
      </c>
      <c r="E95" s="100">
        <f>LMpielik_24_LMZino!P95:P96</f>
        <v>4</v>
      </c>
      <c r="F95" s="102">
        <f>LMpielik_24_LMZino!O95:O96</f>
        <v>4</v>
      </c>
      <c r="G95" s="96">
        <v>14</v>
      </c>
      <c r="H95" s="96"/>
      <c r="I95" s="96"/>
      <c r="J95" s="96"/>
      <c r="K95" s="94">
        <v>976.53</v>
      </c>
      <c r="L95" s="16">
        <f>I95*K95</f>
        <v>0</v>
      </c>
      <c r="M95" s="312"/>
      <c r="N95" s="312"/>
      <c r="O95" s="15">
        <f>F95+G95-H95</f>
        <v>18</v>
      </c>
      <c r="P95" s="37">
        <f>E95+I95-J95</f>
        <v>4</v>
      </c>
      <c r="Q95" s="5">
        <v>12</v>
      </c>
      <c r="R95" s="16">
        <f>K95/1.12</f>
        <v>871.9017857142856</v>
      </c>
      <c r="S95" s="16">
        <f>K95-R95</f>
        <v>104.62821428571442</v>
      </c>
      <c r="T95" s="16">
        <f>I95*S95</f>
        <v>0</v>
      </c>
    </row>
    <row r="96" spans="1:20" ht="15.75">
      <c r="A96" s="5">
        <v>84</v>
      </c>
      <c r="B96" s="48" t="s">
        <v>85</v>
      </c>
      <c r="C96" s="285" t="s">
        <v>131</v>
      </c>
      <c r="D96" s="285" t="s">
        <v>106</v>
      </c>
      <c r="E96" s="287">
        <f>LMpielik_24_LMZino!P96:P97</f>
        <v>5</v>
      </c>
      <c r="F96" s="282">
        <f>LMpielik_24_LMZino!O96:O97</f>
        <v>13</v>
      </c>
      <c r="G96" s="290">
        <v>158</v>
      </c>
      <c r="H96" s="278">
        <v>5</v>
      </c>
      <c r="I96" s="278"/>
      <c r="J96" s="278">
        <v>5</v>
      </c>
      <c r="K96" s="281">
        <v>2931.24</v>
      </c>
      <c r="L96" s="291">
        <f>I96*K96</f>
        <v>0</v>
      </c>
      <c r="M96" s="312"/>
      <c r="N96" s="312"/>
      <c r="O96" s="282">
        <f>F96+G96-H96</f>
        <v>166</v>
      </c>
      <c r="P96" s="266">
        <f>E96+I96-J96</f>
        <v>0</v>
      </c>
      <c r="Q96" s="269">
        <v>12</v>
      </c>
      <c r="R96" s="272">
        <f>K96/1.12</f>
        <v>2617.178571428571</v>
      </c>
      <c r="S96" s="272">
        <f>K96-R96</f>
        <v>314.0614285714287</v>
      </c>
      <c r="T96" s="272">
        <f>I96*S96</f>
        <v>0</v>
      </c>
    </row>
    <row r="97" spans="1:20" ht="15.75">
      <c r="A97" s="5">
        <v>85</v>
      </c>
      <c r="B97" s="48" t="s">
        <v>58</v>
      </c>
      <c r="C97" s="285"/>
      <c r="D97" s="285"/>
      <c r="E97" s="288"/>
      <c r="F97" s="283"/>
      <c r="G97" s="290"/>
      <c r="H97" s="279"/>
      <c r="I97" s="279"/>
      <c r="J97" s="279"/>
      <c r="K97" s="281"/>
      <c r="L97" s="292"/>
      <c r="M97" s="312"/>
      <c r="N97" s="312"/>
      <c r="O97" s="283"/>
      <c r="P97" s="267"/>
      <c r="Q97" s="270"/>
      <c r="R97" s="273"/>
      <c r="S97" s="273"/>
      <c r="T97" s="273"/>
    </row>
    <row r="98" spans="1:20" ht="31.5">
      <c r="A98" s="5">
        <v>86</v>
      </c>
      <c r="B98" s="48" t="s">
        <v>86</v>
      </c>
      <c r="C98" s="285"/>
      <c r="D98" s="285"/>
      <c r="E98" s="288"/>
      <c r="F98" s="283"/>
      <c r="G98" s="290"/>
      <c r="H98" s="279"/>
      <c r="I98" s="279"/>
      <c r="J98" s="279"/>
      <c r="K98" s="281"/>
      <c r="L98" s="292"/>
      <c r="M98" s="312"/>
      <c r="N98" s="312"/>
      <c r="O98" s="283"/>
      <c r="P98" s="267"/>
      <c r="Q98" s="270"/>
      <c r="R98" s="273"/>
      <c r="S98" s="273"/>
      <c r="T98" s="273"/>
    </row>
    <row r="99" spans="1:20" ht="47.25">
      <c r="A99" s="5">
        <v>87</v>
      </c>
      <c r="B99" s="48" t="s">
        <v>100</v>
      </c>
      <c r="C99" s="285"/>
      <c r="D99" s="285"/>
      <c r="E99" s="289"/>
      <c r="F99" s="284"/>
      <c r="G99" s="290"/>
      <c r="H99" s="280"/>
      <c r="I99" s="280"/>
      <c r="J99" s="280"/>
      <c r="K99" s="281"/>
      <c r="L99" s="293"/>
      <c r="M99" s="312"/>
      <c r="N99" s="312"/>
      <c r="O99" s="284"/>
      <c r="P99" s="268"/>
      <c r="Q99" s="271"/>
      <c r="R99" s="274"/>
      <c r="S99" s="274"/>
      <c r="T99" s="274"/>
    </row>
    <row r="100" spans="1:20" ht="31.5">
      <c r="A100" s="5">
        <v>88</v>
      </c>
      <c r="B100" s="48" t="s">
        <v>57</v>
      </c>
      <c r="C100" s="92" t="s">
        <v>139</v>
      </c>
      <c r="D100" s="92" t="s">
        <v>105</v>
      </c>
      <c r="E100" s="100">
        <f>LMpielik_24_LMZino!P100:P101</f>
        <v>3</v>
      </c>
      <c r="F100" s="102">
        <f>LMpielik_24_LMZino!O100:O101</f>
        <v>3</v>
      </c>
      <c r="G100" s="96">
        <v>13</v>
      </c>
      <c r="H100" s="96">
        <v>1</v>
      </c>
      <c r="I100" s="96"/>
      <c r="J100" s="96">
        <v>1</v>
      </c>
      <c r="K100" s="94">
        <v>4253.76</v>
      </c>
      <c r="L100" s="16">
        <f>I100*K100</f>
        <v>0</v>
      </c>
      <c r="M100" s="312"/>
      <c r="N100" s="312"/>
      <c r="O100" s="15">
        <f>F100+G100-H100</f>
        <v>15</v>
      </c>
      <c r="P100" s="37">
        <f>E100+I100-J100</f>
        <v>2</v>
      </c>
      <c r="Q100" s="5">
        <v>12</v>
      </c>
      <c r="R100" s="16">
        <f>K100/1.12</f>
        <v>3798</v>
      </c>
      <c r="S100" s="16">
        <f>K100-R100</f>
        <v>455.7600000000002</v>
      </c>
      <c r="T100" s="16">
        <f>I100*S100</f>
        <v>0</v>
      </c>
    </row>
    <row r="101" spans="1:20" ht="63">
      <c r="A101" s="5">
        <v>89</v>
      </c>
      <c r="B101" s="48" t="s">
        <v>56</v>
      </c>
      <c r="C101" s="92" t="s">
        <v>56</v>
      </c>
      <c r="D101" s="93" t="s">
        <v>105</v>
      </c>
      <c r="E101" s="100">
        <f>LMpielik_24_LMZino!P101:P102</f>
        <v>0</v>
      </c>
      <c r="F101" s="102">
        <f>LMpielik_24_LMZino!O101:O102</f>
        <v>0</v>
      </c>
      <c r="G101" s="96">
        <v>5</v>
      </c>
      <c r="H101" s="96"/>
      <c r="I101" s="96"/>
      <c r="J101" s="96"/>
      <c r="K101" s="94">
        <v>3118.08</v>
      </c>
      <c r="L101" s="16">
        <f>I101*K101</f>
        <v>0</v>
      </c>
      <c r="M101" s="312"/>
      <c r="N101" s="312"/>
      <c r="O101" s="15">
        <f>F101+G101-H101</f>
        <v>5</v>
      </c>
      <c r="P101" s="37">
        <f>E101+I101-J101</f>
        <v>0</v>
      </c>
      <c r="Q101" s="5">
        <v>12</v>
      </c>
      <c r="R101" s="16">
        <f>K101/1.12</f>
        <v>2783.9999999999995</v>
      </c>
      <c r="S101" s="16">
        <f>K101-R101</f>
        <v>334.0800000000004</v>
      </c>
      <c r="T101" s="16">
        <f>I101*S102</f>
        <v>0</v>
      </c>
    </row>
    <row r="102" spans="1:20" ht="15.75">
      <c r="A102" s="5">
        <v>90</v>
      </c>
      <c r="B102" s="48" t="s">
        <v>28</v>
      </c>
      <c r="C102" s="285" t="s">
        <v>144</v>
      </c>
      <c r="D102" s="286" t="s">
        <v>105</v>
      </c>
      <c r="E102" s="287">
        <f>LMpielik_24_LMZino!P102:P103</f>
        <v>49</v>
      </c>
      <c r="F102" s="282">
        <f>LMpielik_24_LMZino!O102:O103</f>
        <v>0</v>
      </c>
      <c r="G102" s="290">
        <v>17</v>
      </c>
      <c r="H102" s="278">
        <v>15</v>
      </c>
      <c r="I102" s="278"/>
      <c r="J102" s="278">
        <v>25</v>
      </c>
      <c r="K102" s="281">
        <v>12.81</v>
      </c>
      <c r="L102" s="291">
        <f>J102*K102</f>
        <v>320.25</v>
      </c>
      <c r="M102" s="312"/>
      <c r="N102" s="312"/>
      <c r="O102" s="282">
        <f>F102+G102-H102</f>
        <v>2</v>
      </c>
      <c r="P102" s="266">
        <f>E102+I102-J102</f>
        <v>24</v>
      </c>
      <c r="Q102" s="269">
        <v>12</v>
      </c>
      <c r="R102" s="272">
        <f>K102/1.12</f>
        <v>11.4375</v>
      </c>
      <c r="S102" s="272">
        <f>K102-R102</f>
        <v>1.3725000000000005</v>
      </c>
      <c r="T102" s="272">
        <f>I102*S102</f>
        <v>0</v>
      </c>
    </row>
    <row r="103" spans="1:20" ht="15.75">
      <c r="A103" s="5">
        <v>91</v>
      </c>
      <c r="B103" s="48" t="s">
        <v>29</v>
      </c>
      <c r="C103" s="285"/>
      <c r="D103" s="286"/>
      <c r="E103" s="288"/>
      <c r="F103" s="283"/>
      <c r="G103" s="290"/>
      <c r="H103" s="279"/>
      <c r="I103" s="279"/>
      <c r="J103" s="279"/>
      <c r="K103" s="281"/>
      <c r="L103" s="292"/>
      <c r="M103" s="312"/>
      <c r="N103" s="312"/>
      <c r="O103" s="283"/>
      <c r="P103" s="267"/>
      <c r="Q103" s="270"/>
      <c r="R103" s="273"/>
      <c r="S103" s="273"/>
      <c r="T103" s="273"/>
    </row>
    <row r="104" spans="1:20" ht="15.75">
      <c r="A104" s="5">
        <v>92</v>
      </c>
      <c r="B104" s="48" t="s">
        <v>30</v>
      </c>
      <c r="C104" s="285"/>
      <c r="D104" s="286"/>
      <c r="E104" s="289"/>
      <c r="F104" s="284"/>
      <c r="G104" s="290"/>
      <c r="H104" s="280"/>
      <c r="I104" s="280"/>
      <c r="J104" s="280"/>
      <c r="K104" s="281"/>
      <c r="L104" s="293"/>
      <c r="M104" s="312"/>
      <c r="N104" s="312"/>
      <c r="O104" s="284"/>
      <c r="P104" s="268"/>
      <c r="Q104" s="271"/>
      <c r="R104" s="274"/>
      <c r="S104" s="274"/>
      <c r="T104" s="274"/>
    </row>
    <row r="105" spans="1:20" ht="15.75">
      <c r="A105" s="275" t="s">
        <v>159</v>
      </c>
      <c r="B105" s="276"/>
      <c r="C105" s="277"/>
      <c r="D105" s="97"/>
      <c r="E105" s="51">
        <f aca="true" t="shared" si="4" ref="E105:L105">SUM(E107:E108)+SUM(E110:E116)+E117+E119+SUM(E121:E123)</f>
        <v>12</v>
      </c>
      <c r="F105" s="51">
        <f t="shared" si="4"/>
        <v>395</v>
      </c>
      <c r="G105" s="51">
        <f t="shared" si="4"/>
        <v>254</v>
      </c>
      <c r="H105" s="51">
        <f t="shared" si="4"/>
        <v>6</v>
      </c>
      <c r="I105" s="51">
        <f t="shared" si="4"/>
        <v>0</v>
      </c>
      <c r="J105" s="51">
        <f t="shared" si="4"/>
        <v>6</v>
      </c>
      <c r="K105" s="53">
        <f t="shared" si="4"/>
        <v>18157.44</v>
      </c>
      <c r="L105" s="53">
        <f t="shared" si="4"/>
        <v>0</v>
      </c>
      <c r="M105" s="312"/>
      <c r="N105" s="312"/>
      <c r="O105" s="51">
        <f>SUM(O107:O108)+SUM(O110:O116)+O117+O119+SUM(O121:O123)</f>
        <v>643</v>
      </c>
      <c r="P105" s="51">
        <f>SUM(P107:P108)+SUM(P110:P116)+P117+P119+SUM(P121:P123)</f>
        <v>6</v>
      </c>
      <c r="Q105" s="78" t="s">
        <v>112</v>
      </c>
      <c r="R105" s="53">
        <f>SUM(R107:R108)+SUM(R110:R116)+R117+R119+SUM(R121:R123)</f>
        <v>16114.11570247934</v>
      </c>
      <c r="S105" s="53">
        <f>SUM(S107:S108)+SUM(S110:S116)+S117+S119+SUM(S121:S123)</f>
        <v>2043.3242975206622</v>
      </c>
      <c r="T105" s="53">
        <f>SUM(T107:T108)+SUM(T110:T116)+T117+T119+SUM(T121:T123)</f>
        <v>0</v>
      </c>
    </row>
    <row r="106" spans="1:20" ht="15.75">
      <c r="A106" s="93"/>
      <c r="B106" s="50" t="s">
        <v>168</v>
      </c>
      <c r="C106" s="92"/>
      <c r="D106" s="93"/>
      <c r="E106" s="68"/>
      <c r="F106" s="93"/>
      <c r="G106" s="96"/>
      <c r="H106" s="96"/>
      <c r="I106" s="96"/>
      <c r="J106" s="96"/>
      <c r="K106" s="94"/>
      <c r="L106" s="95"/>
      <c r="M106" s="312"/>
      <c r="N106" s="312"/>
      <c r="O106" s="76"/>
      <c r="P106" s="79"/>
      <c r="Q106" s="63"/>
      <c r="R106" s="54"/>
      <c r="S106" s="54"/>
      <c r="T106" s="54"/>
    </row>
    <row r="107" spans="1:20" ht="15.75">
      <c r="A107" s="93">
        <v>93</v>
      </c>
      <c r="B107" s="49" t="s">
        <v>160</v>
      </c>
      <c r="C107" s="92"/>
      <c r="D107" s="93"/>
      <c r="E107" s="68">
        <f>LMpielik_24_LMZino!P107</f>
        <v>2</v>
      </c>
      <c r="F107" s="98">
        <f>LMpielik_24_LMZino!O107</f>
        <v>2</v>
      </c>
      <c r="G107" s="96">
        <v>8</v>
      </c>
      <c r="H107" s="96">
        <v>1</v>
      </c>
      <c r="I107" s="96"/>
      <c r="J107" s="96">
        <v>1</v>
      </c>
      <c r="K107" s="94">
        <v>235.2</v>
      </c>
      <c r="L107" s="95">
        <f>I107*K107</f>
        <v>0</v>
      </c>
      <c r="M107" s="312"/>
      <c r="N107" s="312"/>
      <c r="O107" s="15">
        <f>F107+G107-H107</f>
        <v>9</v>
      </c>
      <c r="P107" s="62">
        <f aca="true" t="shared" si="5" ref="P107:P123">E107+I107-J107</f>
        <v>1</v>
      </c>
      <c r="Q107" s="23">
        <v>12</v>
      </c>
      <c r="R107" s="54">
        <f>K107/1.12</f>
        <v>209.99999999999997</v>
      </c>
      <c r="S107" s="54">
        <f>K107-R107</f>
        <v>25.200000000000017</v>
      </c>
      <c r="T107" s="54">
        <f>I107*S107</f>
        <v>0</v>
      </c>
    </row>
    <row r="108" spans="1:20" ht="15.75">
      <c r="A108" s="93">
        <v>94</v>
      </c>
      <c r="B108" s="49" t="s">
        <v>161</v>
      </c>
      <c r="C108" s="92"/>
      <c r="D108" s="93"/>
      <c r="E108" s="68">
        <f>LMpielik_24_LMZino!P108</f>
        <v>0</v>
      </c>
      <c r="F108" s="98">
        <f>LMpielik_24_LMZino!O108</f>
        <v>2</v>
      </c>
      <c r="G108" s="96">
        <v>2</v>
      </c>
      <c r="H108" s="96"/>
      <c r="I108" s="96"/>
      <c r="J108" s="96"/>
      <c r="K108" s="94">
        <v>275.52</v>
      </c>
      <c r="L108" s="95">
        <f>I108*K108</f>
        <v>0</v>
      </c>
      <c r="M108" s="312"/>
      <c r="N108" s="312"/>
      <c r="O108" s="15">
        <f aca="true" t="shared" si="6" ref="O108:O123">F108+G108-H108</f>
        <v>4</v>
      </c>
      <c r="P108" s="62">
        <f t="shared" si="5"/>
        <v>0</v>
      </c>
      <c r="Q108" s="23">
        <v>12</v>
      </c>
      <c r="R108" s="54">
        <f>K108/1.12</f>
        <v>245.99999999999997</v>
      </c>
      <c r="S108" s="54">
        <f>K108-R108</f>
        <v>29.52000000000001</v>
      </c>
      <c r="T108" s="54">
        <f>I108*S108</f>
        <v>0</v>
      </c>
    </row>
    <row r="109" spans="1:20" ht="15.75">
      <c r="A109" s="93"/>
      <c r="B109" s="50" t="s">
        <v>162</v>
      </c>
      <c r="C109" s="92"/>
      <c r="D109" s="93"/>
      <c r="E109" s="68"/>
      <c r="F109" s="98"/>
      <c r="G109" s="96"/>
      <c r="H109" s="96"/>
      <c r="I109" s="96"/>
      <c r="J109" s="96"/>
      <c r="K109" s="94"/>
      <c r="L109" s="95"/>
      <c r="M109" s="312"/>
      <c r="N109" s="312"/>
      <c r="O109" s="15"/>
      <c r="P109" s="62"/>
      <c r="Q109" s="23"/>
      <c r="R109" s="54"/>
      <c r="S109" s="54"/>
      <c r="T109" s="54"/>
    </row>
    <row r="110" spans="1:20" ht="15.75">
      <c r="A110" s="93">
        <v>95</v>
      </c>
      <c r="B110" s="49" t="s">
        <v>163</v>
      </c>
      <c r="C110" s="92"/>
      <c r="D110" s="93"/>
      <c r="E110" s="68">
        <f>LMpielik_24_LMZino!P110</f>
        <v>2</v>
      </c>
      <c r="F110" s="98">
        <f>LMpielik_24_LMZino!O110</f>
        <v>48</v>
      </c>
      <c r="G110" s="96">
        <v>36</v>
      </c>
      <c r="H110" s="96">
        <v>1</v>
      </c>
      <c r="I110" s="96"/>
      <c r="J110" s="96">
        <v>1</v>
      </c>
      <c r="K110" s="94">
        <v>246.4</v>
      </c>
      <c r="L110" s="95">
        <f aca="true" t="shared" si="7" ref="L110:L115">I110*K110</f>
        <v>0</v>
      </c>
      <c r="M110" s="312"/>
      <c r="N110" s="312"/>
      <c r="O110" s="15">
        <f t="shared" si="6"/>
        <v>83</v>
      </c>
      <c r="P110" s="62">
        <f t="shared" si="5"/>
        <v>1</v>
      </c>
      <c r="Q110" s="23">
        <v>12</v>
      </c>
      <c r="R110" s="54">
        <f>K110/1.12</f>
        <v>219.99999999999997</v>
      </c>
      <c r="S110" s="54">
        <f aca="true" t="shared" si="8" ref="S110:S115">K110-R110</f>
        <v>26.400000000000034</v>
      </c>
      <c r="T110" s="54">
        <f aca="true" t="shared" si="9" ref="T110:T115">I110*S110</f>
        <v>0</v>
      </c>
    </row>
    <row r="111" spans="1:20" ht="15.75">
      <c r="A111" s="93">
        <v>96</v>
      </c>
      <c r="B111" s="49" t="s">
        <v>164</v>
      </c>
      <c r="C111" s="92"/>
      <c r="D111" s="93"/>
      <c r="E111" s="68">
        <f>LMpielik_24_LMZino!P111</f>
        <v>0</v>
      </c>
      <c r="F111" s="98">
        <f>LMpielik_24_LMZino!O111</f>
        <v>3</v>
      </c>
      <c r="G111" s="96">
        <v>3</v>
      </c>
      <c r="H111" s="96"/>
      <c r="I111" s="96"/>
      <c r="J111" s="96"/>
      <c r="K111" s="94">
        <v>5958.4</v>
      </c>
      <c r="L111" s="95">
        <f t="shared" si="7"/>
        <v>0</v>
      </c>
      <c r="M111" s="312"/>
      <c r="N111" s="312"/>
      <c r="O111" s="15">
        <f t="shared" si="6"/>
        <v>6</v>
      </c>
      <c r="P111" s="62">
        <f t="shared" si="5"/>
        <v>0</v>
      </c>
      <c r="Q111" s="23">
        <v>12</v>
      </c>
      <c r="R111" s="54">
        <f aca="true" t="shared" si="10" ref="R111:R119">K111/1.12</f>
        <v>5319.999999999999</v>
      </c>
      <c r="S111" s="54">
        <f t="shared" si="8"/>
        <v>638.4000000000005</v>
      </c>
      <c r="T111" s="54">
        <f t="shared" si="9"/>
        <v>0</v>
      </c>
    </row>
    <row r="112" spans="1:20" ht="15.75">
      <c r="A112" s="93">
        <v>97</v>
      </c>
      <c r="B112" s="49" t="s">
        <v>165</v>
      </c>
      <c r="C112" s="92"/>
      <c r="D112" s="93"/>
      <c r="E112" s="68">
        <f>LMpielik_24_LMZino!P112</f>
        <v>2</v>
      </c>
      <c r="F112" s="98">
        <f>LMpielik_24_LMZino!O112</f>
        <v>54</v>
      </c>
      <c r="G112" s="96">
        <v>36</v>
      </c>
      <c r="H112" s="96">
        <v>1</v>
      </c>
      <c r="I112" s="96"/>
      <c r="J112" s="96">
        <v>1</v>
      </c>
      <c r="K112" s="94">
        <v>1329.44</v>
      </c>
      <c r="L112" s="95">
        <f t="shared" si="7"/>
        <v>0</v>
      </c>
      <c r="M112" s="312"/>
      <c r="N112" s="312"/>
      <c r="O112" s="15">
        <f t="shared" si="6"/>
        <v>89</v>
      </c>
      <c r="P112" s="62">
        <f t="shared" si="5"/>
        <v>1</v>
      </c>
      <c r="Q112" s="23">
        <v>12</v>
      </c>
      <c r="R112" s="54">
        <f t="shared" si="10"/>
        <v>1187</v>
      </c>
      <c r="S112" s="54">
        <f t="shared" si="8"/>
        <v>142.44000000000005</v>
      </c>
      <c r="T112" s="54">
        <f t="shared" si="9"/>
        <v>0</v>
      </c>
    </row>
    <row r="113" spans="1:20" ht="31.5">
      <c r="A113" s="93">
        <v>98</v>
      </c>
      <c r="B113" s="49" t="s">
        <v>166</v>
      </c>
      <c r="C113" s="92"/>
      <c r="D113" s="93"/>
      <c r="E113" s="68">
        <f>LMpielik_24_LMZino!P113</f>
        <v>2</v>
      </c>
      <c r="F113" s="98">
        <f>LMpielik_24_LMZino!O113</f>
        <v>74</v>
      </c>
      <c r="G113" s="96">
        <v>48</v>
      </c>
      <c r="H113" s="96">
        <v>1</v>
      </c>
      <c r="I113" s="96"/>
      <c r="J113" s="96">
        <v>1</v>
      </c>
      <c r="K113" s="94">
        <v>3008.32</v>
      </c>
      <c r="L113" s="95">
        <f t="shared" si="7"/>
        <v>0</v>
      </c>
      <c r="M113" s="312"/>
      <c r="N113" s="312"/>
      <c r="O113" s="15">
        <f t="shared" si="6"/>
        <v>121</v>
      </c>
      <c r="P113" s="62">
        <f t="shared" si="5"/>
        <v>1</v>
      </c>
      <c r="Q113" s="23">
        <v>12</v>
      </c>
      <c r="R113" s="54">
        <f t="shared" si="10"/>
        <v>2686</v>
      </c>
      <c r="S113" s="54">
        <f t="shared" si="8"/>
        <v>322.32000000000016</v>
      </c>
      <c r="T113" s="54">
        <f t="shared" si="9"/>
        <v>0</v>
      </c>
    </row>
    <row r="114" spans="1:20" ht="31.5">
      <c r="A114" s="93">
        <v>99</v>
      </c>
      <c r="B114" s="49" t="s">
        <v>167</v>
      </c>
      <c r="C114" s="92"/>
      <c r="D114" s="93"/>
      <c r="E114" s="68">
        <f>LMpielik_24_LMZino!P114</f>
        <v>2</v>
      </c>
      <c r="F114" s="98">
        <f>LMpielik_24_LMZino!O114</f>
        <v>67</v>
      </c>
      <c r="G114" s="96">
        <v>42</v>
      </c>
      <c r="H114" s="96">
        <v>1</v>
      </c>
      <c r="I114" s="96"/>
      <c r="J114" s="96">
        <v>1</v>
      </c>
      <c r="K114" s="94">
        <v>397.6</v>
      </c>
      <c r="L114" s="95">
        <f t="shared" si="7"/>
        <v>0</v>
      </c>
      <c r="M114" s="312"/>
      <c r="N114" s="312"/>
      <c r="O114" s="15">
        <f t="shared" si="6"/>
        <v>108</v>
      </c>
      <c r="P114" s="62">
        <f t="shared" si="5"/>
        <v>1</v>
      </c>
      <c r="Q114" s="23">
        <v>12</v>
      </c>
      <c r="R114" s="54">
        <f t="shared" si="10"/>
        <v>355</v>
      </c>
      <c r="S114" s="54">
        <f t="shared" si="8"/>
        <v>42.60000000000002</v>
      </c>
      <c r="T114" s="54">
        <f t="shared" si="9"/>
        <v>0</v>
      </c>
    </row>
    <row r="115" spans="1:20" ht="31.5">
      <c r="A115" s="93">
        <v>100</v>
      </c>
      <c r="B115" s="49" t="s">
        <v>177</v>
      </c>
      <c r="C115" s="92"/>
      <c r="D115" s="93"/>
      <c r="E115" s="68">
        <f>LMpielik_24_LMZino!P115</f>
        <v>2</v>
      </c>
      <c r="F115" s="98">
        <f>LMpielik_24_LMZino!O115</f>
        <v>35</v>
      </c>
      <c r="G115" s="96">
        <v>24</v>
      </c>
      <c r="H115" s="96">
        <v>1</v>
      </c>
      <c r="I115" s="96"/>
      <c r="J115" s="96">
        <v>1</v>
      </c>
      <c r="K115" s="94">
        <v>565.6</v>
      </c>
      <c r="L115" s="95">
        <f t="shared" si="7"/>
        <v>0</v>
      </c>
      <c r="M115" s="312"/>
      <c r="N115" s="312"/>
      <c r="O115" s="15">
        <f t="shared" si="6"/>
        <v>58</v>
      </c>
      <c r="P115" s="62">
        <f t="shared" si="5"/>
        <v>1</v>
      </c>
      <c r="Q115" s="23">
        <v>12</v>
      </c>
      <c r="R115" s="54">
        <f t="shared" si="10"/>
        <v>505</v>
      </c>
      <c r="S115" s="54">
        <f t="shared" si="8"/>
        <v>60.60000000000002</v>
      </c>
      <c r="T115" s="54">
        <f t="shared" si="9"/>
        <v>0</v>
      </c>
    </row>
    <row r="116" spans="1:20" ht="15.75">
      <c r="A116" s="93"/>
      <c r="B116" s="50" t="s">
        <v>169</v>
      </c>
      <c r="C116" s="92"/>
      <c r="D116" s="93"/>
      <c r="E116" s="68"/>
      <c r="F116" s="98"/>
      <c r="G116" s="96"/>
      <c r="H116" s="96"/>
      <c r="I116" s="96"/>
      <c r="J116" s="96"/>
      <c r="K116" s="94"/>
      <c r="L116" s="95"/>
      <c r="M116" s="312"/>
      <c r="N116" s="312"/>
      <c r="O116" s="15"/>
      <c r="P116" s="62"/>
      <c r="Q116" s="23"/>
      <c r="R116" s="54"/>
      <c r="S116" s="54"/>
      <c r="T116" s="54"/>
    </row>
    <row r="117" spans="1:20" ht="31.5">
      <c r="A117" s="93">
        <v>101</v>
      </c>
      <c r="B117" s="49" t="s">
        <v>170</v>
      </c>
      <c r="C117" s="92"/>
      <c r="D117" s="93"/>
      <c r="E117" s="68">
        <f>LMpielik_24_LMZino!P117</f>
        <v>0</v>
      </c>
      <c r="F117" s="98">
        <f>LMpielik_24_LMZino!O117</f>
        <v>30</v>
      </c>
      <c r="G117" s="96">
        <v>15</v>
      </c>
      <c r="H117" s="96">
        <v>0</v>
      </c>
      <c r="I117" s="96"/>
      <c r="J117" s="96">
        <v>0</v>
      </c>
      <c r="K117" s="94">
        <v>4597.6</v>
      </c>
      <c r="L117" s="95">
        <f>I117*K117</f>
        <v>0</v>
      </c>
      <c r="M117" s="312"/>
      <c r="N117" s="312"/>
      <c r="O117" s="15">
        <f t="shared" si="6"/>
        <v>45</v>
      </c>
      <c r="P117" s="62">
        <f t="shared" si="5"/>
        <v>0</v>
      </c>
      <c r="Q117" s="23">
        <v>12</v>
      </c>
      <c r="R117" s="54">
        <f t="shared" si="10"/>
        <v>4105</v>
      </c>
      <c r="S117" s="54">
        <f>K117-R117</f>
        <v>492.60000000000036</v>
      </c>
      <c r="T117" s="54">
        <f>I117*S117</f>
        <v>0</v>
      </c>
    </row>
    <row r="118" spans="1:20" ht="15.75">
      <c r="A118" s="93"/>
      <c r="B118" s="50" t="s">
        <v>171</v>
      </c>
      <c r="C118" s="92"/>
      <c r="D118" s="93"/>
      <c r="E118" s="68"/>
      <c r="F118" s="98"/>
      <c r="G118" s="96"/>
      <c r="H118" s="96"/>
      <c r="I118" s="96"/>
      <c r="J118" s="96"/>
      <c r="K118" s="94"/>
      <c r="L118" s="95"/>
      <c r="M118" s="312"/>
      <c r="N118" s="312"/>
      <c r="O118" s="15"/>
      <c r="P118" s="62"/>
      <c r="Q118" s="23"/>
      <c r="R118" s="54"/>
      <c r="S118" s="54"/>
      <c r="T118" s="54"/>
    </row>
    <row r="119" spans="1:20" ht="31.5">
      <c r="A119" s="93">
        <v>102</v>
      </c>
      <c r="B119" s="49" t="s">
        <v>172</v>
      </c>
      <c r="C119" s="92"/>
      <c r="D119" s="93"/>
      <c r="E119" s="68">
        <f>LMpielik_24_LMZino!P119</f>
        <v>0</v>
      </c>
      <c r="F119" s="98">
        <f>LMpielik_24_LMZino!O119</f>
        <v>20</v>
      </c>
      <c r="G119" s="96">
        <v>10</v>
      </c>
      <c r="H119" s="96">
        <v>0</v>
      </c>
      <c r="I119" s="96"/>
      <c r="J119" s="96">
        <v>0</v>
      </c>
      <c r="K119" s="94">
        <v>69.44</v>
      </c>
      <c r="L119" s="95">
        <f>I119*K119</f>
        <v>0</v>
      </c>
      <c r="M119" s="312"/>
      <c r="N119" s="312"/>
      <c r="O119" s="15">
        <f t="shared" si="6"/>
        <v>30</v>
      </c>
      <c r="P119" s="62">
        <f t="shared" si="5"/>
        <v>0</v>
      </c>
      <c r="Q119" s="23">
        <v>12</v>
      </c>
      <c r="R119" s="54">
        <f t="shared" si="10"/>
        <v>61.99999999999999</v>
      </c>
      <c r="S119" s="54">
        <f>K119-R119</f>
        <v>7.440000000000005</v>
      </c>
      <c r="T119" s="54">
        <f>I119*S119</f>
        <v>0</v>
      </c>
    </row>
    <row r="120" spans="1:20" ht="15.75">
      <c r="A120" s="93"/>
      <c r="B120" s="50" t="s">
        <v>173</v>
      </c>
      <c r="C120" s="92"/>
      <c r="D120" s="93"/>
      <c r="E120" s="68"/>
      <c r="F120" s="98"/>
      <c r="G120" s="96"/>
      <c r="H120" s="96"/>
      <c r="I120" s="96"/>
      <c r="J120" s="96"/>
      <c r="K120" s="94"/>
      <c r="L120" s="95"/>
      <c r="M120" s="312"/>
      <c r="N120" s="312"/>
      <c r="O120" s="15"/>
      <c r="P120" s="62"/>
      <c r="Q120" s="23"/>
      <c r="R120" s="54"/>
      <c r="S120" s="54"/>
      <c r="T120" s="54"/>
    </row>
    <row r="121" spans="1:20" ht="15.75">
      <c r="A121" s="93">
        <v>103</v>
      </c>
      <c r="B121" s="49" t="s">
        <v>174</v>
      </c>
      <c r="C121" s="92"/>
      <c r="D121" s="93"/>
      <c r="E121" s="68">
        <f>LMpielik_24_LMZino!P121</f>
        <v>0</v>
      </c>
      <c r="F121" s="98">
        <f>LMpielik_24_LMZino!O121</f>
        <v>20</v>
      </c>
      <c r="G121" s="96">
        <v>10</v>
      </c>
      <c r="H121" s="96">
        <v>0</v>
      </c>
      <c r="I121" s="96"/>
      <c r="J121" s="96">
        <v>0</v>
      </c>
      <c r="K121" s="94">
        <v>930.72</v>
      </c>
      <c r="L121" s="95">
        <f>I121*K121</f>
        <v>0</v>
      </c>
      <c r="M121" s="312"/>
      <c r="N121" s="312"/>
      <c r="O121" s="15">
        <f t="shared" si="6"/>
        <v>30</v>
      </c>
      <c r="P121" s="62">
        <f>E121+I121-J121</f>
        <v>0</v>
      </c>
      <c r="Q121" s="23">
        <v>21</v>
      </c>
      <c r="R121" s="54">
        <f>K121/1.21</f>
        <v>769.1900826446281</v>
      </c>
      <c r="S121" s="54">
        <f>K121-R121</f>
        <v>161.52991735537194</v>
      </c>
      <c r="T121" s="54">
        <f>I121*S121</f>
        <v>0</v>
      </c>
    </row>
    <row r="122" spans="1:20" ht="15.75">
      <c r="A122" s="93">
        <v>104</v>
      </c>
      <c r="B122" s="49" t="s">
        <v>175</v>
      </c>
      <c r="C122" s="92"/>
      <c r="D122" s="93"/>
      <c r="E122" s="68">
        <f>LMpielik_24_LMZino!P122</f>
        <v>0</v>
      </c>
      <c r="F122" s="98">
        <f>LMpielik_24_LMZino!O122</f>
        <v>20</v>
      </c>
      <c r="G122" s="104">
        <v>10</v>
      </c>
      <c r="H122" s="96">
        <v>0</v>
      </c>
      <c r="I122" s="96"/>
      <c r="J122" s="96">
        <v>0</v>
      </c>
      <c r="K122" s="94">
        <v>166.88</v>
      </c>
      <c r="L122" s="95">
        <f>I122*K122</f>
        <v>0</v>
      </c>
      <c r="M122" s="312"/>
      <c r="N122" s="312"/>
      <c r="O122" s="15">
        <f t="shared" si="6"/>
        <v>30</v>
      </c>
      <c r="P122" s="62">
        <f t="shared" si="5"/>
        <v>0</v>
      </c>
      <c r="Q122" s="23">
        <v>21</v>
      </c>
      <c r="R122" s="54">
        <f>K122/1.21</f>
        <v>137.91735537190084</v>
      </c>
      <c r="S122" s="54">
        <f>K122-R122</f>
        <v>28.962644628099156</v>
      </c>
      <c r="T122" s="54">
        <f>I122*S122</f>
        <v>0</v>
      </c>
    </row>
    <row r="123" spans="1:20" ht="15.75">
      <c r="A123" s="93">
        <v>105</v>
      </c>
      <c r="B123" s="49" t="s">
        <v>176</v>
      </c>
      <c r="C123" s="92"/>
      <c r="D123" s="93"/>
      <c r="E123" s="68">
        <f>LMpielik_24_LMZino!P123</f>
        <v>0</v>
      </c>
      <c r="F123" s="98">
        <f>LMpielik_24_LMZino!O123</f>
        <v>20</v>
      </c>
      <c r="G123" s="104">
        <v>10</v>
      </c>
      <c r="H123" s="96">
        <v>0</v>
      </c>
      <c r="I123" s="96"/>
      <c r="J123" s="96">
        <v>0</v>
      </c>
      <c r="K123" s="94">
        <v>376.32</v>
      </c>
      <c r="L123" s="95">
        <f>I123*K123</f>
        <v>0</v>
      </c>
      <c r="M123" s="312"/>
      <c r="N123" s="312"/>
      <c r="O123" s="15">
        <f t="shared" si="6"/>
        <v>30</v>
      </c>
      <c r="P123" s="62">
        <f t="shared" si="5"/>
        <v>0</v>
      </c>
      <c r="Q123" s="23">
        <v>21</v>
      </c>
      <c r="R123" s="54">
        <f>K123/1.21</f>
        <v>311.0082644628099</v>
      </c>
      <c r="S123" s="54">
        <f>K123-R123</f>
        <v>65.31173553719009</v>
      </c>
      <c r="T123" s="54">
        <f>I123*S123</f>
        <v>0</v>
      </c>
    </row>
    <row r="124" spans="1:20" ht="15.75">
      <c r="A124" s="263" t="s">
        <v>107</v>
      </c>
      <c r="B124" s="263"/>
      <c r="C124" s="263"/>
      <c r="D124" s="263"/>
      <c r="E124" s="68">
        <f>LMpielik_24_LMZino!P124</f>
        <v>0</v>
      </c>
      <c r="F124" s="26">
        <f aca="true" t="shared" si="11" ref="F124:L124">F125+F131+F135</f>
        <v>5716.3301565690945</v>
      </c>
      <c r="G124" s="26">
        <f t="shared" si="11"/>
        <v>4862</v>
      </c>
      <c r="H124" s="26">
        <f t="shared" si="11"/>
        <v>5254</v>
      </c>
      <c r="I124" s="26">
        <f t="shared" si="11"/>
        <v>6449</v>
      </c>
      <c r="J124" s="26">
        <f t="shared" si="11"/>
        <v>6449</v>
      </c>
      <c r="K124" s="46">
        <f t="shared" si="11"/>
        <v>7955.030000000001</v>
      </c>
      <c r="L124" s="27">
        <f t="shared" si="11"/>
        <v>1953579.73</v>
      </c>
      <c r="M124" s="312"/>
      <c r="N124" s="312"/>
      <c r="O124" s="26">
        <f>O125+O131+O135</f>
        <v>5324.3301565690945</v>
      </c>
      <c r="P124" s="26">
        <f>P125+P131+P135</f>
        <v>0</v>
      </c>
      <c r="Q124" s="46" t="s">
        <v>112</v>
      </c>
      <c r="R124" s="46">
        <f>R125+R131+R135</f>
        <v>7102.705357142856</v>
      </c>
      <c r="S124" s="46">
        <f>S125+S131+S135</f>
        <v>852.3246428571438</v>
      </c>
      <c r="T124" s="46">
        <f>T125+T131+T135</f>
        <v>209310.3032142859</v>
      </c>
    </row>
    <row r="125" spans="1:20" ht="15.75">
      <c r="A125" s="28"/>
      <c r="B125" s="29" t="s">
        <v>68</v>
      </c>
      <c r="C125" s="42"/>
      <c r="D125" s="30"/>
      <c r="E125" s="31">
        <f aca="true" t="shared" si="12" ref="E125:K125">SUM(E126:E130)</f>
        <v>0</v>
      </c>
      <c r="F125" s="32">
        <f t="shared" si="12"/>
        <v>1038.923076923077</v>
      </c>
      <c r="G125" s="33">
        <f t="shared" si="12"/>
        <v>994</v>
      </c>
      <c r="H125" s="33">
        <f t="shared" si="12"/>
        <v>999</v>
      </c>
      <c r="I125" s="33">
        <f t="shared" si="12"/>
        <v>1131</v>
      </c>
      <c r="J125" s="33">
        <f t="shared" si="12"/>
        <v>1131</v>
      </c>
      <c r="K125" s="47">
        <f t="shared" si="12"/>
        <v>5753.030000000001</v>
      </c>
      <c r="L125" s="35">
        <f>SUM(L126:L130)</f>
        <v>1073421.91</v>
      </c>
      <c r="M125" s="312"/>
      <c r="N125" s="312"/>
      <c r="O125" s="33">
        <f aca="true" t="shared" si="13" ref="O125:T125">SUM(O126:O130)</f>
        <v>1033.923076923077</v>
      </c>
      <c r="P125" s="33">
        <f t="shared" si="13"/>
        <v>0</v>
      </c>
      <c r="Q125" s="47">
        <f t="shared" si="13"/>
        <v>60</v>
      </c>
      <c r="R125" s="47">
        <f t="shared" si="13"/>
        <v>5136.6339285714275</v>
      </c>
      <c r="S125" s="47">
        <f t="shared" si="13"/>
        <v>616.396071428572</v>
      </c>
      <c r="T125" s="47">
        <f t="shared" si="13"/>
        <v>115009.26750000007</v>
      </c>
    </row>
    <row r="126" spans="1:20" ht="15.75">
      <c r="A126" s="5">
        <v>106</v>
      </c>
      <c r="B126" s="36" t="s">
        <v>63</v>
      </c>
      <c r="C126" s="8"/>
      <c r="D126" s="264" t="s">
        <v>104</v>
      </c>
      <c r="E126" s="37">
        <f>LMpielik_24_LMZino!P126</f>
        <v>0</v>
      </c>
      <c r="F126" s="15">
        <f>LMpielik_24_LMZino!O126</f>
        <v>496.9230769230769</v>
      </c>
      <c r="G126" s="15">
        <v>531</v>
      </c>
      <c r="H126" s="15">
        <v>532</v>
      </c>
      <c r="I126" s="15">
        <v>561</v>
      </c>
      <c r="J126" s="15">
        <v>561</v>
      </c>
      <c r="K126" s="16">
        <v>43.03</v>
      </c>
      <c r="L126" s="95">
        <f>I126*K126+32.25</f>
        <v>24172.08</v>
      </c>
      <c r="M126" s="312"/>
      <c r="N126" s="312"/>
      <c r="O126" s="15">
        <f>F126+G126-H126</f>
        <v>495.9230769230769</v>
      </c>
      <c r="P126" s="62">
        <f>E126+I126-J126</f>
        <v>0</v>
      </c>
      <c r="Q126" s="23">
        <v>12</v>
      </c>
      <c r="R126" s="54">
        <f>K126/1.12</f>
        <v>38.419642857142854</v>
      </c>
      <c r="S126" s="54">
        <f>K126-R126</f>
        <v>4.610357142857147</v>
      </c>
      <c r="T126" s="54">
        <f>I126*S126</f>
        <v>2586.4103571428595</v>
      </c>
    </row>
    <row r="127" spans="1:20" ht="15.75">
      <c r="A127" s="5">
        <v>107</v>
      </c>
      <c r="B127" s="36" t="s">
        <v>64</v>
      </c>
      <c r="C127" s="8"/>
      <c r="D127" s="264"/>
      <c r="E127" s="37">
        <f>LMpielik_24_LMZino!P127</f>
        <v>0</v>
      </c>
      <c r="F127" s="15">
        <f>LMpielik_24_LMZino!O127</f>
        <v>434</v>
      </c>
      <c r="G127" s="15">
        <v>363</v>
      </c>
      <c r="H127" s="15">
        <v>364</v>
      </c>
      <c r="I127" s="15">
        <v>425</v>
      </c>
      <c r="J127" s="15">
        <v>425</v>
      </c>
      <c r="K127" s="16">
        <v>2070</v>
      </c>
      <c r="L127" s="95">
        <f>I127*K127-30.17</f>
        <v>879719.83</v>
      </c>
      <c r="M127" s="312"/>
      <c r="N127" s="312"/>
      <c r="O127" s="15">
        <f>F127+G127-H127</f>
        <v>433</v>
      </c>
      <c r="P127" s="62">
        <f>E127+I127-J127</f>
        <v>0</v>
      </c>
      <c r="Q127" s="23">
        <v>12</v>
      </c>
      <c r="R127" s="54">
        <f>K127/1.12</f>
        <v>1848.2142857142856</v>
      </c>
      <c r="S127" s="54">
        <f>K127-R127</f>
        <v>221.78571428571445</v>
      </c>
      <c r="T127" s="54">
        <f>I127*S127</f>
        <v>94258.92857142864</v>
      </c>
    </row>
    <row r="128" spans="1:20" ht="15.75">
      <c r="A128" s="5">
        <v>108</v>
      </c>
      <c r="B128" s="36" t="s">
        <v>65</v>
      </c>
      <c r="C128" s="4" t="s">
        <v>146</v>
      </c>
      <c r="D128" s="264"/>
      <c r="E128" s="37">
        <f>LMpielik_24_LMZino!P128</f>
        <v>0</v>
      </c>
      <c r="F128" s="15">
        <f>LMpielik_24_LMZino!O128</f>
        <v>54</v>
      </c>
      <c r="G128" s="15">
        <v>46</v>
      </c>
      <c r="H128" s="15">
        <v>47</v>
      </c>
      <c r="I128" s="15">
        <v>61</v>
      </c>
      <c r="J128" s="15">
        <v>61</v>
      </c>
      <c r="K128" s="16">
        <v>1230</v>
      </c>
      <c r="L128" s="95">
        <f aca="true" t="shared" si="14" ref="L128:L134">I128*K128</f>
        <v>75030</v>
      </c>
      <c r="M128" s="312"/>
      <c r="N128" s="312"/>
      <c r="O128" s="15">
        <f>F128+G128-H128</f>
        <v>53</v>
      </c>
      <c r="P128" s="62">
        <f>E128+I128-J128</f>
        <v>0</v>
      </c>
      <c r="Q128" s="23">
        <v>12</v>
      </c>
      <c r="R128" s="54">
        <f>K128/1.12</f>
        <v>1098.2142857142856</v>
      </c>
      <c r="S128" s="54">
        <f>K128-R128</f>
        <v>131.78571428571445</v>
      </c>
      <c r="T128" s="54">
        <f>I128*S128</f>
        <v>8038.928571428582</v>
      </c>
    </row>
    <row r="129" spans="1:20" ht="15.75">
      <c r="A129" s="5">
        <v>109</v>
      </c>
      <c r="B129" s="36" t="s">
        <v>66</v>
      </c>
      <c r="C129" s="8"/>
      <c r="D129" s="264"/>
      <c r="E129" s="37">
        <f>LMpielik_24_LMZino!P129</f>
        <v>0</v>
      </c>
      <c r="F129" s="15">
        <f>LMpielik_24_LMZino!O129</f>
        <v>26</v>
      </c>
      <c r="G129" s="15">
        <v>36</v>
      </c>
      <c r="H129" s="15">
        <v>37</v>
      </c>
      <c r="I129" s="15">
        <v>56</v>
      </c>
      <c r="J129" s="15">
        <v>56</v>
      </c>
      <c r="K129" s="16">
        <v>965</v>
      </c>
      <c r="L129" s="95">
        <f t="shared" si="14"/>
        <v>54040</v>
      </c>
      <c r="M129" s="312"/>
      <c r="N129" s="312"/>
      <c r="O129" s="15">
        <f>F129+G129-H129</f>
        <v>25</v>
      </c>
      <c r="P129" s="62">
        <f>E129+I129-J129</f>
        <v>0</v>
      </c>
      <c r="Q129" s="23">
        <v>12</v>
      </c>
      <c r="R129" s="54">
        <f>K129/1.12</f>
        <v>861.6071428571428</v>
      </c>
      <c r="S129" s="54">
        <f>K129-R129</f>
        <v>103.39285714285722</v>
      </c>
      <c r="T129" s="54">
        <f>I129*S129</f>
        <v>5790.000000000005</v>
      </c>
    </row>
    <row r="130" spans="1:20" ht="15.75">
      <c r="A130" s="5">
        <v>110</v>
      </c>
      <c r="B130" s="36" t="s">
        <v>67</v>
      </c>
      <c r="C130" s="8"/>
      <c r="D130" s="264"/>
      <c r="E130" s="37">
        <f>LMpielik_24_LMZino!P130</f>
        <v>0</v>
      </c>
      <c r="F130" s="15">
        <f>LMpielik_24_LMZino!O130</f>
        <v>28</v>
      </c>
      <c r="G130" s="15">
        <v>18</v>
      </c>
      <c r="H130" s="15">
        <v>19</v>
      </c>
      <c r="I130" s="15">
        <v>28</v>
      </c>
      <c r="J130" s="15">
        <v>28</v>
      </c>
      <c r="K130" s="16">
        <v>1445</v>
      </c>
      <c r="L130" s="95">
        <f t="shared" si="14"/>
        <v>40460</v>
      </c>
      <c r="M130" s="312"/>
      <c r="N130" s="312"/>
      <c r="O130" s="15">
        <f>F130+G130-H130</f>
        <v>27</v>
      </c>
      <c r="P130" s="62">
        <f>E130+I130-J130</f>
        <v>0</v>
      </c>
      <c r="Q130" s="23">
        <v>12</v>
      </c>
      <c r="R130" s="54">
        <f>K130/1.12</f>
        <v>1290.1785714285713</v>
      </c>
      <c r="S130" s="54">
        <f>K130-R130</f>
        <v>154.82142857142867</v>
      </c>
      <c r="T130" s="54">
        <f>I130*S130</f>
        <v>4335.000000000003</v>
      </c>
    </row>
    <row r="131" spans="1:20" ht="15.75">
      <c r="A131" s="28"/>
      <c r="B131" s="29" t="s">
        <v>69</v>
      </c>
      <c r="C131" s="43"/>
      <c r="D131" s="30"/>
      <c r="E131" s="101">
        <f>LMpielik_24_LMZino!P131</f>
        <v>0</v>
      </c>
      <c r="F131" s="31">
        <f aca="true" t="shared" si="15" ref="F131:K131">SUM(F132:F134)</f>
        <v>2232.407079646018</v>
      </c>
      <c r="G131" s="31">
        <f t="shared" si="15"/>
        <v>1824</v>
      </c>
      <c r="H131" s="31">
        <f t="shared" si="15"/>
        <v>1824</v>
      </c>
      <c r="I131" s="31">
        <f t="shared" si="15"/>
        <v>2887</v>
      </c>
      <c r="J131" s="31">
        <f t="shared" si="15"/>
        <v>2887</v>
      </c>
      <c r="K131" s="34">
        <f t="shared" si="15"/>
        <v>1642</v>
      </c>
      <c r="L131" s="35">
        <f>SUM(L132:L134)</f>
        <v>409087.82</v>
      </c>
      <c r="M131" s="312"/>
      <c r="N131" s="312"/>
      <c r="O131" s="31">
        <f aca="true" t="shared" si="16" ref="O131:T131">SUM(O132:O134)</f>
        <v>2232.407079646018</v>
      </c>
      <c r="P131" s="31">
        <f t="shared" si="16"/>
        <v>0</v>
      </c>
      <c r="Q131" s="34">
        <f t="shared" si="16"/>
        <v>36</v>
      </c>
      <c r="R131" s="34">
        <f t="shared" si="16"/>
        <v>1466.0714285714284</v>
      </c>
      <c r="S131" s="34">
        <f t="shared" si="16"/>
        <v>175.92857142857167</v>
      </c>
      <c r="T131" s="34">
        <f t="shared" si="16"/>
        <v>43829.250000000044</v>
      </c>
    </row>
    <row r="132" spans="1:20" ht="15.75">
      <c r="A132" s="5">
        <v>111</v>
      </c>
      <c r="B132" s="36" t="s">
        <v>70</v>
      </c>
      <c r="C132" s="8"/>
      <c r="D132" s="264" t="s">
        <v>104</v>
      </c>
      <c r="E132" s="37">
        <f>LMpielik_24_LMZino!P132</f>
        <v>0</v>
      </c>
      <c r="F132" s="15">
        <f>LMpielik_24_LMZino!O132</f>
        <v>13</v>
      </c>
      <c r="G132" s="15">
        <v>17</v>
      </c>
      <c r="H132" s="15">
        <v>15</v>
      </c>
      <c r="I132" s="15">
        <v>19</v>
      </c>
      <c r="J132" s="15">
        <v>19</v>
      </c>
      <c r="K132" s="16">
        <v>1343</v>
      </c>
      <c r="L132" s="95">
        <f t="shared" si="14"/>
        <v>25517</v>
      </c>
      <c r="M132" s="312"/>
      <c r="N132" s="312"/>
      <c r="O132" s="15">
        <f>F132+G132-H132</f>
        <v>15</v>
      </c>
      <c r="P132" s="62">
        <f>E132+I132-J132</f>
        <v>0</v>
      </c>
      <c r="Q132" s="23">
        <v>12</v>
      </c>
      <c r="R132" s="54">
        <f>K132/1.12</f>
        <v>1199.1071428571427</v>
      </c>
      <c r="S132" s="54">
        <f>K132-R132</f>
        <v>143.89285714285734</v>
      </c>
      <c r="T132" s="54">
        <f>I132*S132</f>
        <v>2733.9642857142894</v>
      </c>
    </row>
    <row r="133" spans="1:20" ht="15.75">
      <c r="A133" s="5">
        <v>112</v>
      </c>
      <c r="B133" s="36" t="s">
        <v>71</v>
      </c>
      <c r="C133" s="8"/>
      <c r="D133" s="264"/>
      <c r="E133" s="37">
        <f>LMpielik_24_LMZino!P133</f>
        <v>0</v>
      </c>
      <c r="F133" s="15">
        <f>LMpielik_24_LMZino!O133</f>
        <v>1428.4070796460178</v>
      </c>
      <c r="G133" s="15">
        <v>1188</v>
      </c>
      <c r="H133" s="15">
        <v>1189</v>
      </c>
      <c r="I133" s="15">
        <v>1764</v>
      </c>
      <c r="J133" s="15">
        <v>1764</v>
      </c>
      <c r="K133" s="16">
        <v>81</v>
      </c>
      <c r="L133" s="95">
        <f>I133*K133+14.82</f>
        <v>142898.82</v>
      </c>
      <c r="M133" s="312"/>
      <c r="N133" s="312"/>
      <c r="O133" s="15">
        <f>F133+G133-H133</f>
        <v>1427.4070796460178</v>
      </c>
      <c r="P133" s="62">
        <f>E133+I133-J133</f>
        <v>0</v>
      </c>
      <c r="Q133" s="23">
        <v>12</v>
      </c>
      <c r="R133" s="54">
        <f>K133/1.12</f>
        <v>72.32142857142857</v>
      </c>
      <c r="S133" s="54">
        <f>K133-R133</f>
        <v>8.67857142857143</v>
      </c>
      <c r="T133" s="54">
        <f>I133*S133</f>
        <v>15309.000000000004</v>
      </c>
    </row>
    <row r="134" spans="1:20" ht="15.75">
      <c r="A134" s="5">
        <v>113</v>
      </c>
      <c r="B134" s="36" t="s">
        <v>72</v>
      </c>
      <c r="C134" s="8"/>
      <c r="D134" s="264"/>
      <c r="E134" s="37">
        <f>LMpielik_24_LMZino!P134</f>
        <v>0</v>
      </c>
      <c r="F134" s="15">
        <f>LMpielik_24_LMZino!O134</f>
        <v>791</v>
      </c>
      <c r="G134" s="15">
        <v>619</v>
      </c>
      <c r="H134" s="15">
        <v>620</v>
      </c>
      <c r="I134" s="15">
        <v>1104</v>
      </c>
      <c r="J134" s="15">
        <v>1104</v>
      </c>
      <c r="K134" s="16">
        <v>218</v>
      </c>
      <c r="L134" s="95">
        <f t="shared" si="14"/>
        <v>240672</v>
      </c>
      <c r="M134" s="312"/>
      <c r="N134" s="312"/>
      <c r="O134" s="15">
        <f>F134+G134-H134</f>
        <v>790</v>
      </c>
      <c r="P134" s="62">
        <f>E134+I134-J134</f>
        <v>0</v>
      </c>
      <c r="Q134" s="23">
        <v>12</v>
      </c>
      <c r="R134" s="54">
        <f>K134/1.12</f>
        <v>194.6428571428571</v>
      </c>
      <c r="S134" s="54">
        <f>K134-R134</f>
        <v>23.35714285714289</v>
      </c>
      <c r="T134" s="54">
        <f>I134*S134</f>
        <v>25786.28571428575</v>
      </c>
    </row>
    <row r="135" spans="1:20" ht="15.75">
      <c r="A135" s="28"/>
      <c r="B135" s="29" t="s">
        <v>73</v>
      </c>
      <c r="C135" s="44"/>
      <c r="D135" s="30"/>
      <c r="E135" s="101">
        <f>LMpielik_24_LMZino!P135</f>
        <v>0</v>
      </c>
      <c r="F135" s="31">
        <f aca="true" t="shared" si="17" ref="F135:K135">F136+F137</f>
        <v>2445</v>
      </c>
      <c r="G135" s="31">
        <f t="shared" si="17"/>
        <v>2044</v>
      </c>
      <c r="H135" s="31">
        <f t="shared" si="17"/>
        <v>2431</v>
      </c>
      <c r="I135" s="31">
        <f t="shared" si="17"/>
        <v>2431</v>
      </c>
      <c r="J135" s="31">
        <f t="shared" si="17"/>
        <v>2431</v>
      </c>
      <c r="K135" s="34">
        <f t="shared" si="17"/>
        <v>560</v>
      </c>
      <c r="L135" s="35">
        <f>SUM(L136:L137)</f>
        <v>471070</v>
      </c>
      <c r="M135" s="312"/>
      <c r="N135" s="312"/>
      <c r="O135" s="31">
        <f aca="true" t="shared" si="18" ref="O135:T135">O136+O137</f>
        <v>2058</v>
      </c>
      <c r="P135" s="31">
        <f t="shared" si="18"/>
        <v>0</v>
      </c>
      <c r="Q135" s="34">
        <f t="shared" si="18"/>
        <v>24</v>
      </c>
      <c r="R135" s="34">
        <f t="shared" si="18"/>
        <v>499.99999999999994</v>
      </c>
      <c r="S135" s="34">
        <f t="shared" si="18"/>
        <v>60.00000000000007</v>
      </c>
      <c r="T135" s="34">
        <f t="shared" si="18"/>
        <v>50471.78571428577</v>
      </c>
    </row>
    <row r="136" spans="1:20" ht="15.75">
      <c r="A136" s="5">
        <v>114</v>
      </c>
      <c r="B136" s="36" t="s">
        <v>74</v>
      </c>
      <c r="C136" s="8"/>
      <c r="D136" s="264" t="s">
        <v>104</v>
      </c>
      <c r="E136" s="37">
        <f>LMpielik_24_LMZino!P136</f>
        <v>0</v>
      </c>
      <c r="F136" s="15">
        <f>LMpielik_24_LMZino!O136</f>
        <v>626</v>
      </c>
      <c r="G136" s="15">
        <v>560</v>
      </c>
      <c r="H136" s="15">
        <v>599</v>
      </c>
      <c r="I136" s="15">
        <v>599</v>
      </c>
      <c r="J136" s="15">
        <v>599</v>
      </c>
      <c r="K136" s="16">
        <v>450</v>
      </c>
      <c r="L136" s="95">
        <f>I136*K136</f>
        <v>269550</v>
      </c>
      <c r="M136" s="312"/>
      <c r="N136" s="312"/>
      <c r="O136" s="15">
        <f>F136+G136-H136</f>
        <v>587</v>
      </c>
      <c r="P136" s="62">
        <f>E136+I136-J136</f>
        <v>0</v>
      </c>
      <c r="Q136" s="62">
        <v>12</v>
      </c>
      <c r="R136" s="54">
        <f>K136/1.12</f>
        <v>401.7857142857142</v>
      </c>
      <c r="S136" s="54">
        <f>K136-R136</f>
        <v>48.21428571428578</v>
      </c>
      <c r="T136" s="54">
        <f>I136*S136</f>
        <v>28880.35714285718</v>
      </c>
    </row>
    <row r="137" spans="1:20" ht="15.75">
      <c r="A137" s="5">
        <v>115</v>
      </c>
      <c r="B137" s="36" t="s">
        <v>75</v>
      </c>
      <c r="C137" s="8"/>
      <c r="D137" s="265"/>
      <c r="E137" s="37">
        <f>LMpielik_24_LMZino!P137</f>
        <v>0</v>
      </c>
      <c r="F137" s="15">
        <f>LMpielik_24_LMZino!O137</f>
        <v>1819</v>
      </c>
      <c r="G137" s="15">
        <v>1484</v>
      </c>
      <c r="H137" s="15">
        <v>1832</v>
      </c>
      <c r="I137" s="15">
        <v>1832</v>
      </c>
      <c r="J137" s="15">
        <v>1832</v>
      </c>
      <c r="K137" s="16">
        <v>110</v>
      </c>
      <c r="L137" s="95">
        <f>I137*K137</f>
        <v>201520</v>
      </c>
      <c r="M137" s="312"/>
      <c r="N137" s="312"/>
      <c r="O137" s="15">
        <f>F137+G137-H137</f>
        <v>1471</v>
      </c>
      <c r="P137" s="62">
        <f>E137+I137-J137</f>
        <v>0</v>
      </c>
      <c r="Q137" s="62">
        <v>12</v>
      </c>
      <c r="R137" s="54">
        <f>K137/1.12</f>
        <v>98.21428571428571</v>
      </c>
      <c r="S137" s="54">
        <f>K137-R137</f>
        <v>11.785714285714292</v>
      </c>
      <c r="T137" s="54">
        <f>I137*S137</f>
        <v>21591.428571428583</v>
      </c>
    </row>
    <row r="138" spans="1:20" ht="15.75">
      <c r="A138" s="69"/>
      <c r="B138" s="70" t="s">
        <v>182</v>
      </c>
      <c r="C138" s="71"/>
      <c r="D138" s="71"/>
      <c r="E138" s="71"/>
      <c r="F138" s="73">
        <f aca="true" t="shared" si="19" ref="F138:L138">F139+F140</f>
        <v>420</v>
      </c>
      <c r="G138" s="73">
        <f t="shared" si="19"/>
        <v>420</v>
      </c>
      <c r="H138" s="73">
        <f t="shared" si="19"/>
        <v>0</v>
      </c>
      <c r="I138" s="73">
        <f t="shared" si="19"/>
        <v>0</v>
      </c>
      <c r="J138" s="73">
        <f t="shared" si="19"/>
        <v>0</v>
      </c>
      <c r="K138" s="74">
        <f t="shared" si="19"/>
        <v>1250</v>
      </c>
      <c r="L138" s="74">
        <f t="shared" si="19"/>
        <v>0</v>
      </c>
      <c r="M138" s="312"/>
      <c r="N138" s="312"/>
      <c r="O138" s="75">
        <f>O139+O140</f>
        <v>840</v>
      </c>
      <c r="P138" s="75">
        <f>P139+P140</f>
        <v>0</v>
      </c>
      <c r="Q138" s="74" t="s">
        <v>112</v>
      </c>
      <c r="R138" s="74">
        <f>R139+R140</f>
        <v>1116.0714285714284</v>
      </c>
      <c r="S138" s="74">
        <f>S139+S140</f>
        <v>133.92857142857162</v>
      </c>
      <c r="T138" s="74">
        <f>T139+T140</f>
        <v>0</v>
      </c>
    </row>
    <row r="139" spans="1:20" ht="31.5">
      <c r="A139" s="5">
        <v>116</v>
      </c>
      <c r="B139" s="64" t="s">
        <v>178</v>
      </c>
      <c r="C139" s="8"/>
      <c r="D139" s="4"/>
      <c r="E139" s="37">
        <f>LMpielik_24_LMZino!P139</f>
        <v>0</v>
      </c>
      <c r="F139" s="15">
        <f>LMpielik_24_LMZino!O139</f>
        <v>210</v>
      </c>
      <c r="G139" s="15">
        <v>210</v>
      </c>
      <c r="H139" s="15"/>
      <c r="I139" s="15"/>
      <c r="J139" s="15"/>
      <c r="K139" s="16">
        <v>550</v>
      </c>
      <c r="L139" s="95">
        <f>I139*K139</f>
        <v>0</v>
      </c>
      <c r="M139" s="312"/>
      <c r="N139" s="312"/>
      <c r="O139" s="15">
        <f>F139+G139-H139</f>
        <v>420</v>
      </c>
      <c r="P139" s="62">
        <f>E139+I139-J139</f>
        <v>0</v>
      </c>
      <c r="Q139" s="62">
        <v>12</v>
      </c>
      <c r="R139" s="54">
        <f>K139/1.12</f>
        <v>491.0714285714285</v>
      </c>
      <c r="S139" s="54">
        <f>K139-R139</f>
        <v>58.9285714285715</v>
      </c>
      <c r="T139" s="54">
        <f>I139*S139</f>
        <v>0</v>
      </c>
    </row>
    <row r="140" spans="1:20" ht="31.5">
      <c r="A140" s="5">
        <v>117</v>
      </c>
      <c r="B140" s="65" t="s">
        <v>179</v>
      </c>
      <c r="C140" s="8"/>
      <c r="D140" s="4"/>
      <c r="E140" s="37">
        <f>LMpielik_24_LMZino!P140</f>
        <v>0</v>
      </c>
      <c r="F140" s="15">
        <f>LMpielik_24_LMZino!O140</f>
        <v>210</v>
      </c>
      <c r="G140" s="15">
        <v>210</v>
      </c>
      <c r="H140" s="15"/>
      <c r="I140" s="15"/>
      <c r="J140" s="15"/>
      <c r="K140" s="16">
        <v>700</v>
      </c>
      <c r="L140" s="95">
        <f>I140*K140</f>
        <v>0</v>
      </c>
      <c r="M140" s="305"/>
      <c r="N140" s="305"/>
      <c r="O140" s="15">
        <f>F140+G140-H140</f>
        <v>420</v>
      </c>
      <c r="P140" s="62">
        <f>E140+I140-J140</f>
        <v>0</v>
      </c>
      <c r="Q140" s="62">
        <v>12</v>
      </c>
      <c r="R140" s="54">
        <f>K140/1.12</f>
        <v>624.9999999999999</v>
      </c>
      <c r="S140" s="54">
        <f>K140-R140</f>
        <v>75.00000000000011</v>
      </c>
      <c r="T140" s="54">
        <f>I140*S140</f>
        <v>0</v>
      </c>
    </row>
    <row r="141" spans="1:20" ht="15.75">
      <c r="A141" s="86"/>
      <c r="B141" s="89" t="s">
        <v>194</v>
      </c>
      <c r="C141" s="87"/>
      <c r="D141" s="88"/>
      <c r="E141" s="38">
        <f>E124+E10+E138</f>
        <v>2162</v>
      </c>
      <c r="F141" s="38">
        <f aca="true" t="shared" si="20" ref="F141:L141">F124+F10+F138</f>
        <v>8534.330156569094</v>
      </c>
      <c r="G141" s="38">
        <f t="shared" si="20"/>
        <v>10285</v>
      </c>
      <c r="H141" s="38">
        <f t="shared" si="20"/>
        <v>7689</v>
      </c>
      <c r="I141" s="38">
        <f t="shared" si="20"/>
        <v>8304</v>
      </c>
      <c r="J141" s="38">
        <f t="shared" si="20"/>
        <v>9037</v>
      </c>
      <c r="K141" s="39">
        <f t="shared" si="20"/>
        <v>57044.729999999996</v>
      </c>
      <c r="L141" s="39">
        <f t="shared" si="20"/>
        <v>2182680.74</v>
      </c>
      <c r="M141" s="40">
        <v>2182551</v>
      </c>
      <c r="N141" s="40">
        <f>L141-M141</f>
        <v>129.74000000022352</v>
      </c>
      <c r="O141" s="38">
        <f>O124+O10+O138</f>
        <v>11130.330156569094</v>
      </c>
      <c r="P141" s="38">
        <f>P124+P10+P138</f>
        <v>1429</v>
      </c>
      <c r="Q141" s="39" t="s">
        <v>112</v>
      </c>
      <c r="R141" s="39">
        <f>R124+R10+R138</f>
        <v>50832.178202479336</v>
      </c>
      <c r="S141" s="39">
        <f>S124+S10+S138</f>
        <v>6209.491797520665</v>
      </c>
      <c r="T141" s="39">
        <f>T124+T10+T138</f>
        <v>233750.72678571448</v>
      </c>
    </row>
    <row r="142" spans="1:20" ht="15.75">
      <c r="A142" s="63"/>
      <c r="B142" s="81" t="s">
        <v>196</v>
      </c>
      <c r="C142" s="63"/>
      <c r="D142" s="63"/>
      <c r="E142" s="80" t="s">
        <v>112</v>
      </c>
      <c r="F142" s="80" t="s">
        <v>112</v>
      </c>
      <c r="G142" s="80" t="s">
        <v>112</v>
      </c>
      <c r="H142" s="80" t="s">
        <v>112</v>
      </c>
      <c r="I142" s="80" t="s">
        <v>112</v>
      </c>
      <c r="J142" s="80" t="s">
        <v>112</v>
      </c>
      <c r="K142" s="80" t="s">
        <v>112</v>
      </c>
      <c r="L142" s="84">
        <f>M142</f>
        <v>245257</v>
      </c>
      <c r="M142" s="84">
        <v>245257</v>
      </c>
      <c r="N142" s="85">
        <f>L142-M142</f>
        <v>0</v>
      </c>
      <c r="O142" s="80" t="s">
        <v>112</v>
      </c>
      <c r="P142" s="80" t="s">
        <v>112</v>
      </c>
      <c r="Q142" s="80" t="s">
        <v>112</v>
      </c>
      <c r="R142" s="80" t="s">
        <v>112</v>
      </c>
      <c r="S142" s="80" t="s">
        <v>112</v>
      </c>
      <c r="T142" s="80" t="s">
        <v>112</v>
      </c>
    </row>
    <row r="143" spans="1:20" ht="15.75">
      <c r="A143" s="63"/>
      <c r="B143" s="81" t="s">
        <v>195</v>
      </c>
      <c r="C143" s="63"/>
      <c r="D143" s="63"/>
      <c r="E143" s="80" t="s">
        <v>112</v>
      </c>
      <c r="F143" s="80" t="s">
        <v>112</v>
      </c>
      <c r="G143" s="80" t="s">
        <v>112</v>
      </c>
      <c r="H143" s="80" t="s">
        <v>112</v>
      </c>
      <c r="I143" s="80" t="s">
        <v>112</v>
      </c>
      <c r="J143" s="80" t="s">
        <v>112</v>
      </c>
      <c r="K143" s="80" t="s">
        <v>112</v>
      </c>
      <c r="L143" s="84">
        <f>M143-129.74</f>
        <v>284444.26</v>
      </c>
      <c r="M143" s="84">
        <v>284574</v>
      </c>
      <c r="N143" s="85">
        <f>L143-M143</f>
        <v>-129.7399999999907</v>
      </c>
      <c r="O143" s="80" t="s">
        <v>112</v>
      </c>
      <c r="P143" s="80" t="s">
        <v>112</v>
      </c>
      <c r="Q143" s="80" t="s">
        <v>112</v>
      </c>
      <c r="R143" s="80" t="s">
        <v>112</v>
      </c>
      <c r="S143" s="80" t="s">
        <v>112</v>
      </c>
      <c r="T143" s="80" t="s">
        <v>112</v>
      </c>
    </row>
    <row r="144" spans="1:20" ht="15.75">
      <c r="A144" s="63"/>
      <c r="B144" s="81" t="s">
        <v>197</v>
      </c>
      <c r="C144" s="82"/>
      <c r="D144" s="82"/>
      <c r="E144" s="80" t="s">
        <v>112</v>
      </c>
      <c r="F144" s="80" t="s">
        <v>112</v>
      </c>
      <c r="G144" s="80" t="s">
        <v>112</v>
      </c>
      <c r="H144" s="80" t="s">
        <v>112</v>
      </c>
      <c r="I144" s="80" t="s">
        <v>112</v>
      </c>
      <c r="J144" s="80" t="s">
        <v>112</v>
      </c>
      <c r="K144" s="80" t="s">
        <v>112</v>
      </c>
      <c r="L144" s="83">
        <f>L141+L142+L143</f>
        <v>2712382</v>
      </c>
      <c r="M144" s="83">
        <f>M141+M142+M143</f>
        <v>2712382</v>
      </c>
      <c r="N144" s="83">
        <f>N141+N142+N143</f>
        <v>2.3283064365386963E-10</v>
      </c>
      <c r="O144" s="80" t="s">
        <v>112</v>
      </c>
      <c r="P144" s="80" t="s">
        <v>112</v>
      </c>
      <c r="Q144" s="80" t="s">
        <v>112</v>
      </c>
      <c r="R144" s="80" t="s">
        <v>112</v>
      </c>
      <c r="S144" s="80" t="s">
        <v>112</v>
      </c>
      <c r="T144" s="80" t="s">
        <v>112</v>
      </c>
    </row>
    <row r="146" spans="2:12" ht="15.75">
      <c r="B146" s="108" t="s">
        <v>314</v>
      </c>
      <c r="C146" s="108"/>
      <c r="D146" s="108"/>
      <c r="E146" s="108"/>
      <c r="F146" s="108"/>
      <c r="G146" s="108"/>
      <c r="H146" s="108"/>
      <c r="I146" s="108"/>
      <c r="J146" s="108" t="s">
        <v>315</v>
      </c>
      <c r="L146" s="67"/>
    </row>
    <row r="147" spans="2:10" ht="15.75">
      <c r="B147" s="108"/>
      <c r="C147" s="108"/>
      <c r="D147" s="108"/>
      <c r="E147" s="108"/>
      <c r="F147" s="108"/>
      <c r="G147" s="108"/>
      <c r="H147" s="108"/>
      <c r="I147" s="108"/>
      <c r="J147" s="108"/>
    </row>
    <row r="148" spans="2:10" ht="15.75">
      <c r="B148" s="41" t="s">
        <v>337</v>
      </c>
      <c r="C148" s="41"/>
      <c r="D148" s="41"/>
      <c r="E148" s="108"/>
      <c r="F148" s="108"/>
      <c r="G148" s="108"/>
      <c r="H148" s="108"/>
      <c r="I148" s="108"/>
      <c r="J148" s="108"/>
    </row>
    <row r="149" spans="2:10" ht="15.75">
      <c r="B149" s="41" t="s">
        <v>316</v>
      </c>
      <c r="C149" s="41"/>
      <c r="D149" s="41"/>
      <c r="E149" s="108"/>
      <c r="F149" s="108"/>
      <c r="G149" s="108"/>
      <c r="H149" s="108"/>
      <c r="I149" s="108"/>
      <c r="J149" s="108"/>
    </row>
    <row r="150" spans="2:10" ht="15.75">
      <c r="B150" s="41" t="s">
        <v>317</v>
      </c>
      <c r="C150" s="41"/>
      <c r="D150" s="41"/>
      <c r="E150" s="108"/>
      <c r="F150" s="108"/>
      <c r="G150" s="108"/>
      <c r="H150" s="108"/>
      <c r="I150" s="108"/>
      <c r="J150" s="108"/>
    </row>
  </sheetData>
  <sheetProtection/>
  <mergeCells count="392">
    <mergeCell ref="E96:E99"/>
    <mergeCell ref="F96:F99"/>
    <mergeCell ref="E102:E104"/>
    <mergeCell ref="F102:F104"/>
    <mergeCell ref="E88:E89"/>
    <mergeCell ref="F88:F89"/>
    <mergeCell ref="E91:E94"/>
    <mergeCell ref="F91:F94"/>
    <mergeCell ref="E69:E70"/>
    <mergeCell ref="F69:F70"/>
    <mergeCell ref="E71:E77"/>
    <mergeCell ref="F71:F77"/>
    <mergeCell ref="E79:E80"/>
    <mergeCell ref="F79:F80"/>
    <mergeCell ref="F57:F62"/>
    <mergeCell ref="E57:E62"/>
    <mergeCell ref="F64:F65"/>
    <mergeCell ref="E64:E65"/>
    <mergeCell ref="E67:E68"/>
    <mergeCell ref="F67:F68"/>
    <mergeCell ref="R1:T1"/>
    <mergeCell ref="A7:A8"/>
    <mergeCell ref="B7:B8"/>
    <mergeCell ref="C7:C8"/>
    <mergeCell ref="D7:D8"/>
    <mergeCell ref="E7:E8"/>
    <mergeCell ref="F7:N7"/>
    <mergeCell ref="O7:O8"/>
    <mergeCell ref="T7:T8"/>
    <mergeCell ref="S2:T2"/>
    <mergeCell ref="A10:D10"/>
    <mergeCell ref="M10:M140"/>
    <mergeCell ref="N10:N140"/>
    <mergeCell ref="B11:D11"/>
    <mergeCell ref="C14:C15"/>
    <mergeCell ref="F50:F56"/>
    <mergeCell ref="E50:E56"/>
    <mergeCell ref="E47:E49"/>
    <mergeCell ref="F47:F49"/>
    <mergeCell ref="L19:L20"/>
    <mergeCell ref="O19:O20"/>
    <mergeCell ref="P7:P8"/>
    <mergeCell ref="Q7:Q8"/>
    <mergeCell ref="R7:R8"/>
    <mergeCell ref="S7:S8"/>
    <mergeCell ref="L14:L15"/>
    <mergeCell ref="O14:O15"/>
    <mergeCell ref="P14:P15"/>
    <mergeCell ref="Q14:Q15"/>
    <mergeCell ref="R14:R15"/>
    <mergeCell ref="D14:D20"/>
    <mergeCell ref="G14:G15"/>
    <mergeCell ref="H14:H15"/>
    <mergeCell ref="I14:I15"/>
    <mergeCell ref="K17:K18"/>
    <mergeCell ref="L17:L18"/>
    <mergeCell ref="F14:F15"/>
    <mergeCell ref="E14:E15"/>
    <mergeCell ref="F17:F18"/>
    <mergeCell ref="E17:E18"/>
    <mergeCell ref="S14:S15"/>
    <mergeCell ref="T14:T15"/>
    <mergeCell ref="C17:C18"/>
    <mergeCell ref="G17:G18"/>
    <mergeCell ref="H17:H18"/>
    <mergeCell ref="I17:I18"/>
    <mergeCell ref="J17:J18"/>
    <mergeCell ref="J14:J15"/>
    <mergeCell ref="K14:K15"/>
    <mergeCell ref="O17:O18"/>
    <mergeCell ref="P17:P18"/>
    <mergeCell ref="Q17:Q18"/>
    <mergeCell ref="R17:R18"/>
    <mergeCell ref="R19:R20"/>
    <mergeCell ref="S19:S20"/>
    <mergeCell ref="S17:S18"/>
    <mergeCell ref="Q21:Q25"/>
    <mergeCell ref="R21:R25"/>
    <mergeCell ref="S21:S25"/>
    <mergeCell ref="T17:T18"/>
    <mergeCell ref="C19:C20"/>
    <mergeCell ref="G19:G20"/>
    <mergeCell ref="H19:H20"/>
    <mergeCell ref="I19:I20"/>
    <mergeCell ref="J19:J20"/>
    <mergeCell ref="K19:K20"/>
    <mergeCell ref="T19:T20"/>
    <mergeCell ref="C21:C25"/>
    <mergeCell ref="D21:D25"/>
    <mergeCell ref="G21:G25"/>
    <mergeCell ref="H21:H25"/>
    <mergeCell ref="I21:I25"/>
    <mergeCell ref="T21:T25"/>
    <mergeCell ref="J21:J25"/>
    <mergeCell ref="P19:P20"/>
    <mergeCell ref="Q19:Q20"/>
    <mergeCell ref="C26:C31"/>
    <mergeCell ref="D26:D36"/>
    <mergeCell ref="G26:G31"/>
    <mergeCell ref="H26:H31"/>
    <mergeCell ref="I26:I31"/>
    <mergeCell ref="J26:J31"/>
    <mergeCell ref="C34:C36"/>
    <mergeCell ref="G34:G36"/>
    <mergeCell ref="H34:H36"/>
    <mergeCell ref="I34:I36"/>
    <mergeCell ref="K26:K31"/>
    <mergeCell ref="L21:L25"/>
    <mergeCell ref="O21:O25"/>
    <mergeCell ref="L26:L31"/>
    <mergeCell ref="O26:O31"/>
    <mergeCell ref="P26:P31"/>
    <mergeCell ref="K21:K25"/>
    <mergeCell ref="P21:P25"/>
    <mergeCell ref="Q26:Q31"/>
    <mergeCell ref="R26:R31"/>
    <mergeCell ref="S26:S31"/>
    <mergeCell ref="Q32:Q33"/>
    <mergeCell ref="R32:R33"/>
    <mergeCell ref="S32:S33"/>
    <mergeCell ref="T32:T33"/>
    <mergeCell ref="T26:T31"/>
    <mergeCell ref="C32:C33"/>
    <mergeCell ref="G32:G33"/>
    <mergeCell ref="H32:H33"/>
    <mergeCell ref="I32:I33"/>
    <mergeCell ref="J32:J33"/>
    <mergeCell ref="O32:O33"/>
    <mergeCell ref="P32:P33"/>
    <mergeCell ref="K32:K33"/>
    <mergeCell ref="L32:L33"/>
    <mergeCell ref="T34:T36"/>
    <mergeCell ref="C37:C38"/>
    <mergeCell ref="D37:D38"/>
    <mergeCell ref="G37:G38"/>
    <mergeCell ref="H37:H38"/>
    <mergeCell ref="I37:I38"/>
    <mergeCell ref="J34:J36"/>
    <mergeCell ref="K34:K36"/>
    <mergeCell ref="L34:L36"/>
    <mergeCell ref="O34:O36"/>
    <mergeCell ref="L37:L38"/>
    <mergeCell ref="O37:O38"/>
    <mergeCell ref="P37:P38"/>
    <mergeCell ref="Q37:Q38"/>
    <mergeCell ref="R34:R36"/>
    <mergeCell ref="S34:S36"/>
    <mergeCell ref="P34:P36"/>
    <mergeCell ref="Q34:Q36"/>
    <mergeCell ref="R37:R38"/>
    <mergeCell ref="S37:S38"/>
    <mergeCell ref="T37:T38"/>
    <mergeCell ref="C39:C40"/>
    <mergeCell ref="D39:D40"/>
    <mergeCell ref="G39:G40"/>
    <mergeCell ref="H39:H40"/>
    <mergeCell ref="I39:I40"/>
    <mergeCell ref="J37:J38"/>
    <mergeCell ref="F39:F40"/>
    <mergeCell ref="E39:E40"/>
    <mergeCell ref="F37:F38"/>
    <mergeCell ref="E37:E38"/>
    <mergeCell ref="K37:K38"/>
    <mergeCell ref="T39:T40"/>
    <mergeCell ref="C42:C43"/>
    <mergeCell ref="A44:D44"/>
    <mergeCell ref="C45:C46"/>
    <mergeCell ref="D45:D46"/>
    <mergeCell ref="G45:G46"/>
    <mergeCell ref="J39:J40"/>
    <mergeCell ref="K39:K40"/>
    <mergeCell ref="L39:L40"/>
    <mergeCell ref="O39:O40"/>
    <mergeCell ref="J45:J46"/>
    <mergeCell ref="K45:K46"/>
    <mergeCell ref="L45:L46"/>
    <mergeCell ref="O45:O46"/>
    <mergeCell ref="R39:R40"/>
    <mergeCell ref="S39:S40"/>
    <mergeCell ref="P39:P40"/>
    <mergeCell ref="Q39:Q40"/>
    <mergeCell ref="P45:P46"/>
    <mergeCell ref="Q45:Q46"/>
    <mergeCell ref="R45:R46"/>
    <mergeCell ref="S45:S46"/>
    <mergeCell ref="T45:T46"/>
    <mergeCell ref="C47:C49"/>
    <mergeCell ref="D47:D49"/>
    <mergeCell ref="G47:G49"/>
    <mergeCell ref="H45:H46"/>
    <mergeCell ref="I45:I46"/>
    <mergeCell ref="R47:R49"/>
    <mergeCell ref="S47:S49"/>
    <mergeCell ref="T47:T49"/>
    <mergeCell ref="K47:K49"/>
    <mergeCell ref="C50:C56"/>
    <mergeCell ref="D50:D56"/>
    <mergeCell ref="G50:G56"/>
    <mergeCell ref="H47:H49"/>
    <mergeCell ref="I47:I49"/>
    <mergeCell ref="J47:J49"/>
    <mergeCell ref="J50:J56"/>
    <mergeCell ref="K50:K56"/>
    <mergeCell ref="L50:L56"/>
    <mergeCell ref="O50:O56"/>
    <mergeCell ref="P47:P49"/>
    <mergeCell ref="Q47:Q49"/>
    <mergeCell ref="L47:L49"/>
    <mergeCell ref="O47:O49"/>
    <mergeCell ref="P50:P56"/>
    <mergeCell ref="Q50:Q56"/>
    <mergeCell ref="R50:R56"/>
    <mergeCell ref="S50:S56"/>
    <mergeCell ref="T50:T56"/>
    <mergeCell ref="C57:C62"/>
    <mergeCell ref="D57:D62"/>
    <mergeCell ref="G57:G62"/>
    <mergeCell ref="H50:H56"/>
    <mergeCell ref="I50:I56"/>
    <mergeCell ref="R57:R62"/>
    <mergeCell ref="S57:S62"/>
    <mergeCell ref="T57:T62"/>
    <mergeCell ref="C64:C65"/>
    <mergeCell ref="D64:D65"/>
    <mergeCell ref="G64:G65"/>
    <mergeCell ref="H57:H62"/>
    <mergeCell ref="I57:I62"/>
    <mergeCell ref="J57:J62"/>
    <mergeCell ref="K57:K62"/>
    <mergeCell ref="J64:J65"/>
    <mergeCell ref="K64:K65"/>
    <mergeCell ref="L64:L65"/>
    <mergeCell ref="O64:O65"/>
    <mergeCell ref="P57:P62"/>
    <mergeCell ref="Q57:Q62"/>
    <mergeCell ref="L57:L62"/>
    <mergeCell ref="O57:O62"/>
    <mergeCell ref="P64:P65"/>
    <mergeCell ref="Q64:Q65"/>
    <mergeCell ref="R64:R65"/>
    <mergeCell ref="S64:S65"/>
    <mergeCell ref="T64:T65"/>
    <mergeCell ref="C67:C68"/>
    <mergeCell ref="D67:D68"/>
    <mergeCell ref="G67:G68"/>
    <mergeCell ref="H64:H65"/>
    <mergeCell ref="I64:I65"/>
    <mergeCell ref="R67:R68"/>
    <mergeCell ref="S67:S68"/>
    <mergeCell ref="T67:T68"/>
    <mergeCell ref="C69:C70"/>
    <mergeCell ref="D69:D70"/>
    <mergeCell ref="G69:G70"/>
    <mergeCell ref="H67:H68"/>
    <mergeCell ref="I67:I68"/>
    <mergeCell ref="J67:J68"/>
    <mergeCell ref="K67:K68"/>
    <mergeCell ref="J69:J70"/>
    <mergeCell ref="K69:K70"/>
    <mergeCell ref="L69:L70"/>
    <mergeCell ref="O69:O70"/>
    <mergeCell ref="P67:P68"/>
    <mergeCell ref="Q67:Q68"/>
    <mergeCell ref="L67:L68"/>
    <mergeCell ref="O67:O68"/>
    <mergeCell ref="P69:P70"/>
    <mergeCell ref="Q69:Q70"/>
    <mergeCell ref="R69:R70"/>
    <mergeCell ref="S69:S70"/>
    <mergeCell ref="T69:T70"/>
    <mergeCell ref="C71:C77"/>
    <mergeCell ref="D71:D77"/>
    <mergeCell ref="G71:G77"/>
    <mergeCell ref="H69:H70"/>
    <mergeCell ref="I69:I70"/>
    <mergeCell ref="R71:R77"/>
    <mergeCell ref="S71:S77"/>
    <mergeCell ref="T71:T77"/>
    <mergeCell ref="C79:C80"/>
    <mergeCell ref="D79:D80"/>
    <mergeCell ref="G79:G80"/>
    <mergeCell ref="H71:H77"/>
    <mergeCell ref="I71:I77"/>
    <mergeCell ref="J71:J77"/>
    <mergeCell ref="K71:K77"/>
    <mergeCell ref="J79:J80"/>
    <mergeCell ref="K79:K80"/>
    <mergeCell ref="L79:L80"/>
    <mergeCell ref="O79:O80"/>
    <mergeCell ref="P71:P77"/>
    <mergeCell ref="Q71:Q77"/>
    <mergeCell ref="L71:L77"/>
    <mergeCell ref="O71:O77"/>
    <mergeCell ref="P79:P80"/>
    <mergeCell ref="Q79:Q80"/>
    <mergeCell ref="R79:R80"/>
    <mergeCell ref="S79:S80"/>
    <mergeCell ref="T79:T80"/>
    <mergeCell ref="C81:C87"/>
    <mergeCell ref="D81:D87"/>
    <mergeCell ref="G81:G87"/>
    <mergeCell ref="H79:H80"/>
    <mergeCell ref="I79:I80"/>
    <mergeCell ref="R81:R87"/>
    <mergeCell ref="S81:S87"/>
    <mergeCell ref="T81:T87"/>
    <mergeCell ref="C88:C89"/>
    <mergeCell ref="D88:D89"/>
    <mergeCell ref="G88:G89"/>
    <mergeCell ref="H81:H87"/>
    <mergeCell ref="I81:I87"/>
    <mergeCell ref="J81:J87"/>
    <mergeCell ref="K81:K87"/>
    <mergeCell ref="J88:J89"/>
    <mergeCell ref="K88:K89"/>
    <mergeCell ref="L88:L89"/>
    <mergeCell ref="O88:O89"/>
    <mergeCell ref="P81:P87"/>
    <mergeCell ref="Q81:Q87"/>
    <mergeCell ref="L81:L87"/>
    <mergeCell ref="O81:O87"/>
    <mergeCell ref="P88:P89"/>
    <mergeCell ref="Q88:Q89"/>
    <mergeCell ref="R88:R89"/>
    <mergeCell ref="S88:S89"/>
    <mergeCell ref="T88:T89"/>
    <mergeCell ref="C91:C94"/>
    <mergeCell ref="D91:D94"/>
    <mergeCell ref="G91:G94"/>
    <mergeCell ref="H88:H89"/>
    <mergeCell ref="I88:I89"/>
    <mergeCell ref="R91:R94"/>
    <mergeCell ref="S91:S94"/>
    <mergeCell ref="T91:T94"/>
    <mergeCell ref="C96:C99"/>
    <mergeCell ref="D96:D99"/>
    <mergeCell ref="G96:G99"/>
    <mergeCell ref="H91:H94"/>
    <mergeCell ref="I91:I94"/>
    <mergeCell ref="J91:J94"/>
    <mergeCell ref="K91:K94"/>
    <mergeCell ref="J96:J99"/>
    <mergeCell ref="K96:K99"/>
    <mergeCell ref="L96:L99"/>
    <mergeCell ref="O96:O99"/>
    <mergeCell ref="P91:P94"/>
    <mergeCell ref="Q91:Q94"/>
    <mergeCell ref="L91:L94"/>
    <mergeCell ref="O91:O94"/>
    <mergeCell ref="P96:P99"/>
    <mergeCell ref="Q96:Q99"/>
    <mergeCell ref="R96:R99"/>
    <mergeCell ref="S96:S99"/>
    <mergeCell ref="T96:T99"/>
    <mergeCell ref="C102:C104"/>
    <mergeCell ref="D102:D104"/>
    <mergeCell ref="G102:G104"/>
    <mergeCell ref="H96:H99"/>
    <mergeCell ref="I96:I99"/>
    <mergeCell ref="R102:R104"/>
    <mergeCell ref="S102:S104"/>
    <mergeCell ref="T102:T104"/>
    <mergeCell ref="A105:C105"/>
    <mergeCell ref="H102:H104"/>
    <mergeCell ref="I102:I104"/>
    <mergeCell ref="J102:J104"/>
    <mergeCell ref="K102:K104"/>
    <mergeCell ref="L102:L104"/>
    <mergeCell ref="O102:O104"/>
    <mergeCell ref="A124:D124"/>
    <mergeCell ref="D126:D130"/>
    <mergeCell ref="D132:D134"/>
    <mergeCell ref="D136:D137"/>
    <mergeCell ref="P102:P104"/>
    <mergeCell ref="Q102:Q104"/>
    <mergeCell ref="E34:E36"/>
    <mergeCell ref="F19:F20"/>
    <mergeCell ref="E19:E20"/>
    <mergeCell ref="F21:F25"/>
    <mergeCell ref="E21:E25"/>
    <mergeCell ref="F26:F31"/>
    <mergeCell ref="E26:E31"/>
    <mergeCell ref="P3:T3"/>
    <mergeCell ref="F45:F46"/>
    <mergeCell ref="E45:E46"/>
    <mergeCell ref="F81:F87"/>
    <mergeCell ref="E81:E87"/>
    <mergeCell ref="C4:G4"/>
    <mergeCell ref="A5:N5"/>
    <mergeCell ref="F32:F33"/>
    <mergeCell ref="E32:E33"/>
    <mergeCell ref="F34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Footer>&amp;CLMpielik_25_070815_LMZino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82" zoomScaleNormal="82" workbookViewId="0" topLeftCell="A40">
      <selection activeCell="B72" sqref="B72"/>
    </sheetView>
  </sheetViews>
  <sheetFormatPr defaultColWidth="9.140625" defaultRowHeight="12.75"/>
  <cols>
    <col min="1" max="1" width="3.8515625" style="0" customWidth="1"/>
    <col min="2" max="2" width="30.140625" style="0" customWidth="1"/>
    <col min="3" max="3" width="12.7109375" style="0" customWidth="1"/>
    <col min="4" max="4" width="13.00390625" style="0" customWidth="1"/>
    <col min="5" max="5" width="13.7109375" style="0" customWidth="1"/>
    <col min="6" max="9" width="10.140625" style="0" customWidth="1"/>
    <col min="10" max="10" width="13.00390625" style="0" customWidth="1"/>
    <col min="11" max="11" width="15.421875" style="0" customWidth="1"/>
    <col min="12" max="12" width="15.8515625" style="0" customWidth="1"/>
    <col min="13" max="13" width="14.57421875" style="0" customWidth="1"/>
    <col min="14" max="14" width="16.00390625" style="0" customWidth="1"/>
    <col min="15" max="16" width="13.57421875" style="0" customWidth="1"/>
    <col min="17" max="17" width="8.57421875" style="0" customWidth="1"/>
    <col min="18" max="18" width="11.28125" style="0" customWidth="1"/>
    <col min="19" max="19" width="9.421875" style="0" customWidth="1"/>
    <col min="20" max="20" width="13.57421875" style="0" customWidth="1"/>
  </cols>
  <sheetData>
    <row r="1" spans="7:19" ht="15.75">
      <c r="G1" s="106"/>
      <c r="H1" s="106"/>
      <c r="I1" s="106"/>
      <c r="J1" s="106"/>
      <c r="K1" s="106"/>
      <c r="L1" s="106"/>
      <c r="O1" s="107"/>
      <c r="P1" s="107"/>
      <c r="R1" s="329" t="s">
        <v>312</v>
      </c>
      <c r="S1" s="329"/>
    </row>
    <row r="2" spans="7:19" ht="15.75">
      <c r="G2" s="106"/>
      <c r="H2" s="106"/>
      <c r="I2" s="106"/>
      <c r="J2" s="106"/>
      <c r="K2" s="106"/>
      <c r="L2" s="106"/>
      <c r="P2" s="261" t="s">
        <v>318</v>
      </c>
      <c r="Q2" s="261"/>
      <c r="R2" s="261"/>
      <c r="S2" s="261"/>
    </row>
    <row r="3" spans="7:19" ht="34.5" customHeight="1">
      <c r="G3" s="106"/>
      <c r="H3" s="106"/>
      <c r="I3" s="106"/>
      <c r="J3" s="106"/>
      <c r="K3" s="106"/>
      <c r="L3" s="106"/>
      <c r="N3" s="262" t="s">
        <v>320</v>
      </c>
      <c r="O3" s="262"/>
      <c r="P3" s="262"/>
      <c r="Q3" s="262"/>
      <c r="R3" s="262"/>
      <c r="S3" s="262"/>
    </row>
    <row r="4" spans="6:12" ht="18.75">
      <c r="F4" s="327" t="s">
        <v>202</v>
      </c>
      <c r="G4" s="327"/>
      <c r="H4" s="327"/>
      <c r="I4" s="327"/>
      <c r="J4" s="327"/>
      <c r="K4" s="106"/>
      <c r="L4" s="106"/>
    </row>
    <row r="5" spans="1:16" ht="18.75">
      <c r="A5" s="330" t="s">
        <v>264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108"/>
    </row>
    <row r="6" spans="1:16" ht="15.75">
      <c r="A6" s="108"/>
      <c r="B6" s="108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8"/>
      <c r="N6" s="108"/>
      <c r="O6" s="110"/>
      <c r="P6" s="110"/>
    </row>
    <row r="7" spans="1:20" ht="15.75">
      <c r="A7" s="331" t="s">
        <v>114</v>
      </c>
      <c r="B7" s="331" t="s">
        <v>115</v>
      </c>
      <c r="C7" s="326" t="s">
        <v>205</v>
      </c>
      <c r="D7" s="339" t="s">
        <v>153</v>
      </c>
      <c r="E7" s="339"/>
      <c r="F7" s="339"/>
      <c r="G7" s="339"/>
      <c r="H7" s="339"/>
      <c r="I7" s="339"/>
      <c r="J7" s="339"/>
      <c r="K7" s="339"/>
      <c r="L7" s="339"/>
      <c r="M7" s="111"/>
      <c r="N7" s="111"/>
      <c r="O7" s="326" t="s">
        <v>206</v>
      </c>
      <c r="P7" s="326" t="s">
        <v>207</v>
      </c>
      <c r="Q7" s="326" t="s">
        <v>186</v>
      </c>
      <c r="R7" s="326" t="s">
        <v>187</v>
      </c>
      <c r="S7" s="326" t="s">
        <v>188</v>
      </c>
      <c r="T7" s="333" t="s">
        <v>189</v>
      </c>
    </row>
    <row r="8" spans="1:20" ht="94.5">
      <c r="A8" s="332"/>
      <c r="B8" s="332"/>
      <c r="C8" s="326"/>
      <c r="D8" s="105" t="s">
        <v>208</v>
      </c>
      <c r="E8" s="112" t="s">
        <v>325</v>
      </c>
      <c r="F8" s="105" t="s">
        <v>209</v>
      </c>
      <c r="G8" s="112" t="s">
        <v>210</v>
      </c>
      <c r="H8" s="112" t="s">
        <v>211</v>
      </c>
      <c r="I8" s="112" t="s">
        <v>212</v>
      </c>
      <c r="J8" s="112" t="s">
        <v>326</v>
      </c>
      <c r="K8" s="112" t="s">
        <v>213</v>
      </c>
      <c r="L8" s="112" t="s">
        <v>214</v>
      </c>
      <c r="M8" s="112" t="s">
        <v>215</v>
      </c>
      <c r="N8" s="112" t="s">
        <v>216</v>
      </c>
      <c r="O8" s="326"/>
      <c r="P8" s="326"/>
      <c r="Q8" s="326"/>
      <c r="R8" s="326"/>
      <c r="S8" s="326"/>
      <c r="T8" s="333"/>
    </row>
    <row r="9" spans="1:20" ht="31.5">
      <c r="A9" s="111">
        <v>1</v>
      </c>
      <c r="B9" s="111">
        <v>2</v>
      </c>
      <c r="C9" s="105">
        <v>3</v>
      </c>
      <c r="D9" s="105">
        <v>4</v>
      </c>
      <c r="E9" s="105">
        <v>5</v>
      </c>
      <c r="F9" s="105" t="s">
        <v>217</v>
      </c>
      <c r="G9" s="112">
        <v>7</v>
      </c>
      <c r="H9" s="112">
        <v>8</v>
      </c>
      <c r="I9" s="112">
        <v>9</v>
      </c>
      <c r="J9" s="112">
        <v>10</v>
      </c>
      <c r="K9" s="112" t="s">
        <v>218</v>
      </c>
      <c r="L9" s="112" t="s">
        <v>219</v>
      </c>
      <c r="M9" s="113">
        <v>13</v>
      </c>
      <c r="N9" s="113">
        <v>14</v>
      </c>
      <c r="O9" s="113" t="s">
        <v>220</v>
      </c>
      <c r="P9" s="113">
        <v>16</v>
      </c>
      <c r="Q9" s="111">
        <v>17</v>
      </c>
      <c r="R9" s="111" t="s">
        <v>221</v>
      </c>
      <c r="S9" s="111" t="s">
        <v>222</v>
      </c>
      <c r="T9" s="111" t="s">
        <v>223</v>
      </c>
    </row>
    <row r="10" spans="1:20" ht="15.75">
      <c r="A10" s="114">
        <v>1</v>
      </c>
      <c r="B10" s="115" t="s">
        <v>224</v>
      </c>
      <c r="C10" s="116">
        <v>0</v>
      </c>
      <c r="D10" s="116">
        <v>95</v>
      </c>
      <c r="E10" s="117">
        <v>49</v>
      </c>
      <c r="F10" s="117">
        <f>E10*12</f>
        <v>588</v>
      </c>
      <c r="G10" s="117">
        <v>400</v>
      </c>
      <c r="H10" s="117"/>
      <c r="I10" s="117">
        <v>400</v>
      </c>
      <c r="J10" s="118">
        <v>560</v>
      </c>
      <c r="K10" s="118">
        <f>H10*J10</f>
        <v>0</v>
      </c>
      <c r="L10" s="118">
        <f>G10*J10</f>
        <v>224000</v>
      </c>
      <c r="M10" s="334"/>
      <c r="N10" s="334"/>
      <c r="O10" s="119">
        <f>D10+F10-I10</f>
        <v>283</v>
      </c>
      <c r="P10" s="119">
        <f>C10+G10+H10-I10</f>
        <v>0</v>
      </c>
      <c r="Q10" s="120">
        <v>12</v>
      </c>
      <c r="R10" s="121">
        <f>J10/1.12</f>
        <v>499.99999999999994</v>
      </c>
      <c r="S10" s="122">
        <f>J10-R10</f>
        <v>60.00000000000006</v>
      </c>
      <c r="T10" s="123">
        <f>S10*G10</f>
        <v>24000.000000000022</v>
      </c>
    </row>
    <row r="11" spans="1:20" ht="15.75">
      <c r="A11" s="337" t="s">
        <v>225</v>
      </c>
      <c r="B11" s="338"/>
      <c r="C11" s="116"/>
      <c r="D11" s="116"/>
      <c r="E11" s="117"/>
      <c r="F11" s="61"/>
      <c r="G11" s="124"/>
      <c r="H11" s="124"/>
      <c r="I11" s="124"/>
      <c r="J11" s="125"/>
      <c r="K11" s="125"/>
      <c r="L11" s="126"/>
      <c r="M11" s="335"/>
      <c r="N11" s="335"/>
      <c r="O11" s="114"/>
      <c r="P11" s="119">
        <f aca="true" t="shared" si="0" ref="P11:P39">C11+G11+H11-I11</f>
        <v>0</v>
      </c>
      <c r="Q11" s="127"/>
      <c r="R11" s="127"/>
      <c r="S11" s="127"/>
      <c r="T11" s="111"/>
    </row>
    <row r="12" spans="1:20" ht="32.25" customHeight="1">
      <c r="A12" s="340" t="s">
        <v>226</v>
      </c>
      <c r="B12" s="341"/>
      <c r="C12" s="128">
        <f aca="true" t="shared" si="1" ref="C12:L12">SUM(C13:C17)</f>
        <v>45</v>
      </c>
      <c r="D12" s="128">
        <f t="shared" si="1"/>
        <v>477</v>
      </c>
      <c r="E12" s="128">
        <f t="shared" si="1"/>
        <v>154</v>
      </c>
      <c r="F12" s="128">
        <f t="shared" si="1"/>
        <v>1848</v>
      </c>
      <c r="G12" s="128">
        <f t="shared" si="1"/>
        <v>639</v>
      </c>
      <c r="H12" s="128">
        <f t="shared" si="1"/>
        <v>0</v>
      </c>
      <c r="I12" s="128">
        <f t="shared" si="1"/>
        <v>684</v>
      </c>
      <c r="J12" s="129" t="s">
        <v>112</v>
      </c>
      <c r="K12" s="130">
        <f t="shared" si="1"/>
        <v>0</v>
      </c>
      <c r="L12" s="130">
        <f t="shared" si="1"/>
        <v>38955.170000000006</v>
      </c>
      <c r="M12" s="335"/>
      <c r="N12" s="335"/>
      <c r="O12" s="128">
        <f>SUM(O13:O17)</f>
        <v>1641</v>
      </c>
      <c r="P12" s="131">
        <f t="shared" si="0"/>
        <v>0</v>
      </c>
      <c r="Q12" s="132"/>
      <c r="R12" s="132"/>
      <c r="S12" s="132"/>
      <c r="T12" s="130">
        <f>SUM(T13:T17)</f>
        <v>4926.937119244393</v>
      </c>
    </row>
    <row r="13" spans="1:20" ht="31.5">
      <c r="A13" s="133">
        <v>1</v>
      </c>
      <c r="B13" s="133" t="s">
        <v>227</v>
      </c>
      <c r="C13" s="134">
        <v>24</v>
      </c>
      <c r="D13" s="134">
        <v>0</v>
      </c>
      <c r="E13" s="135">
        <v>27</v>
      </c>
      <c r="F13" s="135">
        <f aca="true" t="shared" si="2" ref="F13:F39">E13*12</f>
        <v>324</v>
      </c>
      <c r="G13" s="135">
        <v>102</v>
      </c>
      <c r="H13" s="135"/>
      <c r="I13" s="135">
        <v>126</v>
      </c>
      <c r="J13" s="125">
        <v>104.06</v>
      </c>
      <c r="K13" s="125">
        <f>H13*J13</f>
        <v>0</v>
      </c>
      <c r="L13" s="125">
        <f>G13*J13</f>
        <v>10614.12</v>
      </c>
      <c r="M13" s="335"/>
      <c r="N13" s="335"/>
      <c r="O13" s="136">
        <f>D13+F13-I13</f>
        <v>198</v>
      </c>
      <c r="P13" s="119">
        <f t="shared" si="0"/>
        <v>0</v>
      </c>
      <c r="Q13" s="127">
        <v>12</v>
      </c>
      <c r="R13" s="137">
        <f>J13/1.12</f>
        <v>92.91071428571428</v>
      </c>
      <c r="S13" s="138">
        <f>J13-R13</f>
        <v>11.149285714285725</v>
      </c>
      <c r="T13" s="139">
        <f>S13*G13</f>
        <v>1137.227142857144</v>
      </c>
    </row>
    <row r="14" spans="1:20" ht="15.75">
      <c r="A14" s="140">
        <v>2</v>
      </c>
      <c r="B14" s="140" t="s">
        <v>228</v>
      </c>
      <c r="C14" s="134">
        <v>0</v>
      </c>
      <c r="D14" s="134">
        <v>148</v>
      </c>
      <c r="E14" s="135">
        <v>25</v>
      </c>
      <c r="F14" s="141">
        <f t="shared" si="2"/>
        <v>300</v>
      </c>
      <c r="G14" s="135">
        <v>98</v>
      </c>
      <c r="H14" s="141"/>
      <c r="I14" s="142">
        <v>98</v>
      </c>
      <c r="J14" s="125">
        <v>110</v>
      </c>
      <c r="K14" s="125">
        <f aca="true" t="shared" si="3" ref="K14:K39">H14*J14</f>
        <v>0</v>
      </c>
      <c r="L14" s="125">
        <f aca="true" t="shared" si="4" ref="L14:L39">G14*J14</f>
        <v>10780</v>
      </c>
      <c r="M14" s="335"/>
      <c r="N14" s="335"/>
      <c r="O14" s="136">
        <f aca="true" t="shared" si="5" ref="O14:O39">D14+F14-I14</f>
        <v>350</v>
      </c>
      <c r="P14" s="119">
        <f t="shared" si="0"/>
        <v>0</v>
      </c>
      <c r="Q14" s="127">
        <v>12</v>
      </c>
      <c r="R14" s="137">
        <f>J14/1.12</f>
        <v>98.21428571428571</v>
      </c>
      <c r="S14" s="138">
        <f aca="true" t="shared" si="6" ref="S14:S39">J14-R14</f>
        <v>11.785714285714292</v>
      </c>
      <c r="T14" s="139">
        <f>S14*G14</f>
        <v>1155.0000000000007</v>
      </c>
    </row>
    <row r="15" spans="1:20" ht="63">
      <c r="A15" s="133">
        <v>3</v>
      </c>
      <c r="B15" s="133" t="s">
        <v>229</v>
      </c>
      <c r="C15" s="134">
        <v>21</v>
      </c>
      <c r="D15" s="134">
        <v>0</v>
      </c>
      <c r="E15" s="135">
        <v>61</v>
      </c>
      <c r="F15" s="135">
        <f t="shared" si="2"/>
        <v>732</v>
      </c>
      <c r="G15" s="135">
        <v>200</v>
      </c>
      <c r="H15" s="135"/>
      <c r="I15" s="135">
        <v>221</v>
      </c>
      <c r="J15" s="125">
        <v>31.1</v>
      </c>
      <c r="K15" s="125">
        <f t="shared" si="3"/>
        <v>0</v>
      </c>
      <c r="L15" s="125">
        <f t="shared" si="4"/>
        <v>6220</v>
      </c>
      <c r="M15" s="335"/>
      <c r="N15" s="335"/>
      <c r="O15" s="136">
        <f t="shared" si="5"/>
        <v>511</v>
      </c>
      <c r="P15" s="119">
        <f t="shared" si="0"/>
        <v>0</v>
      </c>
      <c r="Q15" s="127">
        <v>12</v>
      </c>
      <c r="R15" s="137">
        <f>J15/1.12</f>
        <v>27.767857142857142</v>
      </c>
      <c r="S15" s="138">
        <f t="shared" si="6"/>
        <v>3.332142857142859</v>
      </c>
      <c r="T15" s="139">
        <f>S15*G15</f>
        <v>666.4285714285718</v>
      </c>
    </row>
    <row r="16" spans="1:20" ht="31.5">
      <c r="A16" s="133">
        <v>4</v>
      </c>
      <c r="B16" s="133" t="s">
        <v>230</v>
      </c>
      <c r="C16" s="134">
        <v>0</v>
      </c>
      <c r="D16" s="134">
        <v>209</v>
      </c>
      <c r="E16" s="135">
        <v>29</v>
      </c>
      <c r="F16" s="135">
        <f t="shared" si="2"/>
        <v>348</v>
      </c>
      <c r="G16" s="135">
        <v>189</v>
      </c>
      <c r="H16" s="135">
        <v>0</v>
      </c>
      <c r="I16" s="135">
        <v>189</v>
      </c>
      <c r="J16" s="125">
        <v>54.45</v>
      </c>
      <c r="K16" s="125">
        <f t="shared" si="3"/>
        <v>0</v>
      </c>
      <c r="L16" s="125">
        <f t="shared" si="4"/>
        <v>10291.050000000001</v>
      </c>
      <c r="M16" s="335"/>
      <c r="N16" s="335"/>
      <c r="O16" s="136">
        <f>D16+F16-I16</f>
        <v>368</v>
      </c>
      <c r="P16" s="119">
        <f t="shared" si="0"/>
        <v>0</v>
      </c>
      <c r="Q16" s="127">
        <v>21</v>
      </c>
      <c r="R16" s="137">
        <f>J16/1.21</f>
        <v>45.00000000000001</v>
      </c>
      <c r="S16" s="138">
        <f t="shared" si="6"/>
        <v>9.449999999999996</v>
      </c>
      <c r="T16" s="139">
        <f>S16*G16</f>
        <v>1786.0499999999993</v>
      </c>
    </row>
    <row r="17" spans="1:20" ht="15.75">
      <c r="A17" s="140">
        <v>5</v>
      </c>
      <c r="B17" s="140" t="s">
        <v>231</v>
      </c>
      <c r="C17" s="134">
        <v>0</v>
      </c>
      <c r="D17" s="134">
        <v>120</v>
      </c>
      <c r="E17" s="135">
        <v>12</v>
      </c>
      <c r="F17" s="141">
        <f t="shared" si="2"/>
        <v>144</v>
      </c>
      <c r="G17" s="135">
        <v>50</v>
      </c>
      <c r="H17" s="141">
        <v>0</v>
      </c>
      <c r="I17" s="135">
        <v>50</v>
      </c>
      <c r="J17" s="125">
        <v>21</v>
      </c>
      <c r="K17" s="125">
        <f t="shared" si="3"/>
        <v>0</v>
      </c>
      <c r="L17" s="125">
        <f t="shared" si="4"/>
        <v>1050</v>
      </c>
      <c r="M17" s="335"/>
      <c r="N17" s="335"/>
      <c r="O17" s="136">
        <f t="shared" si="5"/>
        <v>214</v>
      </c>
      <c r="P17" s="119">
        <f t="shared" si="0"/>
        <v>0</v>
      </c>
      <c r="Q17" s="127">
        <v>21</v>
      </c>
      <c r="R17" s="137">
        <f>J17/1.21</f>
        <v>17.355371900826448</v>
      </c>
      <c r="S17" s="138">
        <f t="shared" si="6"/>
        <v>3.644628099173552</v>
      </c>
      <c r="T17" s="139">
        <f>S17*G17</f>
        <v>182.23140495867762</v>
      </c>
    </row>
    <row r="18" spans="1:20" ht="22.5" customHeight="1">
      <c r="A18" s="342" t="s">
        <v>232</v>
      </c>
      <c r="B18" s="343"/>
      <c r="C18" s="131">
        <f>SUM(C19:C27)</f>
        <v>25</v>
      </c>
      <c r="D18" s="131">
        <f>SUM(D19:D27)</f>
        <v>1265</v>
      </c>
      <c r="E18" s="131">
        <f>SUM(E19:E27)</f>
        <v>165</v>
      </c>
      <c r="F18" s="131">
        <f aca="true" t="shared" si="7" ref="F18:L18">SUM(F19:F27)</f>
        <v>1980</v>
      </c>
      <c r="G18" s="131">
        <f t="shared" si="7"/>
        <v>289</v>
      </c>
      <c r="H18" s="131">
        <f t="shared" si="7"/>
        <v>450</v>
      </c>
      <c r="I18" s="131">
        <f t="shared" si="7"/>
        <v>764</v>
      </c>
      <c r="J18" s="143" t="s">
        <v>112</v>
      </c>
      <c r="K18" s="144">
        <f t="shared" si="7"/>
        <v>8807.5</v>
      </c>
      <c r="L18" s="144">
        <f t="shared" si="7"/>
        <v>32751.2</v>
      </c>
      <c r="M18" s="335"/>
      <c r="N18" s="335"/>
      <c r="O18" s="131">
        <f>SUM(O19:O27)</f>
        <v>2481</v>
      </c>
      <c r="P18" s="131">
        <f t="shared" si="0"/>
        <v>0</v>
      </c>
      <c r="Q18" s="132"/>
      <c r="R18" s="145"/>
      <c r="S18" s="132"/>
      <c r="T18" s="144">
        <f>SUM(T19:T27)</f>
        <v>5292.268476977569</v>
      </c>
    </row>
    <row r="19" spans="1:20" ht="31.5">
      <c r="A19" s="133">
        <v>1</v>
      </c>
      <c r="B19" s="133" t="s">
        <v>233</v>
      </c>
      <c r="C19" s="134">
        <v>0</v>
      </c>
      <c r="D19" s="134">
        <v>0</v>
      </c>
      <c r="E19" s="135">
        <v>11</v>
      </c>
      <c r="F19" s="146">
        <f t="shared" si="2"/>
        <v>132</v>
      </c>
      <c r="G19" s="135">
        <v>80</v>
      </c>
      <c r="H19" s="146"/>
      <c r="I19" s="146">
        <v>80</v>
      </c>
      <c r="J19" s="125">
        <v>30</v>
      </c>
      <c r="K19" s="125">
        <f t="shared" si="3"/>
        <v>0</v>
      </c>
      <c r="L19" s="125">
        <f t="shared" si="4"/>
        <v>2400</v>
      </c>
      <c r="M19" s="335"/>
      <c r="N19" s="335"/>
      <c r="O19" s="136">
        <f t="shared" si="5"/>
        <v>52</v>
      </c>
      <c r="P19" s="119">
        <f t="shared" si="0"/>
        <v>0</v>
      </c>
      <c r="Q19" s="127">
        <v>12</v>
      </c>
      <c r="R19" s="137">
        <f>J19/1.12</f>
        <v>26.785714285714285</v>
      </c>
      <c r="S19" s="138">
        <f t="shared" si="6"/>
        <v>3.2142857142857153</v>
      </c>
      <c r="T19" s="139">
        <f>S19*G19</f>
        <v>257.1428571428572</v>
      </c>
    </row>
    <row r="20" spans="1:20" ht="15.75">
      <c r="A20" s="133">
        <v>1</v>
      </c>
      <c r="B20" s="133" t="s">
        <v>234</v>
      </c>
      <c r="C20" s="134">
        <v>0</v>
      </c>
      <c r="D20" s="134">
        <v>4</v>
      </c>
      <c r="E20" s="135">
        <v>9</v>
      </c>
      <c r="F20" s="146">
        <f t="shared" si="2"/>
        <v>108</v>
      </c>
      <c r="G20" s="135">
        <v>70</v>
      </c>
      <c r="H20" s="146"/>
      <c r="I20" s="146">
        <v>70</v>
      </c>
      <c r="J20" s="125">
        <v>50</v>
      </c>
      <c r="K20" s="125">
        <f t="shared" si="3"/>
        <v>0</v>
      </c>
      <c r="L20" s="125">
        <f t="shared" si="4"/>
        <v>3500</v>
      </c>
      <c r="M20" s="335"/>
      <c r="N20" s="335"/>
      <c r="O20" s="136">
        <f t="shared" si="5"/>
        <v>42</v>
      </c>
      <c r="P20" s="119">
        <f t="shared" si="0"/>
        <v>0</v>
      </c>
      <c r="Q20" s="127">
        <v>12</v>
      </c>
      <c r="R20" s="137">
        <f>J20/1.12</f>
        <v>44.64285714285714</v>
      </c>
      <c r="S20" s="138">
        <f t="shared" si="6"/>
        <v>5.357142857142861</v>
      </c>
      <c r="T20" s="139">
        <f aca="true" t="shared" si="8" ref="T20:T27">S20*G20</f>
        <v>375.0000000000003</v>
      </c>
    </row>
    <row r="21" spans="1:20" ht="15.75">
      <c r="A21" s="133">
        <v>2</v>
      </c>
      <c r="B21" s="133" t="s">
        <v>235</v>
      </c>
      <c r="C21" s="134">
        <v>0</v>
      </c>
      <c r="D21" s="134">
        <v>208</v>
      </c>
      <c r="E21" s="135">
        <v>41</v>
      </c>
      <c r="F21" s="146">
        <f t="shared" si="2"/>
        <v>492</v>
      </c>
      <c r="G21" s="135">
        <v>69</v>
      </c>
      <c r="H21" s="146"/>
      <c r="I21" s="146">
        <v>69</v>
      </c>
      <c r="J21" s="125">
        <v>94.8</v>
      </c>
      <c r="K21" s="125">
        <f t="shared" si="3"/>
        <v>0</v>
      </c>
      <c r="L21" s="125">
        <f t="shared" si="4"/>
        <v>6541.2</v>
      </c>
      <c r="M21" s="335"/>
      <c r="N21" s="335"/>
      <c r="O21" s="136">
        <f t="shared" si="5"/>
        <v>631</v>
      </c>
      <c r="P21" s="119">
        <f t="shared" si="0"/>
        <v>0</v>
      </c>
      <c r="Q21" s="127">
        <v>21</v>
      </c>
      <c r="R21" s="137">
        <f>J21/1.21</f>
        <v>78.34710743801652</v>
      </c>
      <c r="S21" s="138">
        <f t="shared" si="6"/>
        <v>16.452892561983475</v>
      </c>
      <c r="T21" s="139">
        <f t="shared" si="8"/>
        <v>1135.2495867768598</v>
      </c>
    </row>
    <row r="22" spans="1:20" ht="15.75">
      <c r="A22" s="133">
        <v>3</v>
      </c>
      <c r="B22" s="133" t="s">
        <v>236</v>
      </c>
      <c r="C22" s="134">
        <v>0</v>
      </c>
      <c r="D22" s="134">
        <v>550</v>
      </c>
      <c r="E22" s="135">
        <v>45</v>
      </c>
      <c r="F22" s="146">
        <f t="shared" si="2"/>
        <v>540</v>
      </c>
      <c r="G22" s="135">
        <v>50</v>
      </c>
      <c r="H22" s="146"/>
      <c r="I22" s="146">
        <v>50</v>
      </c>
      <c r="J22" s="125">
        <v>334.2</v>
      </c>
      <c r="K22" s="125">
        <f>H22*J22</f>
        <v>0</v>
      </c>
      <c r="L22" s="125">
        <f t="shared" si="4"/>
        <v>16710</v>
      </c>
      <c r="M22" s="335"/>
      <c r="N22" s="335"/>
      <c r="O22" s="136">
        <f t="shared" si="5"/>
        <v>1040</v>
      </c>
      <c r="P22" s="119">
        <f>C22+G22+H22-I22</f>
        <v>0</v>
      </c>
      <c r="Q22" s="127">
        <v>21</v>
      </c>
      <c r="R22" s="137">
        <f aca="true" t="shared" si="9" ref="R22:R27">J22/1.21</f>
        <v>276.198347107438</v>
      </c>
      <c r="S22" s="138">
        <f t="shared" si="6"/>
        <v>58.00165289256199</v>
      </c>
      <c r="T22" s="139">
        <f t="shared" si="8"/>
        <v>2900.0826446281</v>
      </c>
    </row>
    <row r="23" spans="1:20" ht="47.25">
      <c r="A23" s="147">
        <v>4</v>
      </c>
      <c r="B23" s="148" t="s">
        <v>237</v>
      </c>
      <c r="C23" s="134">
        <v>0</v>
      </c>
      <c r="D23" s="134">
        <v>23</v>
      </c>
      <c r="E23" s="135">
        <v>2</v>
      </c>
      <c r="F23" s="146">
        <f t="shared" si="2"/>
        <v>24</v>
      </c>
      <c r="G23" s="135">
        <v>0</v>
      </c>
      <c r="H23" s="146"/>
      <c r="I23" s="146">
        <f>G23</f>
        <v>0</v>
      </c>
      <c r="J23" s="125">
        <v>170</v>
      </c>
      <c r="K23" s="125">
        <f>H23*J23</f>
        <v>0</v>
      </c>
      <c r="L23" s="125">
        <f t="shared" si="4"/>
        <v>0</v>
      </c>
      <c r="M23" s="335"/>
      <c r="N23" s="335"/>
      <c r="O23" s="136">
        <f t="shared" si="5"/>
        <v>47</v>
      </c>
      <c r="P23" s="119">
        <f>C23+G23+H23-I23</f>
        <v>0</v>
      </c>
      <c r="Q23" s="127">
        <v>21</v>
      </c>
      <c r="R23" s="137">
        <f t="shared" si="9"/>
        <v>140.49586776859505</v>
      </c>
      <c r="S23" s="138">
        <f t="shared" si="6"/>
        <v>29.504132231404952</v>
      </c>
      <c r="T23" s="139">
        <f t="shared" si="8"/>
        <v>0</v>
      </c>
    </row>
    <row r="24" spans="1:20" ht="31.5">
      <c r="A24" s="140">
        <v>5</v>
      </c>
      <c r="B24" s="149" t="s">
        <v>238</v>
      </c>
      <c r="C24" s="134">
        <v>0</v>
      </c>
      <c r="D24" s="134">
        <v>174</v>
      </c>
      <c r="E24" s="135">
        <v>18</v>
      </c>
      <c r="F24" s="141">
        <f t="shared" si="2"/>
        <v>216</v>
      </c>
      <c r="G24" s="141"/>
      <c r="H24" s="142">
        <v>200</v>
      </c>
      <c r="I24" s="150">
        <v>200</v>
      </c>
      <c r="J24" s="125">
        <v>24.45</v>
      </c>
      <c r="K24" s="125">
        <f t="shared" si="3"/>
        <v>4890</v>
      </c>
      <c r="L24" s="125">
        <f t="shared" si="4"/>
        <v>0</v>
      </c>
      <c r="M24" s="335"/>
      <c r="N24" s="335"/>
      <c r="O24" s="136">
        <f t="shared" si="5"/>
        <v>190</v>
      </c>
      <c r="P24" s="119">
        <f t="shared" si="0"/>
        <v>0</v>
      </c>
      <c r="Q24" s="127">
        <v>21</v>
      </c>
      <c r="R24" s="137">
        <f t="shared" si="9"/>
        <v>20.206611570247933</v>
      </c>
      <c r="S24" s="138">
        <f t="shared" si="6"/>
        <v>4.243388429752066</v>
      </c>
      <c r="T24" s="139">
        <f t="shared" si="8"/>
        <v>0</v>
      </c>
    </row>
    <row r="25" spans="1:20" ht="15.75">
      <c r="A25" s="133">
        <v>6</v>
      </c>
      <c r="B25" s="151" t="s">
        <v>239</v>
      </c>
      <c r="C25" s="134">
        <v>0</v>
      </c>
      <c r="D25" s="134">
        <v>68</v>
      </c>
      <c r="E25" s="135">
        <v>8</v>
      </c>
      <c r="F25" s="135">
        <f t="shared" si="2"/>
        <v>96</v>
      </c>
      <c r="G25" s="135">
        <v>20</v>
      </c>
      <c r="H25" s="135"/>
      <c r="I25" s="146">
        <v>20</v>
      </c>
      <c r="J25" s="125">
        <v>180</v>
      </c>
      <c r="K25" s="125">
        <f t="shared" si="3"/>
        <v>0</v>
      </c>
      <c r="L25" s="125">
        <f t="shared" si="4"/>
        <v>3600</v>
      </c>
      <c r="M25" s="335"/>
      <c r="N25" s="335"/>
      <c r="O25" s="136">
        <f t="shared" si="5"/>
        <v>144</v>
      </c>
      <c r="P25" s="119">
        <f t="shared" si="0"/>
        <v>0</v>
      </c>
      <c r="Q25" s="127">
        <v>21</v>
      </c>
      <c r="R25" s="137">
        <f t="shared" si="9"/>
        <v>148.7603305785124</v>
      </c>
      <c r="S25" s="138">
        <f t="shared" si="6"/>
        <v>31.239669421487605</v>
      </c>
      <c r="T25" s="139">
        <f t="shared" si="8"/>
        <v>624.7933884297521</v>
      </c>
    </row>
    <row r="26" spans="1:20" ht="15.75">
      <c r="A26" s="133">
        <v>7</v>
      </c>
      <c r="B26" s="151" t="s">
        <v>240</v>
      </c>
      <c r="C26" s="134">
        <v>25</v>
      </c>
      <c r="D26" s="134">
        <v>0</v>
      </c>
      <c r="E26" s="135">
        <v>14</v>
      </c>
      <c r="F26" s="135">
        <f t="shared" si="2"/>
        <v>168</v>
      </c>
      <c r="G26" s="135"/>
      <c r="H26" s="135">
        <v>50</v>
      </c>
      <c r="I26" s="146">
        <v>75</v>
      </c>
      <c r="J26" s="125">
        <v>42.35</v>
      </c>
      <c r="K26" s="125">
        <f t="shared" si="3"/>
        <v>2117.5</v>
      </c>
      <c r="L26" s="125">
        <f t="shared" si="4"/>
        <v>0</v>
      </c>
      <c r="M26" s="335"/>
      <c r="N26" s="335"/>
      <c r="O26" s="136">
        <f t="shared" si="5"/>
        <v>93</v>
      </c>
      <c r="P26" s="119">
        <f t="shared" si="0"/>
        <v>0</v>
      </c>
      <c r="Q26" s="127">
        <v>21</v>
      </c>
      <c r="R26" s="137">
        <f t="shared" si="9"/>
        <v>35</v>
      </c>
      <c r="S26" s="138">
        <f t="shared" si="6"/>
        <v>7.350000000000001</v>
      </c>
      <c r="T26" s="139">
        <f t="shared" si="8"/>
        <v>0</v>
      </c>
    </row>
    <row r="27" spans="1:20" ht="15.75">
      <c r="A27" s="140">
        <v>8</v>
      </c>
      <c r="B27" s="149" t="s">
        <v>241</v>
      </c>
      <c r="C27" s="134">
        <v>0</v>
      </c>
      <c r="D27" s="134">
        <v>238</v>
      </c>
      <c r="E27" s="135">
        <v>17</v>
      </c>
      <c r="F27" s="141">
        <f t="shared" si="2"/>
        <v>204</v>
      </c>
      <c r="G27" s="135"/>
      <c r="H27" s="142">
        <v>200</v>
      </c>
      <c r="I27" s="150">
        <v>200</v>
      </c>
      <c r="J27" s="125">
        <v>9</v>
      </c>
      <c r="K27" s="125">
        <f t="shared" si="3"/>
        <v>1800</v>
      </c>
      <c r="L27" s="125">
        <f t="shared" si="4"/>
        <v>0</v>
      </c>
      <c r="M27" s="335"/>
      <c r="N27" s="335"/>
      <c r="O27" s="136">
        <f t="shared" si="5"/>
        <v>242</v>
      </c>
      <c r="P27" s="119">
        <f t="shared" si="0"/>
        <v>0</v>
      </c>
      <c r="Q27" s="127">
        <v>21</v>
      </c>
      <c r="R27" s="137">
        <f t="shared" si="9"/>
        <v>7.43801652892562</v>
      </c>
      <c r="S27" s="138">
        <f t="shared" si="6"/>
        <v>1.56198347107438</v>
      </c>
      <c r="T27" s="139">
        <f t="shared" si="8"/>
        <v>0</v>
      </c>
    </row>
    <row r="28" spans="1:20" ht="57.75" customHeight="1">
      <c r="A28" s="342" t="s">
        <v>242</v>
      </c>
      <c r="B28" s="343"/>
      <c r="C28" s="131">
        <f>SUM(C29:C39)</f>
        <v>144</v>
      </c>
      <c r="D28" s="131">
        <f>SUM(D29:D39)</f>
        <v>374</v>
      </c>
      <c r="E28" s="131">
        <f>SUM(E29:E39)</f>
        <v>58</v>
      </c>
      <c r="F28" s="131">
        <f aca="true" t="shared" si="10" ref="F28:L28">SUM(F29:F39)</f>
        <v>684</v>
      </c>
      <c r="G28" s="131">
        <f t="shared" si="10"/>
        <v>109</v>
      </c>
      <c r="H28" s="131">
        <f t="shared" si="10"/>
        <v>120</v>
      </c>
      <c r="I28" s="131">
        <f t="shared" si="10"/>
        <v>347</v>
      </c>
      <c r="J28" s="143" t="s">
        <v>112</v>
      </c>
      <c r="K28" s="144">
        <f t="shared" si="10"/>
        <v>13246.27</v>
      </c>
      <c r="L28" s="144">
        <f t="shared" si="10"/>
        <v>18378.12</v>
      </c>
      <c r="M28" s="335"/>
      <c r="N28" s="335"/>
      <c r="O28" s="131">
        <f>SUM(O29:O39)</f>
        <v>711</v>
      </c>
      <c r="P28" s="131">
        <f t="shared" si="0"/>
        <v>26</v>
      </c>
      <c r="Q28" s="132"/>
      <c r="R28" s="145"/>
      <c r="S28" s="132"/>
      <c r="T28" s="144">
        <f>SUM(T29:T39)</f>
        <v>3003.971387249114</v>
      </c>
    </row>
    <row r="29" spans="1:20" ht="31.5">
      <c r="A29" s="133">
        <v>1</v>
      </c>
      <c r="B29" s="151" t="s">
        <v>243</v>
      </c>
      <c r="C29" s="134">
        <v>0</v>
      </c>
      <c r="D29" s="134">
        <v>16</v>
      </c>
      <c r="E29" s="135">
        <v>10</v>
      </c>
      <c r="F29" s="135">
        <f t="shared" si="2"/>
        <v>120</v>
      </c>
      <c r="G29" s="135">
        <v>79</v>
      </c>
      <c r="H29" s="135"/>
      <c r="I29" s="135">
        <v>79</v>
      </c>
      <c r="J29" s="125">
        <v>35.38</v>
      </c>
      <c r="K29" s="125">
        <f t="shared" si="3"/>
        <v>0</v>
      </c>
      <c r="L29" s="125">
        <f t="shared" si="4"/>
        <v>2795.02</v>
      </c>
      <c r="M29" s="335"/>
      <c r="N29" s="335"/>
      <c r="O29" s="136">
        <f t="shared" si="5"/>
        <v>57</v>
      </c>
      <c r="P29" s="119">
        <f t="shared" si="0"/>
        <v>0</v>
      </c>
      <c r="Q29" s="127">
        <v>12</v>
      </c>
      <c r="R29" s="137">
        <f>J29/1.12</f>
        <v>31.589285714285715</v>
      </c>
      <c r="S29" s="138">
        <f t="shared" si="6"/>
        <v>3.7907142857142873</v>
      </c>
      <c r="T29" s="139">
        <f>S29*G29</f>
        <v>299.4664285714287</v>
      </c>
    </row>
    <row r="30" spans="1:20" ht="31.5">
      <c r="A30" s="133">
        <v>1</v>
      </c>
      <c r="B30" s="151" t="s">
        <v>244</v>
      </c>
      <c r="C30" s="134">
        <v>59</v>
      </c>
      <c r="D30" s="134">
        <v>0</v>
      </c>
      <c r="E30" s="135">
        <v>5</v>
      </c>
      <c r="F30" s="135">
        <f t="shared" si="2"/>
        <v>60</v>
      </c>
      <c r="G30" s="135">
        <v>0</v>
      </c>
      <c r="H30" s="135"/>
      <c r="I30" s="135">
        <v>59</v>
      </c>
      <c r="J30" s="125">
        <v>44</v>
      </c>
      <c r="K30" s="125">
        <f t="shared" si="3"/>
        <v>0</v>
      </c>
      <c r="L30" s="125">
        <f t="shared" si="4"/>
        <v>0</v>
      </c>
      <c r="M30" s="335"/>
      <c r="N30" s="335"/>
      <c r="O30" s="136">
        <f t="shared" si="5"/>
        <v>1</v>
      </c>
      <c r="P30" s="119">
        <f t="shared" si="0"/>
        <v>0</v>
      </c>
      <c r="Q30" s="127">
        <v>12</v>
      </c>
      <c r="R30" s="137">
        <f>J30/1.12</f>
        <v>39.285714285714285</v>
      </c>
      <c r="S30" s="138">
        <f t="shared" si="6"/>
        <v>4.714285714285715</v>
      </c>
      <c r="T30" s="139">
        <f aca="true" t="shared" si="11" ref="T30:T39">S30*G30</f>
        <v>0</v>
      </c>
    </row>
    <row r="31" spans="1:20" ht="31.5">
      <c r="A31" s="133">
        <v>2</v>
      </c>
      <c r="B31" s="151" t="s">
        <v>245</v>
      </c>
      <c r="C31" s="134">
        <v>0</v>
      </c>
      <c r="D31" s="134">
        <v>126</v>
      </c>
      <c r="E31" s="135">
        <v>12</v>
      </c>
      <c r="F31" s="135">
        <f t="shared" si="2"/>
        <v>144</v>
      </c>
      <c r="G31" s="135">
        <v>20</v>
      </c>
      <c r="H31" s="135"/>
      <c r="I31" s="135">
        <v>20</v>
      </c>
      <c r="J31" s="125">
        <v>381.45</v>
      </c>
      <c r="K31" s="125">
        <f t="shared" si="3"/>
        <v>0</v>
      </c>
      <c r="L31" s="125">
        <f t="shared" si="4"/>
        <v>7629</v>
      </c>
      <c r="M31" s="335"/>
      <c r="N31" s="335"/>
      <c r="O31" s="136">
        <f t="shared" si="5"/>
        <v>250</v>
      </c>
      <c r="P31" s="119">
        <f t="shared" si="0"/>
        <v>0</v>
      </c>
      <c r="Q31" s="127">
        <v>21</v>
      </c>
      <c r="R31" s="137">
        <f>J31/1.21</f>
        <v>315.24793388429754</v>
      </c>
      <c r="S31" s="138">
        <f t="shared" si="6"/>
        <v>66.20206611570245</v>
      </c>
      <c r="T31" s="139">
        <f t="shared" si="11"/>
        <v>1324.041322314049</v>
      </c>
    </row>
    <row r="32" spans="1:20" ht="15.75">
      <c r="A32" s="133">
        <v>3</v>
      </c>
      <c r="B32" s="108" t="s">
        <v>246</v>
      </c>
      <c r="C32" s="134">
        <v>0</v>
      </c>
      <c r="D32" s="134">
        <v>0</v>
      </c>
      <c r="E32" s="135">
        <v>1</v>
      </c>
      <c r="F32" s="135"/>
      <c r="G32" s="135">
        <f>D32+F32</f>
        <v>0</v>
      </c>
      <c r="H32" s="135"/>
      <c r="I32" s="135">
        <f>G32</f>
        <v>0</v>
      </c>
      <c r="J32" s="125">
        <v>658.6</v>
      </c>
      <c r="K32" s="125">
        <f t="shared" si="3"/>
        <v>0</v>
      </c>
      <c r="L32" s="125">
        <f t="shared" si="4"/>
        <v>0</v>
      </c>
      <c r="M32" s="335"/>
      <c r="N32" s="335"/>
      <c r="O32" s="136">
        <f t="shared" si="5"/>
        <v>0</v>
      </c>
      <c r="P32" s="119">
        <f t="shared" si="0"/>
        <v>0</v>
      </c>
      <c r="Q32" s="127">
        <v>21</v>
      </c>
      <c r="R32" s="137">
        <f aca="true" t="shared" si="12" ref="R32:R37">J32/1.21</f>
        <v>544.297520661157</v>
      </c>
      <c r="S32" s="138">
        <f t="shared" si="6"/>
        <v>114.302479338843</v>
      </c>
      <c r="T32" s="139">
        <f t="shared" si="11"/>
        <v>0</v>
      </c>
    </row>
    <row r="33" spans="1:20" ht="63">
      <c r="A33" s="133">
        <v>4</v>
      </c>
      <c r="B33" s="152" t="s">
        <v>247</v>
      </c>
      <c r="C33" s="134">
        <v>38</v>
      </c>
      <c r="D33" s="134">
        <v>0</v>
      </c>
      <c r="E33" s="135">
        <v>1</v>
      </c>
      <c r="F33" s="135">
        <f t="shared" si="2"/>
        <v>12</v>
      </c>
      <c r="G33" s="135">
        <v>0</v>
      </c>
      <c r="H33" s="135"/>
      <c r="I33" s="135">
        <v>12</v>
      </c>
      <c r="J33" s="125">
        <v>442.37</v>
      </c>
      <c r="K33" s="125">
        <f t="shared" si="3"/>
        <v>0</v>
      </c>
      <c r="L33" s="125">
        <f t="shared" si="4"/>
        <v>0</v>
      </c>
      <c r="M33" s="335"/>
      <c r="N33" s="335"/>
      <c r="O33" s="136">
        <f t="shared" si="5"/>
        <v>0</v>
      </c>
      <c r="P33" s="119">
        <f t="shared" si="0"/>
        <v>26</v>
      </c>
      <c r="Q33" s="127">
        <v>21</v>
      </c>
      <c r="R33" s="137">
        <f t="shared" si="12"/>
        <v>365.59504132231405</v>
      </c>
      <c r="S33" s="138">
        <f t="shared" si="6"/>
        <v>76.77495867768596</v>
      </c>
      <c r="T33" s="139">
        <f t="shared" si="11"/>
        <v>0</v>
      </c>
    </row>
    <row r="34" spans="1:20" ht="15.75">
      <c r="A34" s="133">
        <v>5</v>
      </c>
      <c r="B34" s="149" t="s">
        <v>248</v>
      </c>
      <c r="C34" s="134">
        <v>0</v>
      </c>
      <c r="D34" s="134">
        <v>45</v>
      </c>
      <c r="E34" s="135">
        <v>8</v>
      </c>
      <c r="F34" s="141">
        <f t="shared" si="2"/>
        <v>96</v>
      </c>
      <c r="G34" s="135"/>
      <c r="H34" s="142">
        <v>33</v>
      </c>
      <c r="I34" s="135">
        <v>33</v>
      </c>
      <c r="J34" s="125">
        <v>168.19</v>
      </c>
      <c r="K34" s="125">
        <f t="shared" si="3"/>
        <v>5550.2699999999995</v>
      </c>
      <c r="L34" s="125">
        <f t="shared" si="4"/>
        <v>0</v>
      </c>
      <c r="M34" s="335"/>
      <c r="N34" s="335"/>
      <c r="O34" s="136">
        <f t="shared" si="5"/>
        <v>108</v>
      </c>
      <c r="P34" s="119">
        <f t="shared" si="0"/>
        <v>0</v>
      </c>
      <c r="Q34" s="127">
        <v>21</v>
      </c>
      <c r="R34" s="137">
        <f t="shared" si="12"/>
        <v>139</v>
      </c>
      <c r="S34" s="138">
        <f t="shared" si="6"/>
        <v>29.189999999999998</v>
      </c>
      <c r="T34" s="139">
        <f t="shared" si="11"/>
        <v>0</v>
      </c>
    </row>
    <row r="35" spans="1:20" ht="31.5">
      <c r="A35" s="133">
        <v>6</v>
      </c>
      <c r="B35" s="151" t="s">
        <v>249</v>
      </c>
      <c r="C35" s="134">
        <v>0</v>
      </c>
      <c r="D35" s="134">
        <v>28</v>
      </c>
      <c r="E35" s="135">
        <v>3</v>
      </c>
      <c r="F35" s="135">
        <f t="shared" si="2"/>
        <v>36</v>
      </c>
      <c r="G35" s="135">
        <v>10</v>
      </c>
      <c r="H35" s="135"/>
      <c r="I35" s="135">
        <v>10</v>
      </c>
      <c r="J35" s="125">
        <v>795.41</v>
      </c>
      <c r="K35" s="125">
        <f t="shared" si="3"/>
        <v>0</v>
      </c>
      <c r="L35" s="125">
        <f t="shared" si="4"/>
        <v>7954.099999999999</v>
      </c>
      <c r="M35" s="335"/>
      <c r="N35" s="335"/>
      <c r="O35" s="136">
        <f t="shared" si="5"/>
        <v>54</v>
      </c>
      <c r="P35" s="119">
        <f t="shared" si="0"/>
        <v>0</v>
      </c>
      <c r="Q35" s="127">
        <v>21</v>
      </c>
      <c r="R35" s="137">
        <f t="shared" si="12"/>
        <v>657.3636363636364</v>
      </c>
      <c r="S35" s="138">
        <f t="shared" si="6"/>
        <v>138.0463636363636</v>
      </c>
      <c r="T35" s="139">
        <f t="shared" si="11"/>
        <v>1380.463636363636</v>
      </c>
    </row>
    <row r="36" spans="1:20" ht="31.5">
      <c r="A36" s="133">
        <v>7</v>
      </c>
      <c r="B36" s="149" t="s">
        <v>250</v>
      </c>
      <c r="C36" s="134">
        <v>24</v>
      </c>
      <c r="D36" s="134">
        <v>38</v>
      </c>
      <c r="E36" s="135">
        <v>3</v>
      </c>
      <c r="F36" s="141">
        <f t="shared" si="2"/>
        <v>36</v>
      </c>
      <c r="G36" s="135">
        <v>0</v>
      </c>
      <c r="H36" s="142">
        <v>12</v>
      </c>
      <c r="I36" s="135">
        <v>36</v>
      </c>
      <c r="J36" s="125">
        <v>285</v>
      </c>
      <c r="K36" s="125">
        <f t="shared" si="3"/>
        <v>3420</v>
      </c>
      <c r="L36" s="125">
        <f t="shared" si="4"/>
        <v>0</v>
      </c>
      <c r="M36" s="335"/>
      <c r="N36" s="335"/>
      <c r="O36" s="136">
        <f t="shared" si="5"/>
        <v>38</v>
      </c>
      <c r="P36" s="119">
        <f t="shared" si="0"/>
        <v>0</v>
      </c>
      <c r="Q36" s="127">
        <v>21</v>
      </c>
      <c r="R36" s="137">
        <f t="shared" si="12"/>
        <v>235.53719008264463</v>
      </c>
      <c r="S36" s="138">
        <f t="shared" si="6"/>
        <v>49.46280991735537</v>
      </c>
      <c r="T36" s="139">
        <f t="shared" si="11"/>
        <v>0</v>
      </c>
    </row>
    <row r="37" spans="1:20" ht="78.75">
      <c r="A37" s="133">
        <v>8</v>
      </c>
      <c r="B37" s="149" t="s">
        <v>251</v>
      </c>
      <c r="C37" s="134">
        <v>0</v>
      </c>
      <c r="D37" s="134">
        <v>121</v>
      </c>
      <c r="E37" s="135">
        <v>9</v>
      </c>
      <c r="F37" s="141">
        <f t="shared" si="2"/>
        <v>108</v>
      </c>
      <c r="G37" s="135">
        <v>0</v>
      </c>
      <c r="H37" s="142">
        <v>50</v>
      </c>
      <c r="I37" s="135">
        <v>50</v>
      </c>
      <c r="J37" s="125">
        <v>49.72</v>
      </c>
      <c r="K37" s="125">
        <f t="shared" si="3"/>
        <v>2486</v>
      </c>
      <c r="L37" s="125">
        <f t="shared" si="4"/>
        <v>0</v>
      </c>
      <c r="M37" s="335"/>
      <c r="N37" s="335"/>
      <c r="O37" s="136">
        <f t="shared" si="5"/>
        <v>179</v>
      </c>
      <c r="P37" s="119">
        <f t="shared" si="0"/>
        <v>0</v>
      </c>
      <c r="Q37" s="127">
        <v>21</v>
      </c>
      <c r="R37" s="137">
        <f t="shared" si="12"/>
        <v>41.09090909090909</v>
      </c>
      <c r="S37" s="138">
        <f t="shared" si="6"/>
        <v>8.629090909090905</v>
      </c>
      <c r="T37" s="139">
        <f t="shared" si="11"/>
        <v>0</v>
      </c>
    </row>
    <row r="38" spans="1:20" ht="47.25">
      <c r="A38" s="133">
        <v>9</v>
      </c>
      <c r="B38" s="151" t="s">
        <v>252</v>
      </c>
      <c r="C38" s="134">
        <v>16</v>
      </c>
      <c r="D38" s="134">
        <v>0</v>
      </c>
      <c r="E38" s="135">
        <v>5</v>
      </c>
      <c r="F38" s="135">
        <f t="shared" si="2"/>
        <v>60</v>
      </c>
      <c r="G38" s="135"/>
      <c r="H38" s="135">
        <v>20</v>
      </c>
      <c r="I38" s="135">
        <v>36</v>
      </c>
      <c r="J38" s="125">
        <v>57</v>
      </c>
      <c r="K38" s="125">
        <f t="shared" si="3"/>
        <v>1140</v>
      </c>
      <c r="L38" s="125">
        <f t="shared" si="4"/>
        <v>0</v>
      </c>
      <c r="M38" s="335"/>
      <c r="N38" s="335"/>
      <c r="O38" s="136">
        <f t="shared" si="5"/>
        <v>24</v>
      </c>
      <c r="P38" s="119">
        <f t="shared" si="0"/>
        <v>0</v>
      </c>
      <c r="Q38" s="127">
        <v>12</v>
      </c>
      <c r="R38" s="137">
        <f>J38/1.12</f>
        <v>50.89285714285714</v>
      </c>
      <c r="S38" s="138">
        <f t="shared" si="6"/>
        <v>6.107142857142861</v>
      </c>
      <c r="T38" s="139">
        <f t="shared" si="11"/>
        <v>0</v>
      </c>
    </row>
    <row r="39" spans="1:20" ht="47.25">
      <c r="A39" s="133">
        <v>10</v>
      </c>
      <c r="B39" s="152" t="s">
        <v>253</v>
      </c>
      <c r="C39" s="134">
        <v>7</v>
      </c>
      <c r="D39" s="134">
        <v>0</v>
      </c>
      <c r="E39" s="135">
        <v>1</v>
      </c>
      <c r="F39" s="135">
        <f t="shared" si="2"/>
        <v>12</v>
      </c>
      <c r="G39" s="135"/>
      <c r="H39" s="135">
        <v>5</v>
      </c>
      <c r="I39" s="135">
        <v>12</v>
      </c>
      <c r="J39" s="125">
        <v>130</v>
      </c>
      <c r="K39" s="125">
        <f t="shared" si="3"/>
        <v>650</v>
      </c>
      <c r="L39" s="125">
        <f t="shared" si="4"/>
        <v>0</v>
      </c>
      <c r="M39" s="336"/>
      <c r="N39" s="336"/>
      <c r="O39" s="136">
        <f t="shared" si="5"/>
        <v>0</v>
      </c>
      <c r="P39" s="119">
        <f t="shared" si="0"/>
        <v>0</v>
      </c>
      <c r="Q39" s="127">
        <v>12</v>
      </c>
      <c r="R39" s="137">
        <f>J39/1.12</f>
        <v>116.07142857142856</v>
      </c>
      <c r="S39" s="138">
        <f t="shared" si="6"/>
        <v>13.928571428571445</v>
      </c>
      <c r="T39" s="139">
        <f t="shared" si="11"/>
        <v>0</v>
      </c>
    </row>
    <row r="40" spans="1:20" ht="15.75">
      <c r="A40" s="133"/>
      <c r="B40" s="153" t="s">
        <v>254</v>
      </c>
      <c r="C40" s="114">
        <f>C28+C18+C12+C10</f>
        <v>214</v>
      </c>
      <c r="D40" s="114">
        <f aca="true" t="shared" si="13" ref="D40:K40">D28+D18+D12+D10</f>
        <v>2211</v>
      </c>
      <c r="E40" s="119">
        <f t="shared" si="13"/>
        <v>426</v>
      </c>
      <c r="F40" s="154">
        <f t="shared" si="13"/>
        <v>5100</v>
      </c>
      <c r="G40" s="114">
        <f t="shared" si="13"/>
        <v>1437</v>
      </c>
      <c r="H40" s="114">
        <f t="shared" si="13"/>
        <v>570</v>
      </c>
      <c r="I40" s="114">
        <f t="shared" si="13"/>
        <v>2195</v>
      </c>
      <c r="J40" s="118" t="s">
        <v>112</v>
      </c>
      <c r="K40" s="118">
        <f t="shared" si="13"/>
        <v>22053.77</v>
      </c>
      <c r="L40" s="118">
        <f>L28+L18+L12+L10+3.43</f>
        <v>314087.92</v>
      </c>
      <c r="M40" s="155">
        <v>314085</v>
      </c>
      <c r="N40" s="155">
        <f>L40-M40</f>
        <v>2.919999999983702</v>
      </c>
      <c r="O40" s="154">
        <f aca="true" t="shared" si="14" ref="O40:T40">O28+O18+O12+O10</f>
        <v>5116</v>
      </c>
      <c r="P40" s="154">
        <f t="shared" si="14"/>
        <v>26</v>
      </c>
      <c r="Q40" s="154" t="s">
        <v>112</v>
      </c>
      <c r="R40" s="154" t="s">
        <v>112</v>
      </c>
      <c r="S40" s="154">
        <f t="shared" si="14"/>
        <v>60.00000000000006</v>
      </c>
      <c r="T40" s="118">
        <f t="shared" si="14"/>
        <v>37223.1769834711</v>
      </c>
    </row>
    <row r="41" spans="1:20" ht="15.75">
      <c r="A41" s="127"/>
      <c r="B41" s="156" t="s">
        <v>255</v>
      </c>
      <c r="C41" s="157">
        <f>C14+C17+C24+C27+C34+C36+C37</f>
        <v>24</v>
      </c>
      <c r="D41" s="157">
        <f aca="true" t="shared" si="15" ref="D41:L41">D14+D17+D24+D27+D34+D36+D37</f>
        <v>884</v>
      </c>
      <c r="E41" s="158">
        <f t="shared" si="15"/>
        <v>92</v>
      </c>
      <c r="F41" s="159">
        <f t="shared" si="15"/>
        <v>1104</v>
      </c>
      <c r="G41" s="157">
        <f t="shared" si="15"/>
        <v>148</v>
      </c>
      <c r="H41" s="157">
        <f t="shared" si="15"/>
        <v>495</v>
      </c>
      <c r="I41" s="157">
        <f t="shared" si="15"/>
        <v>667</v>
      </c>
      <c r="J41" s="160" t="s">
        <v>112</v>
      </c>
      <c r="K41" s="160">
        <f t="shared" si="15"/>
        <v>18146.27</v>
      </c>
      <c r="L41" s="160">
        <f t="shared" si="15"/>
        <v>11830</v>
      </c>
      <c r="M41" s="125" t="s">
        <v>112</v>
      </c>
      <c r="N41" s="125" t="s">
        <v>112</v>
      </c>
      <c r="O41" s="159">
        <f>O14+O17+O24+O27+O34+O36+O37</f>
        <v>1321</v>
      </c>
      <c r="P41" s="159">
        <f>P14+P17+P24+P27+P34+P36+P37</f>
        <v>0</v>
      </c>
      <c r="Q41" s="154" t="s">
        <v>112</v>
      </c>
      <c r="R41" s="154" t="s">
        <v>112</v>
      </c>
      <c r="S41" s="159">
        <f>S14+S17+S24+S27+S34+S36+S37</f>
        <v>108.51761511216057</v>
      </c>
      <c r="T41" s="160">
        <f>T14+T17+T24+T27+T34+T36+T37</f>
        <v>1337.2314049586782</v>
      </c>
    </row>
    <row r="42" spans="1:20" ht="15.75">
      <c r="A42" s="127"/>
      <c r="B42" s="161" t="s">
        <v>256</v>
      </c>
      <c r="C42" s="162">
        <f>C10+C13+C15+C16+SUM(C19:C23)+C25+C26+SUM(C29:C33)+C35+C38+C39</f>
        <v>190</v>
      </c>
      <c r="D42" s="162">
        <f aca="true" t="shared" si="16" ref="D42:L42">D10+D13+D15+D16+SUM(D19:D23)+D25+D26+SUM(D29:D33)+D35+D38+D39</f>
        <v>1327</v>
      </c>
      <c r="E42" s="136">
        <f t="shared" si="16"/>
        <v>334</v>
      </c>
      <c r="F42" s="163">
        <f t="shared" si="16"/>
        <v>3996</v>
      </c>
      <c r="G42" s="162">
        <f t="shared" si="16"/>
        <v>1289</v>
      </c>
      <c r="H42" s="162">
        <f>H10+H13+H15+H16+SUM(H19:H23)+H25+H26+SUM(H29:H33)+H35+H38+H39</f>
        <v>75</v>
      </c>
      <c r="I42" s="162">
        <f t="shared" si="16"/>
        <v>1528</v>
      </c>
      <c r="J42" s="125" t="s">
        <v>112</v>
      </c>
      <c r="K42" s="125">
        <f>K10+K13+K15+K16+SUM(K19:K23)+K25+K26+SUM(K29:K33)+K35+K38+K39</f>
        <v>3907.5</v>
      </c>
      <c r="L42" s="125">
        <f t="shared" si="16"/>
        <v>302254.49</v>
      </c>
      <c r="M42" s="125" t="s">
        <v>112</v>
      </c>
      <c r="N42" s="125" t="s">
        <v>112</v>
      </c>
      <c r="O42" s="163">
        <f>O10+O13+O15+O16+SUM(O19:O23)+O25+O26+SUM(O29:O33)+O35+O38+O39</f>
        <v>3795</v>
      </c>
      <c r="P42" s="163">
        <f>P10+P13+P15+P16+SUM(P19:P23)+P25+P26+SUM(P29:P33)+P35+P38+P39</f>
        <v>26</v>
      </c>
      <c r="Q42" s="154" t="s">
        <v>112</v>
      </c>
      <c r="R42" s="154" t="s">
        <v>112</v>
      </c>
      <c r="S42" s="163">
        <f>S10+S13+S15+S16+SUM(S19:S23)+S25+S26+SUM(S29:S33)+S35+S38+S39</f>
        <v>658.9177863046045</v>
      </c>
      <c r="T42" s="125">
        <f>T10+T13+T15+T16+SUM(T19:T23)+T25+T26+SUM(T29:T33)+T35+T38+T39</f>
        <v>35885.94557851242</v>
      </c>
    </row>
    <row r="43" spans="1:20" ht="15.75">
      <c r="A43" s="164"/>
      <c r="B43" s="165" t="s">
        <v>257</v>
      </c>
      <c r="C43" s="114" t="s">
        <v>112</v>
      </c>
      <c r="D43" s="114" t="s">
        <v>112</v>
      </c>
      <c r="E43" s="114" t="s">
        <v>112</v>
      </c>
      <c r="F43" s="114" t="s">
        <v>112</v>
      </c>
      <c r="G43" s="114" t="s">
        <v>112</v>
      </c>
      <c r="H43" s="114" t="s">
        <v>112</v>
      </c>
      <c r="I43" s="114" t="s">
        <v>112</v>
      </c>
      <c r="J43" s="114" t="s">
        <v>112</v>
      </c>
      <c r="K43" s="118">
        <v>0</v>
      </c>
      <c r="L43" s="118">
        <f>M43-2.92</f>
        <v>31405.08</v>
      </c>
      <c r="M43" s="118">
        <f>31408</f>
        <v>31408</v>
      </c>
      <c r="N43" s="155">
        <f>L43-M43</f>
        <v>-2.9199999999982538</v>
      </c>
      <c r="O43" s="154" t="s">
        <v>112</v>
      </c>
      <c r="P43" s="154" t="s">
        <v>112</v>
      </c>
      <c r="Q43" s="154" t="s">
        <v>112</v>
      </c>
      <c r="R43" s="154" t="s">
        <v>112</v>
      </c>
      <c r="S43" s="154" t="s">
        <v>112</v>
      </c>
      <c r="T43" s="154" t="s">
        <v>112</v>
      </c>
    </row>
    <row r="44" spans="1:20" ht="15.75">
      <c r="A44" s="164"/>
      <c r="B44" s="166" t="s">
        <v>258</v>
      </c>
      <c r="C44" s="114" t="s">
        <v>112</v>
      </c>
      <c r="D44" s="114" t="s">
        <v>112</v>
      </c>
      <c r="E44" s="114" t="s">
        <v>112</v>
      </c>
      <c r="F44" s="114" t="s">
        <v>112</v>
      </c>
      <c r="G44" s="114" t="s">
        <v>112</v>
      </c>
      <c r="H44" s="114" t="s">
        <v>112</v>
      </c>
      <c r="I44" s="114" t="s">
        <v>112</v>
      </c>
      <c r="J44" s="114" t="s">
        <v>112</v>
      </c>
      <c r="K44" s="118">
        <f>K40+K43</f>
        <v>22053.77</v>
      </c>
      <c r="L44" s="118">
        <f>L40+L43</f>
        <v>345493</v>
      </c>
      <c r="M44" s="118">
        <f>M40+M43</f>
        <v>345493</v>
      </c>
      <c r="N44" s="118">
        <f>N40+N43</f>
        <v>-1.4551915228366852E-11</v>
      </c>
      <c r="O44" s="154" t="s">
        <v>112</v>
      </c>
      <c r="P44" s="154" t="s">
        <v>112</v>
      </c>
      <c r="Q44" s="154" t="s">
        <v>112</v>
      </c>
      <c r="R44" s="154" t="s">
        <v>112</v>
      </c>
      <c r="S44" s="154" t="s">
        <v>112</v>
      </c>
      <c r="T44" s="154" t="s">
        <v>112</v>
      </c>
    </row>
    <row r="46" spans="2:10" ht="15.75">
      <c r="B46" s="108" t="s">
        <v>314</v>
      </c>
      <c r="C46" s="108"/>
      <c r="D46" s="108"/>
      <c r="E46" s="108"/>
      <c r="F46" s="108"/>
      <c r="G46" s="108"/>
      <c r="H46" s="108"/>
      <c r="I46" s="108"/>
      <c r="J46" s="108" t="s">
        <v>315</v>
      </c>
    </row>
    <row r="47" spans="2:10" ht="15.75">
      <c r="B47" s="108"/>
      <c r="C47" s="108"/>
      <c r="D47" s="108"/>
      <c r="E47" s="108"/>
      <c r="F47" s="108"/>
      <c r="G47" s="108"/>
      <c r="H47" s="108"/>
      <c r="I47" s="108"/>
      <c r="J47" s="108"/>
    </row>
    <row r="48" spans="2:10" ht="15.75">
      <c r="B48" s="41" t="s">
        <v>337</v>
      </c>
      <c r="C48" s="41"/>
      <c r="D48" s="41"/>
      <c r="E48" s="108"/>
      <c r="F48" s="108"/>
      <c r="G48" s="108"/>
      <c r="H48" s="108"/>
      <c r="I48" s="108"/>
      <c r="J48" s="108"/>
    </row>
    <row r="49" spans="2:10" ht="15.75">
      <c r="B49" s="41" t="s">
        <v>316</v>
      </c>
      <c r="C49" s="41"/>
      <c r="D49" s="41"/>
      <c r="E49" s="108"/>
      <c r="F49" s="108"/>
      <c r="G49" s="108"/>
      <c r="H49" s="108"/>
      <c r="I49" s="108"/>
      <c r="J49" s="108"/>
    </row>
    <row r="50" spans="2:10" ht="15.75">
      <c r="B50" s="41" t="s">
        <v>317</v>
      </c>
      <c r="C50" s="41"/>
      <c r="D50" s="41"/>
      <c r="E50" s="108"/>
      <c r="F50" s="108"/>
      <c r="G50" s="108"/>
      <c r="H50" s="108"/>
      <c r="I50" s="108"/>
      <c r="J50" s="108"/>
    </row>
  </sheetData>
  <sheetProtection/>
  <mergeCells count="21">
    <mergeCell ref="A11:B11"/>
    <mergeCell ref="F4:J4"/>
    <mergeCell ref="D7:L7"/>
    <mergeCell ref="S7:S8"/>
    <mergeCell ref="M10:M39"/>
    <mergeCell ref="P7:P8"/>
    <mergeCell ref="A12:B12"/>
    <mergeCell ref="A18:B18"/>
    <mergeCell ref="A28:B28"/>
    <mergeCell ref="T7:T8"/>
    <mergeCell ref="Q7:Q8"/>
    <mergeCell ref="P2:S2"/>
    <mergeCell ref="N3:S3"/>
    <mergeCell ref="R7:R8"/>
    <mergeCell ref="N10:N39"/>
    <mergeCell ref="R1:S1"/>
    <mergeCell ref="A5:O5"/>
    <mergeCell ref="A7:A8"/>
    <mergeCell ref="B7:B8"/>
    <mergeCell ref="C7:C8"/>
    <mergeCell ref="O7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Footer>&amp;CLMpielik_26_070815_LMZino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="84" zoomScaleNormal="84" workbookViewId="0" topLeftCell="A35">
      <selection activeCell="B58" sqref="B58"/>
    </sheetView>
  </sheetViews>
  <sheetFormatPr defaultColWidth="9.140625" defaultRowHeight="12.75"/>
  <cols>
    <col min="1" max="1" width="3.8515625" style="0" customWidth="1"/>
    <col min="2" max="2" width="30.140625" style="0" customWidth="1"/>
    <col min="3" max="3" width="12.7109375" style="0" customWidth="1"/>
    <col min="4" max="4" width="13.00390625" style="0" customWidth="1"/>
    <col min="5" max="5" width="13.7109375" style="0" customWidth="1"/>
    <col min="6" max="9" width="10.140625" style="0" customWidth="1"/>
    <col min="10" max="10" width="13.00390625" style="0" customWidth="1"/>
    <col min="11" max="11" width="15.421875" style="0" customWidth="1"/>
    <col min="12" max="12" width="15.8515625" style="0" customWidth="1"/>
    <col min="13" max="13" width="14.57421875" style="0" customWidth="1"/>
    <col min="14" max="14" width="16.00390625" style="0" customWidth="1"/>
    <col min="15" max="15" width="11.7109375" style="0" customWidth="1"/>
    <col min="16" max="16" width="11.8515625" style="0" customWidth="1"/>
    <col min="17" max="17" width="8.57421875" style="0" customWidth="1"/>
    <col min="18" max="18" width="11.28125" style="0" customWidth="1"/>
    <col min="19" max="19" width="9.421875" style="0" customWidth="1"/>
    <col min="20" max="20" width="13.57421875" style="0" customWidth="1"/>
  </cols>
  <sheetData>
    <row r="1" spans="7:20" ht="15.75">
      <c r="G1" s="106"/>
      <c r="H1" s="106"/>
      <c r="I1" s="106"/>
      <c r="J1" s="106"/>
      <c r="K1" s="106"/>
      <c r="L1" s="106"/>
      <c r="M1" s="106"/>
      <c r="O1" s="107"/>
      <c r="P1" s="107"/>
      <c r="R1" s="254" t="s">
        <v>330</v>
      </c>
      <c r="S1" s="254"/>
      <c r="T1" s="254"/>
    </row>
    <row r="2" spans="7:20" ht="15.75">
      <c r="G2" s="106"/>
      <c r="H2" s="106"/>
      <c r="I2" s="106"/>
      <c r="J2" s="106"/>
      <c r="K2" s="106"/>
      <c r="L2" s="106"/>
      <c r="M2" s="106"/>
      <c r="Q2" s="261" t="s">
        <v>318</v>
      </c>
      <c r="R2" s="261"/>
      <c r="S2" s="261"/>
      <c r="T2" s="261"/>
    </row>
    <row r="3" spans="7:20" ht="37.5" customHeight="1">
      <c r="G3" s="106"/>
      <c r="H3" s="106"/>
      <c r="I3" s="106"/>
      <c r="J3" s="106"/>
      <c r="K3" s="106"/>
      <c r="L3" s="106"/>
      <c r="M3" s="106"/>
      <c r="O3" s="262" t="s">
        <v>320</v>
      </c>
      <c r="P3" s="262"/>
      <c r="Q3" s="262"/>
      <c r="R3" s="262"/>
      <c r="S3" s="262"/>
      <c r="T3" s="262"/>
    </row>
    <row r="4" spans="6:13" ht="18.75">
      <c r="F4" s="327" t="s">
        <v>202</v>
      </c>
      <c r="G4" s="327"/>
      <c r="H4" s="327"/>
      <c r="I4" s="327"/>
      <c r="J4" s="327"/>
      <c r="K4" s="106"/>
      <c r="L4" s="106"/>
      <c r="M4" s="106"/>
    </row>
    <row r="5" spans="1:16" ht="18.75">
      <c r="A5" s="330" t="s">
        <v>263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108"/>
    </row>
    <row r="6" spans="1:16" ht="15.75">
      <c r="A6" s="108"/>
      <c r="B6" s="108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8"/>
      <c r="O6" s="110"/>
      <c r="P6" s="110"/>
    </row>
    <row r="7" spans="1:20" ht="15.75">
      <c r="A7" s="331" t="s">
        <v>114</v>
      </c>
      <c r="B7" s="331" t="s">
        <v>115</v>
      </c>
      <c r="C7" s="326" t="s">
        <v>259</v>
      </c>
      <c r="D7" s="339" t="s">
        <v>198</v>
      </c>
      <c r="E7" s="339"/>
      <c r="F7" s="339"/>
      <c r="G7" s="339"/>
      <c r="H7" s="339"/>
      <c r="I7" s="339"/>
      <c r="J7" s="339"/>
      <c r="K7" s="339"/>
      <c r="L7" s="339"/>
      <c r="M7" s="162"/>
      <c r="N7" s="111"/>
      <c r="O7" s="326" t="s">
        <v>260</v>
      </c>
      <c r="P7" s="326" t="s">
        <v>261</v>
      </c>
      <c r="Q7" s="326" t="s">
        <v>186</v>
      </c>
      <c r="R7" s="326" t="s">
        <v>187</v>
      </c>
      <c r="S7" s="326" t="s">
        <v>188</v>
      </c>
      <c r="T7" s="333" t="s">
        <v>189</v>
      </c>
    </row>
    <row r="8" spans="1:20" ht="94.5">
      <c r="A8" s="332"/>
      <c r="B8" s="332"/>
      <c r="C8" s="326"/>
      <c r="D8" s="105" t="s">
        <v>262</v>
      </c>
      <c r="E8" s="112" t="s">
        <v>329</v>
      </c>
      <c r="F8" s="105" t="s">
        <v>209</v>
      </c>
      <c r="G8" s="112" t="s">
        <v>210</v>
      </c>
      <c r="H8" s="112" t="s">
        <v>211</v>
      </c>
      <c r="I8" s="112" t="s">
        <v>212</v>
      </c>
      <c r="J8" s="112" t="s">
        <v>326</v>
      </c>
      <c r="K8" s="112" t="s">
        <v>213</v>
      </c>
      <c r="L8" s="112" t="s">
        <v>214</v>
      </c>
      <c r="M8" s="112" t="s">
        <v>215</v>
      </c>
      <c r="N8" s="112" t="s">
        <v>216</v>
      </c>
      <c r="O8" s="326"/>
      <c r="P8" s="326"/>
      <c r="Q8" s="326"/>
      <c r="R8" s="326"/>
      <c r="S8" s="326"/>
      <c r="T8" s="333"/>
    </row>
    <row r="9" spans="1:20" ht="25.5">
      <c r="A9" s="167">
        <v>1</v>
      </c>
      <c r="B9" s="167">
        <v>2</v>
      </c>
      <c r="C9" s="168">
        <v>3</v>
      </c>
      <c r="D9" s="168">
        <v>4</v>
      </c>
      <c r="E9" s="168">
        <v>5</v>
      </c>
      <c r="F9" s="168" t="s">
        <v>217</v>
      </c>
      <c r="G9" s="169">
        <v>7</v>
      </c>
      <c r="H9" s="169">
        <v>8</v>
      </c>
      <c r="I9" s="169">
        <v>9</v>
      </c>
      <c r="J9" s="169">
        <v>10</v>
      </c>
      <c r="K9" s="169" t="s">
        <v>218</v>
      </c>
      <c r="L9" s="169" t="s">
        <v>219</v>
      </c>
      <c r="M9" s="169">
        <v>13</v>
      </c>
      <c r="N9" s="170">
        <v>14</v>
      </c>
      <c r="O9" s="170" t="s">
        <v>220</v>
      </c>
      <c r="P9" s="170">
        <v>16</v>
      </c>
      <c r="Q9" s="167">
        <v>17</v>
      </c>
      <c r="R9" s="167" t="s">
        <v>221</v>
      </c>
      <c r="S9" s="167" t="s">
        <v>222</v>
      </c>
      <c r="T9" s="167" t="s">
        <v>223</v>
      </c>
    </row>
    <row r="10" spans="1:20" ht="15.75">
      <c r="A10" s="114">
        <v>1</v>
      </c>
      <c r="B10" s="115" t="s">
        <v>224</v>
      </c>
      <c r="C10" s="116">
        <v>0</v>
      </c>
      <c r="D10" s="117">
        <f>'[1]Pielik_2_TP_2016'!O8</f>
        <v>283</v>
      </c>
      <c r="E10" s="117">
        <v>49</v>
      </c>
      <c r="F10" s="117">
        <f>E10*12</f>
        <v>588</v>
      </c>
      <c r="G10" s="117">
        <v>400</v>
      </c>
      <c r="H10" s="117"/>
      <c r="I10" s="117">
        <v>400</v>
      </c>
      <c r="J10" s="118">
        <v>560</v>
      </c>
      <c r="K10" s="118">
        <f>H10*J10</f>
        <v>0</v>
      </c>
      <c r="L10" s="118">
        <f>G10*J10</f>
        <v>224000</v>
      </c>
      <c r="M10" s="334"/>
      <c r="N10" s="334"/>
      <c r="O10" s="119">
        <f>D10+F10-I10</f>
        <v>471</v>
      </c>
      <c r="P10" s="119">
        <f>C10+G10+H10-I10</f>
        <v>0</v>
      </c>
      <c r="Q10" s="120">
        <v>12</v>
      </c>
      <c r="R10" s="121">
        <f>J10/1.12</f>
        <v>499.99999999999994</v>
      </c>
      <c r="S10" s="122">
        <f>J10-R10</f>
        <v>60.00000000000006</v>
      </c>
      <c r="T10" s="123">
        <f>S10*G10</f>
        <v>24000.000000000022</v>
      </c>
    </row>
    <row r="11" spans="1:20" ht="15.75">
      <c r="A11" s="337" t="s">
        <v>225</v>
      </c>
      <c r="B11" s="338"/>
      <c r="C11" s="116"/>
      <c r="D11" s="116"/>
      <c r="E11" s="117"/>
      <c r="F11" s="61"/>
      <c r="G11" s="124"/>
      <c r="H11" s="124"/>
      <c r="I11" s="124"/>
      <c r="J11" s="125"/>
      <c r="K11" s="125"/>
      <c r="L11" s="126"/>
      <c r="M11" s="335"/>
      <c r="N11" s="335"/>
      <c r="O11" s="114"/>
      <c r="P11" s="119">
        <f aca="true" t="shared" si="0" ref="P11:P39">C11+G11+H11-I11</f>
        <v>0</v>
      </c>
      <c r="Q11" s="127"/>
      <c r="R11" s="127"/>
      <c r="S11" s="127"/>
      <c r="T11" s="111"/>
    </row>
    <row r="12" spans="1:20" ht="15.75">
      <c r="A12" s="340" t="s">
        <v>226</v>
      </c>
      <c r="B12" s="341"/>
      <c r="C12" s="128">
        <f aca="true" t="shared" si="1" ref="C12:L12">SUM(C13:C17)</f>
        <v>0</v>
      </c>
      <c r="D12" s="128">
        <f t="shared" si="1"/>
        <v>1641</v>
      </c>
      <c r="E12" s="128">
        <f t="shared" si="1"/>
        <v>154</v>
      </c>
      <c r="F12" s="128">
        <f t="shared" si="1"/>
        <v>1848</v>
      </c>
      <c r="G12" s="128">
        <f t="shared" si="1"/>
        <v>450</v>
      </c>
      <c r="H12" s="128">
        <f t="shared" si="1"/>
        <v>0</v>
      </c>
      <c r="I12" s="128">
        <f t="shared" si="1"/>
        <v>450</v>
      </c>
      <c r="J12" s="129" t="s">
        <v>112</v>
      </c>
      <c r="K12" s="130">
        <f t="shared" si="1"/>
        <v>0</v>
      </c>
      <c r="L12" s="130">
        <f t="shared" si="1"/>
        <v>29338.5</v>
      </c>
      <c r="M12" s="335"/>
      <c r="N12" s="335"/>
      <c r="O12" s="128">
        <f>SUM(O13:O17)</f>
        <v>3039</v>
      </c>
      <c r="P12" s="131">
        <f t="shared" si="0"/>
        <v>0</v>
      </c>
      <c r="Q12" s="132"/>
      <c r="R12" s="132"/>
      <c r="S12" s="132"/>
      <c r="T12" s="130">
        <f>SUM(T13:T17)</f>
        <v>3463.6770956316423</v>
      </c>
    </row>
    <row r="13" spans="1:20" ht="31.5">
      <c r="A13" s="133">
        <v>1</v>
      </c>
      <c r="B13" s="133" t="s">
        <v>227</v>
      </c>
      <c r="C13" s="135">
        <f>'[1]Pielik_2_TP_2016'!P11</f>
        <v>0</v>
      </c>
      <c r="D13" s="135">
        <f>'[1]Pielik_2_TP_2016'!O11</f>
        <v>198</v>
      </c>
      <c r="E13" s="135">
        <v>27</v>
      </c>
      <c r="F13" s="135">
        <f aca="true" t="shared" si="2" ref="F13:F39">E13*12</f>
        <v>324</v>
      </c>
      <c r="G13" s="135">
        <v>100</v>
      </c>
      <c r="H13" s="135"/>
      <c r="I13" s="135">
        <v>100</v>
      </c>
      <c r="J13" s="125">
        <v>104.06</v>
      </c>
      <c r="K13" s="125">
        <f>H13*J13</f>
        <v>0</v>
      </c>
      <c r="L13" s="125">
        <f>G13*J13</f>
        <v>10406</v>
      </c>
      <c r="M13" s="335"/>
      <c r="N13" s="335"/>
      <c r="O13" s="136">
        <f>D13+F13-I13</f>
        <v>422</v>
      </c>
      <c r="P13" s="119">
        <f t="shared" si="0"/>
        <v>0</v>
      </c>
      <c r="Q13" s="127">
        <v>12</v>
      </c>
      <c r="R13" s="137">
        <f>J13/1.12</f>
        <v>92.91071428571428</v>
      </c>
      <c r="S13" s="138">
        <f>J13-R13</f>
        <v>11.149285714285725</v>
      </c>
      <c r="T13" s="139">
        <f>S13*G13</f>
        <v>1114.9285714285725</v>
      </c>
    </row>
    <row r="14" spans="1:20" ht="15.75">
      <c r="A14" s="140">
        <v>2</v>
      </c>
      <c r="B14" s="140" t="s">
        <v>228</v>
      </c>
      <c r="C14" s="135">
        <f>'[1]Pielik_2_TP_2016'!P12</f>
        <v>0</v>
      </c>
      <c r="D14" s="135">
        <f>'[1]Pielik_2_TP_2016'!O12</f>
        <v>350</v>
      </c>
      <c r="E14" s="135">
        <v>25</v>
      </c>
      <c r="F14" s="141">
        <f t="shared" si="2"/>
        <v>300</v>
      </c>
      <c r="G14" s="135">
        <v>100</v>
      </c>
      <c r="H14" s="141"/>
      <c r="I14" s="142">
        <v>100</v>
      </c>
      <c r="J14" s="125">
        <v>110</v>
      </c>
      <c r="K14" s="125">
        <f aca="true" t="shared" si="3" ref="K14:K39">H14*J14</f>
        <v>0</v>
      </c>
      <c r="L14" s="125">
        <f aca="true" t="shared" si="4" ref="L14:L39">G14*J14</f>
        <v>11000</v>
      </c>
      <c r="M14" s="335"/>
      <c r="N14" s="335"/>
      <c r="O14" s="136">
        <f aca="true" t="shared" si="5" ref="O14:O39">D14+F14-I14</f>
        <v>550</v>
      </c>
      <c r="P14" s="119">
        <f t="shared" si="0"/>
        <v>0</v>
      </c>
      <c r="Q14" s="127">
        <v>12</v>
      </c>
      <c r="R14" s="137">
        <f>J14/1.12</f>
        <v>98.21428571428571</v>
      </c>
      <c r="S14" s="138">
        <f aca="true" t="shared" si="6" ref="S14:S39">J14-R14</f>
        <v>11.785714285714292</v>
      </c>
      <c r="T14" s="139">
        <f>S14*G14</f>
        <v>1178.5714285714291</v>
      </c>
    </row>
    <row r="15" spans="1:20" ht="63">
      <c r="A15" s="133">
        <v>3</v>
      </c>
      <c r="B15" s="133" t="s">
        <v>229</v>
      </c>
      <c r="C15" s="135">
        <f>'[1]Pielik_2_TP_2016'!P13</f>
        <v>0</v>
      </c>
      <c r="D15" s="135">
        <f>'[1]Pielik_2_TP_2016'!O13</f>
        <v>511</v>
      </c>
      <c r="E15" s="135">
        <v>61</v>
      </c>
      <c r="F15" s="135">
        <f t="shared" si="2"/>
        <v>732</v>
      </c>
      <c r="G15" s="135">
        <v>100</v>
      </c>
      <c r="H15" s="135"/>
      <c r="I15" s="135">
        <v>100</v>
      </c>
      <c r="J15" s="125">
        <v>31.1</v>
      </c>
      <c r="K15" s="125">
        <f t="shared" si="3"/>
        <v>0</v>
      </c>
      <c r="L15" s="125">
        <f t="shared" si="4"/>
        <v>3110</v>
      </c>
      <c r="M15" s="335"/>
      <c r="N15" s="335"/>
      <c r="O15" s="136">
        <f t="shared" si="5"/>
        <v>1143</v>
      </c>
      <c r="P15" s="119">
        <f t="shared" si="0"/>
        <v>0</v>
      </c>
      <c r="Q15" s="127">
        <v>12</v>
      </c>
      <c r="R15" s="137">
        <f>J15/1.12</f>
        <v>27.767857142857142</v>
      </c>
      <c r="S15" s="138">
        <f t="shared" si="6"/>
        <v>3.332142857142859</v>
      </c>
      <c r="T15" s="139">
        <f>S15*G15</f>
        <v>333.2142857142859</v>
      </c>
    </row>
    <row r="16" spans="1:20" ht="31.5">
      <c r="A16" s="133">
        <v>4</v>
      </c>
      <c r="B16" s="133" t="s">
        <v>230</v>
      </c>
      <c r="C16" s="135">
        <f>'[1]Pielik_2_TP_2016'!P14</f>
        <v>0</v>
      </c>
      <c r="D16" s="135">
        <f>'[1]Pielik_2_TP_2016'!O14</f>
        <v>368</v>
      </c>
      <c r="E16" s="135">
        <v>29</v>
      </c>
      <c r="F16" s="135">
        <f t="shared" si="2"/>
        <v>348</v>
      </c>
      <c r="G16" s="135">
        <v>50</v>
      </c>
      <c r="H16" s="135">
        <v>0</v>
      </c>
      <c r="I16" s="135">
        <v>50</v>
      </c>
      <c r="J16" s="125">
        <v>54.45</v>
      </c>
      <c r="K16" s="125">
        <f t="shared" si="3"/>
        <v>0</v>
      </c>
      <c r="L16" s="125">
        <f t="shared" si="4"/>
        <v>2722.5</v>
      </c>
      <c r="M16" s="335"/>
      <c r="N16" s="335"/>
      <c r="O16" s="136">
        <f>D16+F16-I16</f>
        <v>666</v>
      </c>
      <c r="P16" s="119">
        <f t="shared" si="0"/>
        <v>0</v>
      </c>
      <c r="Q16" s="127">
        <v>21</v>
      </c>
      <c r="R16" s="137">
        <f>J16/1.21</f>
        <v>45.00000000000001</v>
      </c>
      <c r="S16" s="138">
        <f t="shared" si="6"/>
        <v>9.449999999999996</v>
      </c>
      <c r="T16" s="139">
        <f>S16*G16</f>
        <v>472.4999999999998</v>
      </c>
    </row>
    <row r="17" spans="1:20" ht="15.75">
      <c r="A17" s="171">
        <v>5</v>
      </c>
      <c r="B17" s="171" t="s">
        <v>231</v>
      </c>
      <c r="C17" s="135">
        <f>'[1]Pielik_2_TP_2016'!P15</f>
        <v>0</v>
      </c>
      <c r="D17" s="135">
        <f>'[1]Pielik_2_TP_2016'!O15</f>
        <v>214</v>
      </c>
      <c r="E17" s="135">
        <v>12</v>
      </c>
      <c r="F17" s="141">
        <f t="shared" si="2"/>
        <v>144</v>
      </c>
      <c r="G17" s="135">
        <v>100</v>
      </c>
      <c r="H17" s="141">
        <v>0</v>
      </c>
      <c r="I17" s="135">
        <v>100</v>
      </c>
      <c r="J17" s="125">
        <v>21</v>
      </c>
      <c r="K17" s="125">
        <f t="shared" si="3"/>
        <v>0</v>
      </c>
      <c r="L17" s="125">
        <f t="shared" si="4"/>
        <v>2100</v>
      </c>
      <c r="M17" s="335"/>
      <c r="N17" s="335"/>
      <c r="O17" s="136">
        <f t="shared" si="5"/>
        <v>258</v>
      </c>
      <c r="P17" s="119">
        <f t="shared" si="0"/>
        <v>0</v>
      </c>
      <c r="Q17" s="127">
        <v>21</v>
      </c>
      <c r="R17" s="137">
        <f>J17/1.21</f>
        <v>17.355371900826448</v>
      </c>
      <c r="S17" s="138">
        <f t="shared" si="6"/>
        <v>3.644628099173552</v>
      </c>
      <c r="T17" s="139">
        <f>S17*G17</f>
        <v>364.46280991735523</v>
      </c>
    </row>
    <row r="18" spans="1:20" ht="15.75">
      <c r="A18" s="342" t="s">
        <v>232</v>
      </c>
      <c r="B18" s="343"/>
      <c r="C18" s="131">
        <f>SUM(C19:C27)</f>
        <v>0</v>
      </c>
      <c r="D18" s="131">
        <f>SUM(D19:D27)</f>
        <v>2481</v>
      </c>
      <c r="E18" s="131">
        <f>SUM(E19:E27)</f>
        <v>165</v>
      </c>
      <c r="F18" s="131">
        <f aca="true" t="shared" si="7" ref="F18:L18">SUM(F19:F27)</f>
        <v>1980</v>
      </c>
      <c r="G18" s="131">
        <f t="shared" si="7"/>
        <v>341</v>
      </c>
      <c r="H18" s="131">
        <f t="shared" si="7"/>
        <v>200</v>
      </c>
      <c r="I18" s="131">
        <f t="shared" si="7"/>
        <v>541</v>
      </c>
      <c r="J18" s="143" t="s">
        <v>112</v>
      </c>
      <c r="K18" s="144">
        <f t="shared" si="7"/>
        <v>3345</v>
      </c>
      <c r="L18" s="144">
        <f t="shared" si="7"/>
        <v>27620.7</v>
      </c>
      <c r="M18" s="335"/>
      <c r="N18" s="335"/>
      <c r="O18" s="131">
        <f>SUM(O19:O27)</f>
        <v>3920</v>
      </c>
      <c r="P18" s="131">
        <f t="shared" si="0"/>
        <v>0</v>
      </c>
      <c r="Q18" s="132"/>
      <c r="R18" s="145"/>
      <c r="S18" s="132"/>
      <c r="T18" s="144">
        <f>SUM(T19:T27)</f>
        <v>4262.388311688313</v>
      </c>
    </row>
    <row r="19" spans="1:20" ht="31.5">
      <c r="A19" s="133">
        <v>1</v>
      </c>
      <c r="B19" s="133" t="s">
        <v>233</v>
      </c>
      <c r="C19" s="135">
        <f>'[1]Pielik_2_TP_2016'!P17</f>
        <v>0</v>
      </c>
      <c r="D19" s="135">
        <f>'[1]Pielik_2_TP_2016'!O17</f>
        <v>52</v>
      </c>
      <c r="E19" s="135">
        <v>11</v>
      </c>
      <c r="F19" s="146">
        <f t="shared" si="2"/>
        <v>132</v>
      </c>
      <c r="G19" s="135">
        <v>100</v>
      </c>
      <c r="H19" s="146"/>
      <c r="I19" s="146">
        <v>100</v>
      </c>
      <c r="J19" s="125">
        <v>30</v>
      </c>
      <c r="K19" s="125">
        <f t="shared" si="3"/>
        <v>0</v>
      </c>
      <c r="L19" s="125">
        <f t="shared" si="4"/>
        <v>3000</v>
      </c>
      <c r="M19" s="335"/>
      <c r="N19" s="335"/>
      <c r="O19" s="136">
        <f t="shared" si="5"/>
        <v>84</v>
      </c>
      <c r="P19" s="119">
        <f t="shared" si="0"/>
        <v>0</v>
      </c>
      <c r="Q19" s="127">
        <v>12</v>
      </c>
      <c r="R19" s="137">
        <f>J19/1.12</f>
        <v>26.785714285714285</v>
      </c>
      <c r="S19" s="138">
        <f t="shared" si="6"/>
        <v>3.2142857142857153</v>
      </c>
      <c r="T19" s="139">
        <f>S19*G19</f>
        <v>321.42857142857156</v>
      </c>
    </row>
    <row r="20" spans="1:20" ht="15.75">
      <c r="A20" s="133">
        <v>1</v>
      </c>
      <c r="B20" s="133" t="s">
        <v>234</v>
      </c>
      <c r="C20" s="135">
        <f>'[1]Pielik_2_TP_2016'!P18</f>
        <v>0</v>
      </c>
      <c r="D20" s="135">
        <f>'[1]Pielik_2_TP_2016'!O18</f>
        <v>42</v>
      </c>
      <c r="E20" s="135">
        <v>9</v>
      </c>
      <c r="F20" s="146">
        <f t="shared" si="2"/>
        <v>108</v>
      </c>
      <c r="G20" s="135">
        <v>100</v>
      </c>
      <c r="H20" s="146"/>
      <c r="I20" s="146">
        <v>100</v>
      </c>
      <c r="J20" s="125">
        <v>50</v>
      </c>
      <c r="K20" s="125">
        <f t="shared" si="3"/>
        <v>0</v>
      </c>
      <c r="L20" s="125">
        <f t="shared" si="4"/>
        <v>5000</v>
      </c>
      <c r="M20" s="335"/>
      <c r="N20" s="335"/>
      <c r="O20" s="136">
        <f t="shared" si="5"/>
        <v>50</v>
      </c>
      <c r="P20" s="119">
        <f t="shared" si="0"/>
        <v>0</v>
      </c>
      <c r="Q20" s="127">
        <v>12</v>
      </c>
      <c r="R20" s="137">
        <f>J20/1.12</f>
        <v>44.64285714285714</v>
      </c>
      <c r="S20" s="138">
        <f t="shared" si="6"/>
        <v>5.357142857142861</v>
      </c>
      <c r="T20" s="139">
        <f aca="true" t="shared" si="8" ref="T20:T27">S20*G20</f>
        <v>535.7142857142861</v>
      </c>
    </row>
    <row r="21" spans="1:20" ht="15.75">
      <c r="A21" s="133">
        <v>2</v>
      </c>
      <c r="B21" s="133" t="s">
        <v>235</v>
      </c>
      <c r="C21" s="135">
        <f>'[1]Pielik_2_TP_2016'!P19</f>
        <v>0</v>
      </c>
      <c r="D21" s="135">
        <f>'[1]Pielik_2_TP_2016'!O19</f>
        <v>631</v>
      </c>
      <c r="E21" s="135">
        <v>41</v>
      </c>
      <c r="F21" s="146">
        <f t="shared" si="2"/>
        <v>492</v>
      </c>
      <c r="G21" s="135">
        <v>19</v>
      </c>
      <c r="H21" s="146"/>
      <c r="I21" s="146">
        <v>19</v>
      </c>
      <c r="J21" s="125">
        <v>94.8</v>
      </c>
      <c r="K21" s="125">
        <f t="shared" si="3"/>
        <v>0</v>
      </c>
      <c r="L21" s="125">
        <f t="shared" si="4"/>
        <v>1801.2</v>
      </c>
      <c r="M21" s="335"/>
      <c r="N21" s="335"/>
      <c r="O21" s="136">
        <f t="shared" si="5"/>
        <v>1104</v>
      </c>
      <c r="P21" s="119">
        <f t="shared" si="0"/>
        <v>0</v>
      </c>
      <c r="Q21" s="127">
        <v>21</v>
      </c>
      <c r="R21" s="137">
        <f>J21/1.21</f>
        <v>78.34710743801652</v>
      </c>
      <c r="S21" s="138">
        <f t="shared" si="6"/>
        <v>16.452892561983475</v>
      </c>
      <c r="T21" s="139">
        <f t="shared" si="8"/>
        <v>312.604958677686</v>
      </c>
    </row>
    <row r="22" spans="1:20" ht="15.75">
      <c r="A22" s="133">
        <v>3</v>
      </c>
      <c r="B22" s="133" t="s">
        <v>236</v>
      </c>
      <c r="C22" s="135">
        <f>'[1]Pielik_2_TP_2016'!P20</f>
        <v>0</v>
      </c>
      <c r="D22" s="135">
        <f>'[1]Pielik_2_TP_2016'!O20</f>
        <v>1040</v>
      </c>
      <c r="E22" s="135">
        <v>45</v>
      </c>
      <c r="F22" s="146">
        <f t="shared" si="2"/>
        <v>540</v>
      </c>
      <c r="G22" s="135">
        <v>20</v>
      </c>
      <c r="H22" s="146"/>
      <c r="I22" s="146">
        <f>G22</f>
        <v>20</v>
      </c>
      <c r="J22" s="125">
        <v>334.2</v>
      </c>
      <c r="K22" s="125">
        <f>H22*J22</f>
        <v>0</v>
      </c>
      <c r="L22" s="125">
        <f t="shared" si="4"/>
        <v>6684</v>
      </c>
      <c r="M22" s="335"/>
      <c r="N22" s="335"/>
      <c r="O22" s="136">
        <f t="shared" si="5"/>
        <v>1560</v>
      </c>
      <c r="P22" s="119">
        <f>C22+G22+H22-I22</f>
        <v>0</v>
      </c>
      <c r="Q22" s="127">
        <v>21</v>
      </c>
      <c r="R22" s="137">
        <f aca="true" t="shared" si="9" ref="R22:R27">J22/1.21</f>
        <v>276.198347107438</v>
      </c>
      <c r="S22" s="138">
        <f t="shared" si="6"/>
        <v>58.00165289256199</v>
      </c>
      <c r="T22" s="139">
        <f t="shared" si="8"/>
        <v>1160.0330578512398</v>
      </c>
    </row>
    <row r="23" spans="1:20" ht="47.25">
      <c r="A23" s="147">
        <v>4</v>
      </c>
      <c r="B23" s="148" t="s">
        <v>237</v>
      </c>
      <c r="C23" s="135">
        <f>'[1]Pielik_2_TP_2016'!P21</f>
        <v>0</v>
      </c>
      <c r="D23" s="135">
        <f>'[1]Pielik_2_TP_2016'!O21</f>
        <v>47</v>
      </c>
      <c r="E23" s="135">
        <v>2</v>
      </c>
      <c r="F23" s="146">
        <f t="shared" si="2"/>
        <v>24</v>
      </c>
      <c r="G23" s="135"/>
      <c r="H23" s="146"/>
      <c r="I23" s="146">
        <f>G23</f>
        <v>0</v>
      </c>
      <c r="J23" s="125">
        <v>170</v>
      </c>
      <c r="K23" s="125">
        <f>H23*J23</f>
        <v>0</v>
      </c>
      <c r="L23" s="125">
        <f t="shared" si="4"/>
        <v>0</v>
      </c>
      <c r="M23" s="335"/>
      <c r="N23" s="335"/>
      <c r="O23" s="136">
        <f t="shared" si="5"/>
        <v>71</v>
      </c>
      <c r="P23" s="119">
        <f>C23+G23+H23-I23</f>
        <v>0</v>
      </c>
      <c r="Q23" s="127">
        <v>21</v>
      </c>
      <c r="R23" s="137">
        <f t="shared" si="9"/>
        <v>140.49586776859505</v>
      </c>
      <c r="S23" s="138">
        <f t="shared" si="6"/>
        <v>29.504132231404952</v>
      </c>
      <c r="T23" s="139">
        <f t="shared" si="8"/>
        <v>0</v>
      </c>
    </row>
    <row r="24" spans="1:20" ht="31.5">
      <c r="A24" s="140">
        <v>5</v>
      </c>
      <c r="B24" s="149" t="s">
        <v>238</v>
      </c>
      <c r="C24" s="135">
        <f>'[1]Pielik_2_TP_2016'!P22</f>
        <v>0</v>
      </c>
      <c r="D24" s="135">
        <f>'[1]Pielik_2_TP_2016'!O22</f>
        <v>190</v>
      </c>
      <c r="E24" s="135">
        <v>18</v>
      </c>
      <c r="F24" s="141">
        <f t="shared" si="2"/>
        <v>216</v>
      </c>
      <c r="G24" s="141"/>
      <c r="H24" s="142">
        <v>100</v>
      </c>
      <c r="I24" s="150">
        <v>100</v>
      </c>
      <c r="J24" s="125">
        <v>24.45</v>
      </c>
      <c r="K24" s="125">
        <f t="shared" si="3"/>
        <v>2445</v>
      </c>
      <c r="L24" s="125">
        <f t="shared" si="4"/>
        <v>0</v>
      </c>
      <c r="M24" s="335"/>
      <c r="N24" s="335"/>
      <c r="O24" s="136">
        <f t="shared" si="5"/>
        <v>306</v>
      </c>
      <c r="P24" s="119">
        <f t="shared" si="0"/>
        <v>0</v>
      </c>
      <c r="Q24" s="127">
        <v>21</v>
      </c>
      <c r="R24" s="137">
        <f t="shared" si="9"/>
        <v>20.206611570247933</v>
      </c>
      <c r="S24" s="138">
        <f t="shared" si="6"/>
        <v>4.243388429752066</v>
      </c>
      <c r="T24" s="139">
        <f t="shared" si="8"/>
        <v>0</v>
      </c>
    </row>
    <row r="25" spans="1:20" ht="15.75">
      <c r="A25" s="133">
        <v>6</v>
      </c>
      <c r="B25" s="151" t="s">
        <v>239</v>
      </c>
      <c r="C25" s="135">
        <f>'[1]Pielik_2_TP_2016'!P23</f>
        <v>0</v>
      </c>
      <c r="D25" s="135">
        <f>'[1]Pielik_2_TP_2016'!O23</f>
        <v>144</v>
      </c>
      <c r="E25" s="135">
        <v>8</v>
      </c>
      <c r="F25" s="135">
        <f t="shared" si="2"/>
        <v>96</v>
      </c>
      <c r="G25" s="135">
        <v>50</v>
      </c>
      <c r="H25" s="135"/>
      <c r="I25" s="146">
        <v>50</v>
      </c>
      <c r="J25" s="125">
        <v>180</v>
      </c>
      <c r="K25" s="125">
        <f t="shared" si="3"/>
        <v>0</v>
      </c>
      <c r="L25" s="125">
        <f t="shared" si="4"/>
        <v>9000</v>
      </c>
      <c r="M25" s="335"/>
      <c r="N25" s="335"/>
      <c r="O25" s="136">
        <f t="shared" si="5"/>
        <v>190</v>
      </c>
      <c r="P25" s="119">
        <f t="shared" si="0"/>
        <v>0</v>
      </c>
      <c r="Q25" s="127">
        <v>21</v>
      </c>
      <c r="R25" s="137">
        <f t="shared" si="9"/>
        <v>148.7603305785124</v>
      </c>
      <c r="S25" s="138">
        <f t="shared" si="6"/>
        <v>31.239669421487605</v>
      </c>
      <c r="T25" s="139">
        <f t="shared" si="8"/>
        <v>1561.9834710743803</v>
      </c>
    </row>
    <row r="26" spans="1:20" ht="15.75">
      <c r="A26" s="133">
        <v>7</v>
      </c>
      <c r="B26" s="151" t="s">
        <v>240</v>
      </c>
      <c r="C26" s="135">
        <f>'[1]Pielik_2_TP_2016'!P24</f>
        <v>0</v>
      </c>
      <c r="D26" s="135">
        <f>'[1]Pielik_2_TP_2016'!O24</f>
        <v>93</v>
      </c>
      <c r="E26" s="135">
        <v>14</v>
      </c>
      <c r="F26" s="135">
        <f t="shared" si="2"/>
        <v>168</v>
      </c>
      <c r="G26" s="135">
        <v>50</v>
      </c>
      <c r="H26" s="135"/>
      <c r="I26" s="146">
        <v>50</v>
      </c>
      <c r="J26" s="125">
        <v>42.35</v>
      </c>
      <c r="K26" s="125">
        <f t="shared" si="3"/>
        <v>0</v>
      </c>
      <c r="L26" s="125">
        <f t="shared" si="4"/>
        <v>2117.5</v>
      </c>
      <c r="M26" s="335"/>
      <c r="N26" s="335"/>
      <c r="O26" s="136">
        <f t="shared" si="5"/>
        <v>211</v>
      </c>
      <c r="P26" s="119">
        <f t="shared" si="0"/>
        <v>0</v>
      </c>
      <c r="Q26" s="127">
        <v>21</v>
      </c>
      <c r="R26" s="137">
        <f t="shared" si="9"/>
        <v>35</v>
      </c>
      <c r="S26" s="138">
        <f t="shared" si="6"/>
        <v>7.350000000000001</v>
      </c>
      <c r="T26" s="139">
        <f t="shared" si="8"/>
        <v>367.50000000000006</v>
      </c>
    </row>
    <row r="27" spans="1:20" ht="15.75">
      <c r="A27" s="140">
        <v>8</v>
      </c>
      <c r="B27" s="149" t="s">
        <v>241</v>
      </c>
      <c r="C27" s="135">
        <f>'[1]Pielik_2_TP_2016'!P25</f>
        <v>0</v>
      </c>
      <c r="D27" s="135">
        <f>'[1]Pielik_2_TP_2016'!O25</f>
        <v>242</v>
      </c>
      <c r="E27" s="135">
        <v>17</v>
      </c>
      <c r="F27" s="141">
        <f t="shared" si="2"/>
        <v>204</v>
      </c>
      <c r="G27" s="135">
        <v>2</v>
      </c>
      <c r="H27" s="142">
        <v>100</v>
      </c>
      <c r="I27" s="150">
        <v>102</v>
      </c>
      <c r="J27" s="125">
        <v>9</v>
      </c>
      <c r="K27" s="125">
        <f t="shared" si="3"/>
        <v>900</v>
      </c>
      <c r="L27" s="125">
        <f t="shared" si="4"/>
        <v>18</v>
      </c>
      <c r="M27" s="335"/>
      <c r="N27" s="335"/>
      <c r="O27" s="136">
        <f t="shared" si="5"/>
        <v>344</v>
      </c>
      <c r="P27" s="119">
        <f t="shared" si="0"/>
        <v>0</v>
      </c>
      <c r="Q27" s="127">
        <v>21</v>
      </c>
      <c r="R27" s="137">
        <f t="shared" si="9"/>
        <v>7.43801652892562</v>
      </c>
      <c r="S27" s="138">
        <f t="shared" si="6"/>
        <v>1.56198347107438</v>
      </c>
      <c r="T27" s="139">
        <f t="shared" si="8"/>
        <v>3.12396694214876</v>
      </c>
    </row>
    <row r="28" spans="1:20" ht="15.75">
      <c r="A28" s="342" t="s">
        <v>242</v>
      </c>
      <c r="B28" s="343"/>
      <c r="C28" s="131">
        <f>SUM(C29:C39)</f>
        <v>26</v>
      </c>
      <c r="D28" s="131">
        <f>SUM(D29:D39)</f>
        <v>711</v>
      </c>
      <c r="E28" s="131">
        <f>SUM(E29:E39)</f>
        <v>58</v>
      </c>
      <c r="F28" s="131">
        <f aca="true" t="shared" si="10" ref="F28:L28">SUM(F29:F39)</f>
        <v>684</v>
      </c>
      <c r="G28" s="131">
        <f t="shared" si="10"/>
        <v>201</v>
      </c>
      <c r="H28" s="131">
        <f t="shared" si="10"/>
        <v>211</v>
      </c>
      <c r="I28" s="131">
        <f t="shared" si="10"/>
        <v>424</v>
      </c>
      <c r="J28" s="143" t="s">
        <v>112</v>
      </c>
      <c r="K28" s="144">
        <f t="shared" si="10"/>
        <v>19101.41</v>
      </c>
      <c r="L28" s="144">
        <f t="shared" si="10"/>
        <v>33133.7</v>
      </c>
      <c r="M28" s="335"/>
      <c r="N28" s="335"/>
      <c r="O28" s="131">
        <f>SUM(O29:O39)</f>
        <v>971</v>
      </c>
      <c r="P28" s="131">
        <f t="shared" si="0"/>
        <v>14</v>
      </c>
      <c r="Q28" s="132"/>
      <c r="R28" s="145"/>
      <c r="S28" s="132"/>
      <c r="T28" s="144">
        <f>SUM(T29:T39)</f>
        <v>5366.489256198345</v>
      </c>
    </row>
    <row r="29" spans="1:20" ht="31.5">
      <c r="A29" s="133">
        <v>1</v>
      </c>
      <c r="B29" s="151" t="s">
        <v>243</v>
      </c>
      <c r="C29" s="135">
        <f>'[1]Pielik_2_TP_2016'!P27</f>
        <v>0</v>
      </c>
      <c r="D29" s="135">
        <f>'[1]Pielik_2_TP_2016'!O27</f>
        <v>57</v>
      </c>
      <c r="E29" s="135">
        <v>10</v>
      </c>
      <c r="F29" s="135">
        <f t="shared" si="2"/>
        <v>120</v>
      </c>
      <c r="G29" s="135">
        <v>100</v>
      </c>
      <c r="H29" s="135"/>
      <c r="I29" s="135">
        <v>100</v>
      </c>
      <c r="J29" s="125">
        <v>35.38</v>
      </c>
      <c r="K29" s="125">
        <f t="shared" si="3"/>
        <v>0</v>
      </c>
      <c r="L29" s="125">
        <f t="shared" si="4"/>
        <v>3538.0000000000005</v>
      </c>
      <c r="M29" s="335"/>
      <c r="N29" s="335"/>
      <c r="O29" s="136">
        <f t="shared" si="5"/>
        <v>77</v>
      </c>
      <c r="P29" s="119">
        <f t="shared" si="0"/>
        <v>0</v>
      </c>
      <c r="Q29" s="127">
        <v>12</v>
      </c>
      <c r="R29" s="137">
        <f>J29/1.12</f>
        <v>31.589285714285715</v>
      </c>
      <c r="S29" s="138">
        <f t="shared" si="6"/>
        <v>3.7907142857142873</v>
      </c>
      <c r="T29" s="139">
        <f>S29*G29</f>
        <v>379.0714285714287</v>
      </c>
    </row>
    <row r="30" spans="1:20" ht="31.5">
      <c r="A30" s="133">
        <v>1</v>
      </c>
      <c r="B30" s="151" t="s">
        <v>244</v>
      </c>
      <c r="C30" s="135">
        <f>'[1]Pielik_2_TP_2016'!P28</f>
        <v>0</v>
      </c>
      <c r="D30" s="135">
        <f>'[1]Pielik_2_TP_2016'!O28</f>
        <v>1</v>
      </c>
      <c r="E30" s="135">
        <v>5</v>
      </c>
      <c r="F30" s="135">
        <f t="shared" si="2"/>
        <v>60</v>
      </c>
      <c r="G30" s="135">
        <v>51</v>
      </c>
      <c r="H30" s="135"/>
      <c r="I30" s="135">
        <v>51</v>
      </c>
      <c r="J30" s="125">
        <v>44</v>
      </c>
      <c r="K30" s="125">
        <f t="shared" si="3"/>
        <v>0</v>
      </c>
      <c r="L30" s="125">
        <f t="shared" si="4"/>
        <v>2244</v>
      </c>
      <c r="M30" s="335"/>
      <c r="N30" s="335"/>
      <c r="O30" s="136">
        <f t="shared" si="5"/>
        <v>10</v>
      </c>
      <c r="P30" s="119">
        <f t="shared" si="0"/>
        <v>0</v>
      </c>
      <c r="Q30" s="127">
        <v>12</v>
      </c>
      <c r="R30" s="137">
        <f>J30/1.12</f>
        <v>39.285714285714285</v>
      </c>
      <c r="S30" s="138">
        <f t="shared" si="6"/>
        <v>4.714285714285715</v>
      </c>
      <c r="T30" s="139">
        <f aca="true" t="shared" si="11" ref="T30:T39">S30*G30</f>
        <v>240.42857142857147</v>
      </c>
    </row>
    <row r="31" spans="1:20" ht="31.5">
      <c r="A31" s="133">
        <v>2</v>
      </c>
      <c r="B31" s="151" t="s">
        <v>245</v>
      </c>
      <c r="C31" s="135">
        <f>'[1]Pielik_2_TP_2016'!P29</f>
        <v>0</v>
      </c>
      <c r="D31" s="135">
        <f>'[1]Pielik_2_TP_2016'!O29</f>
        <v>250</v>
      </c>
      <c r="E31" s="135">
        <v>12</v>
      </c>
      <c r="F31" s="135">
        <f t="shared" si="2"/>
        <v>144</v>
      </c>
      <c r="G31" s="135">
        <v>30</v>
      </c>
      <c r="H31" s="135"/>
      <c r="I31" s="135">
        <v>30</v>
      </c>
      <c r="J31" s="125">
        <v>381.45</v>
      </c>
      <c r="K31" s="125">
        <f t="shared" si="3"/>
        <v>0</v>
      </c>
      <c r="L31" s="125">
        <f t="shared" si="4"/>
        <v>11443.5</v>
      </c>
      <c r="M31" s="335"/>
      <c r="N31" s="335"/>
      <c r="O31" s="136">
        <f t="shared" si="5"/>
        <v>364</v>
      </c>
      <c r="P31" s="119">
        <f t="shared" si="0"/>
        <v>0</v>
      </c>
      <c r="Q31" s="127">
        <v>21</v>
      </c>
      <c r="R31" s="137">
        <f>J31/1.21</f>
        <v>315.24793388429754</v>
      </c>
      <c r="S31" s="138">
        <f t="shared" si="6"/>
        <v>66.20206611570245</v>
      </c>
      <c r="T31" s="139">
        <f t="shared" si="11"/>
        <v>1986.0619834710735</v>
      </c>
    </row>
    <row r="32" spans="1:20" ht="15.75">
      <c r="A32" s="133">
        <v>3</v>
      </c>
      <c r="B32" s="108" t="s">
        <v>246</v>
      </c>
      <c r="C32" s="135">
        <f>'[1]Pielik_2_TP_2016'!P30</f>
        <v>0</v>
      </c>
      <c r="D32" s="135">
        <f>'[1]Pielik_2_TP_2016'!O30</f>
        <v>0</v>
      </c>
      <c r="E32" s="135">
        <v>1</v>
      </c>
      <c r="F32" s="135"/>
      <c r="G32" s="135">
        <f>D32+F32</f>
        <v>0</v>
      </c>
      <c r="H32" s="135"/>
      <c r="I32" s="135">
        <f>G32</f>
        <v>0</v>
      </c>
      <c r="J32" s="125">
        <v>658.6</v>
      </c>
      <c r="K32" s="125">
        <f t="shared" si="3"/>
        <v>0</v>
      </c>
      <c r="L32" s="125">
        <f t="shared" si="4"/>
        <v>0</v>
      </c>
      <c r="M32" s="335"/>
      <c r="N32" s="335"/>
      <c r="O32" s="136">
        <f t="shared" si="5"/>
        <v>0</v>
      </c>
      <c r="P32" s="119">
        <f t="shared" si="0"/>
        <v>0</v>
      </c>
      <c r="Q32" s="127">
        <v>21</v>
      </c>
      <c r="R32" s="137">
        <f aca="true" t="shared" si="12" ref="R32:R37">J32/1.21</f>
        <v>544.297520661157</v>
      </c>
      <c r="S32" s="138">
        <f t="shared" si="6"/>
        <v>114.302479338843</v>
      </c>
      <c r="T32" s="139">
        <f t="shared" si="11"/>
        <v>0</v>
      </c>
    </row>
    <row r="33" spans="1:20" ht="63">
      <c r="A33" s="133">
        <v>4</v>
      </c>
      <c r="B33" s="152" t="s">
        <v>247</v>
      </c>
      <c r="C33" s="135">
        <f>'[1]Pielik_2_TP_2016'!P31</f>
        <v>26</v>
      </c>
      <c r="D33" s="135">
        <f>'[1]Pielik_2_TP_2016'!O31</f>
        <v>0</v>
      </c>
      <c r="E33" s="135">
        <v>1</v>
      </c>
      <c r="F33" s="135">
        <f t="shared" si="2"/>
        <v>12</v>
      </c>
      <c r="G33" s="135">
        <v>0</v>
      </c>
      <c r="H33" s="135"/>
      <c r="I33" s="135">
        <v>12</v>
      </c>
      <c r="J33" s="125">
        <v>442.37</v>
      </c>
      <c r="K33" s="125">
        <f t="shared" si="3"/>
        <v>0</v>
      </c>
      <c r="L33" s="125">
        <f t="shared" si="4"/>
        <v>0</v>
      </c>
      <c r="M33" s="335"/>
      <c r="N33" s="335"/>
      <c r="O33" s="136">
        <f t="shared" si="5"/>
        <v>0</v>
      </c>
      <c r="P33" s="119">
        <f t="shared" si="0"/>
        <v>14</v>
      </c>
      <c r="Q33" s="127">
        <v>21</v>
      </c>
      <c r="R33" s="137">
        <f t="shared" si="12"/>
        <v>365.59504132231405</v>
      </c>
      <c r="S33" s="138">
        <f t="shared" si="6"/>
        <v>76.77495867768596</v>
      </c>
      <c r="T33" s="139">
        <f t="shared" si="11"/>
        <v>0</v>
      </c>
    </row>
    <row r="34" spans="1:20" ht="15.75">
      <c r="A34" s="133">
        <v>5</v>
      </c>
      <c r="B34" s="149" t="s">
        <v>248</v>
      </c>
      <c r="C34" s="135">
        <f>'[1]Pielik_2_TP_2016'!P32</f>
        <v>0</v>
      </c>
      <c r="D34" s="135">
        <f>'[1]Pielik_2_TP_2016'!O32</f>
        <v>108</v>
      </c>
      <c r="E34" s="135">
        <v>8</v>
      </c>
      <c r="F34" s="141">
        <f t="shared" si="2"/>
        <v>96</v>
      </c>
      <c r="G34" s="135"/>
      <c r="H34" s="142">
        <v>39</v>
      </c>
      <c r="I34" s="135">
        <v>39</v>
      </c>
      <c r="J34" s="125">
        <v>168.19</v>
      </c>
      <c r="K34" s="125">
        <f t="shared" si="3"/>
        <v>6559.41</v>
      </c>
      <c r="L34" s="125">
        <f t="shared" si="4"/>
        <v>0</v>
      </c>
      <c r="M34" s="335"/>
      <c r="N34" s="335"/>
      <c r="O34" s="136">
        <f t="shared" si="5"/>
        <v>165</v>
      </c>
      <c r="P34" s="119">
        <f t="shared" si="0"/>
        <v>0</v>
      </c>
      <c r="Q34" s="127">
        <v>21</v>
      </c>
      <c r="R34" s="137">
        <f t="shared" si="12"/>
        <v>139</v>
      </c>
      <c r="S34" s="138">
        <f t="shared" si="6"/>
        <v>29.189999999999998</v>
      </c>
      <c r="T34" s="139">
        <f t="shared" si="11"/>
        <v>0</v>
      </c>
    </row>
    <row r="35" spans="1:20" ht="31.5">
      <c r="A35" s="133">
        <v>6</v>
      </c>
      <c r="B35" s="151" t="s">
        <v>249</v>
      </c>
      <c r="C35" s="135">
        <f>'[1]Pielik_2_TP_2016'!P33</f>
        <v>0</v>
      </c>
      <c r="D35" s="135">
        <f>'[1]Pielik_2_TP_2016'!O33</f>
        <v>54</v>
      </c>
      <c r="E35" s="135">
        <v>3</v>
      </c>
      <c r="F35" s="135">
        <f t="shared" si="2"/>
        <v>36</v>
      </c>
      <c r="G35" s="135">
        <v>20</v>
      </c>
      <c r="H35" s="135"/>
      <c r="I35" s="135">
        <v>20</v>
      </c>
      <c r="J35" s="125">
        <v>795.41</v>
      </c>
      <c r="K35" s="125">
        <f t="shared" si="3"/>
        <v>0</v>
      </c>
      <c r="L35" s="125">
        <f t="shared" si="4"/>
        <v>15908.199999999999</v>
      </c>
      <c r="M35" s="335"/>
      <c r="N35" s="335"/>
      <c r="O35" s="136">
        <f t="shared" si="5"/>
        <v>70</v>
      </c>
      <c r="P35" s="119">
        <f t="shared" si="0"/>
        <v>0</v>
      </c>
      <c r="Q35" s="127">
        <v>21</v>
      </c>
      <c r="R35" s="137">
        <f t="shared" si="12"/>
        <v>657.3636363636364</v>
      </c>
      <c r="S35" s="138">
        <f t="shared" si="6"/>
        <v>138.0463636363636</v>
      </c>
      <c r="T35" s="139">
        <f t="shared" si="11"/>
        <v>2760.927272727272</v>
      </c>
    </row>
    <row r="36" spans="1:20" ht="31.5">
      <c r="A36" s="133">
        <v>7</v>
      </c>
      <c r="B36" s="149" t="s">
        <v>250</v>
      </c>
      <c r="C36" s="135">
        <f>'[1]Pielik_2_TP_2016'!P34</f>
        <v>0</v>
      </c>
      <c r="D36" s="135">
        <f>'[1]Pielik_2_TP_2016'!O34</f>
        <v>38</v>
      </c>
      <c r="E36" s="135">
        <v>3</v>
      </c>
      <c r="F36" s="141">
        <f t="shared" si="2"/>
        <v>36</v>
      </c>
      <c r="G36" s="135"/>
      <c r="H36" s="142">
        <v>12</v>
      </c>
      <c r="I36" s="135">
        <v>12</v>
      </c>
      <c r="J36" s="125">
        <v>285</v>
      </c>
      <c r="K36" s="125">
        <f t="shared" si="3"/>
        <v>3420</v>
      </c>
      <c r="L36" s="125">
        <f t="shared" si="4"/>
        <v>0</v>
      </c>
      <c r="M36" s="335"/>
      <c r="N36" s="335"/>
      <c r="O36" s="136">
        <f t="shared" si="5"/>
        <v>62</v>
      </c>
      <c r="P36" s="119">
        <f t="shared" si="0"/>
        <v>0</v>
      </c>
      <c r="Q36" s="127">
        <v>21</v>
      </c>
      <c r="R36" s="137">
        <f t="shared" si="12"/>
        <v>235.53719008264463</v>
      </c>
      <c r="S36" s="138">
        <f t="shared" si="6"/>
        <v>49.46280991735537</v>
      </c>
      <c r="T36" s="139">
        <f t="shared" si="11"/>
        <v>0</v>
      </c>
    </row>
    <row r="37" spans="1:20" ht="78.75">
      <c r="A37" s="133">
        <v>8</v>
      </c>
      <c r="B37" s="149" t="s">
        <v>251</v>
      </c>
      <c r="C37" s="135">
        <f>'[1]Pielik_2_TP_2016'!P35</f>
        <v>0</v>
      </c>
      <c r="D37" s="135">
        <f>'[1]Pielik_2_TP_2016'!O35</f>
        <v>179</v>
      </c>
      <c r="E37" s="135">
        <v>9</v>
      </c>
      <c r="F37" s="141">
        <f t="shared" si="2"/>
        <v>108</v>
      </c>
      <c r="G37" s="135">
        <v>0</v>
      </c>
      <c r="H37" s="142">
        <v>100</v>
      </c>
      <c r="I37" s="135">
        <v>100</v>
      </c>
      <c r="J37" s="125">
        <v>49.72</v>
      </c>
      <c r="K37" s="125">
        <f t="shared" si="3"/>
        <v>4972</v>
      </c>
      <c r="L37" s="125">
        <f t="shared" si="4"/>
        <v>0</v>
      </c>
      <c r="M37" s="335"/>
      <c r="N37" s="335"/>
      <c r="O37" s="136">
        <f t="shared" si="5"/>
        <v>187</v>
      </c>
      <c r="P37" s="119">
        <f t="shared" si="0"/>
        <v>0</v>
      </c>
      <c r="Q37" s="127">
        <v>21</v>
      </c>
      <c r="R37" s="137">
        <f t="shared" si="12"/>
        <v>41.09090909090909</v>
      </c>
      <c r="S37" s="138">
        <f t="shared" si="6"/>
        <v>8.629090909090905</v>
      </c>
      <c r="T37" s="139">
        <f t="shared" si="11"/>
        <v>0</v>
      </c>
    </row>
    <row r="38" spans="1:20" ht="47.25">
      <c r="A38" s="133">
        <v>9</v>
      </c>
      <c r="B38" s="151" t="s">
        <v>252</v>
      </c>
      <c r="C38" s="135">
        <f>'[1]Pielik_2_TP_2016'!P36</f>
        <v>0</v>
      </c>
      <c r="D38" s="135">
        <f>'[1]Pielik_2_TP_2016'!O36</f>
        <v>24</v>
      </c>
      <c r="E38" s="135">
        <v>5</v>
      </c>
      <c r="F38" s="135">
        <f t="shared" si="2"/>
        <v>60</v>
      </c>
      <c r="G38" s="135"/>
      <c r="H38" s="135">
        <v>50</v>
      </c>
      <c r="I38" s="135">
        <v>50</v>
      </c>
      <c r="J38" s="125">
        <v>57</v>
      </c>
      <c r="K38" s="125">
        <f t="shared" si="3"/>
        <v>2850</v>
      </c>
      <c r="L38" s="125">
        <f t="shared" si="4"/>
        <v>0</v>
      </c>
      <c r="M38" s="335"/>
      <c r="N38" s="335"/>
      <c r="O38" s="136">
        <f t="shared" si="5"/>
        <v>34</v>
      </c>
      <c r="P38" s="119">
        <f t="shared" si="0"/>
        <v>0</v>
      </c>
      <c r="Q38" s="127">
        <v>12</v>
      </c>
      <c r="R38" s="137">
        <f>J38/1.12</f>
        <v>50.89285714285714</v>
      </c>
      <c r="S38" s="138">
        <f t="shared" si="6"/>
        <v>6.107142857142861</v>
      </c>
      <c r="T38" s="139">
        <f t="shared" si="11"/>
        <v>0</v>
      </c>
    </row>
    <row r="39" spans="1:20" ht="47.25">
      <c r="A39" s="133">
        <v>10</v>
      </c>
      <c r="B39" s="152" t="s">
        <v>253</v>
      </c>
      <c r="C39" s="135">
        <f>'[1]Pielik_2_TP_2016'!P37</f>
        <v>0</v>
      </c>
      <c r="D39" s="135">
        <f>'[1]Pielik_2_TP_2016'!O37</f>
        <v>0</v>
      </c>
      <c r="E39" s="135">
        <v>1</v>
      </c>
      <c r="F39" s="135">
        <f t="shared" si="2"/>
        <v>12</v>
      </c>
      <c r="G39" s="135"/>
      <c r="H39" s="135">
        <v>10</v>
      </c>
      <c r="I39" s="135">
        <v>10</v>
      </c>
      <c r="J39" s="125">
        <v>130</v>
      </c>
      <c r="K39" s="125">
        <f t="shared" si="3"/>
        <v>1300</v>
      </c>
      <c r="L39" s="125">
        <f t="shared" si="4"/>
        <v>0</v>
      </c>
      <c r="M39" s="336"/>
      <c r="N39" s="336"/>
      <c r="O39" s="136">
        <f t="shared" si="5"/>
        <v>2</v>
      </c>
      <c r="P39" s="119">
        <f t="shared" si="0"/>
        <v>0</v>
      </c>
      <c r="Q39" s="127">
        <v>12</v>
      </c>
      <c r="R39" s="137">
        <f>J39/1.12</f>
        <v>116.07142857142856</v>
      </c>
      <c r="S39" s="138">
        <f t="shared" si="6"/>
        <v>13.928571428571445</v>
      </c>
      <c r="T39" s="139">
        <f t="shared" si="11"/>
        <v>0</v>
      </c>
    </row>
    <row r="40" spans="1:20" ht="15.75">
      <c r="A40" s="133"/>
      <c r="B40" s="153" t="s">
        <v>254</v>
      </c>
      <c r="C40" s="114">
        <f>C28+C18+C12+C10</f>
        <v>26</v>
      </c>
      <c r="D40" s="114">
        <f aca="true" t="shared" si="13" ref="D40:L40">D28+D18+D12+D10</f>
        <v>5116</v>
      </c>
      <c r="E40" s="119">
        <f t="shared" si="13"/>
        <v>426</v>
      </c>
      <c r="F40" s="154">
        <f t="shared" si="13"/>
        <v>5100</v>
      </c>
      <c r="G40" s="114">
        <f t="shared" si="13"/>
        <v>1392</v>
      </c>
      <c r="H40" s="114">
        <f t="shared" si="13"/>
        <v>411</v>
      </c>
      <c r="I40" s="114">
        <f t="shared" si="13"/>
        <v>1815</v>
      </c>
      <c r="J40" s="118" t="s">
        <v>112</v>
      </c>
      <c r="K40" s="118">
        <f t="shared" si="13"/>
        <v>22446.41</v>
      </c>
      <c r="L40" s="118">
        <f t="shared" si="13"/>
        <v>314092.9</v>
      </c>
      <c r="M40" s="155">
        <v>314085</v>
      </c>
      <c r="N40" s="155">
        <f>L40-M40</f>
        <v>7.900000000023283</v>
      </c>
      <c r="O40" s="154">
        <f aca="true" t="shared" si="14" ref="O40:T40">O28+O18+O12+O10</f>
        <v>8401</v>
      </c>
      <c r="P40" s="154">
        <f t="shared" si="14"/>
        <v>14</v>
      </c>
      <c r="Q40" s="154" t="s">
        <v>112</v>
      </c>
      <c r="R40" s="154" t="s">
        <v>112</v>
      </c>
      <c r="S40" s="154">
        <f t="shared" si="14"/>
        <v>60.00000000000006</v>
      </c>
      <c r="T40" s="118">
        <f t="shared" si="14"/>
        <v>37092.55466351833</v>
      </c>
    </row>
    <row r="41" spans="1:20" ht="15.75">
      <c r="A41" s="127"/>
      <c r="B41" s="156" t="s">
        <v>255</v>
      </c>
      <c r="C41" s="157">
        <f>C14+C17+C24+C27+C34+C36+C37</f>
        <v>0</v>
      </c>
      <c r="D41" s="157">
        <f aca="true" t="shared" si="15" ref="D41:L41">D14+D17+D24+D27+D34+D36+D37</f>
        <v>1321</v>
      </c>
      <c r="E41" s="158">
        <f t="shared" si="15"/>
        <v>92</v>
      </c>
      <c r="F41" s="159">
        <f t="shared" si="15"/>
        <v>1104</v>
      </c>
      <c r="G41" s="157">
        <f t="shared" si="15"/>
        <v>202</v>
      </c>
      <c r="H41" s="157">
        <f t="shared" si="15"/>
        <v>351</v>
      </c>
      <c r="I41" s="157">
        <f t="shared" si="15"/>
        <v>553</v>
      </c>
      <c r="J41" s="160" t="s">
        <v>112</v>
      </c>
      <c r="K41" s="160">
        <f t="shared" si="15"/>
        <v>18296.41</v>
      </c>
      <c r="L41" s="160">
        <f t="shared" si="15"/>
        <v>13118</v>
      </c>
      <c r="M41" s="125" t="s">
        <v>112</v>
      </c>
      <c r="N41" s="125" t="s">
        <v>112</v>
      </c>
      <c r="O41" s="159">
        <f>O14+O17+O24+O27+O34+O36+O37</f>
        <v>1872</v>
      </c>
      <c r="P41" s="159">
        <f>P14+P17+P24+P27+P34+P36+P37</f>
        <v>0</v>
      </c>
      <c r="Q41" s="154" t="s">
        <v>112</v>
      </c>
      <c r="R41" s="154" t="s">
        <v>112</v>
      </c>
      <c r="S41" s="159">
        <f>S14+S17+S24+S27+S34+S36+S37</f>
        <v>108.51761511216057</v>
      </c>
      <c r="T41" s="160">
        <f>T14+T17+T24+T27+T34+T36+T37</f>
        <v>1546.1582054309333</v>
      </c>
    </row>
    <row r="42" spans="1:20" ht="15.75">
      <c r="A42" s="127"/>
      <c r="B42" s="161" t="s">
        <v>256</v>
      </c>
      <c r="C42" s="162">
        <f>C10+C13+C15+C16+SUM(C19:C23)+C25+C26+SUM(C29:C33)+C35+C38+C39</f>
        <v>26</v>
      </c>
      <c r="D42" s="162">
        <f aca="true" t="shared" si="16" ref="D42:L42">D10+D13+D15+D16+SUM(D19:D23)+D25+D26+SUM(D29:D33)+D35+D38+D39</f>
        <v>3795</v>
      </c>
      <c r="E42" s="136">
        <f t="shared" si="16"/>
        <v>334</v>
      </c>
      <c r="F42" s="163">
        <f t="shared" si="16"/>
        <v>3996</v>
      </c>
      <c r="G42" s="162">
        <f t="shared" si="16"/>
        <v>1190</v>
      </c>
      <c r="H42" s="162">
        <f>H10+H13+H15+H16+SUM(H19:H23)+H25+H26+SUM(H29:H33)+H35+H38+H39</f>
        <v>60</v>
      </c>
      <c r="I42" s="162">
        <f t="shared" si="16"/>
        <v>1262</v>
      </c>
      <c r="J42" s="125" t="s">
        <v>112</v>
      </c>
      <c r="K42" s="125">
        <f>K10+K13+K15+K16+SUM(K19:K23)+K25+K26+SUM(K29:K33)+K35+K38+K39</f>
        <v>4150</v>
      </c>
      <c r="L42" s="125">
        <f t="shared" si="16"/>
        <v>300974.9</v>
      </c>
      <c r="M42" s="125" t="s">
        <v>112</v>
      </c>
      <c r="N42" s="125" t="s">
        <v>112</v>
      </c>
      <c r="O42" s="163">
        <f>O10+O13+O15+O16+SUM(O19:O23)+O25+O26+SUM(O29:O33)+O35+O38+O39</f>
        <v>6529</v>
      </c>
      <c r="P42" s="163">
        <f>P10+P13+P15+P16+SUM(P19:P23)+P25+P26+SUM(P29:P33)+P35+P38+P39</f>
        <v>14</v>
      </c>
      <c r="Q42" s="154" t="s">
        <v>112</v>
      </c>
      <c r="R42" s="154" t="s">
        <v>112</v>
      </c>
      <c r="S42" s="163">
        <f>S10+S13+S15+S16+SUM(S19:S23)+S25+S26+SUM(S29:S33)+S35+S38+S39</f>
        <v>658.9177863046045</v>
      </c>
      <c r="T42" s="125">
        <f>T10+T13+T15+T16+SUM(T19:T23)+T25+T26+SUM(T29:T33)+T35+T38+T39</f>
        <v>35546.39645808739</v>
      </c>
    </row>
    <row r="43" spans="1:20" ht="15.75">
      <c r="A43" s="164"/>
      <c r="B43" s="165" t="s">
        <v>257</v>
      </c>
      <c r="C43" s="114" t="s">
        <v>112</v>
      </c>
      <c r="D43" s="114" t="s">
        <v>112</v>
      </c>
      <c r="E43" s="114" t="s">
        <v>112</v>
      </c>
      <c r="F43" s="114" t="s">
        <v>112</v>
      </c>
      <c r="G43" s="114" t="s">
        <v>112</v>
      </c>
      <c r="H43" s="114" t="s">
        <v>112</v>
      </c>
      <c r="I43" s="114" t="s">
        <v>112</v>
      </c>
      <c r="J43" s="114" t="s">
        <v>112</v>
      </c>
      <c r="K43" s="118">
        <v>0</v>
      </c>
      <c r="L43" s="118">
        <f>M43-7.9</f>
        <v>31400.1</v>
      </c>
      <c r="M43" s="118">
        <v>31408</v>
      </c>
      <c r="N43" s="155">
        <f>L43-M43</f>
        <v>-7.900000000001455</v>
      </c>
      <c r="O43" s="154" t="s">
        <v>112</v>
      </c>
      <c r="P43" s="154" t="s">
        <v>112</v>
      </c>
      <c r="Q43" s="154" t="s">
        <v>112</v>
      </c>
      <c r="R43" s="154" t="s">
        <v>112</v>
      </c>
      <c r="S43" s="154" t="s">
        <v>112</v>
      </c>
      <c r="T43" s="154" t="s">
        <v>112</v>
      </c>
    </row>
    <row r="44" spans="1:20" ht="15.75">
      <c r="A44" s="164"/>
      <c r="B44" s="166" t="s">
        <v>258</v>
      </c>
      <c r="C44" s="114" t="s">
        <v>112</v>
      </c>
      <c r="D44" s="114" t="s">
        <v>112</v>
      </c>
      <c r="E44" s="114" t="s">
        <v>112</v>
      </c>
      <c r="F44" s="114" t="s">
        <v>112</v>
      </c>
      <c r="G44" s="114" t="s">
        <v>112</v>
      </c>
      <c r="H44" s="114" t="s">
        <v>112</v>
      </c>
      <c r="I44" s="114" t="s">
        <v>112</v>
      </c>
      <c r="J44" s="114" t="s">
        <v>112</v>
      </c>
      <c r="K44" s="118">
        <f>K40+K43</f>
        <v>22446.41</v>
      </c>
      <c r="L44" s="118">
        <f>L40+L43</f>
        <v>345493</v>
      </c>
      <c r="M44" s="118">
        <f>M40+M43</f>
        <v>345493</v>
      </c>
      <c r="N44" s="118">
        <f>N40+N43</f>
        <v>2.1827872842550278E-11</v>
      </c>
      <c r="O44" s="154" t="s">
        <v>112</v>
      </c>
      <c r="P44" s="154" t="s">
        <v>112</v>
      </c>
      <c r="Q44" s="154" t="s">
        <v>112</v>
      </c>
      <c r="R44" s="154" t="s">
        <v>112</v>
      </c>
      <c r="S44" s="154" t="s">
        <v>112</v>
      </c>
      <c r="T44" s="154" t="s">
        <v>112</v>
      </c>
    </row>
    <row r="46" spans="2:10" ht="15.75">
      <c r="B46" s="108" t="s">
        <v>314</v>
      </c>
      <c r="C46" s="108"/>
      <c r="D46" s="108"/>
      <c r="E46" s="108"/>
      <c r="F46" s="108"/>
      <c r="G46" s="108"/>
      <c r="H46" s="108"/>
      <c r="I46" s="108"/>
      <c r="J46" s="108" t="s">
        <v>315</v>
      </c>
    </row>
    <row r="47" spans="2:10" ht="15.75">
      <c r="B47" s="108"/>
      <c r="C47" s="108"/>
      <c r="D47" s="108"/>
      <c r="E47" s="108"/>
      <c r="F47" s="108"/>
      <c r="G47" s="108"/>
      <c r="H47" s="108"/>
      <c r="I47" s="108"/>
      <c r="J47" s="108"/>
    </row>
    <row r="48" spans="2:10" ht="15.75">
      <c r="B48" s="41" t="s">
        <v>337</v>
      </c>
      <c r="C48" s="41"/>
      <c r="D48" s="41"/>
      <c r="E48" s="108"/>
      <c r="F48" s="108"/>
      <c r="G48" s="108"/>
      <c r="H48" s="108"/>
      <c r="I48" s="108"/>
      <c r="J48" s="108"/>
    </row>
    <row r="49" spans="2:10" ht="15.75">
      <c r="B49" s="41" t="s">
        <v>316</v>
      </c>
      <c r="C49" s="41"/>
      <c r="D49" s="41"/>
      <c r="E49" s="108"/>
      <c r="F49" s="108"/>
      <c r="G49" s="108"/>
      <c r="H49" s="108"/>
      <c r="I49" s="108"/>
      <c r="J49" s="108"/>
    </row>
    <row r="50" spans="2:10" ht="15.75">
      <c r="B50" s="41" t="s">
        <v>317</v>
      </c>
      <c r="C50" s="41"/>
      <c r="D50" s="41"/>
      <c r="E50" s="108"/>
      <c r="F50" s="108"/>
      <c r="G50" s="108"/>
      <c r="H50" s="108"/>
      <c r="I50" s="108"/>
      <c r="J50" s="108"/>
    </row>
  </sheetData>
  <sheetProtection/>
  <mergeCells count="21">
    <mergeCell ref="A12:B12"/>
    <mergeCell ref="A11:B11"/>
    <mergeCell ref="F4:J4"/>
    <mergeCell ref="M10:M39"/>
    <mergeCell ref="R1:T1"/>
    <mergeCell ref="Q2:T2"/>
    <mergeCell ref="O3:T3"/>
    <mergeCell ref="A5:O5"/>
    <mergeCell ref="A7:A8"/>
    <mergeCell ref="S7:S8"/>
    <mergeCell ref="R7:R8"/>
    <mergeCell ref="A28:B28"/>
    <mergeCell ref="A18:B18"/>
    <mergeCell ref="P7:P8"/>
    <mergeCell ref="D7:L7"/>
    <mergeCell ref="T7:T8"/>
    <mergeCell ref="O7:O8"/>
    <mergeCell ref="C7:C8"/>
    <mergeCell ref="Q7:Q8"/>
    <mergeCell ref="N10:N39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Footer>&amp;CLMpielik_27_070815_LMZino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16">
      <selection activeCell="B38" sqref="B38"/>
    </sheetView>
  </sheetViews>
  <sheetFormatPr defaultColWidth="9.140625" defaultRowHeight="12.75"/>
  <cols>
    <col min="1" max="1" width="7.28125" style="0" customWidth="1"/>
    <col min="2" max="2" width="30.140625" style="0" customWidth="1"/>
    <col min="3" max="6" width="12.421875" style="0" customWidth="1"/>
    <col min="7" max="7" width="12.28125" style="0" customWidth="1"/>
    <col min="8" max="10" width="16.28125" style="0" customWidth="1"/>
    <col min="11" max="11" width="12.421875" style="0" customWidth="1"/>
    <col min="12" max="12" width="8.57421875" style="0" customWidth="1"/>
    <col min="13" max="13" width="11.28125" style="0" customWidth="1"/>
    <col min="14" max="14" width="12.00390625" style="0" customWidth="1"/>
    <col min="15" max="15" width="13.57421875" style="0" customWidth="1"/>
  </cols>
  <sheetData>
    <row r="1" spans="1:15" ht="15.75">
      <c r="A1" s="108"/>
      <c r="B1" s="108"/>
      <c r="C1" s="108"/>
      <c r="D1" s="108"/>
      <c r="E1" s="108"/>
      <c r="F1" s="172"/>
      <c r="G1" s="108"/>
      <c r="H1" s="108"/>
      <c r="L1" s="106"/>
      <c r="M1" s="254" t="s">
        <v>331</v>
      </c>
      <c r="N1" s="254"/>
      <c r="O1" s="254"/>
    </row>
    <row r="2" spans="1:15" ht="15.75">
      <c r="A2" s="108"/>
      <c r="B2" s="108"/>
      <c r="C2" s="108"/>
      <c r="D2" s="108"/>
      <c r="E2" s="108"/>
      <c r="F2" s="172"/>
      <c r="G2" s="108"/>
      <c r="H2" s="108"/>
      <c r="L2" s="261" t="s">
        <v>318</v>
      </c>
      <c r="M2" s="261"/>
      <c r="N2" s="261"/>
      <c r="O2" s="261"/>
    </row>
    <row r="3" spans="1:15" ht="35.25" customHeight="1">
      <c r="A3" s="108"/>
      <c r="B3" s="108"/>
      <c r="C3" s="108"/>
      <c r="D3" s="108"/>
      <c r="E3" s="108"/>
      <c r="F3" s="172"/>
      <c r="G3" s="108"/>
      <c r="H3" s="108"/>
      <c r="J3" s="262" t="s">
        <v>320</v>
      </c>
      <c r="K3" s="262"/>
      <c r="L3" s="262"/>
      <c r="M3" s="262"/>
      <c r="N3" s="262"/>
      <c r="O3" s="262"/>
    </row>
    <row r="4" spans="1:12" ht="18.75">
      <c r="A4" s="108"/>
      <c r="B4" s="108"/>
      <c r="C4" s="327" t="s">
        <v>202</v>
      </c>
      <c r="D4" s="327"/>
      <c r="E4" s="327"/>
      <c r="F4" s="327"/>
      <c r="G4" s="327"/>
      <c r="H4" s="108"/>
      <c r="I4" s="108"/>
      <c r="J4" s="108"/>
      <c r="K4" s="108"/>
      <c r="L4" s="106"/>
    </row>
    <row r="5" spans="1:12" ht="18.75">
      <c r="A5" s="173" t="s">
        <v>288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06"/>
    </row>
    <row r="6" spans="1:12" ht="18.75">
      <c r="A6" s="174"/>
      <c r="B6" s="175"/>
      <c r="C6" s="175"/>
      <c r="D6" s="175"/>
      <c r="E6" s="175"/>
      <c r="F6" s="176"/>
      <c r="G6" s="175"/>
      <c r="H6" s="108"/>
      <c r="I6" s="108"/>
      <c r="J6" s="108"/>
      <c r="K6" s="108"/>
      <c r="L6" s="106"/>
    </row>
    <row r="7" spans="1:15" ht="15.75">
      <c r="A7" s="331" t="s">
        <v>114</v>
      </c>
      <c r="B7" s="354" t="s">
        <v>115</v>
      </c>
      <c r="C7" s="355" t="s">
        <v>153</v>
      </c>
      <c r="D7" s="356"/>
      <c r="E7" s="356"/>
      <c r="F7" s="356"/>
      <c r="G7" s="356"/>
      <c r="H7" s="356"/>
      <c r="I7" s="356"/>
      <c r="J7" s="357"/>
      <c r="K7" s="358" t="s">
        <v>152</v>
      </c>
      <c r="L7" s="326" t="s">
        <v>186</v>
      </c>
      <c r="M7" s="326" t="s">
        <v>187</v>
      </c>
      <c r="N7" s="326" t="s">
        <v>188</v>
      </c>
      <c r="O7" s="333" t="s">
        <v>189</v>
      </c>
    </row>
    <row r="8" spans="1:15" ht="94.5">
      <c r="A8" s="332"/>
      <c r="B8" s="354"/>
      <c r="C8" s="112" t="s">
        <v>151</v>
      </c>
      <c r="D8" s="112" t="s">
        <v>327</v>
      </c>
      <c r="E8" s="112" t="s">
        <v>265</v>
      </c>
      <c r="F8" s="113" t="s">
        <v>266</v>
      </c>
      <c r="G8" s="112" t="s">
        <v>328</v>
      </c>
      <c r="H8" s="112" t="s">
        <v>267</v>
      </c>
      <c r="I8" s="112" t="s">
        <v>215</v>
      </c>
      <c r="J8" s="112" t="s">
        <v>216</v>
      </c>
      <c r="K8" s="358"/>
      <c r="L8" s="326"/>
      <c r="M8" s="326"/>
      <c r="N8" s="326"/>
      <c r="O8" s="333"/>
    </row>
    <row r="9" spans="1:15" ht="15.75">
      <c r="A9" s="105">
        <v>1</v>
      </c>
      <c r="B9" s="61">
        <v>2</v>
      </c>
      <c r="C9" s="112">
        <v>3</v>
      </c>
      <c r="D9" s="112">
        <v>4</v>
      </c>
      <c r="E9" s="112" t="s">
        <v>268</v>
      </c>
      <c r="F9" s="113">
        <v>6</v>
      </c>
      <c r="G9" s="112">
        <v>7</v>
      </c>
      <c r="H9" s="112" t="s">
        <v>269</v>
      </c>
      <c r="I9" s="112">
        <v>9</v>
      </c>
      <c r="J9" s="112" t="s">
        <v>270</v>
      </c>
      <c r="K9" s="112" t="s">
        <v>271</v>
      </c>
      <c r="L9" s="162">
        <v>12</v>
      </c>
      <c r="M9" s="111" t="s">
        <v>272</v>
      </c>
      <c r="N9" s="111" t="s">
        <v>273</v>
      </c>
      <c r="O9" s="111" t="s">
        <v>274</v>
      </c>
    </row>
    <row r="10" spans="1:15" ht="15.75">
      <c r="A10" s="337" t="s">
        <v>275</v>
      </c>
      <c r="B10" s="338"/>
      <c r="C10" s="177">
        <f>C11+C12+C13</f>
        <v>460</v>
      </c>
      <c r="D10" s="177">
        <f>D11+D13+D12</f>
        <v>320</v>
      </c>
      <c r="E10" s="177">
        <f>E11+E15+E13+E12</f>
        <v>4128</v>
      </c>
      <c r="F10" s="178">
        <f>F11+F15+F13+F12</f>
        <v>2538</v>
      </c>
      <c r="G10" s="179" t="s">
        <v>112</v>
      </c>
      <c r="H10" s="179">
        <f>H11++H13+H12</f>
        <v>606841.6</v>
      </c>
      <c r="I10" s="346"/>
      <c r="J10" s="349"/>
      <c r="K10" s="177">
        <f>K11++K13+K12</f>
        <v>1762</v>
      </c>
      <c r="L10" s="177" t="s">
        <v>112</v>
      </c>
      <c r="M10" s="177">
        <f>M11++M13+M12</f>
        <v>614.3571428571428</v>
      </c>
      <c r="N10" s="177">
        <f>N11++N13+N12</f>
        <v>73.72285714285721</v>
      </c>
      <c r="O10" s="179">
        <f>O11++O13+O12</f>
        <v>65018.74285714291</v>
      </c>
    </row>
    <row r="11" spans="1:15" ht="15.75">
      <c r="A11" s="180">
        <v>1</v>
      </c>
      <c r="B11" s="181" t="s">
        <v>276</v>
      </c>
      <c r="C11" s="182">
        <v>450</v>
      </c>
      <c r="D11" s="135">
        <v>301</v>
      </c>
      <c r="E11" s="134">
        <f>D11*12</f>
        <v>3612</v>
      </c>
      <c r="F11" s="183">
        <v>2310</v>
      </c>
      <c r="G11" s="184">
        <v>236</v>
      </c>
      <c r="H11" s="185">
        <f>F11*G11</f>
        <v>545160</v>
      </c>
      <c r="I11" s="347"/>
      <c r="J11" s="350"/>
      <c r="K11" s="182">
        <f>C11+E11-F11</f>
        <v>1752</v>
      </c>
      <c r="L11" s="134">
        <v>12</v>
      </c>
      <c r="M11" s="137">
        <f>G11/1.12</f>
        <v>210.7142857142857</v>
      </c>
      <c r="N11" s="137">
        <f>G11-M11</f>
        <v>25.285714285714306</v>
      </c>
      <c r="O11" s="138">
        <f>F11*N11</f>
        <v>58410.000000000044</v>
      </c>
    </row>
    <row r="12" spans="1:15" ht="31.5">
      <c r="A12" s="186">
        <v>2</v>
      </c>
      <c r="B12" s="187" t="s">
        <v>277</v>
      </c>
      <c r="C12" s="188">
        <v>4</v>
      </c>
      <c r="D12" s="141">
        <v>17</v>
      </c>
      <c r="E12" s="188">
        <f>D12*12</f>
        <v>204</v>
      </c>
      <c r="F12" s="189">
        <f>C12+E12</f>
        <v>208</v>
      </c>
      <c r="G12" s="190">
        <v>280</v>
      </c>
      <c r="H12" s="191">
        <f>F12*G12</f>
        <v>58240</v>
      </c>
      <c r="I12" s="347"/>
      <c r="J12" s="350"/>
      <c r="K12" s="182">
        <f>C12+E12-F12</f>
        <v>0</v>
      </c>
      <c r="L12" s="134">
        <v>12</v>
      </c>
      <c r="M12" s="137">
        <f aca="true" t="shared" si="0" ref="M12:M21">G12/1.12</f>
        <v>249.99999999999997</v>
      </c>
      <c r="N12" s="137">
        <f aca="true" t="shared" si="1" ref="N12:N21">G12-M12</f>
        <v>30.00000000000003</v>
      </c>
      <c r="O12" s="138">
        <f aca="true" t="shared" si="2" ref="O12:O21">F12*N12</f>
        <v>6240.0000000000055</v>
      </c>
    </row>
    <row r="13" spans="1:15" ht="31.5">
      <c r="A13" s="186">
        <v>3</v>
      </c>
      <c r="B13" s="192" t="s">
        <v>278</v>
      </c>
      <c r="C13" s="188">
        <v>6</v>
      </c>
      <c r="D13" s="188">
        <v>2</v>
      </c>
      <c r="E13" s="188">
        <f>D13*12</f>
        <v>24</v>
      </c>
      <c r="F13" s="189">
        <v>20</v>
      </c>
      <c r="G13" s="190">
        <v>172.08</v>
      </c>
      <c r="H13" s="191">
        <f>F13*G13</f>
        <v>3441.6000000000004</v>
      </c>
      <c r="I13" s="347"/>
      <c r="J13" s="350"/>
      <c r="K13" s="182">
        <f>C13+E13-F13</f>
        <v>10</v>
      </c>
      <c r="L13" s="134">
        <v>12</v>
      </c>
      <c r="M13" s="137">
        <f t="shared" si="0"/>
        <v>153.64285714285714</v>
      </c>
      <c r="N13" s="137">
        <f t="shared" si="1"/>
        <v>18.437142857142874</v>
      </c>
      <c r="O13" s="138">
        <f t="shared" si="2"/>
        <v>368.7428571428575</v>
      </c>
    </row>
    <row r="14" spans="1:15" ht="15.75">
      <c r="A14" s="352" t="s">
        <v>279</v>
      </c>
      <c r="B14" s="353"/>
      <c r="C14" s="116">
        <f>SUM(C15:C21)</f>
        <v>1052</v>
      </c>
      <c r="D14" s="117">
        <f>SUM(D15:D21)</f>
        <v>70</v>
      </c>
      <c r="E14" s="116">
        <f>SUM(E16:E21)</f>
        <v>552</v>
      </c>
      <c r="F14" s="193">
        <f>SUM(F16:F21)</f>
        <v>191</v>
      </c>
      <c r="G14" s="194" t="s">
        <v>112</v>
      </c>
      <c r="H14" s="195">
        <f aca="true" t="shared" si="3" ref="H14:O14">SUM(H15:H21)</f>
        <v>17756.739999999998</v>
      </c>
      <c r="I14" s="347"/>
      <c r="J14" s="350"/>
      <c r="K14" s="114">
        <f t="shared" si="3"/>
        <v>1701</v>
      </c>
      <c r="L14" s="114" t="s">
        <v>112</v>
      </c>
      <c r="M14" s="114">
        <f t="shared" si="3"/>
        <v>2503.178571428571</v>
      </c>
      <c r="N14" s="114">
        <f t="shared" si="3"/>
        <v>300.38142857142896</v>
      </c>
      <c r="O14" s="118">
        <f t="shared" si="3"/>
        <v>1902.5078571428594</v>
      </c>
    </row>
    <row r="15" spans="1:15" ht="31.5">
      <c r="A15" s="186">
        <v>4</v>
      </c>
      <c r="B15" s="192" t="s">
        <v>280</v>
      </c>
      <c r="C15" s="188">
        <v>556</v>
      </c>
      <c r="D15" s="141">
        <v>24</v>
      </c>
      <c r="E15" s="188">
        <f aca="true" t="shared" si="4" ref="E15:E21">D15*12</f>
        <v>288</v>
      </c>
      <c r="F15" s="189">
        <v>0</v>
      </c>
      <c r="G15" s="190">
        <v>486.6</v>
      </c>
      <c r="H15" s="191">
        <f aca="true" t="shared" si="5" ref="H15:H21">F15*G15</f>
        <v>0</v>
      </c>
      <c r="I15" s="347"/>
      <c r="J15" s="350"/>
      <c r="K15" s="182">
        <f aca="true" t="shared" si="6" ref="K15:K21">C15+E15-F15</f>
        <v>844</v>
      </c>
      <c r="L15" s="134">
        <v>12</v>
      </c>
      <c r="M15" s="137">
        <f t="shared" si="0"/>
        <v>434.46428571428567</v>
      </c>
      <c r="N15" s="137">
        <f t="shared" si="1"/>
        <v>52.13571428571436</v>
      </c>
      <c r="O15" s="138">
        <f t="shared" si="2"/>
        <v>0</v>
      </c>
    </row>
    <row r="16" spans="1:15" ht="31.5">
      <c r="A16" s="186">
        <v>5</v>
      </c>
      <c r="B16" s="192" t="s">
        <v>281</v>
      </c>
      <c r="C16" s="188">
        <v>50</v>
      </c>
      <c r="D16" s="141">
        <v>4</v>
      </c>
      <c r="E16" s="188">
        <f t="shared" si="4"/>
        <v>48</v>
      </c>
      <c r="F16" s="189">
        <v>0</v>
      </c>
      <c r="G16" s="190">
        <v>1335</v>
      </c>
      <c r="H16" s="191">
        <f t="shared" si="5"/>
        <v>0</v>
      </c>
      <c r="I16" s="347"/>
      <c r="J16" s="350"/>
      <c r="K16" s="182">
        <f t="shared" si="6"/>
        <v>98</v>
      </c>
      <c r="L16" s="134">
        <v>12</v>
      </c>
      <c r="M16" s="137">
        <f t="shared" si="0"/>
        <v>1191.9642857142856</v>
      </c>
      <c r="N16" s="137">
        <f t="shared" si="1"/>
        <v>143.03571428571445</v>
      </c>
      <c r="O16" s="138">
        <f t="shared" si="2"/>
        <v>0</v>
      </c>
    </row>
    <row r="17" spans="1:15" ht="63">
      <c r="A17" s="196">
        <v>6</v>
      </c>
      <c r="B17" s="196" t="s">
        <v>282</v>
      </c>
      <c r="C17" s="182">
        <v>28</v>
      </c>
      <c r="D17" s="135">
        <v>4</v>
      </c>
      <c r="E17" s="134">
        <f t="shared" si="4"/>
        <v>48</v>
      </c>
      <c r="F17" s="197">
        <v>20</v>
      </c>
      <c r="G17" s="184">
        <v>317.68</v>
      </c>
      <c r="H17" s="185">
        <f t="shared" si="5"/>
        <v>6353.6</v>
      </c>
      <c r="I17" s="347"/>
      <c r="J17" s="350"/>
      <c r="K17" s="182">
        <f t="shared" si="6"/>
        <v>56</v>
      </c>
      <c r="L17" s="134">
        <v>12</v>
      </c>
      <c r="M17" s="137">
        <f t="shared" si="0"/>
        <v>283.6428571428571</v>
      </c>
      <c r="N17" s="137">
        <f t="shared" si="1"/>
        <v>34.037142857142896</v>
      </c>
      <c r="O17" s="138">
        <f t="shared" si="2"/>
        <v>680.7428571428579</v>
      </c>
    </row>
    <row r="18" spans="1:15" ht="31.5">
      <c r="A18" s="192">
        <v>7</v>
      </c>
      <c r="B18" s="192" t="s">
        <v>283</v>
      </c>
      <c r="C18" s="188">
        <v>187</v>
      </c>
      <c r="D18" s="141">
        <v>12</v>
      </c>
      <c r="E18" s="188">
        <f t="shared" si="4"/>
        <v>144</v>
      </c>
      <c r="F18" s="189">
        <v>20</v>
      </c>
      <c r="G18" s="190">
        <v>215.76</v>
      </c>
      <c r="H18" s="191">
        <f t="shared" si="5"/>
        <v>4315.2</v>
      </c>
      <c r="I18" s="347"/>
      <c r="J18" s="350"/>
      <c r="K18" s="182">
        <f t="shared" si="6"/>
        <v>311</v>
      </c>
      <c r="L18" s="134">
        <v>12</v>
      </c>
      <c r="M18" s="137">
        <f t="shared" si="0"/>
        <v>192.6428571428571</v>
      </c>
      <c r="N18" s="137">
        <f t="shared" si="1"/>
        <v>23.11714285714288</v>
      </c>
      <c r="O18" s="138">
        <f t="shared" si="2"/>
        <v>462.3428571428576</v>
      </c>
    </row>
    <row r="19" spans="1:15" ht="15.75">
      <c r="A19" s="196">
        <v>8</v>
      </c>
      <c r="B19" s="196" t="s">
        <v>284</v>
      </c>
      <c r="C19" s="182">
        <v>162</v>
      </c>
      <c r="D19" s="135">
        <v>20</v>
      </c>
      <c r="E19" s="134">
        <f t="shared" si="4"/>
        <v>240</v>
      </c>
      <c r="F19" s="197">
        <v>151</v>
      </c>
      <c r="G19" s="184">
        <v>46.94</v>
      </c>
      <c r="H19" s="185">
        <f t="shared" si="5"/>
        <v>7087.94</v>
      </c>
      <c r="I19" s="347"/>
      <c r="J19" s="350"/>
      <c r="K19" s="182">
        <f t="shared" si="6"/>
        <v>251</v>
      </c>
      <c r="L19" s="134">
        <v>12</v>
      </c>
      <c r="M19" s="137">
        <f t="shared" si="0"/>
        <v>41.91071428571428</v>
      </c>
      <c r="N19" s="137">
        <f t="shared" si="1"/>
        <v>5.02928571428572</v>
      </c>
      <c r="O19" s="138">
        <f t="shared" si="2"/>
        <v>759.4221428571437</v>
      </c>
    </row>
    <row r="20" spans="1:15" ht="15.75">
      <c r="A20" s="186">
        <v>9</v>
      </c>
      <c r="B20" s="192" t="s">
        <v>285</v>
      </c>
      <c r="C20" s="188">
        <v>5</v>
      </c>
      <c r="D20" s="188">
        <v>1</v>
      </c>
      <c r="E20" s="188">
        <f t="shared" si="4"/>
        <v>12</v>
      </c>
      <c r="F20" s="189">
        <v>0</v>
      </c>
      <c r="G20" s="190">
        <v>135.42</v>
      </c>
      <c r="H20" s="191">
        <f t="shared" si="5"/>
        <v>0</v>
      </c>
      <c r="I20" s="347"/>
      <c r="J20" s="350"/>
      <c r="K20" s="182">
        <f t="shared" si="6"/>
        <v>17</v>
      </c>
      <c r="L20" s="134">
        <v>12</v>
      </c>
      <c r="M20" s="137">
        <f t="shared" si="0"/>
        <v>120.91071428571426</v>
      </c>
      <c r="N20" s="137">
        <f t="shared" si="1"/>
        <v>14.509285714285724</v>
      </c>
      <c r="O20" s="138">
        <f t="shared" si="2"/>
        <v>0</v>
      </c>
    </row>
    <row r="21" spans="1:15" ht="31.5">
      <c r="A21" s="180">
        <v>10</v>
      </c>
      <c r="B21" s="196" t="s">
        <v>286</v>
      </c>
      <c r="C21" s="182">
        <v>64</v>
      </c>
      <c r="D21" s="135">
        <v>5</v>
      </c>
      <c r="E21" s="134">
        <f t="shared" si="4"/>
        <v>60</v>
      </c>
      <c r="F21" s="197">
        <v>0</v>
      </c>
      <c r="G21" s="184">
        <v>266.16</v>
      </c>
      <c r="H21" s="185">
        <f t="shared" si="5"/>
        <v>0</v>
      </c>
      <c r="I21" s="348"/>
      <c r="J21" s="351"/>
      <c r="K21" s="182">
        <f t="shared" si="6"/>
        <v>124</v>
      </c>
      <c r="L21" s="134">
        <v>12</v>
      </c>
      <c r="M21" s="137">
        <f t="shared" si="0"/>
        <v>237.64285714285714</v>
      </c>
      <c r="N21" s="137">
        <f t="shared" si="1"/>
        <v>28.517142857142886</v>
      </c>
      <c r="O21" s="138">
        <f t="shared" si="2"/>
        <v>0</v>
      </c>
    </row>
    <row r="22" spans="1:15" ht="15.75">
      <c r="A22" s="344" t="s">
        <v>254</v>
      </c>
      <c r="B22" s="345"/>
      <c r="C22" s="154">
        <f>C10+C14</f>
        <v>1512</v>
      </c>
      <c r="D22" s="154">
        <f>D10+D14</f>
        <v>390</v>
      </c>
      <c r="E22" s="154">
        <f>E10+E14</f>
        <v>4680</v>
      </c>
      <c r="F22" s="198">
        <f>F10+F14</f>
        <v>2729</v>
      </c>
      <c r="G22" s="154" t="s">
        <v>112</v>
      </c>
      <c r="H22" s="118">
        <f>H10+H14</f>
        <v>624598.34</v>
      </c>
      <c r="I22" s="118">
        <v>624416</v>
      </c>
      <c r="J22" s="118">
        <v>155.54</v>
      </c>
      <c r="K22" s="154">
        <f>K10+K14</f>
        <v>3463</v>
      </c>
      <c r="L22" s="164" t="s">
        <v>112</v>
      </c>
      <c r="M22" s="164" t="s">
        <v>112</v>
      </c>
      <c r="N22" s="118">
        <f>N10+N14</f>
        <v>374.10428571428616</v>
      </c>
      <c r="O22" s="118">
        <f>O10+O14</f>
        <v>66921.25071428576</v>
      </c>
    </row>
    <row r="23" spans="1:15" ht="15.75">
      <c r="A23" s="127"/>
      <c r="B23" s="156" t="s">
        <v>255</v>
      </c>
      <c r="C23" s="199">
        <f>C12+C13+C15+C16+C18+C20</f>
        <v>808</v>
      </c>
      <c r="D23" s="200">
        <f aca="true" t="shared" si="7" ref="D23:K23">D12+D13+D15+D16+D18+D20</f>
        <v>60</v>
      </c>
      <c r="E23" s="199">
        <f t="shared" si="7"/>
        <v>720</v>
      </c>
      <c r="F23" s="201">
        <f>F12+F13+F15+F16+F18+F20</f>
        <v>248</v>
      </c>
      <c r="G23" s="199" t="s">
        <v>112</v>
      </c>
      <c r="H23" s="202">
        <f t="shared" si="7"/>
        <v>65996.8</v>
      </c>
      <c r="I23" s="111" t="s">
        <v>112</v>
      </c>
      <c r="J23" s="111" t="s">
        <v>112</v>
      </c>
      <c r="K23" s="199">
        <f t="shared" si="7"/>
        <v>1280</v>
      </c>
      <c r="L23" s="164" t="s">
        <v>112</v>
      </c>
      <c r="M23" s="164" t="s">
        <v>112</v>
      </c>
      <c r="N23" s="202">
        <f>N12+N13+N15+N16+N18+N20</f>
        <v>281.23500000000035</v>
      </c>
      <c r="O23" s="202">
        <f>O12+O13+O15+O16+O18+O20</f>
        <v>7071.08571428572</v>
      </c>
    </row>
    <row r="24" spans="1:15" ht="15.75">
      <c r="A24" s="127"/>
      <c r="B24" s="161" t="s">
        <v>256</v>
      </c>
      <c r="C24" s="203">
        <f>C11+C17+C19+C21</f>
        <v>704</v>
      </c>
      <c r="D24" s="203">
        <f aca="true" t="shared" si="8" ref="D24:K24">D11+D17+D19+D21</f>
        <v>330</v>
      </c>
      <c r="E24" s="203">
        <f t="shared" si="8"/>
        <v>3960</v>
      </c>
      <c r="F24" s="204">
        <f>F11+F17+F19+F21</f>
        <v>2481</v>
      </c>
      <c r="G24" s="139" t="s">
        <v>112</v>
      </c>
      <c r="H24" s="139">
        <f t="shared" si="8"/>
        <v>558601.5399999999</v>
      </c>
      <c r="I24" s="111" t="s">
        <v>112</v>
      </c>
      <c r="J24" s="111" t="s">
        <v>112</v>
      </c>
      <c r="K24" s="203">
        <f t="shared" si="8"/>
        <v>2183</v>
      </c>
      <c r="L24" s="164" t="s">
        <v>112</v>
      </c>
      <c r="M24" s="164" t="s">
        <v>112</v>
      </c>
      <c r="N24" s="139">
        <f>N11+N17+N19+N21</f>
        <v>92.86928571428581</v>
      </c>
      <c r="O24" s="139">
        <f>O11+O17+O19+O21</f>
        <v>59850.16500000005</v>
      </c>
    </row>
    <row r="25" spans="1:15" ht="15.75">
      <c r="A25" s="164"/>
      <c r="B25" s="165" t="s">
        <v>257</v>
      </c>
      <c r="C25" s="205" t="s">
        <v>112</v>
      </c>
      <c r="D25" s="205" t="s">
        <v>112</v>
      </c>
      <c r="E25" s="205" t="s">
        <v>112</v>
      </c>
      <c r="F25" s="198" t="s">
        <v>112</v>
      </c>
      <c r="G25" s="205" t="s">
        <v>112</v>
      </c>
      <c r="H25" s="123">
        <f>I25-26.8</f>
        <v>62415.2</v>
      </c>
      <c r="I25" s="123">
        <v>62442</v>
      </c>
      <c r="J25" s="118">
        <v>-155.54</v>
      </c>
      <c r="K25" s="164" t="s">
        <v>112</v>
      </c>
      <c r="L25" s="164" t="s">
        <v>112</v>
      </c>
      <c r="M25" s="164" t="s">
        <v>112</v>
      </c>
      <c r="N25" s="164" t="s">
        <v>112</v>
      </c>
      <c r="O25" s="164" t="s">
        <v>112</v>
      </c>
    </row>
    <row r="26" spans="1:15" ht="15.75">
      <c r="A26" s="164"/>
      <c r="B26" s="166" t="s">
        <v>258</v>
      </c>
      <c r="C26" s="164" t="s">
        <v>112</v>
      </c>
      <c r="D26" s="164" t="s">
        <v>112</v>
      </c>
      <c r="E26" s="164" t="s">
        <v>112</v>
      </c>
      <c r="F26" s="206" t="s">
        <v>112</v>
      </c>
      <c r="G26" s="164" t="s">
        <v>112</v>
      </c>
      <c r="H26" s="123">
        <f>H22+H25</f>
        <v>687013.5399999999</v>
      </c>
      <c r="I26" s="123">
        <f>I22+I25</f>
        <v>686858</v>
      </c>
      <c r="J26" s="123">
        <f>J22+J25</f>
        <v>0</v>
      </c>
      <c r="K26" s="164" t="s">
        <v>112</v>
      </c>
      <c r="L26" s="164" t="s">
        <v>112</v>
      </c>
      <c r="M26" s="164" t="s">
        <v>112</v>
      </c>
      <c r="N26" s="164" t="s">
        <v>112</v>
      </c>
      <c r="O26" s="164" t="s">
        <v>112</v>
      </c>
    </row>
    <row r="28" spans="2:10" ht="15.75">
      <c r="B28" s="108" t="s">
        <v>314</v>
      </c>
      <c r="C28" s="108"/>
      <c r="D28" s="108"/>
      <c r="E28" s="108"/>
      <c r="F28" s="108"/>
      <c r="G28" s="108"/>
      <c r="H28" s="108"/>
      <c r="I28" s="108"/>
      <c r="J28" s="108" t="s">
        <v>315</v>
      </c>
    </row>
    <row r="29" spans="2:10" ht="15.75">
      <c r="B29" s="108"/>
      <c r="C29" s="108"/>
      <c r="D29" s="108"/>
      <c r="E29" s="108"/>
      <c r="F29" s="108"/>
      <c r="G29" s="108"/>
      <c r="H29" s="108"/>
      <c r="I29" s="108"/>
      <c r="J29" s="108"/>
    </row>
    <row r="30" spans="2:10" ht="15.75">
      <c r="B30" s="41" t="s">
        <v>337</v>
      </c>
      <c r="C30" s="41"/>
      <c r="D30" s="41"/>
      <c r="E30" s="108"/>
      <c r="F30" s="108"/>
      <c r="G30" s="108"/>
      <c r="H30" s="108"/>
      <c r="I30" s="108"/>
      <c r="J30" s="108"/>
    </row>
    <row r="31" spans="2:10" ht="15.75">
      <c r="B31" s="41" t="s">
        <v>316</v>
      </c>
      <c r="C31" s="41"/>
      <c r="D31" s="41"/>
      <c r="E31" s="108"/>
      <c r="F31" s="108"/>
      <c r="G31" s="108"/>
      <c r="H31" s="108"/>
      <c r="I31" s="108"/>
      <c r="J31" s="108"/>
    </row>
    <row r="32" spans="2:10" ht="15.75">
      <c r="B32" s="41" t="s">
        <v>317</v>
      </c>
      <c r="C32" s="41"/>
      <c r="D32" s="41"/>
      <c r="E32" s="108"/>
      <c r="F32" s="108"/>
      <c r="G32" s="108"/>
      <c r="H32" s="108"/>
      <c r="I32" s="108"/>
      <c r="J32" s="108"/>
    </row>
  </sheetData>
  <sheetProtection/>
  <mergeCells count="17">
    <mergeCell ref="J3:O3"/>
    <mergeCell ref="C4:G4"/>
    <mergeCell ref="B7:B8"/>
    <mergeCell ref="C7:J7"/>
    <mergeCell ref="K7:K8"/>
    <mergeCell ref="L7:L8"/>
    <mergeCell ref="M7:M8"/>
    <mergeCell ref="A7:A8"/>
    <mergeCell ref="N7:N8"/>
    <mergeCell ref="A22:B22"/>
    <mergeCell ref="M1:O1"/>
    <mergeCell ref="O7:O8"/>
    <mergeCell ref="A10:B10"/>
    <mergeCell ref="I10:I21"/>
    <mergeCell ref="J10:J21"/>
    <mergeCell ref="A14:B14"/>
    <mergeCell ref="L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Footer>&amp;CLMpielik_29_070815_LMZino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6">
      <selection activeCell="B37" sqref="B37"/>
    </sheetView>
  </sheetViews>
  <sheetFormatPr defaultColWidth="9.140625" defaultRowHeight="12.75"/>
  <cols>
    <col min="1" max="1" width="7.28125" style="0" customWidth="1"/>
    <col min="2" max="2" width="30.140625" style="0" customWidth="1"/>
    <col min="3" max="6" width="12.421875" style="0" customWidth="1"/>
    <col min="7" max="7" width="12.28125" style="0" customWidth="1"/>
    <col min="8" max="10" width="16.28125" style="0" customWidth="1"/>
    <col min="11" max="11" width="12.421875" style="0" customWidth="1"/>
    <col min="12" max="12" width="8.57421875" style="0" customWidth="1"/>
    <col min="13" max="13" width="11.28125" style="0" customWidth="1"/>
    <col min="14" max="14" width="12.00390625" style="0" customWidth="1"/>
    <col min="15" max="15" width="13.57421875" style="0" customWidth="1"/>
  </cols>
  <sheetData>
    <row r="1" spans="1:15" ht="15.75">
      <c r="A1" s="108"/>
      <c r="B1" s="108"/>
      <c r="C1" s="108"/>
      <c r="D1" s="108"/>
      <c r="E1" s="108"/>
      <c r="F1" s="172"/>
      <c r="G1" s="108"/>
      <c r="H1" s="108"/>
      <c r="L1" s="106"/>
      <c r="M1" s="254" t="s">
        <v>332</v>
      </c>
      <c r="N1" s="254"/>
      <c r="O1" s="254"/>
    </row>
    <row r="2" spans="1:15" ht="15.75">
      <c r="A2" s="108"/>
      <c r="B2" s="108"/>
      <c r="C2" s="108"/>
      <c r="D2" s="108"/>
      <c r="E2" s="108"/>
      <c r="F2" s="172"/>
      <c r="G2" s="108"/>
      <c r="H2" s="108"/>
      <c r="L2" s="261" t="s">
        <v>318</v>
      </c>
      <c r="M2" s="261"/>
      <c r="N2" s="261"/>
      <c r="O2" s="261"/>
    </row>
    <row r="3" spans="1:15" ht="36" customHeight="1">
      <c r="A3" s="108"/>
      <c r="B3" s="108"/>
      <c r="C3" s="108"/>
      <c r="D3" s="108"/>
      <c r="E3" s="108"/>
      <c r="F3" s="172"/>
      <c r="G3" s="108"/>
      <c r="H3" s="108"/>
      <c r="J3" s="262" t="s">
        <v>320</v>
      </c>
      <c r="K3" s="262"/>
      <c r="L3" s="262"/>
      <c r="M3" s="262"/>
      <c r="N3" s="262"/>
      <c r="O3" s="262"/>
    </row>
    <row r="4" spans="1:12" ht="18.75">
      <c r="A4" s="108"/>
      <c r="B4" s="108"/>
      <c r="C4" s="327" t="s">
        <v>202</v>
      </c>
      <c r="D4" s="327"/>
      <c r="E4" s="327"/>
      <c r="F4" s="327"/>
      <c r="G4" s="327"/>
      <c r="H4" s="108"/>
      <c r="I4" s="108"/>
      <c r="J4" s="108"/>
      <c r="K4" s="108"/>
      <c r="L4" s="106"/>
    </row>
    <row r="5" spans="1:12" ht="18.75">
      <c r="A5" s="173" t="s">
        <v>289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06"/>
    </row>
    <row r="6" spans="1:12" ht="18.75">
      <c r="A6" s="174"/>
      <c r="B6" s="175"/>
      <c r="C6" s="175"/>
      <c r="D6" s="175"/>
      <c r="E6" s="175"/>
      <c r="F6" s="176"/>
      <c r="G6" s="175"/>
      <c r="H6" s="108"/>
      <c r="I6" s="108"/>
      <c r="J6" s="108"/>
      <c r="K6" s="108"/>
      <c r="L6" s="106"/>
    </row>
    <row r="7" spans="1:15" ht="15.75">
      <c r="A7" s="331" t="s">
        <v>114</v>
      </c>
      <c r="B7" s="354" t="s">
        <v>115</v>
      </c>
      <c r="C7" s="355" t="s">
        <v>198</v>
      </c>
      <c r="D7" s="356"/>
      <c r="E7" s="356"/>
      <c r="F7" s="356"/>
      <c r="G7" s="356"/>
      <c r="H7" s="356"/>
      <c r="I7" s="356"/>
      <c r="J7" s="357"/>
      <c r="K7" s="358" t="s">
        <v>201</v>
      </c>
      <c r="L7" s="326" t="s">
        <v>186</v>
      </c>
      <c r="M7" s="326" t="s">
        <v>187</v>
      </c>
      <c r="N7" s="326" t="s">
        <v>188</v>
      </c>
      <c r="O7" s="333" t="s">
        <v>189</v>
      </c>
    </row>
    <row r="8" spans="1:15" ht="94.5">
      <c r="A8" s="332"/>
      <c r="B8" s="354"/>
      <c r="C8" s="112" t="s">
        <v>200</v>
      </c>
      <c r="D8" s="112" t="s">
        <v>327</v>
      </c>
      <c r="E8" s="112" t="s">
        <v>287</v>
      </c>
      <c r="F8" s="113" t="s">
        <v>266</v>
      </c>
      <c r="G8" s="112" t="s">
        <v>328</v>
      </c>
      <c r="H8" s="112" t="s">
        <v>267</v>
      </c>
      <c r="I8" s="112" t="s">
        <v>215</v>
      </c>
      <c r="J8" s="112" t="s">
        <v>216</v>
      </c>
      <c r="K8" s="358"/>
      <c r="L8" s="326"/>
      <c r="M8" s="326"/>
      <c r="N8" s="326"/>
      <c r="O8" s="333"/>
    </row>
    <row r="9" spans="1:15" ht="15.75">
      <c r="A9" s="105">
        <v>1</v>
      </c>
      <c r="B9" s="61">
        <v>2</v>
      </c>
      <c r="C9" s="112">
        <v>3</v>
      </c>
      <c r="D9" s="112">
        <v>4</v>
      </c>
      <c r="E9" s="112" t="s">
        <v>268</v>
      </c>
      <c r="F9" s="113">
        <v>6</v>
      </c>
      <c r="G9" s="112">
        <v>7</v>
      </c>
      <c r="H9" s="112" t="s">
        <v>269</v>
      </c>
      <c r="I9" s="112">
        <v>9</v>
      </c>
      <c r="J9" s="112" t="s">
        <v>270</v>
      </c>
      <c r="K9" s="112" t="s">
        <v>271</v>
      </c>
      <c r="L9" s="162">
        <v>12</v>
      </c>
      <c r="M9" s="111" t="s">
        <v>272</v>
      </c>
      <c r="N9" s="111" t="s">
        <v>273</v>
      </c>
      <c r="O9" s="111" t="s">
        <v>274</v>
      </c>
    </row>
    <row r="10" spans="1:15" ht="15.75">
      <c r="A10" s="337" t="s">
        <v>275</v>
      </c>
      <c r="B10" s="338"/>
      <c r="C10" s="177">
        <f>C11+C12+C13</f>
        <v>1762</v>
      </c>
      <c r="D10" s="177">
        <f>D11+D13+D12</f>
        <v>320</v>
      </c>
      <c r="E10" s="177">
        <f>E11+E15+E13+E12</f>
        <v>4128</v>
      </c>
      <c r="F10" s="208">
        <f>F11+F15+F13+F12</f>
        <v>2539</v>
      </c>
      <c r="G10" s="179" t="s">
        <v>112</v>
      </c>
      <c r="H10" s="179">
        <f>H11++H13+H12</f>
        <v>606582</v>
      </c>
      <c r="I10" s="346"/>
      <c r="J10" s="349"/>
      <c r="K10" s="177">
        <f>K11++K13+K12</f>
        <v>3063</v>
      </c>
      <c r="L10" s="177" t="s">
        <v>112</v>
      </c>
      <c r="M10" s="177">
        <f>M11++M13+M12</f>
        <v>614.3571428571428</v>
      </c>
      <c r="N10" s="177">
        <f>N11++N13+N12</f>
        <v>73.72285714285721</v>
      </c>
      <c r="O10" s="179">
        <f>O11++O13+O12</f>
        <v>64990.92857142862</v>
      </c>
    </row>
    <row r="11" spans="1:15" ht="15.75">
      <c r="A11" s="180">
        <v>1</v>
      </c>
      <c r="B11" s="181" t="s">
        <v>276</v>
      </c>
      <c r="C11" s="182">
        <f>'[2]Pieli_7_TP_Baze_2016'!K9</f>
        <v>1752</v>
      </c>
      <c r="D11" s="135">
        <v>301</v>
      </c>
      <c r="E11" s="134">
        <f>D11*12</f>
        <v>3612</v>
      </c>
      <c r="F11" s="183">
        <v>2310</v>
      </c>
      <c r="G11" s="184">
        <v>236</v>
      </c>
      <c r="H11" s="185">
        <f>F11*G11</f>
        <v>545160</v>
      </c>
      <c r="I11" s="347"/>
      <c r="J11" s="350"/>
      <c r="K11" s="182">
        <f>C11+E11-F11</f>
        <v>3054</v>
      </c>
      <c r="L11" s="134">
        <v>12</v>
      </c>
      <c r="M11" s="137">
        <f>G11/1.12</f>
        <v>210.7142857142857</v>
      </c>
      <c r="N11" s="137">
        <f>G11-M11</f>
        <v>25.285714285714306</v>
      </c>
      <c r="O11" s="138">
        <f>F11*N11</f>
        <v>58410.000000000044</v>
      </c>
    </row>
    <row r="12" spans="1:15" ht="31.5">
      <c r="A12" s="186">
        <v>2</v>
      </c>
      <c r="B12" s="187" t="s">
        <v>277</v>
      </c>
      <c r="C12" s="209">
        <f>'[2]Pieli_7_TP_Baze_2016'!K10</f>
        <v>0</v>
      </c>
      <c r="D12" s="141">
        <v>17</v>
      </c>
      <c r="E12" s="188">
        <f>D12*12</f>
        <v>204</v>
      </c>
      <c r="F12" s="189">
        <f>C12+E12</f>
        <v>204</v>
      </c>
      <c r="G12" s="190">
        <v>280</v>
      </c>
      <c r="H12" s="191">
        <f>F12*G12</f>
        <v>57120</v>
      </c>
      <c r="I12" s="347"/>
      <c r="J12" s="350"/>
      <c r="K12" s="182">
        <f>C12+E12-F12</f>
        <v>0</v>
      </c>
      <c r="L12" s="134">
        <v>12</v>
      </c>
      <c r="M12" s="137">
        <f aca="true" t="shared" si="0" ref="M12:M21">G12/1.12</f>
        <v>249.99999999999997</v>
      </c>
      <c r="N12" s="137">
        <f aca="true" t="shared" si="1" ref="N12:N21">G12-M12</f>
        <v>30.00000000000003</v>
      </c>
      <c r="O12" s="138">
        <f aca="true" t="shared" si="2" ref="O12:O21">F12*N12</f>
        <v>6120.0000000000055</v>
      </c>
    </row>
    <row r="13" spans="1:15" ht="31.5">
      <c r="A13" s="186">
        <v>3</v>
      </c>
      <c r="B13" s="192" t="s">
        <v>278</v>
      </c>
      <c r="C13" s="209">
        <f>'[2]Pieli_7_TP_Baze_2016'!K11</f>
        <v>10</v>
      </c>
      <c r="D13" s="188">
        <v>2</v>
      </c>
      <c r="E13" s="188">
        <f>D13*12</f>
        <v>24</v>
      </c>
      <c r="F13" s="189">
        <v>25</v>
      </c>
      <c r="G13" s="190">
        <v>172.08</v>
      </c>
      <c r="H13" s="191">
        <f>F13*G13</f>
        <v>4302</v>
      </c>
      <c r="I13" s="347"/>
      <c r="J13" s="350"/>
      <c r="K13" s="182">
        <f>C13+E13-F13</f>
        <v>9</v>
      </c>
      <c r="L13" s="134">
        <v>12</v>
      </c>
      <c r="M13" s="137">
        <f t="shared" si="0"/>
        <v>153.64285714285714</v>
      </c>
      <c r="N13" s="137">
        <f t="shared" si="1"/>
        <v>18.437142857142874</v>
      </c>
      <c r="O13" s="138">
        <f t="shared" si="2"/>
        <v>460.92857142857184</v>
      </c>
    </row>
    <row r="14" spans="1:15" ht="15.75">
      <c r="A14" s="352" t="s">
        <v>279</v>
      </c>
      <c r="B14" s="353"/>
      <c r="C14" s="116">
        <f>SUM(C15:C21)</f>
        <v>1701</v>
      </c>
      <c r="D14" s="117">
        <f>SUM(D15:D21)</f>
        <v>70</v>
      </c>
      <c r="E14" s="116">
        <f>SUM(E16:E21)</f>
        <v>552</v>
      </c>
      <c r="F14" s="193">
        <f>SUM(F16:F21)</f>
        <v>193</v>
      </c>
      <c r="G14" s="194" t="s">
        <v>112</v>
      </c>
      <c r="H14" s="195">
        <f aca="true" t="shared" si="3" ref="H14:O14">SUM(H15:H21)</f>
        <v>18019.440000000002</v>
      </c>
      <c r="I14" s="347"/>
      <c r="J14" s="350"/>
      <c r="K14" s="114">
        <f t="shared" si="3"/>
        <v>2348</v>
      </c>
      <c r="L14" s="114" t="s">
        <v>112</v>
      </c>
      <c r="M14" s="114">
        <f t="shared" si="3"/>
        <v>2503.178571428571</v>
      </c>
      <c r="N14" s="114">
        <f t="shared" si="3"/>
        <v>300.38142857142896</v>
      </c>
      <c r="O14" s="118">
        <f t="shared" si="3"/>
        <v>1930.6542857142879</v>
      </c>
    </row>
    <row r="15" spans="1:15" ht="31.5">
      <c r="A15" s="186">
        <v>4</v>
      </c>
      <c r="B15" s="192" t="s">
        <v>280</v>
      </c>
      <c r="C15" s="209">
        <f>'[2]Pieli_7_TP_Baze_2016'!K13</f>
        <v>844</v>
      </c>
      <c r="D15" s="141">
        <v>24</v>
      </c>
      <c r="E15" s="188">
        <f aca="true" t="shared" si="4" ref="E15:E21">D15*12</f>
        <v>288</v>
      </c>
      <c r="F15" s="189">
        <v>0</v>
      </c>
      <c r="G15" s="190">
        <v>486.6</v>
      </c>
      <c r="H15" s="191">
        <f aca="true" t="shared" si="5" ref="H15:H21">F15*G15</f>
        <v>0</v>
      </c>
      <c r="I15" s="347"/>
      <c r="J15" s="350"/>
      <c r="K15" s="182">
        <f aca="true" t="shared" si="6" ref="K15:K21">C15+E15-F15</f>
        <v>1132</v>
      </c>
      <c r="L15" s="134">
        <v>12</v>
      </c>
      <c r="M15" s="137">
        <f t="shared" si="0"/>
        <v>434.46428571428567</v>
      </c>
      <c r="N15" s="137">
        <f t="shared" si="1"/>
        <v>52.13571428571436</v>
      </c>
      <c r="O15" s="138">
        <f t="shared" si="2"/>
        <v>0</v>
      </c>
    </row>
    <row r="16" spans="1:15" ht="31.5">
      <c r="A16" s="186">
        <v>5</v>
      </c>
      <c r="B16" s="192" t="s">
        <v>281</v>
      </c>
      <c r="C16" s="209">
        <f>'[2]Pieli_7_TP_Baze_2016'!K14</f>
        <v>98</v>
      </c>
      <c r="D16" s="141">
        <v>4</v>
      </c>
      <c r="E16" s="188">
        <f t="shared" si="4"/>
        <v>48</v>
      </c>
      <c r="F16" s="189">
        <v>0</v>
      </c>
      <c r="G16" s="190">
        <v>1335</v>
      </c>
      <c r="H16" s="191">
        <f t="shared" si="5"/>
        <v>0</v>
      </c>
      <c r="I16" s="347"/>
      <c r="J16" s="350"/>
      <c r="K16" s="182">
        <f t="shared" si="6"/>
        <v>146</v>
      </c>
      <c r="L16" s="134">
        <v>12</v>
      </c>
      <c r="M16" s="137">
        <f t="shared" si="0"/>
        <v>1191.9642857142856</v>
      </c>
      <c r="N16" s="137">
        <f t="shared" si="1"/>
        <v>143.03571428571445</v>
      </c>
      <c r="O16" s="138">
        <f t="shared" si="2"/>
        <v>0</v>
      </c>
    </row>
    <row r="17" spans="1:15" ht="63">
      <c r="A17" s="196">
        <v>6</v>
      </c>
      <c r="B17" s="196" t="s">
        <v>282</v>
      </c>
      <c r="C17" s="209">
        <f>'[2]Pieli_7_TP_Baze_2016'!K15</f>
        <v>56</v>
      </c>
      <c r="D17" s="135">
        <v>4</v>
      </c>
      <c r="E17" s="134">
        <f t="shared" si="4"/>
        <v>48</v>
      </c>
      <c r="F17" s="197">
        <v>20</v>
      </c>
      <c r="G17" s="184">
        <v>317.68</v>
      </c>
      <c r="H17" s="185">
        <f t="shared" si="5"/>
        <v>6353.6</v>
      </c>
      <c r="I17" s="347"/>
      <c r="J17" s="350"/>
      <c r="K17" s="182">
        <f t="shared" si="6"/>
        <v>84</v>
      </c>
      <c r="L17" s="134">
        <v>12</v>
      </c>
      <c r="M17" s="137">
        <f t="shared" si="0"/>
        <v>283.6428571428571</v>
      </c>
      <c r="N17" s="137">
        <f t="shared" si="1"/>
        <v>34.037142857142896</v>
      </c>
      <c r="O17" s="138">
        <f t="shared" si="2"/>
        <v>680.7428571428579</v>
      </c>
    </row>
    <row r="18" spans="1:15" ht="31.5">
      <c r="A18" s="192">
        <v>7</v>
      </c>
      <c r="B18" s="192" t="s">
        <v>283</v>
      </c>
      <c r="C18" s="209">
        <f>'[2]Pieli_7_TP_Baze_2016'!K16</f>
        <v>311</v>
      </c>
      <c r="D18" s="141">
        <v>12</v>
      </c>
      <c r="E18" s="188">
        <f t="shared" si="4"/>
        <v>144</v>
      </c>
      <c r="F18" s="189">
        <v>21</v>
      </c>
      <c r="G18" s="190">
        <v>215.76</v>
      </c>
      <c r="H18" s="191">
        <f t="shared" si="5"/>
        <v>4530.96</v>
      </c>
      <c r="I18" s="347"/>
      <c r="J18" s="350"/>
      <c r="K18" s="182">
        <f t="shared" si="6"/>
        <v>434</v>
      </c>
      <c r="L18" s="134">
        <v>12</v>
      </c>
      <c r="M18" s="137">
        <f t="shared" si="0"/>
        <v>192.6428571428571</v>
      </c>
      <c r="N18" s="137">
        <f t="shared" si="1"/>
        <v>23.11714285714288</v>
      </c>
      <c r="O18" s="138">
        <f t="shared" si="2"/>
        <v>485.4600000000005</v>
      </c>
    </row>
    <row r="19" spans="1:15" ht="15.75">
      <c r="A19" s="196">
        <v>8</v>
      </c>
      <c r="B19" s="196" t="s">
        <v>284</v>
      </c>
      <c r="C19" s="209">
        <f>'[2]Pieli_7_TP_Baze_2016'!K17</f>
        <v>251</v>
      </c>
      <c r="D19" s="135">
        <v>20</v>
      </c>
      <c r="E19" s="134">
        <f t="shared" si="4"/>
        <v>240</v>
      </c>
      <c r="F19" s="197">
        <v>152</v>
      </c>
      <c r="G19" s="184">
        <v>46.94</v>
      </c>
      <c r="H19" s="185">
        <f t="shared" si="5"/>
        <v>7134.879999999999</v>
      </c>
      <c r="I19" s="347"/>
      <c r="J19" s="350"/>
      <c r="K19" s="182">
        <f t="shared" si="6"/>
        <v>339</v>
      </c>
      <c r="L19" s="134">
        <v>12</v>
      </c>
      <c r="M19" s="137">
        <f t="shared" si="0"/>
        <v>41.91071428571428</v>
      </c>
      <c r="N19" s="137">
        <f t="shared" si="1"/>
        <v>5.02928571428572</v>
      </c>
      <c r="O19" s="138">
        <f t="shared" si="2"/>
        <v>764.4514285714295</v>
      </c>
    </row>
    <row r="20" spans="1:15" ht="15.75">
      <c r="A20" s="186">
        <v>9</v>
      </c>
      <c r="B20" s="192" t="s">
        <v>285</v>
      </c>
      <c r="C20" s="209">
        <f>'[2]Pieli_7_TP_Baze_2016'!K18</f>
        <v>17</v>
      </c>
      <c r="D20" s="188">
        <v>1</v>
      </c>
      <c r="E20" s="188">
        <f t="shared" si="4"/>
        <v>12</v>
      </c>
      <c r="F20" s="189">
        <v>0</v>
      </c>
      <c r="G20" s="190">
        <v>135.42</v>
      </c>
      <c r="H20" s="191">
        <f t="shared" si="5"/>
        <v>0</v>
      </c>
      <c r="I20" s="347"/>
      <c r="J20" s="350"/>
      <c r="K20" s="182">
        <f t="shared" si="6"/>
        <v>29</v>
      </c>
      <c r="L20" s="134">
        <v>12</v>
      </c>
      <c r="M20" s="137">
        <f t="shared" si="0"/>
        <v>120.91071428571426</v>
      </c>
      <c r="N20" s="137">
        <f t="shared" si="1"/>
        <v>14.509285714285724</v>
      </c>
      <c r="O20" s="138">
        <f t="shared" si="2"/>
        <v>0</v>
      </c>
    </row>
    <row r="21" spans="1:15" ht="31.5">
      <c r="A21" s="180">
        <v>10</v>
      </c>
      <c r="B21" s="196" t="s">
        <v>286</v>
      </c>
      <c r="C21" s="209">
        <f>'[2]Pieli_7_TP_Baze_2016'!K19</f>
        <v>124</v>
      </c>
      <c r="D21" s="135">
        <v>5</v>
      </c>
      <c r="E21" s="134">
        <f t="shared" si="4"/>
        <v>60</v>
      </c>
      <c r="F21" s="197">
        <v>0</v>
      </c>
      <c r="G21" s="184">
        <v>266.16</v>
      </c>
      <c r="H21" s="185">
        <f t="shared" si="5"/>
        <v>0</v>
      </c>
      <c r="I21" s="348"/>
      <c r="J21" s="351"/>
      <c r="K21" s="182">
        <f t="shared" si="6"/>
        <v>184</v>
      </c>
      <c r="L21" s="134">
        <v>12</v>
      </c>
      <c r="M21" s="137">
        <f t="shared" si="0"/>
        <v>237.64285714285714</v>
      </c>
      <c r="N21" s="137">
        <f t="shared" si="1"/>
        <v>28.517142857142886</v>
      </c>
      <c r="O21" s="138">
        <f t="shared" si="2"/>
        <v>0</v>
      </c>
    </row>
    <row r="22" spans="1:15" ht="15.75">
      <c r="A22" s="344" t="s">
        <v>254</v>
      </c>
      <c r="B22" s="345"/>
      <c r="C22" s="154">
        <f>C10+C14</f>
        <v>3463</v>
      </c>
      <c r="D22" s="154">
        <f>D10+D14</f>
        <v>390</v>
      </c>
      <c r="E22" s="154">
        <f>E10+E14</f>
        <v>4680</v>
      </c>
      <c r="F22" s="198">
        <f>F10+F14</f>
        <v>2732</v>
      </c>
      <c r="G22" s="154" t="s">
        <v>112</v>
      </c>
      <c r="H22" s="118">
        <f>H10+H14</f>
        <v>624601.44</v>
      </c>
      <c r="I22" s="118">
        <v>624416</v>
      </c>
      <c r="J22" s="118">
        <v>156.48</v>
      </c>
      <c r="K22" s="154">
        <f>K10+K14</f>
        <v>5411</v>
      </c>
      <c r="L22" s="164" t="s">
        <v>112</v>
      </c>
      <c r="M22" s="164" t="s">
        <v>112</v>
      </c>
      <c r="N22" s="118">
        <f>N10+N14</f>
        <v>374.10428571428616</v>
      </c>
      <c r="O22" s="118">
        <f>O10+O14</f>
        <v>66921.58285714292</v>
      </c>
    </row>
    <row r="23" spans="1:15" ht="15.75">
      <c r="A23" s="127"/>
      <c r="B23" s="156" t="s">
        <v>255</v>
      </c>
      <c r="C23" s="199">
        <f>C12+C13+C15+C16+C18+C20</f>
        <v>1280</v>
      </c>
      <c r="D23" s="200">
        <f aca="true" t="shared" si="7" ref="D23:K23">D12+D13+D15+D16+D18+D20</f>
        <v>60</v>
      </c>
      <c r="E23" s="199">
        <f t="shared" si="7"/>
        <v>720</v>
      </c>
      <c r="F23" s="201">
        <f>F12+F13+F15+F16+F18+F20</f>
        <v>250</v>
      </c>
      <c r="G23" s="199">
        <f t="shared" si="7"/>
        <v>2624.8600000000006</v>
      </c>
      <c r="H23" s="202">
        <f t="shared" si="7"/>
        <v>65952.96</v>
      </c>
      <c r="I23" s="111" t="s">
        <v>112</v>
      </c>
      <c r="J23" s="111" t="s">
        <v>112</v>
      </c>
      <c r="K23" s="199">
        <f t="shared" si="7"/>
        <v>1750</v>
      </c>
      <c r="L23" s="164" t="s">
        <v>112</v>
      </c>
      <c r="M23" s="164" t="s">
        <v>112</v>
      </c>
      <c r="N23" s="202">
        <f>N12+N13+N15+N16+N18+N20</f>
        <v>281.23500000000035</v>
      </c>
      <c r="O23" s="202">
        <f>O12+O13+O15+O16+O18+O20</f>
        <v>7066.388571428577</v>
      </c>
    </row>
    <row r="24" spans="1:15" ht="15.75">
      <c r="A24" s="127"/>
      <c r="B24" s="161" t="s">
        <v>256</v>
      </c>
      <c r="C24" s="203">
        <f>C11+C17+C19+C21</f>
        <v>2183</v>
      </c>
      <c r="D24" s="203">
        <f aca="true" t="shared" si="8" ref="D24:K24">D11+D17+D19+D21</f>
        <v>330</v>
      </c>
      <c r="E24" s="203">
        <f t="shared" si="8"/>
        <v>3960</v>
      </c>
      <c r="F24" s="204">
        <f>F11+F17+F19+F21</f>
        <v>2482</v>
      </c>
      <c r="G24" s="139">
        <f t="shared" si="8"/>
        <v>866.7800000000002</v>
      </c>
      <c r="H24" s="139">
        <f t="shared" si="8"/>
        <v>558648.48</v>
      </c>
      <c r="I24" s="111" t="s">
        <v>112</v>
      </c>
      <c r="J24" s="111" t="s">
        <v>112</v>
      </c>
      <c r="K24" s="203">
        <f t="shared" si="8"/>
        <v>3661</v>
      </c>
      <c r="L24" s="164" t="s">
        <v>112</v>
      </c>
      <c r="M24" s="164" t="s">
        <v>112</v>
      </c>
      <c r="N24" s="139">
        <f>N11+N17+N19+N21</f>
        <v>92.86928571428581</v>
      </c>
      <c r="O24" s="139">
        <f>O11+O17+O19+O21</f>
        <v>59855.19428571434</v>
      </c>
    </row>
    <row r="25" spans="1:15" ht="15.75">
      <c r="A25" s="164"/>
      <c r="B25" s="165" t="s">
        <v>257</v>
      </c>
      <c r="C25" s="205" t="s">
        <v>112</v>
      </c>
      <c r="D25" s="205" t="s">
        <v>112</v>
      </c>
      <c r="E25" s="205" t="s">
        <v>112</v>
      </c>
      <c r="F25" s="198" t="s">
        <v>112</v>
      </c>
      <c r="G25" s="205" t="s">
        <v>112</v>
      </c>
      <c r="H25" s="123">
        <f>I25-28.96</f>
        <v>62413.04</v>
      </c>
      <c r="I25" s="123">
        <v>62442</v>
      </c>
      <c r="J25" s="118">
        <v>-156.48</v>
      </c>
      <c r="K25" s="164" t="s">
        <v>112</v>
      </c>
      <c r="L25" s="164" t="s">
        <v>112</v>
      </c>
      <c r="M25" s="164" t="s">
        <v>112</v>
      </c>
      <c r="N25" s="164" t="s">
        <v>112</v>
      </c>
      <c r="O25" s="164" t="s">
        <v>112</v>
      </c>
    </row>
    <row r="26" spans="1:15" ht="15.75">
      <c r="A26" s="164"/>
      <c r="B26" s="166" t="s">
        <v>258</v>
      </c>
      <c r="C26" s="164" t="s">
        <v>112</v>
      </c>
      <c r="D26" s="164" t="s">
        <v>112</v>
      </c>
      <c r="E26" s="164" t="s">
        <v>112</v>
      </c>
      <c r="F26" s="206" t="s">
        <v>112</v>
      </c>
      <c r="G26" s="164" t="s">
        <v>112</v>
      </c>
      <c r="H26" s="123">
        <f>H22+H25</f>
        <v>687014.48</v>
      </c>
      <c r="I26" s="123">
        <f>I22+I25</f>
        <v>686858</v>
      </c>
      <c r="J26" s="123">
        <f>J22+J25</f>
        <v>0</v>
      </c>
      <c r="K26" s="164" t="s">
        <v>112</v>
      </c>
      <c r="L26" s="164" t="s">
        <v>112</v>
      </c>
      <c r="M26" s="164" t="s">
        <v>112</v>
      </c>
      <c r="N26" s="164" t="s">
        <v>112</v>
      </c>
      <c r="O26" s="164" t="s">
        <v>112</v>
      </c>
    </row>
    <row r="28" spans="2:10" ht="15.75">
      <c r="B28" s="108" t="s">
        <v>314</v>
      </c>
      <c r="C28" s="108"/>
      <c r="D28" s="108"/>
      <c r="E28" s="108"/>
      <c r="F28" s="108"/>
      <c r="G28" s="108"/>
      <c r="H28" s="108"/>
      <c r="I28" s="108"/>
      <c r="J28" s="108" t="s">
        <v>315</v>
      </c>
    </row>
    <row r="29" spans="2:10" ht="15.75">
      <c r="B29" s="108"/>
      <c r="C29" s="108"/>
      <c r="D29" s="108"/>
      <c r="E29" s="108"/>
      <c r="F29" s="108"/>
      <c r="G29" s="108"/>
      <c r="H29" s="108"/>
      <c r="I29" s="108"/>
      <c r="J29" s="108"/>
    </row>
    <row r="30" spans="2:10" ht="15.75">
      <c r="B30" s="41" t="s">
        <v>337</v>
      </c>
      <c r="C30" s="41"/>
      <c r="D30" s="41"/>
      <c r="E30" s="108"/>
      <c r="F30" s="108"/>
      <c r="G30" s="108"/>
      <c r="H30" s="108"/>
      <c r="I30" s="108"/>
      <c r="J30" s="108"/>
    </row>
    <row r="31" spans="2:10" ht="15.75">
      <c r="B31" s="41" t="s">
        <v>316</v>
      </c>
      <c r="C31" s="41"/>
      <c r="D31" s="41"/>
      <c r="E31" s="108"/>
      <c r="F31" s="108"/>
      <c r="G31" s="108"/>
      <c r="H31" s="108"/>
      <c r="I31" s="108"/>
      <c r="J31" s="108"/>
    </row>
    <row r="32" spans="2:10" ht="15.75">
      <c r="B32" s="41" t="s">
        <v>317</v>
      </c>
      <c r="C32" s="41"/>
      <c r="D32" s="41"/>
      <c r="E32" s="108"/>
      <c r="F32" s="108"/>
      <c r="G32" s="108"/>
      <c r="H32" s="108"/>
      <c r="I32" s="108"/>
      <c r="J32" s="108"/>
    </row>
  </sheetData>
  <sheetProtection/>
  <mergeCells count="17">
    <mergeCell ref="J3:O3"/>
    <mergeCell ref="C4:G4"/>
    <mergeCell ref="B7:B8"/>
    <mergeCell ref="C7:J7"/>
    <mergeCell ref="K7:K8"/>
    <mergeCell ref="L7:L8"/>
    <mergeCell ref="M7:M8"/>
    <mergeCell ref="A7:A8"/>
    <mergeCell ref="N7:N8"/>
    <mergeCell ref="A22:B22"/>
    <mergeCell ref="M1:O1"/>
    <mergeCell ref="O7:O8"/>
    <mergeCell ref="A10:B10"/>
    <mergeCell ref="I10:I21"/>
    <mergeCell ref="J10:J21"/>
    <mergeCell ref="A14:B14"/>
    <mergeCell ref="L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Footer>&amp;CLMpielik_29_070815_LMZino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„Par papildus nepieciešamo finansējumu valsts nodrošināto tehnisko palīglīdzekļu pakalpojuma ieviešanā”</dc:title>
  <dc:subject/>
  <dc:creator>Lilita Cirule</dc:creator>
  <cp:keywords>Variants Nr.2, pielikumi no 20_26</cp:keywords>
  <dc:description/>
  <cp:lastModifiedBy>Lilita Cirule</cp:lastModifiedBy>
  <cp:lastPrinted>2015-07-22T08:18:13Z</cp:lastPrinted>
  <dcterms:created xsi:type="dcterms:W3CDTF">2014-03-24T11:34:13Z</dcterms:created>
  <dcterms:modified xsi:type="dcterms:W3CDTF">2015-08-07T07:32:57Z</dcterms:modified>
  <cp:category>tālr. 67021647, Lilita.Cirule@lm.gov.lv	, fax 67276445</cp:category>
  <cp:version/>
  <cp:contentType/>
  <cp:contentStatus/>
</cp:coreProperties>
</file>