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75" windowWidth="19440" windowHeight="11175"/>
  </bookViews>
  <sheets>
    <sheet name="LMpielik_3_LMZino" sheetId="2" r:id="rId1"/>
    <sheet name="LMpielik_4_LMZino" sheetId="7" r:id="rId2"/>
    <sheet name="LMpielik_5_LMZino" sheetId="3" r:id="rId3"/>
    <sheet name="LMpielik_6_LMZino" sheetId="4" r:id="rId4"/>
    <sheet name="LMpielik_7_LMZino" sheetId="6" r:id="rId5"/>
    <sheet name="LMpielik_8_LMZino" sheetId="8" r:id="rId6"/>
  </sheets>
  <definedNames>
    <definedName name="_xlnm.Print_Titles" localSheetId="0">LMpielik_3_LMZino!$7:$9</definedName>
    <definedName name="_xlnm.Print_Titles" localSheetId="1">LMpielik_4_LMZino!$7:$9</definedName>
    <definedName name="_xlnm.Print_Titles" localSheetId="2">LMpielik_5_LMZino!$6:$8</definedName>
    <definedName name="_xlnm.Print_Titles" localSheetId="3">LMpielik_6_LMZino!$7:$9</definedName>
    <definedName name="_xlnm.Print_Titles" localSheetId="4">LMpielik_7_LMZino!$7:$8</definedName>
  </definedNames>
  <calcPr calcId="144525"/>
</workbook>
</file>

<file path=xl/calcChain.xml><?xml version="1.0" encoding="utf-8"?>
<calcChain xmlns="http://schemas.openxmlformats.org/spreadsheetml/2006/main">
  <c r="C15" i="8" l="1"/>
  <c r="G14" i="8"/>
  <c r="E14" i="8"/>
  <c r="C14" i="8"/>
  <c r="G13" i="8"/>
  <c r="E13" i="8"/>
  <c r="C13" i="8"/>
  <c r="G12" i="8"/>
  <c r="E12" i="8"/>
  <c r="E15" i="8" s="1"/>
  <c r="G11" i="8"/>
  <c r="E11" i="8"/>
  <c r="G10" i="8"/>
  <c r="E10" i="8"/>
  <c r="C10" i="8"/>
  <c r="G15" i="8" l="1"/>
  <c r="G9" i="8"/>
  <c r="C9" i="8"/>
  <c r="E9" i="8"/>
  <c r="D12" i="6"/>
  <c r="E12" i="6" s="1"/>
  <c r="D13" i="6" l="1"/>
  <c r="C14" i="6" l="1"/>
  <c r="G9" i="3" l="1"/>
  <c r="H21" i="3"/>
  <c r="H9" i="3"/>
  <c r="J35" i="2" l="1"/>
  <c r="J31" i="2"/>
  <c r="J27" i="2"/>
  <c r="J15" i="2"/>
  <c r="J27" i="7"/>
  <c r="J26" i="7"/>
  <c r="J25" i="7"/>
  <c r="J24" i="7"/>
  <c r="J23" i="7"/>
  <c r="J22" i="7"/>
  <c r="J21" i="7"/>
  <c r="J20" i="7"/>
  <c r="J19" i="7"/>
  <c r="J17" i="7"/>
  <c r="J16" i="7"/>
  <c r="J15" i="7"/>
  <c r="J14" i="7"/>
  <c r="J13" i="7"/>
  <c r="J10" i="7"/>
  <c r="J39" i="7"/>
  <c r="J38" i="7"/>
  <c r="J37" i="7"/>
  <c r="J36" i="7"/>
  <c r="J35" i="7"/>
  <c r="J31" i="7"/>
  <c r="J23" i="2"/>
  <c r="I57" i="4" l="1"/>
  <c r="I55" i="4"/>
  <c r="D32" i="7" l="1"/>
  <c r="G32" i="7" s="1"/>
  <c r="C30" i="7"/>
  <c r="P30" i="7" s="1"/>
  <c r="C32" i="7"/>
  <c r="C33" i="7"/>
  <c r="P33" i="7" s="1"/>
  <c r="C34" i="7"/>
  <c r="P34" i="7" s="1"/>
  <c r="C36" i="7"/>
  <c r="P36" i="7" s="1"/>
  <c r="C37" i="7"/>
  <c r="P37" i="7" s="1"/>
  <c r="C38" i="7"/>
  <c r="P38" i="7" s="1"/>
  <c r="C39" i="7"/>
  <c r="P39" i="7" s="1"/>
  <c r="C24" i="7"/>
  <c r="P24" i="7" s="1"/>
  <c r="C27" i="7"/>
  <c r="P27" i="7" s="1"/>
  <c r="C14" i="7"/>
  <c r="P14" i="7" s="1"/>
  <c r="C16" i="7"/>
  <c r="C17" i="7"/>
  <c r="P17" i="7" s="1"/>
  <c r="C13" i="7"/>
  <c r="M44" i="7"/>
  <c r="H42" i="7"/>
  <c r="I41" i="7"/>
  <c r="H41" i="7"/>
  <c r="G41" i="7"/>
  <c r="E39" i="7"/>
  <c r="F39" i="7" s="1"/>
  <c r="R38" i="7"/>
  <c r="E38" i="7"/>
  <c r="F38" i="7" s="1"/>
  <c r="R37" i="7"/>
  <c r="E37" i="7"/>
  <c r="F37" i="7" s="1"/>
  <c r="E36" i="7"/>
  <c r="F36" i="7" s="1"/>
  <c r="R35" i="7"/>
  <c r="S35" i="7" s="1"/>
  <c r="E35" i="7"/>
  <c r="F35" i="7" s="1"/>
  <c r="J34" i="7"/>
  <c r="R34" i="7" s="1"/>
  <c r="S34" i="7" s="1"/>
  <c r="T34" i="7" s="1"/>
  <c r="E34" i="7"/>
  <c r="F34" i="7" s="1"/>
  <c r="J33" i="7"/>
  <c r="L33" i="7" s="1"/>
  <c r="E33" i="7"/>
  <c r="F33" i="7" s="1"/>
  <c r="J32" i="7"/>
  <c r="R32" i="7" s="1"/>
  <c r="S32" i="7" s="1"/>
  <c r="E32" i="7"/>
  <c r="E31" i="7"/>
  <c r="F31" i="7" s="1"/>
  <c r="J30" i="7"/>
  <c r="L30" i="7" s="1"/>
  <c r="E30" i="7"/>
  <c r="F30" i="7" s="1"/>
  <c r="J29" i="7"/>
  <c r="R29" i="7" s="1"/>
  <c r="E29" i="7"/>
  <c r="F29" i="7" s="1"/>
  <c r="H28" i="7"/>
  <c r="E27" i="7"/>
  <c r="F27" i="7" s="1"/>
  <c r="K26" i="7"/>
  <c r="E26" i="7"/>
  <c r="F26" i="7" s="1"/>
  <c r="R25" i="7"/>
  <c r="S25" i="7" s="1"/>
  <c r="E25" i="7"/>
  <c r="F25" i="7" s="1"/>
  <c r="L24" i="7"/>
  <c r="E24" i="7"/>
  <c r="F24" i="7" s="1"/>
  <c r="K23" i="7"/>
  <c r="E23" i="7"/>
  <c r="F23" i="7" s="1"/>
  <c r="E22" i="7"/>
  <c r="F22" i="7" s="1"/>
  <c r="K21" i="7"/>
  <c r="E21" i="7"/>
  <c r="F21" i="7" s="1"/>
  <c r="E20" i="7"/>
  <c r="F20" i="7" s="1"/>
  <c r="K19" i="7"/>
  <c r="E19" i="7"/>
  <c r="H18" i="7"/>
  <c r="E17" i="7"/>
  <c r="F17" i="7" s="1"/>
  <c r="R16" i="7"/>
  <c r="I16" i="7"/>
  <c r="E16" i="7"/>
  <c r="F16" i="7" s="1"/>
  <c r="R15" i="7"/>
  <c r="S15" i="7" s="1"/>
  <c r="T15" i="7" s="1"/>
  <c r="E15" i="7"/>
  <c r="F15" i="7" s="1"/>
  <c r="L14" i="7"/>
  <c r="E14" i="7"/>
  <c r="R13" i="7"/>
  <c r="E13" i="7"/>
  <c r="F13" i="7" s="1"/>
  <c r="H12" i="7"/>
  <c r="G12" i="7"/>
  <c r="P11" i="7"/>
  <c r="P10" i="7"/>
  <c r="L10" i="7"/>
  <c r="E10" i="7"/>
  <c r="E41" i="7" l="1"/>
  <c r="K24" i="7"/>
  <c r="K15" i="7"/>
  <c r="R24" i="7"/>
  <c r="S24" i="7" s="1"/>
  <c r="T24" i="7" s="1"/>
  <c r="L15" i="7"/>
  <c r="E12" i="7"/>
  <c r="S16" i="7"/>
  <c r="T16" i="7" s="1"/>
  <c r="R26" i="7"/>
  <c r="S26" i="7" s="1"/>
  <c r="R30" i="7"/>
  <c r="S30" i="7" s="1"/>
  <c r="T30" i="7" s="1"/>
  <c r="K34" i="7"/>
  <c r="E42" i="7"/>
  <c r="E28" i="7"/>
  <c r="L34" i="7"/>
  <c r="L37" i="7"/>
  <c r="P16" i="7"/>
  <c r="L16" i="7"/>
  <c r="S37" i="7"/>
  <c r="T37" i="7" s="1"/>
  <c r="L36" i="7"/>
  <c r="R36" i="7"/>
  <c r="K10" i="7"/>
  <c r="L17" i="7"/>
  <c r="R17" i="7"/>
  <c r="S17" i="7" s="1"/>
  <c r="T17" i="7" s="1"/>
  <c r="S13" i="7"/>
  <c r="T13" i="7" s="1"/>
  <c r="K25" i="7"/>
  <c r="R23" i="7"/>
  <c r="S23" i="7" s="1"/>
  <c r="S29" i="7"/>
  <c r="S36" i="7"/>
  <c r="T36" i="7" s="1"/>
  <c r="R33" i="7"/>
  <c r="S33" i="7" s="1"/>
  <c r="T33" i="7" s="1"/>
  <c r="L39" i="7"/>
  <c r="R39" i="7"/>
  <c r="S39" i="7" s="1"/>
  <c r="T39" i="7" s="1"/>
  <c r="K37" i="7"/>
  <c r="H40" i="7"/>
  <c r="T32" i="7"/>
  <c r="C41" i="7"/>
  <c r="P13" i="7"/>
  <c r="I15" i="7"/>
  <c r="F28" i="7"/>
  <c r="I26" i="7"/>
  <c r="R27" i="7"/>
  <c r="S27" i="7" s="1"/>
  <c r="T27" i="7" s="1"/>
  <c r="K20" i="7"/>
  <c r="K27" i="7"/>
  <c r="F14" i="7"/>
  <c r="R22" i="7"/>
  <c r="S22" i="7" s="1"/>
  <c r="L27" i="7"/>
  <c r="L32" i="7"/>
  <c r="S38" i="7"/>
  <c r="T38" i="7" s="1"/>
  <c r="K13" i="7"/>
  <c r="R19" i="7"/>
  <c r="S19" i="7" s="1"/>
  <c r="K22" i="7"/>
  <c r="I32" i="7"/>
  <c r="O32" i="7" s="1"/>
  <c r="K38" i="7"/>
  <c r="K39" i="7"/>
  <c r="L13" i="7"/>
  <c r="K14" i="7"/>
  <c r="E18" i="7"/>
  <c r="R31" i="7"/>
  <c r="S31" i="7" s="1"/>
  <c r="L38" i="7"/>
  <c r="F10" i="7"/>
  <c r="P41" i="7"/>
  <c r="F19" i="7"/>
  <c r="R21" i="7"/>
  <c r="S21" i="7" s="1"/>
  <c r="K31" i="7"/>
  <c r="K32" i="7"/>
  <c r="K35" i="7"/>
  <c r="R10" i="7"/>
  <c r="S10" i="7" s="1"/>
  <c r="R14" i="7"/>
  <c r="S14" i="7" s="1"/>
  <c r="K16" i="7"/>
  <c r="K17" i="7"/>
  <c r="K29" i="7"/>
  <c r="K30" i="7"/>
  <c r="R20" i="7"/>
  <c r="S20" i="7" s="1"/>
  <c r="K33" i="7"/>
  <c r="K36" i="7"/>
  <c r="G40" i="6"/>
  <c r="F40" i="6"/>
  <c r="G39" i="6"/>
  <c r="F39" i="6"/>
  <c r="H39" i="6" s="1"/>
  <c r="G38" i="6"/>
  <c r="F38" i="6"/>
  <c r="G37" i="6"/>
  <c r="F37" i="6"/>
  <c r="H37" i="6" s="1"/>
  <c r="G36" i="6"/>
  <c r="F36" i="6"/>
  <c r="H36" i="6" s="1"/>
  <c r="G41" i="6" l="1"/>
  <c r="K18" i="7"/>
  <c r="E40" i="7"/>
  <c r="K42" i="7"/>
  <c r="L41" i="7"/>
  <c r="L12" i="7"/>
  <c r="S40" i="7"/>
  <c r="S42" i="7"/>
  <c r="T10" i="7"/>
  <c r="F18" i="7"/>
  <c r="K28" i="7"/>
  <c r="F42" i="7"/>
  <c r="I12" i="7"/>
  <c r="K41" i="7"/>
  <c r="P32" i="7"/>
  <c r="S41" i="7"/>
  <c r="T14" i="7"/>
  <c r="K12" i="7"/>
  <c r="F41" i="7"/>
  <c r="F12" i="7"/>
  <c r="F40" i="7" s="1"/>
  <c r="H38" i="6"/>
  <c r="H40" i="6"/>
  <c r="F41" i="6"/>
  <c r="H41" i="6" l="1"/>
  <c r="D20" i="6" s="1"/>
  <c r="K40" i="7"/>
  <c r="K44" i="7" s="1"/>
  <c r="T41" i="7"/>
  <c r="T12" i="7"/>
  <c r="E19" i="6"/>
  <c r="E18" i="6"/>
  <c r="E17" i="6"/>
  <c r="E16" i="6" l="1"/>
  <c r="I9" i="6"/>
  <c r="H21" i="6" l="1"/>
  <c r="H19" i="6"/>
  <c r="I19" i="6" s="1"/>
  <c r="D16" i="6"/>
  <c r="H16" i="6" s="1"/>
  <c r="I16" i="6" s="1"/>
  <c r="H9" i="6"/>
  <c r="D28" i="2"/>
  <c r="C28" i="2"/>
  <c r="D18" i="2"/>
  <c r="C18" i="2"/>
  <c r="D12" i="2"/>
  <c r="C12" i="2"/>
  <c r="D11" i="6" l="1"/>
  <c r="D10" i="6"/>
  <c r="E10" i="6" s="1"/>
  <c r="E11" i="6" l="1"/>
  <c r="D9" i="6"/>
  <c r="D14" i="6"/>
  <c r="E13" i="6"/>
  <c r="J10" i="6"/>
  <c r="M10" i="6"/>
  <c r="K10" i="6"/>
  <c r="J13" i="6"/>
  <c r="M13" i="6" s="1"/>
  <c r="K13" i="6"/>
  <c r="J11" i="6"/>
  <c r="M11" i="6" s="1"/>
  <c r="K11" i="6"/>
  <c r="F53" i="4"/>
  <c r="F51" i="4"/>
  <c r="F47" i="4"/>
  <c r="F42" i="4"/>
  <c r="F40" i="4"/>
  <c r="F38" i="4"/>
  <c r="F36" i="4"/>
  <c r="F33" i="4"/>
  <c r="F31" i="4"/>
  <c r="F28" i="4"/>
  <c r="F26" i="4"/>
  <c r="F24" i="4"/>
  <c r="F22" i="4"/>
  <c r="F20" i="4"/>
  <c r="F17" i="4"/>
  <c r="F15" i="4"/>
  <c r="F12" i="4"/>
  <c r="F10" i="4"/>
  <c r="E14" i="6" l="1"/>
  <c r="E9" i="6"/>
  <c r="M9" i="6"/>
  <c r="M22" i="6" s="1"/>
  <c r="L13" i="6"/>
  <c r="L10" i="6"/>
  <c r="K9" i="6"/>
  <c r="K22" i="6" s="1"/>
  <c r="L11" i="6"/>
  <c r="J9" i="6"/>
  <c r="J22" i="6" s="1"/>
  <c r="L9" i="6" l="1"/>
  <c r="L22" i="6" s="1"/>
  <c r="E20" i="6" l="1"/>
  <c r="E22" i="6" s="1"/>
  <c r="N43" i="7" s="1"/>
  <c r="L43" i="7" s="1"/>
  <c r="D22" i="6" l="1"/>
  <c r="N43" i="2" s="1"/>
  <c r="L43" i="2" s="1"/>
  <c r="H20" i="6"/>
  <c r="P11" i="2"/>
  <c r="I20" i="6" l="1"/>
  <c r="I22" i="6" s="1"/>
  <c r="H22" i="6"/>
  <c r="J10" i="2"/>
  <c r="E10" i="3"/>
  <c r="I9" i="3"/>
  <c r="E12" i="3"/>
  <c r="D12" i="3"/>
  <c r="D30" i="3"/>
  <c r="D34" i="3"/>
  <c r="F58" i="3"/>
  <c r="F56" i="3"/>
  <c r="F63" i="3"/>
  <c r="F62" i="3"/>
  <c r="F60" i="3"/>
  <c r="F54" i="3"/>
  <c r="F52" i="3"/>
  <c r="F50" i="3"/>
  <c r="F44" i="3"/>
  <c r="F42" i="3"/>
  <c r="F40" i="3"/>
  <c r="F38" i="3"/>
  <c r="F36" i="3"/>
  <c r="F34" i="3"/>
  <c r="F32" i="3"/>
  <c r="F30" i="3"/>
  <c r="F28" i="3"/>
  <c r="F26" i="3"/>
  <c r="F24" i="3"/>
  <c r="F22" i="3"/>
  <c r="F20" i="3"/>
  <c r="F18" i="3"/>
  <c r="F16" i="3"/>
  <c r="F14" i="3"/>
  <c r="F12" i="3"/>
  <c r="F10" i="3"/>
  <c r="R10" i="2" l="1"/>
  <c r="S10" i="2" s="1"/>
  <c r="F61" i="3"/>
  <c r="T10" i="2" l="1"/>
  <c r="S40" i="2"/>
  <c r="J36" i="2"/>
  <c r="J24" i="2"/>
  <c r="J37" i="2"/>
  <c r="J39" i="2"/>
  <c r="J38" i="2"/>
  <c r="J34" i="2"/>
  <c r="J33" i="2"/>
  <c r="J32" i="2"/>
  <c r="J30" i="2"/>
  <c r="J29" i="2"/>
  <c r="J26" i="2"/>
  <c r="J25" i="2"/>
  <c r="J22" i="2"/>
  <c r="J21" i="2"/>
  <c r="J20" i="2"/>
  <c r="J19" i="2"/>
  <c r="J17" i="2"/>
  <c r="R17" i="2" s="1"/>
  <c r="J16" i="2"/>
  <c r="R16" i="2" s="1"/>
  <c r="J14" i="2"/>
  <c r="J13" i="2"/>
  <c r="R21" i="2" l="1"/>
  <c r="S21" i="2" s="1"/>
  <c r="R13" i="2"/>
  <c r="S13" i="2" s="1"/>
  <c r="R25" i="2"/>
  <c r="S25" i="2"/>
  <c r="R39" i="2"/>
  <c r="S39" i="2" s="1"/>
  <c r="T39" i="2" s="1"/>
  <c r="R14" i="2"/>
  <c r="S14" i="2" s="1"/>
  <c r="R26" i="2"/>
  <c r="S26" i="2" s="1"/>
  <c r="R27" i="2"/>
  <c r="S27" i="2" s="1"/>
  <c r="T27" i="2" s="1"/>
  <c r="S16" i="2"/>
  <c r="T16" i="2" s="1"/>
  <c r="R29" i="2"/>
  <c r="S29" i="2" s="1"/>
  <c r="R37" i="2"/>
  <c r="S37" i="2" s="1"/>
  <c r="T37" i="2" s="1"/>
  <c r="R34" i="2"/>
  <c r="S34" i="2" s="1"/>
  <c r="T34" i="2" s="1"/>
  <c r="S17" i="2"/>
  <c r="T17" i="2" s="1"/>
  <c r="R30" i="2"/>
  <c r="S30" i="2" s="1"/>
  <c r="T30" i="2" s="1"/>
  <c r="R24" i="2"/>
  <c r="S24" i="2" s="1"/>
  <c r="T24" i="2" s="1"/>
  <c r="R19" i="2"/>
  <c r="S19" i="2" s="1"/>
  <c r="R32" i="2"/>
  <c r="S32" i="2" s="1"/>
  <c r="R36" i="2"/>
  <c r="S36" i="2" s="1"/>
  <c r="T36" i="2" s="1"/>
  <c r="R20" i="2"/>
  <c r="S20" i="2" s="1"/>
  <c r="R33" i="2"/>
  <c r="S33" i="2" s="1"/>
  <c r="T33" i="2" s="1"/>
  <c r="R22" i="2"/>
  <c r="S22" i="2" s="1"/>
  <c r="R38" i="2"/>
  <c r="S38" i="2" s="1"/>
  <c r="T38" i="2" s="1"/>
  <c r="J9" i="3"/>
  <c r="I16" i="2"/>
  <c r="G15" i="3"/>
  <c r="E33" i="2"/>
  <c r="E32" i="2"/>
  <c r="T13" i="2" l="1"/>
  <c r="T14" i="2"/>
  <c r="T41" i="2" s="1"/>
  <c r="S41" i="2"/>
  <c r="K19" i="2"/>
  <c r="K10" i="2"/>
  <c r="K39" i="2"/>
  <c r="K38" i="2"/>
  <c r="K37" i="2"/>
  <c r="K36" i="2"/>
  <c r="K34" i="2"/>
  <c r="K33" i="2"/>
  <c r="K32" i="2"/>
  <c r="K30" i="2"/>
  <c r="K29" i="2"/>
  <c r="K27" i="2"/>
  <c r="K26" i="2"/>
  <c r="K25" i="2"/>
  <c r="K24" i="2"/>
  <c r="K22" i="2"/>
  <c r="K21" i="2"/>
  <c r="K20" i="2"/>
  <c r="K17" i="2"/>
  <c r="K16" i="2"/>
  <c r="K14" i="2"/>
  <c r="K13" i="2"/>
  <c r="H41" i="2"/>
  <c r="H42" i="2"/>
  <c r="H28" i="2"/>
  <c r="H18" i="2"/>
  <c r="H12" i="2"/>
  <c r="H40" i="2" l="1"/>
  <c r="K41" i="2"/>
  <c r="G56" i="3" l="1"/>
  <c r="G54" i="3"/>
  <c r="G50" i="3"/>
  <c r="G38" i="3"/>
  <c r="G32" i="3"/>
  <c r="G20" i="3"/>
  <c r="G17" i="3"/>
  <c r="G13" i="3"/>
  <c r="G14" i="3"/>
  <c r="G19" i="3"/>
  <c r="G43" i="3"/>
  <c r="G45" i="3"/>
  <c r="G47" i="3"/>
  <c r="G49" i="3"/>
  <c r="G53" i="3"/>
  <c r="G55" i="3"/>
  <c r="G59" i="3"/>
  <c r="G57" i="3"/>
  <c r="G51" i="3"/>
  <c r="G41" i="3"/>
  <c r="G39" i="3"/>
  <c r="G37" i="3"/>
  <c r="G35" i="3"/>
  <c r="G31" i="3"/>
  <c r="G33" i="3"/>
  <c r="G29" i="3"/>
  <c r="G27" i="3"/>
  <c r="G25" i="3"/>
  <c r="G23" i="3"/>
  <c r="G21" i="3"/>
  <c r="G11" i="3"/>
  <c r="G18" i="3"/>
  <c r="H53" i="3" l="1"/>
  <c r="E36" i="2" s="1"/>
  <c r="H19" i="3"/>
  <c r="E17" i="2" s="1"/>
  <c r="H55" i="3"/>
  <c r="E37" i="2" s="1"/>
  <c r="H31" i="3"/>
  <c r="E24" i="2" s="1"/>
  <c r="H37" i="3"/>
  <c r="E27" i="2" s="1"/>
  <c r="E31" i="2"/>
  <c r="H49" i="3"/>
  <c r="E34" i="2" s="1"/>
  <c r="H17" i="3"/>
  <c r="E16" i="2" s="1"/>
  <c r="H13" i="3"/>
  <c r="E14" i="2" s="1"/>
  <c r="M44" i="2" l="1"/>
  <c r="I53" i="4" l="1"/>
  <c r="H53" i="4"/>
  <c r="I51" i="4"/>
  <c r="H51" i="4"/>
  <c r="I47" i="4"/>
  <c r="H47" i="4"/>
  <c r="I42" i="4"/>
  <c r="H42" i="4"/>
  <c r="I40" i="4"/>
  <c r="H40" i="4"/>
  <c r="I38" i="4"/>
  <c r="H38" i="4"/>
  <c r="I36" i="4"/>
  <c r="H36" i="4"/>
  <c r="I33" i="4"/>
  <c r="H33" i="4"/>
  <c r="I31" i="4"/>
  <c r="H31" i="4"/>
  <c r="I28" i="4"/>
  <c r="H28" i="4"/>
  <c r="I26" i="4"/>
  <c r="H26" i="4"/>
  <c r="I24" i="4"/>
  <c r="H24" i="4"/>
  <c r="I22" i="4"/>
  <c r="H22" i="4"/>
  <c r="I20" i="4"/>
  <c r="H20" i="4"/>
  <c r="I17" i="4"/>
  <c r="H17" i="4"/>
  <c r="I15" i="4"/>
  <c r="H15" i="4"/>
  <c r="I12" i="4"/>
  <c r="H12" i="4"/>
  <c r="I10" i="4"/>
  <c r="H10" i="4"/>
  <c r="E54" i="4"/>
  <c r="D54" i="4"/>
  <c r="E52" i="4"/>
  <c r="D52" i="4"/>
  <c r="E48" i="4"/>
  <c r="D48" i="4"/>
  <c r="F45" i="4"/>
  <c r="E43" i="4"/>
  <c r="D43" i="4"/>
  <c r="E41" i="4"/>
  <c r="D41" i="4"/>
  <c r="E39" i="4"/>
  <c r="D39" i="4"/>
  <c r="F39" i="4" s="1"/>
  <c r="E37" i="4"/>
  <c r="D37" i="4"/>
  <c r="E34" i="4"/>
  <c r="D34" i="4"/>
  <c r="E32" i="4"/>
  <c r="D32" i="4"/>
  <c r="E29" i="4"/>
  <c r="D29" i="4"/>
  <c r="F29" i="4" s="1"/>
  <c r="G28" i="4" s="1"/>
  <c r="E27" i="4"/>
  <c r="D27" i="4"/>
  <c r="E25" i="4"/>
  <c r="D25" i="4"/>
  <c r="E23" i="4"/>
  <c r="D23" i="4"/>
  <c r="E21" i="4"/>
  <c r="D21" i="4"/>
  <c r="E18" i="4"/>
  <c r="D18" i="4"/>
  <c r="E16" i="4"/>
  <c r="D16" i="4"/>
  <c r="E13" i="4"/>
  <c r="D13" i="4"/>
  <c r="E11" i="4"/>
  <c r="D11" i="4"/>
  <c r="F13" i="4" l="1"/>
  <c r="F32" i="4"/>
  <c r="G31" i="4" s="1"/>
  <c r="F41" i="4"/>
  <c r="G40" i="4" s="1"/>
  <c r="K31" i="2" s="1"/>
  <c r="F16" i="4"/>
  <c r="G15" i="4" s="1"/>
  <c r="K15" i="2" s="1"/>
  <c r="F25" i="4"/>
  <c r="G24" i="4" s="1"/>
  <c r="F34" i="4"/>
  <c r="G33" i="4" s="1"/>
  <c r="F43" i="4"/>
  <c r="G42" i="4" s="1"/>
  <c r="R23" i="2"/>
  <c r="S23" i="2" s="1"/>
  <c r="F18" i="4"/>
  <c r="G17" i="4" s="1"/>
  <c r="F27" i="4"/>
  <c r="G26" i="4" s="1"/>
  <c r="F54" i="4"/>
  <c r="G53" i="4" s="1"/>
  <c r="H55" i="4"/>
  <c r="F52" i="4"/>
  <c r="G51" i="4" s="1"/>
  <c r="G38" i="4"/>
  <c r="K23" i="2"/>
  <c r="K18" i="2" s="1"/>
  <c r="G12" i="4"/>
  <c r="F48" i="4"/>
  <c r="G47" i="4" s="1"/>
  <c r="F11" i="4"/>
  <c r="G10" i="4" s="1"/>
  <c r="F37" i="4"/>
  <c r="G36" i="4" s="1"/>
  <c r="F23" i="4"/>
  <c r="G22" i="4" s="1"/>
  <c r="F21" i="4"/>
  <c r="G20" i="4" s="1"/>
  <c r="R15" i="2" l="1"/>
  <c r="S15" i="2" s="1"/>
  <c r="T15" i="2" s="1"/>
  <c r="T12" i="2" s="1"/>
  <c r="R31" i="2"/>
  <c r="S31" i="2" s="1"/>
  <c r="R35" i="2"/>
  <c r="S35" i="2" s="1"/>
  <c r="K35" i="2"/>
  <c r="K42" i="2" s="1"/>
  <c r="K12" i="2"/>
  <c r="H57" i="4"/>
  <c r="D44" i="3"/>
  <c r="G44" i="3" s="1"/>
  <c r="I59" i="3"/>
  <c r="J57" i="3"/>
  <c r="I57" i="3"/>
  <c r="J51" i="3"/>
  <c r="I51" i="3"/>
  <c r="I47" i="3"/>
  <c r="J45" i="3"/>
  <c r="J43" i="3"/>
  <c r="J41" i="3"/>
  <c r="I41" i="3"/>
  <c r="J39" i="3"/>
  <c r="I39" i="3"/>
  <c r="J35" i="3"/>
  <c r="I35" i="3"/>
  <c r="J33" i="3"/>
  <c r="I33" i="3"/>
  <c r="J29" i="3"/>
  <c r="I29" i="3"/>
  <c r="J27" i="3"/>
  <c r="I27" i="3"/>
  <c r="J25" i="3"/>
  <c r="I25" i="3"/>
  <c r="J23" i="3"/>
  <c r="I23" i="3"/>
  <c r="J21" i="3"/>
  <c r="I21" i="3"/>
  <c r="J15" i="3"/>
  <c r="I15" i="3"/>
  <c r="J11" i="3"/>
  <c r="I11" i="3"/>
  <c r="E60" i="3"/>
  <c r="G60" i="3" s="1"/>
  <c r="H59" i="3" s="1"/>
  <c r="E58" i="3"/>
  <c r="D58" i="3"/>
  <c r="E52" i="3"/>
  <c r="D52" i="3"/>
  <c r="E48" i="3"/>
  <c r="G48" i="3" s="1"/>
  <c r="D46" i="3"/>
  <c r="G46" i="3" s="1"/>
  <c r="E42" i="3"/>
  <c r="D42" i="3"/>
  <c r="E40" i="3"/>
  <c r="D40" i="3"/>
  <c r="E36" i="3"/>
  <c r="D36" i="3"/>
  <c r="G36" i="3" s="1"/>
  <c r="E34" i="3"/>
  <c r="G34" i="3" s="1"/>
  <c r="H33" i="3" s="1"/>
  <c r="E30" i="3"/>
  <c r="G30" i="3" s="1"/>
  <c r="E28" i="3"/>
  <c r="D28" i="3"/>
  <c r="E26" i="3"/>
  <c r="D26" i="3"/>
  <c r="E24" i="3"/>
  <c r="D24" i="3"/>
  <c r="G24" i="3" s="1"/>
  <c r="H23" i="3" s="1"/>
  <c r="E22" i="3"/>
  <c r="D22" i="3"/>
  <c r="E16" i="3"/>
  <c r="D16" i="3"/>
  <c r="D10" i="3"/>
  <c r="G10" i="3" s="1"/>
  <c r="E10" i="2" s="1"/>
  <c r="D62" i="3"/>
  <c r="E62" i="3"/>
  <c r="G62" i="3"/>
  <c r="H62" i="3"/>
  <c r="C62" i="3"/>
  <c r="E63" i="3"/>
  <c r="D63" i="3"/>
  <c r="C63" i="3"/>
  <c r="S42" i="2" l="1"/>
  <c r="G16" i="3"/>
  <c r="H15" i="3" s="1"/>
  <c r="E15" i="2" s="1"/>
  <c r="G28" i="3"/>
  <c r="H27" i="3" s="1"/>
  <c r="G42" i="3"/>
  <c r="H41" i="3" s="1"/>
  <c r="K28" i="2"/>
  <c r="K40" i="2" s="1"/>
  <c r="K44" i="2" s="1"/>
  <c r="G26" i="3"/>
  <c r="G40" i="3"/>
  <c r="G58" i="3"/>
  <c r="G22" i="3"/>
  <c r="G52" i="3"/>
  <c r="H51" i="3" s="1"/>
  <c r="E39" i="2"/>
  <c r="G12" i="3"/>
  <c r="J63" i="3"/>
  <c r="E25" i="2"/>
  <c r="E20" i="2"/>
  <c r="I63" i="3"/>
  <c r="G63" i="3"/>
  <c r="H29" i="3"/>
  <c r="E61" i="3"/>
  <c r="H25" i="3"/>
  <c r="H35" i="3"/>
  <c r="H39" i="3"/>
  <c r="D61" i="3"/>
  <c r="C61" i="3"/>
  <c r="G61" i="3" l="1"/>
  <c r="H11" i="3"/>
  <c r="E13" i="2" s="1"/>
  <c r="E12" i="2" s="1"/>
  <c r="E38" i="2"/>
  <c r="E35" i="2"/>
  <c r="E30" i="2"/>
  <c r="E29" i="2"/>
  <c r="E28" i="2" s="1"/>
  <c r="E26" i="2"/>
  <c r="E23" i="2"/>
  <c r="E22" i="2"/>
  <c r="E21" i="2"/>
  <c r="I61" i="3"/>
  <c r="J61" i="3"/>
  <c r="E19" i="2"/>
  <c r="E18" i="2" l="1"/>
  <c r="H63" i="3"/>
  <c r="H61" i="3"/>
  <c r="L13" i="2"/>
  <c r="L16" i="2"/>
  <c r="P14" i="2" l="1"/>
  <c r="P17" i="2"/>
  <c r="P24" i="2"/>
  <c r="P27" i="2"/>
  <c r="P30" i="2"/>
  <c r="P36" i="2"/>
  <c r="P37" i="2"/>
  <c r="P38" i="2"/>
  <c r="E42" i="2" l="1"/>
  <c r="E41" i="2"/>
  <c r="C41" i="2"/>
  <c r="G32" i="2" l="1"/>
  <c r="T32" i="2" s="1"/>
  <c r="F39" i="2"/>
  <c r="F38" i="2"/>
  <c r="F37" i="2"/>
  <c r="F36" i="2"/>
  <c r="F35" i="2"/>
  <c r="F34" i="2"/>
  <c r="F33" i="2"/>
  <c r="F31" i="2"/>
  <c r="F30" i="2"/>
  <c r="F29" i="2"/>
  <c r="F27" i="2"/>
  <c r="F26" i="2"/>
  <c r="I26" i="2" s="1"/>
  <c r="F25" i="2"/>
  <c r="F24" i="2"/>
  <c r="F23" i="2"/>
  <c r="F22" i="2"/>
  <c r="F21" i="2"/>
  <c r="F20" i="2"/>
  <c r="F19" i="2"/>
  <c r="F17" i="2"/>
  <c r="F16" i="2"/>
  <c r="F15" i="2"/>
  <c r="I15" i="2" s="1"/>
  <c r="F14" i="2"/>
  <c r="F13" i="2"/>
  <c r="F10" i="2"/>
  <c r="P10" i="2" s="1"/>
  <c r="I32" i="2" l="1"/>
  <c r="L32" i="2"/>
  <c r="O10" i="2"/>
  <c r="D10" i="7" s="1"/>
  <c r="F42" i="2"/>
  <c r="F41" i="2"/>
  <c r="F12" i="2"/>
  <c r="F18" i="2"/>
  <c r="F28" i="2"/>
  <c r="O10" i="7" l="1"/>
  <c r="O32" i="2"/>
  <c r="P32" i="2"/>
  <c r="L10" i="2"/>
  <c r="F40" i="2"/>
  <c r="E40" i="2" l="1"/>
  <c r="O30" i="2" l="1"/>
  <c r="D30" i="7" s="1"/>
  <c r="O30" i="7" s="1"/>
  <c r="L30" i="2"/>
  <c r="G20" i="2"/>
  <c r="T20" i="2" s="1"/>
  <c r="O13" i="2"/>
  <c r="D13" i="7" s="1"/>
  <c r="G21" i="2"/>
  <c r="T21" i="2" s="1"/>
  <c r="G31" i="2"/>
  <c r="T31" i="2" s="1"/>
  <c r="O36" i="2"/>
  <c r="D36" i="7" s="1"/>
  <c r="O36" i="7" s="1"/>
  <c r="O13" i="7" l="1"/>
  <c r="L36" i="2"/>
  <c r="O34" i="2"/>
  <c r="D34" i="7" s="1"/>
  <c r="O34" i="7" s="1"/>
  <c r="L34" i="2"/>
  <c r="I31" i="2"/>
  <c r="O31" i="2" s="1"/>
  <c r="D31" i="7" s="1"/>
  <c r="G31" i="7" s="1"/>
  <c r="L31" i="2"/>
  <c r="L27" i="2"/>
  <c r="O27" i="2"/>
  <c r="D27" i="7" s="1"/>
  <c r="O27" i="7" s="1"/>
  <c r="L21" i="2"/>
  <c r="I21" i="2"/>
  <c r="O21" i="2" s="1"/>
  <c r="D21" i="7" s="1"/>
  <c r="G21" i="7" s="1"/>
  <c r="O38" i="2"/>
  <c r="D38" i="7" s="1"/>
  <c r="O38" i="7" s="1"/>
  <c r="L38" i="2"/>
  <c r="O39" i="2"/>
  <c r="D39" i="7" s="1"/>
  <c r="O39" i="7" s="1"/>
  <c r="L39" i="2"/>
  <c r="O33" i="2"/>
  <c r="D33" i="7" s="1"/>
  <c r="O33" i="7" s="1"/>
  <c r="L33" i="2"/>
  <c r="G29" i="2"/>
  <c r="T29" i="2" s="1"/>
  <c r="G19" i="2"/>
  <c r="T19" i="2" s="1"/>
  <c r="L20" i="2"/>
  <c r="I20" i="2"/>
  <c r="O20" i="2" s="1"/>
  <c r="D20" i="7" s="1"/>
  <c r="P15" i="2"/>
  <c r="C15" i="7" s="1"/>
  <c r="G35" i="2"/>
  <c r="T35" i="2" s="1"/>
  <c r="G26" i="2"/>
  <c r="T26" i="2" s="1"/>
  <c r="P16" i="2"/>
  <c r="O16" i="2"/>
  <c r="D16" i="7" s="1"/>
  <c r="O16" i="7" s="1"/>
  <c r="G25" i="2"/>
  <c r="T25" i="2" s="1"/>
  <c r="G23" i="2"/>
  <c r="T23" i="2" s="1"/>
  <c r="P13" i="2"/>
  <c r="P33" i="2"/>
  <c r="L31" i="7" l="1"/>
  <c r="I31" i="7"/>
  <c r="O31" i="7" s="1"/>
  <c r="T31" i="7"/>
  <c r="C12" i="7"/>
  <c r="P12" i="7" s="1"/>
  <c r="P15" i="7"/>
  <c r="G20" i="7"/>
  <c r="L21" i="7"/>
  <c r="I21" i="7"/>
  <c r="O21" i="7" s="1"/>
  <c r="T21" i="7"/>
  <c r="T28" i="2"/>
  <c r="P26" i="2"/>
  <c r="C26" i="7" s="1"/>
  <c r="P20" i="2"/>
  <c r="C20" i="7" s="1"/>
  <c r="P34" i="2"/>
  <c r="P41" i="2" s="1"/>
  <c r="P39" i="2"/>
  <c r="P21" i="2"/>
  <c r="C21" i="7" s="1"/>
  <c r="P31" i="2"/>
  <c r="C31" i="7" s="1"/>
  <c r="L23" i="2"/>
  <c r="I23" i="2"/>
  <c r="O23" i="2" s="1"/>
  <c r="D23" i="7" s="1"/>
  <c r="G23" i="7" s="1"/>
  <c r="L25" i="2"/>
  <c r="I25" i="2"/>
  <c r="O25" i="2" s="1"/>
  <c r="D25" i="7" s="1"/>
  <c r="G25" i="7" s="1"/>
  <c r="L26" i="2"/>
  <c r="O26" i="2"/>
  <c r="D26" i="7" s="1"/>
  <c r="O37" i="2"/>
  <c r="D37" i="7" s="1"/>
  <c r="O37" i="7" s="1"/>
  <c r="L37" i="2"/>
  <c r="I35" i="2"/>
  <c r="O35" i="2" s="1"/>
  <c r="D35" i="7" s="1"/>
  <c r="G35" i="7" s="1"/>
  <c r="L35" i="2"/>
  <c r="G12" i="2"/>
  <c r="L14" i="2"/>
  <c r="G41" i="2"/>
  <c r="I19" i="2"/>
  <c r="P19" i="2" s="1"/>
  <c r="C19" i="7" s="1"/>
  <c r="L19" i="2"/>
  <c r="L24" i="2"/>
  <c r="O24" i="2"/>
  <c r="D24" i="7" s="1"/>
  <c r="O24" i="7" s="1"/>
  <c r="I29" i="2"/>
  <c r="P29" i="2" s="1"/>
  <c r="C29" i="7" s="1"/>
  <c r="L29" i="2"/>
  <c r="G28" i="2"/>
  <c r="L17" i="2"/>
  <c r="O17" i="2"/>
  <c r="D17" i="7" s="1"/>
  <c r="O17" i="7" s="1"/>
  <c r="D41" i="2"/>
  <c r="C42" i="2"/>
  <c r="G22" i="2"/>
  <c r="T22" i="2" s="1"/>
  <c r="T18" i="2" s="1"/>
  <c r="P31" i="7" l="1"/>
  <c r="L23" i="7"/>
  <c r="I23" i="7"/>
  <c r="O23" i="7" s="1"/>
  <c r="T23" i="7"/>
  <c r="T35" i="7"/>
  <c r="L35" i="7"/>
  <c r="I35" i="7"/>
  <c r="O35" i="7" s="1"/>
  <c r="P21" i="7"/>
  <c r="G26" i="7"/>
  <c r="O26" i="7"/>
  <c r="I20" i="7"/>
  <c r="O20" i="7" s="1"/>
  <c r="L20" i="7"/>
  <c r="T20" i="7"/>
  <c r="T25" i="7"/>
  <c r="I25" i="7"/>
  <c r="L25" i="7"/>
  <c r="T40" i="2"/>
  <c r="T42" i="2"/>
  <c r="P35" i="2"/>
  <c r="C35" i="7" s="1"/>
  <c r="P23" i="2"/>
  <c r="C23" i="7" s="1"/>
  <c r="P25" i="2"/>
  <c r="C25" i="7" s="1"/>
  <c r="L28" i="2"/>
  <c r="L22" i="2"/>
  <c r="L18" i="2" s="1"/>
  <c r="I22" i="2"/>
  <c r="O22" i="2" s="1"/>
  <c r="D22" i="7" s="1"/>
  <c r="L41" i="2"/>
  <c r="I41" i="2"/>
  <c r="O14" i="2"/>
  <c r="D14" i="7" s="1"/>
  <c r="G18" i="2"/>
  <c r="G40" i="2" s="1"/>
  <c r="D40" i="2"/>
  <c r="I28" i="2"/>
  <c r="P28" i="2" s="1"/>
  <c r="O29" i="2"/>
  <c r="O19" i="2"/>
  <c r="D19" i="7" s="1"/>
  <c r="L15" i="2"/>
  <c r="G42" i="2"/>
  <c r="D42" i="2"/>
  <c r="C40" i="2"/>
  <c r="P35" i="7" l="1"/>
  <c r="P20" i="7"/>
  <c r="G19" i="7"/>
  <c r="D18" i="7"/>
  <c r="P25" i="7"/>
  <c r="O25" i="7"/>
  <c r="P23" i="7"/>
  <c r="C28" i="7"/>
  <c r="G22" i="7"/>
  <c r="O28" i="2"/>
  <c r="D29" i="7"/>
  <c r="T26" i="7"/>
  <c r="L26" i="7"/>
  <c r="D41" i="7"/>
  <c r="O14" i="7"/>
  <c r="P26" i="7"/>
  <c r="O18" i="2"/>
  <c r="I18" i="2"/>
  <c r="P18" i="2" s="1"/>
  <c r="P22" i="2"/>
  <c r="L42" i="2"/>
  <c r="I42" i="2"/>
  <c r="O15" i="2"/>
  <c r="O41" i="2"/>
  <c r="I12" i="2"/>
  <c r="L12" i="2"/>
  <c r="L40" i="2" s="1"/>
  <c r="N40" i="2" s="1"/>
  <c r="D28" i="7" l="1"/>
  <c r="G29" i="7"/>
  <c r="O41" i="7"/>
  <c r="O42" i="2"/>
  <c r="D15" i="7"/>
  <c r="T19" i="7"/>
  <c r="L19" i="7"/>
  <c r="G18" i="7"/>
  <c r="I19" i="7"/>
  <c r="G42" i="7"/>
  <c r="P19" i="7"/>
  <c r="I22" i="7"/>
  <c r="L22" i="7"/>
  <c r="T22" i="7"/>
  <c r="P42" i="2"/>
  <c r="C22" i="7"/>
  <c r="L44" i="2"/>
  <c r="I40" i="2"/>
  <c r="P12" i="2"/>
  <c r="P40" i="2" s="1"/>
  <c r="O12" i="2"/>
  <c r="O40" i="2" s="1"/>
  <c r="C18" i="7" l="1"/>
  <c r="C42" i="7"/>
  <c r="I29" i="7"/>
  <c r="P29" i="7" s="1"/>
  <c r="T29" i="7"/>
  <c r="T28" i="7" s="1"/>
  <c r="L29" i="7"/>
  <c r="L28" i="7" s="1"/>
  <c r="G28" i="7"/>
  <c r="G40" i="7" s="1"/>
  <c r="I18" i="7"/>
  <c r="O19" i="7"/>
  <c r="T18" i="7"/>
  <c r="P22" i="7"/>
  <c r="O22" i="7"/>
  <c r="L18" i="7"/>
  <c r="O15" i="7"/>
  <c r="D42" i="7"/>
  <c r="D12" i="7"/>
  <c r="D40" i="7" s="1"/>
  <c r="N44" i="2"/>
  <c r="T40" i="7" l="1"/>
  <c r="T42" i="7"/>
  <c r="P42" i="7"/>
  <c r="I28" i="7"/>
  <c r="P28" i="7" s="1"/>
  <c r="O29" i="7"/>
  <c r="O28" i="7" s="1"/>
  <c r="O42" i="7"/>
  <c r="O12" i="7"/>
  <c r="O18" i="7"/>
  <c r="L42" i="7"/>
  <c r="I42" i="7"/>
  <c r="P18" i="7"/>
  <c r="C40" i="7"/>
  <c r="L40" i="7"/>
  <c r="I40" i="7" l="1"/>
  <c r="O40" i="7"/>
  <c r="N40" i="7"/>
  <c r="N44" i="7" s="1"/>
  <c r="L44" i="7"/>
  <c r="P40" i="7"/>
</calcChain>
</file>

<file path=xl/sharedStrings.xml><?xml version="1.0" encoding="utf-8"?>
<sst xmlns="http://schemas.openxmlformats.org/spreadsheetml/2006/main" count="506" uniqueCount="194">
  <si>
    <t>Laikrāži</t>
  </si>
  <si>
    <t>Pārtikas svari</t>
  </si>
  <si>
    <t>Tehniskā palīglīdzekļa nosaukums</t>
  </si>
  <si>
    <t>TP neredzīgām un vājredzīgām personām ar blakus saslimšanām</t>
  </si>
  <si>
    <t xml:space="preserve">TP neredzīgām personām </t>
  </si>
  <si>
    <t>Tiflotehnika</t>
  </si>
  <si>
    <t>TP neredzīgām un vājredzīgām personām, kuras iesaistās nodarbinātībā vai izglītībā</t>
  </si>
  <si>
    <t>Atskaņotāji</t>
  </si>
  <si>
    <t>Specializētās palīgprogrammas mobilajiem tālruņiem, kas tekstu palielina vai pārvērš skaņā</t>
  </si>
  <si>
    <t>Krāsu noteicēji ar runas funkciju</t>
  </si>
  <si>
    <t>Asinsspiediena mērītāji ar runas funkciju</t>
  </si>
  <si>
    <t>Palielināmie stikli ar iebūvētu gaismas avotu</t>
  </si>
  <si>
    <t>Palielināmie stikli bez gaismas avota</t>
  </si>
  <si>
    <t>Specializētās datorprogrammas redzes invalīdiem, kas tekstu palielina un (vai) pārvērš skaņā vai Braila rakstā</t>
  </si>
  <si>
    <t>Acenēs iemontēti monekulārie vai binokulārie teleskopi (teleskopiskās brilles)</t>
  </si>
  <si>
    <t>Glikometri ar runas funkciju</t>
  </si>
  <si>
    <t>Gaismas (absorbcijas) filtri</t>
  </si>
  <si>
    <t>Taktilie (baltie) spieķi, nesalokāmi</t>
  </si>
  <si>
    <t>Taktilie (baltie) spieķi, salokāmi</t>
  </si>
  <si>
    <t>Šķidruma līmeņa noteicēji ar runas funkciju</t>
  </si>
  <si>
    <t>Diega ieveramie</t>
  </si>
  <si>
    <t>Optiskie palīglīdzekļi, acenēs iemontēti binokulārie teleskopi (binokulārās brilles)</t>
  </si>
  <si>
    <t>Elektroniski palielinošie palīglīdzekļi</t>
  </si>
  <si>
    <t>Datorpeles ar palielinājuma funkciju</t>
  </si>
  <si>
    <t>Braila raksta rāmji (komplektā grifele), Braila rakstāmmašīnas</t>
  </si>
  <si>
    <t>Ieraksta ierīces (diktofoni)</t>
  </si>
  <si>
    <t>Pildspalvas ar runas funkciju teksta nolasīšanai no speciālām uzlīmēm (komplektā pildspalva un uzlīmes teksta nolasīšanai)</t>
  </si>
  <si>
    <t>Ķermeņa termometri ar runas funkciju, termometri klimatisko apstākļu mērīšanai ar runas funkciju</t>
  </si>
  <si>
    <t>X</t>
  </si>
  <si>
    <t>Alternatīvās ievadierīces</t>
  </si>
  <si>
    <t>Rindas prognoze uz 01.01.2017.</t>
  </si>
  <si>
    <t xml:space="preserve">plānotā            rinda uz 01.01.2016. </t>
  </si>
  <si>
    <t>N.P.K.</t>
  </si>
  <si>
    <t>Acs protēze</t>
  </si>
  <si>
    <t>Asinsspiediena mērītājs</t>
  </si>
  <si>
    <t>Termometrs</t>
  </si>
  <si>
    <t>Atskaņotājs</t>
  </si>
  <si>
    <t>Specializētās programmas mobilajiem telefoniem</t>
  </si>
  <si>
    <t>Specializētās datorprogrammas</t>
  </si>
  <si>
    <t>Braila rāmis, Braila rakstāmmašīna</t>
  </si>
  <si>
    <t>KOPĀ</t>
  </si>
  <si>
    <t>Noliktavas atlikumi uz 01.01.2016.</t>
  </si>
  <si>
    <t>2016.gadā</t>
  </si>
  <si>
    <t>Svari ar runas funkciju (ķermeņa)</t>
  </si>
  <si>
    <t xml:space="preserve">Pildspalvas ar runas funkciju </t>
  </si>
  <si>
    <t>2013.gadā</t>
  </si>
  <si>
    <t>2012.gadā</t>
  </si>
  <si>
    <t>2014.gadā</t>
  </si>
  <si>
    <t>Vidēji mēnesī rindā stājušos personu skaits</t>
  </si>
  <si>
    <t>Vid. mēnesī stājas rindā /vidējais izmaiņu koeficients</t>
  </si>
  <si>
    <t>Izmaiņas</t>
  </si>
  <si>
    <t>2014.gads pret 2013. gadu, %</t>
  </si>
  <si>
    <t>2014. gads pret 2012. gadu, %</t>
  </si>
  <si>
    <t>TP cenas euro</t>
  </si>
  <si>
    <t>Vidējā cena ar pieaug. vai samazin.</t>
  </si>
  <si>
    <t>2012.gadā *</t>
  </si>
  <si>
    <t>2013.gadā **</t>
  </si>
  <si>
    <t>2014.gadā ***</t>
  </si>
  <si>
    <t>4.pielikums</t>
  </si>
  <si>
    <t>Jaunie TP kopā</t>
  </si>
  <si>
    <t>Vecie TP kopā</t>
  </si>
  <si>
    <t>3.pielikums</t>
  </si>
  <si>
    <t>Vidējās izmaiņas  (+ vai -) pret iepriekšējo gadu/ koeficients</t>
  </si>
  <si>
    <t>Paskaidrojums</t>
  </si>
  <si>
    <t>Maršruts</t>
  </si>
  <si>
    <t>Nobrauktie kilometri</t>
  </si>
  <si>
    <t>Degvielas patēriņš 10 l /100km</t>
  </si>
  <si>
    <t>Nepieciešamā finansējuma aprēķins, euro</t>
  </si>
  <si>
    <t>Kopā nepieciešamais finansējums, euro</t>
  </si>
  <si>
    <t xml:space="preserve"> LNB Pāles iela 14, Rīga - Cēsu TO  - LNB Pāles iela 14, Rīga</t>
  </si>
  <si>
    <t xml:space="preserve"> LNB Pāles iela 14, Rīga - Daugavpils TO Čiekuru iela 5 - LNB Pāles iela 14, Rīga</t>
  </si>
  <si>
    <t xml:space="preserve"> LNB Pāles iela 14, Rīga - Jelgavas TO Čiekuru iela 5 - LNB Pāles iela 14, Rīga</t>
  </si>
  <si>
    <t xml:space="preserve"> LNB Pāles iela 14, Rīga - Balvu TO  - LNB Pāles iela 14, Rīga</t>
  </si>
  <si>
    <t xml:space="preserve"> LNB Pāles iela 14, Rīga - Ventspils TO  - LNB Pāles iela 14, Rīga</t>
  </si>
  <si>
    <t>Izdevumi kopā</t>
  </si>
  <si>
    <t xml:space="preserve">kopējais personu skaits, kas iestāsies rindā </t>
  </si>
  <si>
    <t xml:space="preserve">bāzes finansējums </t>
  </si>
  <si>
    <t>papildus nepieciešamais finansējums</t>
  </si>
  <si>
    <t>Administrēšanas izdevumi</t>
  </si>
  <si>
    <t>6=5*12 mēn.</t>
  </si>
  <si>
    <t>iepirktie        TP</t>
  </si>
  <si>
    <t>izsniegtie              TP</t>
  </si>
  <si>
    <t>nepieciešamais finansējums no valsts budžeta</t>
  </si>
  <si>
    <t>nepieciešamais finansējums no TP vienreizējām iemaksām</t>
  </si>
  <si>
    <t>iepirktie        TP no TP vienreizē jām iemaksām</t>
  </si>
  <si>
    <t>11=8*10</t>
  </si>
  <si>
    <t>12=7*10</t>
  </si>
  <si>
    <t>15=4+6-9</t>
  </si>
  <si>
    <t>Amortizācija 0.10 euro/1km</t>
  </si>
  <si>
    <t xml:space="preserve">Transporta izdevumi (degviela, apkopes u.c.) / aprēķins </t>
  </si>
  <si>
    <t>Noliktavas atlikumi uz 31.12.2016.</t>
  </si>
  <si>
    <t>Jaunas darba vietas iekārtošanas izdevumi, dartba vietas aprīkojums</t>
  </si>
  <si>
    <t>Tiflotehnikas speciālists, +lietvedis (nepieciešams tiflotehnikas speciālists -lietvedis, jo par 80% pieaug korespondences apjoms)</t>
  </si>
  <si>
    <t>Degvielas cena euro/litrs (prognoze uz 2016.gadu - vidējais par  trim gadiem)</t>
  </si>
  <si>
    <t>6=(3+4+5)/3</t>
  </si>
  <si>
    <t>8=5/4</t>
  </si>
  <si>
    <t>* 2012.gada cenas tādas kā LM iesniedza 2013.gada sākumā FM, kad prasīja papildus finansējumu 2014.gadam</t>
  </si>
  <si>
    <t>** 2013.gada cenas norādītas tādas, kādas tika iesniegtas ministrijā 2014.gada sākumā</t>
  </si>
  <si>
    <t xml:space="preserve">*** 2014.gada cenas norādītas tādas, kādas ir šobrīd </t>
  </si>
  <si>
    <t>7=(3+4+5+6)/4</t>
  </si>
  <si>
    <t>9=5/4</t>
  </si>
  <si>
    <t>10=5/3</t>
  </si>
  <si>
    <t>mēnesis</t>
  </si>
  <si>
    <t>KOPĀ pieaugums</t>
  </si>
  <si>
    <t>Sakari, datu bāzes uzturēšana, materiāli pakalpojuma nodrošināšanai (telefons, internets, pasta pakalpojumi, kancelejas preces) un citi izdevumi:</t>
  </si>
  <si>
    <t>Telekomunikācijas pakalpojumi (interneta komplekts, mobilais telefons, stacionārais telefons -2) papildus 2 darbiniekiem (izmaksas vienam darbiniekam 15,13)</t>
  </si>
  <si>
    <t xml:space="preserve">Pasta pakalpojumi (Katram klientam vidēji tiek nosūtītas 2 vēstules,  nepieciešams papildus finansējums pasta pakalpojumu apmaksai - 2102 personām x (0.50 centi pastmarka x 2 vēstules +aploksne 0.04) </t>
  </si>
  <si>
    <t xml:space="preserve">Iepirkumu speciālists (0.25slodze) </t>
  </si>
  <si>
    <t>Darba alga, :</t>
  </si>
  <si>
    <t>Palielinoties izsniegto TPL rezultatīvajam rādītājam pieaug gan telekomunikācijas pakalpojumu izdevumi, gan pasta , gan kancelejas izdevumi</t>
  </si>
  <si>
    <t>Izdevumu pozīcija</t>
  </si>
  <si>
    <t>1.1.</t>
  </si>
  <si>
    <t>1.2.</t>
  </si>
  <si>
    <t>1.3.</t>
  </si>
  <si>
    <t>Palielinoties izsniegto TPL daudzumam 2016.gadā nepieciešami papildus transporta izdevumi, lai nogādātu izsniegtos TPL tuvāk klientu dzīvesvietai</t>
  </si>
  <si>
    <t>Elektroenerģija, komunālie pakalpojumi un telpu uzturēšanas pakalpojumi (t.sk.apsardzes pakalpojumi). Papildus telpas uzturēšana iepirkumu speciālistam/ mēnesī 21.57EUR</t>
  </si>
  <si>
    <t>Komunālie pakalpojumi, papildus štata vietas kabinetam, apsardzes pakalpojumi tehnisko palīglīdzekļu centram</t>
  </si>
  <si>
    <t>Acu protēzes*</t>
  </si>
  <si>
    <t>Cena bez PVN euro</t>
  </si>
  <si>
    <t>PVN euro</t>
  </si>
  <si>
    <t>PVN ieņēmumi valsts budžetā</t>
  </si>
  <si>
    <t>PVN likme %</t>
  </si>
  <si>
    <t>19=10-18</t>
  </si>
  <si>
    <t>18=10/1.12</t>
  </si>
  <si>
    <t>20=19*7</t>
  </si>
  <si>
    <t>Sociālās apdrošināšanas iemaksas 10.5%</t>
  </si>
  <si>
    <t>Sociālās apdrošināšanas iemaksas 23.59%</t>
  </si>
  <si>
    <t>Ieņēmumi valsts budžetā</t>
  </si>
  <si>
    <t>Izdevumi valsts budžetā</t>
  </si>
  <si>
    <t>Sociālās apdrošināšanas iemaksas kopā</t>
  </si>
  <si>
    <t>4.1.</t>
  </si>
  <si>
    <t>4.2.</t>
  </si>
  <si>
    <t xml:space="preserve">* Acu protēzes izgatavošanas process ir darbietilpīgs, peronas, kas stājās rindā decembrī un kurām nav statuss "steidzami", protēzi saņem nākamā gada pirmajos mēnešos. </t>
  </si>
  <si>
    <t>PVN 21% 2016.gadā</t>
  </si>
  <si>
    <t>PVN 21% 2017. un 2018.gadā</t>
  </si>
  <si>
    <t>2 darbiniekiem - galds, krēsls, plaukts, lampa - (2*540 euro);datorkomplekti (2.gb*749 euro); kopā 2578 euro</t>
  </si>
  <si>
    <t>Iedzīvotāju ienākuma nod. ieņēmumi  22%</t>
  </si>
  <si>
    <t>5.pielikums</t>
  </si>
  <si>
    <t>2016.gads</t>
  </si>
  <si>
    <t>2017.un 2018.gads</t>
  </si>
  <si>
    <t>Transporta izdevumu aprēķins</t>
  </si>
  <si>
    <t>Latvijas Neredzīgo biedrība/   papildus nepieciešamā finansējuma aprēķins TPL administrēšanas izdevumiem 2016.gadam un turpmākajiem gadiem</t>
  </si>
  <si>
    <t>Latvijas Neredzīgo biedrība / tehnisko palīglīdzekļu  bāzes finansējuma aprēķins 2017.gadam un turpmākajiem gadiem</t>
  </si>
  <si>
    <t xml:space="preserve">Latvijas Neredzīgo biedrība / tehnisko palīglīdzekļu  bāzes finansējuma aprēķins 2016.gadam </t>
  </si>
  <si>
    <t>2017.gadā</t>
  </si>
  <si>
    <t>Noliktavas atlikumi uz 01.01.2017.</t>
  </si>
  <si>
    <t xml:space="preserve">plānotā            rinda uz 01.01.2017. </t>
  </si>
  <si>
    <t>Rindas prognoze uz 01.01.2018.</t>
  </si>
  <si>
    <t>Noliktavas atlikumi uz 31.12.2017.</t>
  </si>
  <si>
    <t>Degvielas cenas l/EUR</t>
  </si>
  <si>
    <t>gads</t>
  </si>
  <si>
    <t>vid.</t>
  </si>
  <si>
    <t xml:space="preserve">Latvijas Neredzīgo biedrība /  vidēji mēnesī rindā stājušos personu skaita aprēķins </t>
  </si>
  <si>
    <t xml:space="preserve">Latvijas Neredzīgo biedrība / tehnisko palīglīdzekļu vidējo cenu aprēķins </t>
  </si>
  <si>
    <t>6.pielikums</t>
  </si>
  <si>
    <t>Variants Nr.1</t>
  </si>
  <si>
    <t>7=6 kolonnas 8 rinda* 9 rinda                ( koeficients) utt.</t>
  </si>
  <si>
    <t>Vidējā TP cena no 2012.g. līdz 2014.g.</t>
  </si>
  <si>
    <t>6=5/3</t>
  </si>
  <si>
    <t>Labklājības ministrs</t>
  </si>
  <si>
    <t>U.Augulis</t>
  </si>
  <si>
    <t>L.Cīrule, 67021647, Lilita.Cirule@lm.gov.lv</t>
  </si>
  <si>
    <t>Fakss: 67276445</t>
  </si>
  <si>
    <t>Konceptuālais ziņojums</t>
  </si>
  <si>
    <t>7.pielikums</t>
  </si>
  <si>
    <t xml:space="preserve">personu skaits, kas vidēji mēnesī iestājas rindā ( 5.pielikuma 8 kolonna) </t>
  </si>
  <si>
    <t>TP cena  ar PVN                  (6.pielikuma 5 kolonna)</t>
  </si>
  <si>
    <t>TP cena  ar PVN                  (6.pielikuma            5 kolonna)</t>
  </si>
  <si>
    <t xml:space="preserve">personu skaits, kas vidēji mēnesī iestājas rindā                          (5.pielikuma               8 kolonna) </t>
  </si>
  <si>
    <t>„Par papildus nepieciešamo finansējumu valsts nodrošināto tehnisko palīglīdzekļu pakalpojuma ieviešanā”</t>
  </si>
  <si>
    <t xml:space="preserve">2015.gada no janvāra līdz aprīlim * </t>
  </si>
  <si>
    <t>8=7 kolonnas 9 rinda*10 rinda  (koeficients) utt.</t>
  </si>
  <si>
    <t>Vidēji mēnesī stājas rindā ar pieaug. vai samazin.</t>
  </si>
  <si>
    <t>*Vidēji mēnesī rindā stājušos personu skaits 2015.gadā tiek prognozēts saskaņā ar 2015.gada četru mēnešu vidējo faktu.</t>
  </si>
  <si>
    <t>Veselības apdrošināsanas izdevumi 4 darbiniekiem - 213.43 euro*5</t>
  </si>
  <si>
    <t>Veselības apdrošināšana  4 darbiniekiem</t>
  </si>
  <si>
    <t>1.4.</t>
  </si>
  <si>
    <t>Tiflotehnikas speciālists - noliktavas pārzinis</t>
  </si>
  <si>
    <t>Tiflotehnikas speciālists - autovadītājs</t>
  </si>
  <si>
    <t>8.pielikums</t>
  </si>
  <si>
    <t>Latvijas Neredzīgo biedrība/   atlīdzībai plānotā finansējuma aprēķins  2016.gadam</t>
  </si>
  <si>
    <t>Veids</t>
  </si>
  <si>
    <t>2015.gads</t>
  </si>
  <si>
    <t>2016.gads/ papildus</t>
  </si>
  <si>
    <t>2016.gadam nepieciešamais finansējums kopā</t>
  </si>
  <si>
    <t>mēnesī</t>
  </si>
  <si>
    <t>gadā</t>
  </si>
  <si>
    <t>Atalgojumi:</t>
  </si>
  <si>
    <t>Vec.tiflotehnikas speciālists</t>
  </si>
  <si>
    <t>Tiflotehnikas speciālists</t>
  </si>
  <si>
    <t>Tiflotehnikas speciālists - autovadītājs                                   algas starpība (570-434.50=135.50) 2015.gadā tiek maksāta no LNB līdzekļiem</t>
  </si>
  <si>
    <t>Valsts sociālās apdrošināšanas iemaksas darba devēja</t>
  </si>
  <si>
    <t xml:space="preserve">LNB  ir deleģēta valsts funkcija tehnisko palīglīdzekļu nodrošināšanā. 2015.gadā tehnisko palīglīdzekļu pakalpojumu nodrošina 3 amata slodzes. Ņemot vērā to, ka  LNB palielinās darba apjoms, palielinoties pieprasījumam pēc tehniskajiem palīglīdzekļiem, ir nepieciešams piesaistīt papildus darbiniekus. Plānots, ka 2016.gadā palielinātas štata vietas - iepirkuma speciālists un tiflotehnikas speciālists. Pielikti papildus pienākumi tiflotehnikas speciālistiem, jo TPL un darba apjoms palielinās(noliktavas pārzinis un autovadītājs). Administrēšanas izdevumiem 2016.gadā ir plānots novirzīt mazāk nekā normatīvajos aktos noteikts (Sociālo pakalpojumu un sociālās palīdzības likuma 13.panta 23 daļā noteikto administrēšanas izdevumiem deleģēto funkciju ieviesēji novirza ne vairāk kā 10 % no pakalpojuma nodrošināšanai piešķirtajiem valsts budžeta līdzekļiem), attiecīgi, LNS – 4.9 % (2015.gadā - 10%) no pakalpojuma nodrošināšanas finansējuma (aprēkini 8.pielikumā).          </t>
  </si>
  <si>
    <t>07.08.2015. 9:01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</si>
</sst>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8" x14ac:knownFonts="1">
    <font>
      <sz val="11"/>
      <color theme="1"/>
      <name val="Calibri"/>
      <family val="2"/>
      <charset val="186"/>
      <scheme val="minor"/>
    </font>
    <font>
      <sz val="12"/>
      <color theme="1"/>
      <name val="Times New Roman"/>
      <family val="1"/>
      <charset val="186"/>
    </font>
    <font>
      <sz val="12"/>
      <color rgb="FF000000"/>
      <name val="Times New Roman"/>
      <family val="1"/>
      <charset val="186"/>
    </font>
    <font>
      <b/>
      <sz val="12"/>
      <color theme="1"/>
      <name val="Times New Roman"/>
      <family val="1"/>
      <charset val="186"/>
    </font>
    <font>
      <b/>
      <sz val="14"/>
      <color theme="1"/>
      <name val="Times New Roman"/>
      <family val="1"/>
      <charset val="186"/>
    </font>
    <font>
      <i/>
      <u/>
      <sz val="12"/>
      <color theme="1"/>
      <name val="Times New Roman"/>
      <family val="1"/>
      <charset val="186"/>
    </font>
    <font>
      <b/>
      <i/>
      <u/>
      <sz val="12"/>
      <color theme="1"/>
      <name val="Times New Roman"/>
      <family val="1"/>
      <charset val="186"/>
    </font>
    <font>
      <sz val="11"/>
      <color theme="1"/>
      <name val="Calibri"/>
      <family val="2"/>
      <charset val="186"/>
      <scheme val="minor"/>
    </font>
    <font>
      <b/>
      <sz val="11"/>
      <color theme="1"/>
      <name val="Calibri"/>
      <family val="2"/>
      <charset val="186"/>
      <scheme val="minor"/>
    </font>
    <font>
      <sz val="12"/>
      <color indexed="8"/>
      <name val="Times New Roman"/>
      <family val="1"/>
      <charset val="186"/>
    </font>
    <font>
      <sz val="12"/>
      <name val="Times New Roman"/>
      <family val="1"/>
      <charset val="186"/>
    </font>
    <font>
      <b/>
      <sz val="14"/>
      <name val="Times New Roman"/>
      <family val="1"/>
      <charset val="186"/>
    </font>
    <font>
      <b/>
      <sz val="12"/>
      <name val="Times New Roman"/>
      <family val="1"/>
      <charset val="186"/>
    </font>
    <font>
      <b/>
      <sz val="14"/>
      <color indexed="8"/>
      <name val="Times New Roman"/>
      <family val="1"/>
      <charset val="186"/>
    </font>
    <font>
      <i/>
      <sz val="10"/>
      <name val="Times New Roman"/>
      <family val="1"/>
      <charset val="186"/>
    </font>
    <font>
      <i/>
      <sz val="12"/>
      <name val="Times New Roman"/>
      <family val="1"/>
      <charset val="186"/>
    </font>
    <font>
      <sz val="10"/>
      <color theme="1"/>
      <name val="Times New Roman"/>
      <family val="1"/>
      <charset val="186"/>
    </font>
    <font>
      <sz val="10"/>
      <color indexed="8"/>
      <name val="Times New Roman"/>
      <family val="1"/>
      <charset val="186"/>
    </font>
    <font>
      <sz val="10"/>
      <name val="Times New Roman"/>
      <family val="1"/>
      <charset val="186"/>
    </font>
    <font>
      <i/>
      <sz val="12"/>
      <color theme="1"/>
      <name val="Times New Roman"/>
      <family val="1"/>
      <charset val="186"/>
    </font>
    <font>
      <sz val="11"/>
      <color theme="1"/>
      <name val="Times New Roman"/>
      <family val="1"/>
      <charset val="186"/>
    </font>
    <font>
      <sz val="11"/>
      <name val="Calibri"/>
      <family val="2"/>
      <charset val="186"/>
      <scheme val="minor"/>
    </font>
    <font>
      <b/>
      <sz val="11"/>
      <name val="Calibri"/>
      <family val="2"/>
      <charset val="186"/>
      <scheme val="minor"/>
    </font>
    <font>
      <b/>
      <sz val="10"/>
      <name val="Times New Roman"/>
      <family val="1"/>
      <charset val="186"/>
    </font>
    <font>
      <sz val="9"/>
      <name val="Times New Roman"/>
      <family val="1"/>
      <charset val="186"/>
    </font>
    <font>
      <b/>
      <sz val="10"/>
      <color theme="1"/>
      <name val="Times New Roman"/>
      <family val="1"/>
      <charset val="186"/>
    </font>
    <font>
      <b/>
      <sz val="11"/>
      <color theme="1"/>
      <name val="Times New Roman"/>
      <family val="1"/>
      <charset val="186"/>
    </font>
    <font>
      <b/>
      <sz val="12"/>
      <color indexed="8"/>
      <name val="Times New Roman"/>
      <family val="1"/>
      <charset val="186"/>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227">
    <xf numFmtId="0" fontId="0" fillId="0" borderId="0" xfId="0"/>
    <xf numFmtId="0" fontId="1" fillId="0" borderId="0" xfId="0" applyFont="1"/>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xf numFmtId="0" fontId="1" fillId="3" borderId="1" xfId="0" applyFont="1" applyFill="1" applyBorder="1"/>
    <xf numFmtId="4" fontId="3" fillId="3" borderId="1" xfId="0" applyNumberFormat="1" applyFont="1" applyFill="1" applyBorder="1" applyAlignment="1">
      <alignment horizontal="center"/>
    </xf>
    <xf numFmtId="0" fontId="2" fillId="0" borderId="2"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4" fontId="1" fillId="3" borderId="1" xfId="0" applyNumberFormat="1" applyFont="1" applyFill="1" applyBorder="1" applyAlignment="1">
      <alignment horizontal="center"/>
    </xf>
    <xf numFmtId="4" fontId="1" fillId="0" borderId="1" xfId="0" applyNumberFormat="1" applyFont="1" applyBorder="1" applyAlignment="1">
      <alignment horizontal="center"/>
    </xf>
    <xf numFmtId="0" fontId="1" fillId="3" borderId="4" xfId="0" applyFont="1" applyFill="1" applyBorder="1" applyAlignment="1">
      <alignment vertical="center" wrapText="1"/>
    </xf>
    <xf numFmtId="0" fontId="0" fillId="3" borderId="0" xfId="0" applyFill="1"/>
    <xf numFmtId="0" fontId="1" fillId="0" borderId="0" xfId="0" applyFont="1" applyBorder="1"/>
    <xf numFmtId="0" fontId="3" fillId="3" borderId="1" xfId="0" applyFont="1" applyFill="1" applyBorder="1"/>
    <xf numFmtId="0" fontId="1" fillId="3" borderId="0" xfId="0" applyFont="1" applyFill="1"/>
    <xf numFmtId="0" fontId="1" fillId="0" borderId="1" xfId="0" applyFont="1" applyFill="1" applyBorder="1" applyAlignment="1">
      <alignment horizontal="center" wrapText="1"/>
    </xf>
    <xf numFmtId="4" fontId="3" fillId="4" borderId="1" xfId="0" applyNumberFormat="1" applyFont="1" applyFill="1" applyBorder="1" applyAlignment="1">
      <alignment horizontal="center"/>
    </xf>
    <xf numFmtId="4" fontId="3" fillId="4" borderId="3" xfId="0" applyNumberFormat="1" applyFont="1" applyFill="1" applyBorder="1" applyAlignment="1">
      <alignment horizontal="center" wrapText="1"/>
    </xf>
    <xf numFmtId="0" fontId="3" fillId="3" borderId="1" xfId="0" applyFont="1" applyFill="1" applyBorder="1" applyAlignment="1">
      <alignment horizontal="center"/>
    </xf>
    <xf numFmtId="0" fontId="3" fillId="3" borderId="1" xfId="0" applyFont="1" applyFill="1" applyBorder="1" applyAlignment="1">
      <alignment vertical="center" wrapText="1"/>
    </xf>
    <xf numFmtId="0" fontId="5" fillId="2" borderId="1" xfId="0" applyFont="1" applyFill="1" applyBorder="1" applyAlignment="1">
      <alignment vertical="center" wrapText="1"/>
    </xf>
    <xf numFmtId="0" fontId="5" fillId="2" borderId="4" xfId="0" applyFont="1" applyFill="1" applyBorder="1" applyAlignment="1">
      <alignment vertical="center" wrapText="1"/>
    </xf>
    <xf numFmtId="0" fontId="1" fillId="3" borderId="1" xfId="0" applyFont="1" applyFill="1" applyBorder="1" applyAlignment="1">
      <alignment horizontal="center" wrapText="1"/>
    </xf>
    <xf numFmtId="0" fontId="2" fillId="0" borderId="1" xfId="0" applyFont="1" applyBorder="1" applyAlignment="1">
      <alignment vertical="center" wrapText="1"/>
    </xf>
    <xf numFmtId="1" fontId="3" fillId="0" borderId="1" xfId="0" applyNumberFormat="1" applyFont="1" applyBorder="1" applyAlignment="1">
      <alignment horizontal="center"/>
    </xf>
    <xf numFmtId="0" fontId="0" fillId="0" borderId="1" xfId="0" applyBorder="1"/>
    <xf numFmtId="1" fontId="3" fillId="3" borderId="1" xfId="0" applyNumberFormat="1" applyFont="1" applyFill="1" applyBorder="1"/>
    <xf numFmtId="1" fontId="1" fillId="0" borderId="1" xfId="0" applyNumberFormat="1" applyFont="1" applyBorder="1" applyAlignment="1">
      <alignment horizontal="center" wrapText="1"/>
    </xf>
    <xf numFmtId="1" fontId="3" fillId="4" borderId="3" xfId="0" applyNumberFormat="1" applyFont="1" applyFill="1" applyBorder="1" applyAlignment="1">
      <alignment horizontal="center" wrapText="1"/>
    </xf>
    <xf numFmtId="1" fontId="1" fillId="3" borderId="1" xfId="0" applyNumberFormat="1" applyFont="1" applyFill="1" applyBorder="1"/>
    <xf numFmtId="1" fontId="3" fillId="4" borderId="1" xfId="0" applyNumberFormat="1" applyFont="1" applyFill="1" applyBorder="1" applyAlignment="1">
      <alignment horizontal="center"/>
    </xf>
    <xf numFmtId="1" fontId="1" fillId="3" borderId="1" xfId="0" applyNumberFormat="1" applyFont="1" applyFill="1" applyBorder="1" applyAlignment="1">
      <alignment horizontal="right"/>
    </xf>
    <xf numFmtId="0" fontId="1" fillId="0" borderId="1" xfId="0" applyFont="1" applyBorder="1" applyAlignment="1">
      <alignment horizontal="center" wrapText="1"/>
    </xf>
    <xf numFmtId="0" fontId="1" fillId="0" borderId="1" xfId="0" applyFont="1" applyBorder="1" applyAlignment="1">
      <alignment horizontal="center"/>
    </xf>
    <xf numFmtId="0" fontId="3" fillId="0" borderId="1" xfId="0" applyFont="1" applyBorder="1" applyAlignment="1">
      <alignment horizontal="center"/>
    </xf>
    <xf numFmtId="0" fontId="1" fillId="3" borderId="1" xfId="0" applyFont="1" applyFill="1" applyBorder="1" applyAlignment="1">
      <alignment vertical="center" wrapText="1"/>
    </xf>
    <xf numFmtId="0" fontId="11" fillId="0" borderId="0" xfId="0" applyFont="1" applyAlignment="1">
      <alignment horizontal="center"/>
    </xf>
    <xf numFmtId="0" fontId="10" fillId="0" borderId="0" xfId="0" applyFont="1"/>
    <xf numFmtId="2" fontId="9" fillId="0" borderId="1" xfId="0" applyNumberFormat="1" applyFont="1" applyBorder="1" applyAlignment="1">
      <alignment horizontal="center" wrapText="1"/>
    </xf>
    <xf numFmtId="0" fontId="3" fillId="0" borderId="0" xfId="0" applyFont="1" applyBorder="1" applyAlignment="1">
      <alignment horizontal="right"/>
    </xf>
    <xf numFmtId="0" fontId="0" fillId="0" borderId="0" xfId="0" applyBorder="1"/>
    <xf numFmtId="0" fontId="1" fillId="0" borderId="1" xfId="0" applyFont="1" applyBorder="1" applyAlignment="1">
      <alignment horizontal="left"/>
    </xf>
    <xf numFmtId="0" fontId="6" fillId="2" borderId="1" xfId="0" applyFont="1" applyFill="1" applyBorder="1" applyAlignment="1">
      <alignment horizontal="right" wrapText="1"/>
    </xf>
    <xf numFmtId="4" fontId="3" fillId="0" borderId="1" xfId="0" applyNumberFormat="1" applyFont="1" applyBorder="1" applyAlignment="1">
      <alignment horizontal="center"/>
    </xf>
    <xf numFmtId="9" fontId="12" fillId="0" borderId="1" xfId="1" applyFont="1" applyBorder="1" applyAlignment="1">
      <alignment horizontal="center"/>
    </xf>
    <xf numFmtId="0" fontId="3" fillId="3" borderId="1" xfId="0" applyFont="1" applyFill="1" applyBorder="1" applyAlignment="1">
      <alignment horizontal="right" wrapText="1"/>
    </xf>
    <xf numFmtId="0" fontId="0" fillId="0" borderId="1" xfId="0" applyBorder="1" applyAlignment="1">
      <alignment horizontal="center"/>
    </xf>
    <xf numFmtId="0" fontId="8" fillId="0" borderId="1" xfId="0" applyFont="1" applyBorder="1" applyAlignment="1">
      <alignment horizontal="center"/>
    </xf>
    <xf numFmtId="0" fontId="0" fillId="3" borderId="1" xfId="0" applyFill="1" applyBorder="1"/>
    <xf numFmtId="0" fontId="14" fillId="0" borderId="1" xfId="0" applyFont="1" applyBorder="1" applyAlignment="1">
      <alignment horizontal="left" wrapText="1"/>
    </xf>
    <xf numFmtId="2" fontId="15" fillId="0" borderId="1" xfId="0" applyNumberFormat="1" applyFont="1" applyBorder="1" applyAlignment="1">
      <alignment horizontal="center" wrapText="1"/>
    </xf>
    <xf numFmtId="1" fontId="10" fillId="0" borderId="4" xfId="0" applyNumberFormat="1" applyFont="1" applyBorder="1" applyAlignment="1">
      <alignment horizontal="center"/>
    </xf>
    <xf numFmtId="1" fontId="8" fillId="0" borderId="1" xfId="0" applyNumberFormat="1" applyFont="1" applyBorder="1" applyAlignment="1">
      <alignment horizontal="center"/>
    </xf>
    <xf numFmtId="9" fontId="10" fillId="0" borderId="1" xfId="1" applyFont="1" applyBorder="1" applyAlignment="1">
      <alignment horizontal="center"/>
    </xf>
    <xf numFmtId="2" fontId="10" fillId="0" borderId="4" xfId="0" applyNumberFormat="1" applyFont="1" applyBorder="1" applyAlignment="1">
      <alignment horizontal="center"/>
    </xf>
    <xf numFmtId="2" fontId="1" fillId="0" borderId="1" xfId="0" applyNumberFormat="1" applyFont="1" applyBorder="1" applyAlignment="1">
      <alignment horizontal="center"/>
    </xf>
    <xf numFmtId="2" fontId="1" fillId="3" borderId="1" xfId="0" applyNumberFormat="1" applyFont="1" applyFill="1" applyBorder="1" applyAlignment="1">
      <alignment horizontal="center"/>
    </xf>
    <xf numFmtId="0" fontId="5" fillId="2" borderId="1" xfId="0" applyFont="1" applyFill="1" applyBorder="1" applyAlignment="1">
      <alignment horizontal="right" wrapText="1"/>
    </xf>
    <xf numFmtId="0" fontId="1" fillId="3" borderId="1" xfId="0" applyFont="1" applyFill="1" applyBorder="1" applyAlignment="1">
      <alignment horizontal="right" wrapText="1"/>
    </xf>
    <xf numFmtId="3" fontId="3" fillId="3" borderId="1" xfId="0" applyNumberFormat="1" applyFont="1" applyFill="1" applyBorder="1" applyAlignment="1">
      <alignment horizontal="center"/>
    </xf>
    <xf numFmtId="0" fontId="3" fillId="3" borderId="4" xfId="0" applyFont="1" applyFill="1" applyBorder="1" applyAlignment="1">
      <alignment horizontal="right" vertical="center" wrapText="1"/>
    </xf>
    <xf numFmtId="0" fontId="1" fillId="3" borderId="1" xfId="0" applyFont="1" applyFill="1" applyBorder="1" applyAlignment="1">
      <alignment horizontal="center"/>
    </xf>
    <xf numFmtId="4" fontId="5" fillId="3" borderId="1" xfId="0" applyNumberFormat="1" applyFont="1" applyFill="1" applyBorder="1" applyAlignment="1">
      <alignment horizontal="center"/>
    </xf>
    <xf numFmtId="0" fontId="5" fillId="3" borderId="1" xfId="0" applyFont="1" applyFill="1" applyBorder="1" applyAlignment="1">
      <alignment horizontal="center"/>
    </xf>
    <xf numFmtId="4" fontId="1" fillId="0" borderId="1" xfId="0" applyNumberFormat="1" applyFont="1" applyFill="1" applyBorder="1" applyAlignment="1">
      <alignment horizontal="center" wrapText="1"/>
    </xf>
    <xf numFmtId="1" fontId="5" fillId="3" borderId="1" xfId="0" applyNumberFormat="1" applyFont="1" applyFill="1" applyBorder="1"/>
    <xf numFmtId="0" fontId="0" fillId="0" borderId="4" xfId="0" applyBorder="1" applyAlignment="1">
      <alignment horizontal="center"/>
    </xf>
    <xf numFmtId="1" fontId="16" fillId="0" borderId="1" xfId="0" applyNumberFormat="1" applyFont="1" applyBorder="1" applyAlignment="1">
      <alignment horizontal="center" wrapText="1"/>
    </xf>
    <xf numFmtId="1" fontId="16" fillId="0" borderId="1" xfId="0" applyNumberFormat="1" applyFont="1" applyBorder="1" applyAlignment="1">
      <alignment horizontal="center"/>
    </xf>
    <xf numFmtId="1" fontId="17" fillId="0" borderId="4" xfId="0" applyNumberFormat="1" applyFont="1" applyBorder="1" applyAlignment="1">
      <alignment horizontal="center" wrapText="1"/>
    </xf>
    <xf numFmtId="1" fontId="18" fillId="0" borderId="4" xfId="0" applyNumberFormat="1" applyFont="1" applyBorder="1" applyAlignment="1">
      <alignment horizontal="center" wrapText="1"/>
    </xf>
    <xf numFmtId="1" fontId="17" fillId="0" borderId="1" xfId="0" applyNumberFormat="1" applyFont="1" applyBorder="1" applyAlignment="1">
      <alignment horizontal="center" wrapText="1"/>
    </xf>
    <xf numFmtId="2" fontId="3" fillId="4" borderId="3" xfId="0" applyNumberFormat="1" applyFont="1" applyFill="1" applyBorder="1" applyAlignment="1">
      <alignment horizontal="center" wrapText="1"/>
    </xf>
    <xf numFmtId="2" fontId="3" fillId="4" borderId="1" xfId="0" applyNumberFormat="1" applyFont="1" applyFill="1" applyBorder="1" applyAlignment="1">
      <alignment horizontal="center"/>
    </xf>
    <xf numFmtId="1" fontId="3" fillId="3" borderId="1" xfId="0" applyNumberFormat="1" applyFont="1" applyFill="1" applyBorder="1" applyAlignment="1">
      <alignment horizontal="center"/>
    </xf>
    <xf numFmtId="1" fontId="1"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3" fontId="1" fillId="3" borderId="1" xfId="0" applyNumberFormat="1" applyFont="1" applyFill="1" applyBorder="1" applyAlignment="1">
      <alignment horizontal="center"/>
    </xf>
    <xf numFmtId="1" fontId="5" fillId="3" borderId="1" xfId="0" applyNumberFormat="1" applyFont="1" applyFill="1" applyBorder="1" applyAlignment="1">
      <alignment horizontal="center"/>
    </xf>
    <xf numFmtId="2" fontId="10" fillId="3" borderId="4" xfId="0" applyNumberFormat="1" applyFont="1" applyFill="1" applyBorder="1" applyAlignment="1">
      <alignment horizontal="center"/>
    </xf>
    <xf numFmtId="1" fontId="19" fillId="3" borderId="1" xfId="0" applyNumberFormat="1" applyFont="1" applyFill="1" applyBorder="1"/>
    <xf numFmtId="1" fontId="19" fillId="3" borderId="1" xfId="0" applyNumberFormat="1" applyFont="1" applyFill="1" applyBorder="1" applyAlignment="1">
      <alignment horizontal="right"/>
    </xf>
    <xf numFmtId="0" fontId="21" fillId="0" borderId="1" xfId="0" applyFont="1" applyBorder="1" applyAlignment="1">
      <alignment horizontal="center"/>
    </xf>
    <xf numFmtId="0" fontId="10" fillId="0" borderId="1" xfId="0" applyFont="1" applyBorder="1" applyAlignment="1">
      <alignment horizontal="center" wrapText="1"/>
    </xf>
    <xf numFmtId="1" fontId="16" fillId="0" borderId="3" xfId="0" applyNumberFormat="1" applyFont="1" applyBorder="1" applyAlignment="1">
      <alignment horizontal="center" wrapText="1"/>
    </xf>
    <xf numFmtId="0" fontId="13" fillId="0" borderId="0" xfId="0" applyFont="1" applyAlignment="1"/>
    <xf numFmtId="0" fontId="21" fillId="3" borderId="4" xfId="0" applyFont="1" applyFill="1" applyBorder="1" applyAlignment="1">
      <alignment horizontal="center"/>
    </xf>
    <xf numFmtId="2" fontId="15" fillId="3" borderId="1" xfId="0" applyNumberFormat="1" applyFont="1" applyFill="1" applyBorder="1" applyAlignment="1">
      <alignment horizontal="center" wrapText="1"/>
    </xf>
    <xf numFmtId="0" fontId="21" fillId="3" borderId="1" xfId="0" applyFont="1" applyFill="1" applyBorder="1" applyAlignment="1">
      <alignment horizontal="center"/>
    </xf>
    <xf numFmtId="1" fontId="22" fillId="3" borderId="1" xfId="0" applyNumberFormat="1" applyFont="1" applyFill="1" applyBorder="1" applyAlignment="1">
      <alignment horizontal="center"/>
    </xf>
    <xf numFmtId="0" fontId="12" fillId="3" borderId="1" xfId="0" applyFont="1" applyFill="1" applyBorder="1" applyAlignment="1">
      <alignment horizontal="center"/>
    </xf>
    <xf numFmtId="0" fontId="1" fillId="0" borderId="1" xfId="0" applyFont="1" applyBorder="1" applyAlignment="1">
      <alignment horizontal="center" wrapText="1"/>
    </xf>
    <xf numFmtId="0" fontId="3" fillId="0" borderId="1" xfId="0" applyFont="1" applyBorder="1" applyAlignment="1">
      <alignment horizontal="center"/>
    </xf>
    <xf numFmtId="4" fontId="3" fillId="3" borderId="3" xfId="0" applyNumberFormat="1" applyFont="1" applyFill="1" applyBorder="1" applyAlignment="1">
      <alignment horizontal="center"/>
    </xf>
    <xf numFmtId="0" fontId="1" fillId="0" borderId="1" xfId="0" applyFont="1" applyBorder="1" applyAlignment="1">
      <alignment horizontal="center"/>
    </xf>
    <xf numFmtId="0" fontId="3" fillId="0" borderId="1" xfId="0" applyFont="1" applyBorder="1" applyAlignment="1">
      <alignment horizontal="right"/>
    </xf>
    <xf numFmtId="0" fontId="11" fillId="0" borderId="0" xfId="0" applyFont="1" applyAlignment="1">
      <alignment horizontal="center" wrapText="1"/>
    </xf>
    <xf numFmtId="1" fontId="3" fillId="6" borderId="3" xfId="0" applyNumberFormat="1" applyFont="1" applyFill="1" applyBorder="1" applyAlignment="1">
      <alignment horizontal="center" wrapText="1"/>
    </xf>
    <xf numFmtId="1" fontId="3" fillId="6" borderId="1" xfId="0" applyNumberFormat="1" applyFont="1" applyFill="1" applyBorder="1" applyAlignment="1">
      <alignment horizontal="center"/>
    </xf>
    <xf numFmtId="4" fontId="3" fillId="6" borderId="3" xfId="0" applyNumberFormat="1" applyFont="1" applyFill="1" applyBorder="1" applyAlignment="1">
      <alignment horizontal="center" wrapText="1"/>
    </xf>
    <xf numFmtId="4" fontId="3" fillId="6" borderId="1" xfId="0" applyNumberFormat="1" applyFont="1" applyFill="1" applyBorder="1" applyAlignment="1">
      <alignment horizontal="center"/>
    </xf>
    <xf numFmtId="0" fontId="1" fillId="0" borderId="0" xfId="0" applyFont="1" applyAlignment="1"/>
    <xf numFmtId="2" fontId="1" fillId="0" borderId="1" xfId="0" applyNumberFormat="1" applyFont="1" applyBorder="1"/>
    <xf numFmtId="4" fontId="1" fillId="0" borderId="1" xfId="0" applyNumberFormat="1" applyFont="1" applyBorder="1"/>
    <xf numFmtId="0" fontId="1" fillId="6" borderId="1" xfId="0" applyFont="1" applyFill="1" applyBorder="1"/>
    <xf numFmtId="2" fontId="1" fillId="6" borderId="1" xfId="0" applyNumberFormat="1" applyFont="1" applyFill="1" applyBorder="1"/>
    <xf numFmtId="0" fontId="3" fillId="0" borderId="1" xfId="0" applyFont="1" applyBorder="1"/>
    <xf numFmtId="2" fontId="3" fillId="0" borderId="1" xfId="0" applyNumberFormat="1" applyFont="1" applyBorder="1"/>
    <xf numFmtId="4" fontId="3" fillId="0" borderId="1" xfId="0" applyNumberFormat="1" applyFont="1" applyBorder="1"/>
    <xf numFmtId="0" fontId="11" fillId="0" borderId="0" xfId="0" applyFont="1" applyAlignment="1">
      <alignment wrapText="1"/>
    </xf>
    <xf numFmtId="0" fontId="12" fillId="0" borderId="1" xfId="0" applyFont="1" applyBorder="1" applyAlignment="1">
      <alignment horizontal="right"/>
    </xf>
    <xf numFmtId="0" fontId="12" fillId="0" borderId="1" xfId="0" applyFont="1" applyBorder="1" applyAlignment="1">
      <alignment horizontal="center"/>
    </xf>
    <xf numFmtId="2" fontId="12" fillId="0" borderId="1" xfId="0" applyNumberFormat="1" applyFont="1" applyBorder="1" applyAlignment="1">
      <alignment horizontal="center"/>
    </xf>
    <xf numFmtId="0" fontId="10" fillId="0" borderId="1" xfId="0" applyFont="1" applyBorder="1"/>
    <xf numFmtId="0" fontId="1" fillId="0" borderId="1" xfId="0" applyFont="1" applyBorder="1" applyAlignment="1">
      <alignment horizontal="right" wrapText="1"/>
    </xf>
    <xf numFmtId="2" fontId="10" fillId="0" borderId="1" xfId="0" applyNumberFormat="1" applyFont="1" applyBorder="1" applyAlignment="1">
      <alignment horizontal="center"/>
    </xf>
    <xf numFmtId="2" fontId="10" fillId="0" borderId="1" xfId="0" applyNumberFormat="1" applyFont="1" applyBorder="1" applyAlignment="1"/>
    <xf numFmtId="4" fontId="12" fillId="0" borderId="1" xfId="0" applyNumberFormat="1" applyFont="1" applyBorder="1" applyAlignment="1"/>
    <xf numFmtId="4" fontId="12" fillId="0" borderId="1" xfId="0" applyNumberFormat="1" applyFont="1" applyBorder="1" applyAlignment="1">
      <alignment horizontal="center"/>
    </xf>
    <xf numFmtId="0" fontId="1" fillId="5" borderId="1" xfId="0" applyFont="1" applyFill="1" applyBorder="1" applyAlignment="1">
      <alignment horizontal="left" vertical="center" wrapText="1"/>
    </xf>
    <xf numFmtId="0" fontId="10" fillId="0" borderId="1" xfId="0" applyFont="1" applyBorder="1" applyAlignment="1">
      <alignment wrapText="1"/>
    </xf>
    <xf numFmtId="0" fontId="12" fillId="0" borderId="0" xfId="0" applyFont="1" applyBorder="1" applyAlignment="1">
      <alignment horizontal="right"/>
    </xf>
    <xf numFmtId="2" fontId="12" fillId="0" borderId="0" xfId="0" applyNumberFormat="1" applyFont="1" applyBorder="1" applyAlignment="1">
      <alignment horizontal="center"/>
    </xf>
    <xf numFmtId="2" fontId="1" fillId="0" borderId="0" xfId="0" applyNumberFormat="1" applyFont="1" applyBorder="1"/>
    <xf numFmtId="0" fontId="10" fillId="0" borderId="1" xfId="0" applyFont="1" applyBorder="1" applyAlignment="1">
      <alignment horizontal="center"/>
    </xf>
    <xf numFmtId="0" fontId="11" fillId="0" borderId="0" xfId="0" applyFont="1" applyAlignment="1">
      <alignment horizontal="center" wrapText="1"/>
    </xf>
    <xf numFmtId="0" fontId="1" fillId="0" borderId="1" xfId="0" applyFont="1" applyFill="1" applyBorder="1" applyAlignment="1">
      <alignment horizontal="center" wrapText="1"/>
    </xf>
    <xf numFmtId="0" fontId="1" fillId="0" borderId="1" xfId="0" applyFont="1" applyBorder="1" applyAlignment="1">
      <alignment horizontal="center" wrapText="1"/>
    </xf>
    <xf numFmtId="4" fontId="3" fillId="3" borderId="3" xfId="0" applyNumberFormat="1" applyFont="1" applyFill="1" applyBorder="1" applyAlignment="1">
      <alignment horizontal="center"/>
    </xf>
    <xf numFmtId="0" fontId="1" fillId="0" borderId="1" xfId="0" applyFont="1" applyBorder="1" applyAlignment="1">
      <alignment horizontal="center"/>
    </xf>
    <xf numFmtId="0" fontId="3" fillId="0" borderId="1" xfId="0" applyFont="1" applyBorder="1" applyAlignment="1">
      <alignment horizontal="right"/>
    </xf>
    <xf numFmtId="2" fontId="12" fillId="0" borderId="4" xfId="0" applyNumberFormat="1" applyFont="1" applyBorder="1" applyAlignment="1">
      <alignment horizontal="center" wrapText="1"/>
    </xf>
    <xf numFmtId="0" fontId="23" fillId="0" borderId="0" xfId="0" applyFont="1" applyAlignment="1"/>
    <xf numFmtId="0" fontId="24" fillId="0" borderId="1" xfId="0" applyFont="1" applyBorder="1" applyAlignment="1">
      <alignment horizontal="center"/>
    </xf>
    <xf numFmtId="0" fontId="24" fillId="0" borderId="1" xfId="0" applyFont="1" applyBorder="1" applyAlignment="1">
      <alignment horizontal="center" wrapText="1"/>
    </xf>
    <xf numFmtId="0" fontId="18" fillId="0" borderId="1" xfId="0" applyFont="1" applyBorder="1"/>
    <xf numFmtId="0" fontId="18" fillId="0" borderId="1" xfId="0" applyFont="1" applyBorder="1" applyAlignment="1">
      <alignment wrapText="1"/>
    </xf>
    <xf numFmtId="0" fontId="16" fillId="0" borderId="1" xfId="0" applyFont="1" applyBorder="1"/>
    <xf numFmtId="2" fontId="16" fillId="0" borderId="1" xfId="0" applyNumberFormat="1" applyFont="1" applyBorder="1" applyAlignment="1">
      <alignment horizontal="center"/>
    </xf>
    <xf numFmtId="164" fontId="16" fillId="0" borderId="1" xfId="0" applyNumberFormat="1" applyFont="1" applyBorder="1"/>
    <xf numFmtId="2" fontId="16" fillId="0" borderId="1" xfId="0" applyNumberFormat="1" applyFont="1" applyBorder="1"/>
    <xf numFmtId="0" fontId="16" fillId="0" borderId="1" xfId="0" applyFont="1" applyBorder="1" applyAlignment="1">
      <alignment wrapText="1"/>
    </xf>
    <xf numFmtId="0" fontId="18" fillId="3" borderId="1" xfId="0" applyFont="1" applyFill="1" applyBorder="1"/>
    <xf numFmtId="0" fontId="16" fillId="3" borderId="1" xfId="0" applyFont="1" applyFill="1" applyBorder="1" applyAlignment="1">
      <alignment wrapText="1"/>
    </xf>
    <xf numFmtId="0" fontId="16" fillId="3" borderId="1" xfId="0" applyFont="1" applyFill="1" applyBorder="1"/>
    <xf numFmtId="2" fontId="16" fillId="3" borderId="1" xfId="0" applyNumberFormat="1" applyFont="1" applyFill="1" applyBorder="1" applyAlignment="1">
      <alignment horizontal="center"/>
    </xf>
    <xf numFmtId="2" fontId="16" fillId="3" borderId="1" xfId="0" applyNumberFormat="1" applyFont="1" applyFill="1" applyBorder="1"/>
    <xf numFmtId="2" fontId="23" fillId="0" borderId="1" xfId="0" applyNumberFormat="1"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16" fillId="3" borderId="1" xfId="0" applyFont="1" applyFill="1" applyBorder="1" applyAlignment="1">
      <alignment horizontal="center" wrapText="1"/>
    </xf>
    <xf numFmtId="0" fontId="16" fillId="0"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wrapText="1"/>
    </xf>
    <xf numFmtId="0" fontId="20" fillId="0" borderId="1" xfId="0" applyFont="1" applyBorder="1"/>
    <xf numFmtId="0" fontId="26" fillId="0" borderId="1" xfId="0" applyFont="1" applyBorder="1"/>
    <xf numFmtId="4" fontId="0" fillId="0" borderId="0" xfId="0" applyNumberFormat="1"/>
    <xf numFmtId="2" fontId="0" fillId="0" borderId="0" xfId="0" applyNumberFormat="1"/>
    <xf numFmtId="0" fontId="1" fillId="0" borderId="0" xfId="0" applyFont="1" applyAlignment="1">
      <alignment horizontal="right"/>
    </xf>
    <xf numFmtId="2" fontId="9" fillId="0" borderId="1" xfId="0" applyNumberFormat="1" applyFont="1" applyBorder="1" applyAlignment="1">
      <alignment horizontal="center" wrapText="1"/>
    </xf>
    <xf numFmtId="2" fontId="9" fillId="0" borderId="4" xfId="0" applyNumberFormat="1" applyFont="1" applyBorder="1" applyAlignment="1">
      <alignment wrapText="1"/>
    </xf>
    <xf numFmtId="0" fontId="1" fillId="0" borderId="0" xfId="0" applyFont="1" applyBorder="1" applyAlignment="1">
      <alignment horizontal="left"/>
    </xf>
    <xf numFmtId="0" fontId="3" fillId="3" borderId="0" xfId="0" applyFont="1" applyFill="1" applyBorder="1" applyAlignment="1">
      <alignment horizontal="right" wrapText="1"/>
    </xf>
    <xf numFmtId="0" fontId="3" fillId="0" borderId="0" xfId="0" applyFont="1" applyBorder="1" applyAlignment="1">
      <alignment horizontal="center"/>
    </xf>
    <xf numFmtId="0" fontId="12" fillId="3" borderId="0" xfId="0" applyFont="1" applyFill="1" applyBorder="1" applyAlignment="1">
      <alignment horizontal="center"/>
    </xf>
    <xf numFmtId="1" fontId="3" fillId="0" borderId="0" xfId="0" applyNumberFormat="1" applyFont="1" applyBorder="1" applyAlignment="1">
      <alignment horizontal="center"/>
    </xf>
    <xf numFmtId="9" fontId="12" fillId="0" borderId="0" xfId="1" applyFont="1" applyBorder="1" applyAlignment="1">
      <alignment horizontal="center"/>
    </xf>
    <xf numFmtId="4" fontId="12" fillId="0" borderId="0"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right" wrapText="1"/>
    </xf>
    <xf numFmtId="0" fontId="3" fillId="0" borderId="0" xfId="0" applyFont="1" applyAlignment="1">
      <alignment horizontal="right"/>
    </xf>
    <xf numFmtId="0" fontId="1" fillId="0" borderId="0" xfId="0" applyFont="1" applyAlignment="1">
      <alignment horizontal="left" wrapText="1"/>
    </xf>
    <xf numFmtId="0" fontId="3" fillId="0" borderId="0" xfId="0" applyFont="1" applyAlignment="1">
      <alignment horizontal="center"/>
    </xf>
    <xf numFmtId="0" fontId="1" fillId="0" borderId="1" xfId="0" applyFont="1" applyBorder="1" applyAlignment="1">
      <alignment horizontal="center" wrapText="1"/>
    </xf>
    <xf numFmtId="0" fontId="4" fillId="0" borderId="0" xfId="0" applyFont="1" applyBorder="1" applyAlignment="1">
      <alignment horizontal="center"/>
    </xf>
    <xf numFmtId="0" fontId="4" fillId="0" borderId="0" xfId="0" applyFont="1" applyAlignment="1">
      <alignment horizontal="center"/>
    </xf>
    <xf numFmtId="0" fontId="1" fillId="0" borderId="0" xfId="0" applyFont="1" applyAlignment="1">
      <alignment horizontal="right"/>
    </xf>
    <xf numFmtId="0" fontId="1" fillId="0" borderId="0" xfId="0" applyFont="1" applyAlignment="1">
      <alignment horizontal="right" wrapText="1"/>
    </xf>
    <xf numFmtId="0" fontId="1" fillId="0" borderId="4"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1" xfId="0" applyFont="1" applyFill="1" applyBorder="1" applyAlignment="1">
      <alignment horizontal="center" wrapText="1"/>
    </xf>
    <xf numFmtId="4" fontId="3" fillId="3" borderId="2" xfId="0" applyNumberFormat="1" applyFont="1" applyFill="1" applyBorder="1" applyAlignment="1">
      <alignment horizontal="center"/>
    </xf>
    <xf numFmtId="4" fontId="3" fillId="3" borderId="7" xfId="0" applyNumberFormat="1" applyFont="1" applyFill="1" applyBorder="1" applyAlignment="1">
      <alignment horizontal="center"/>
    </xf>
    <xf numFmtId="4" fontId="3" fillId="3" borderId="3" xfId="0" applyNumberFormat="1" applyFont="1" applyFill="1" applyBorder="1" applyAlignment="1">
      <alignment horizont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0" borderId="4" xfId="0" applyFont="1" applyBorder="1" applyAlignment="1">
      <alignment horizontal="center"/>
    </xf>
    <xf numFmtId="0" fontId="3" fillId="0" borderId="5"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3" fillId="4" borderId="6" xfId="0" applyFont="1" applyFill="1" applyBorder="1" applyAlignment="1">
      <alignment horizontal="left" wrapText="1"/>
    </xf>
    <xf numFmtId="0" fontId="3" fillId="4" borderId="5" xfId="0" applyFont="1" applyFill="1" applyBorder="1" applyAlignment="1">
      <alignment horizontal="left" wrapText="1"/>
    </xf>
    <xf numFmtId="0" fontId="1" fillId="0" borderId="0" xfId="0" applyFont="1" applyAlignment="1">
      <alignment horizontal="center"/>
    </xf>
    <xf numFmtId="0" fontId="1" fillId="3" borderId="0" xfId="0" applyFont="1" applyFill="1" applyBorder="1" applyAlignment="1">
      <alignment horizontal="left" wrapText="1"/>
    </xf>
    <xf numFmtId="0" fontId="3" fillId="3" borderId="0" xfId="0" applyFont="1" applyFill="1" applyBorder="1" applyAlignment="1">
      <alignment horizontal="left" wrapText="1"/>
    </xf>
    <xf numFmtId="0" fontId="3" fillId="0" borderId="0" xfId="0" applyFont="1" applyAlignment="1">
      <alignment horizontal="right"/>
    </xf>
    <xf numFmtId="0" fontId="3" fillId="0" borderId="1" xfId="0" applyFont="1" applyBorder="1" applyAlignment="1">
      <alignment horizontal="right"/>
    </xf>
    <xf numFmtId="0" fontId="1" fillId="0" borderId="4" xfId="0" applyFont="1" applyBorder="1" applyAlignment="1">
      <alignment horizontal="center" wrapText="1"/>
    </xf>
    <xf numFmtId="0" fontId="1" fillId="0" borderId="6" xfId="0" applyFont="1" applyBorder="1" applyAlignment="1">
      <alignment horizontal="center" wrapText="1"/>
    </xf>
    <xf numFmtId="0" fontId="1" fillId="0" borderId="5" xfId="0" applyFont="1" applyBorder="1" applyAlignment="1">
      <alignment horizontal="center" wrapText="1"/>
    </xf>
    <xf numFmtId="2" fontId="9" fillId="0" borderId="1" xfId="0" applyNumberFormat="1" applyFont="1" applyBorder="1" applyAlignment="1">
      <alignment horizontal="center" wrapText="1"/>
    </xf>
    <xf numFmtId="0" fontId="10" fillId="0" borderId="1" xfId="0" applyFont="1" applyBorder="1" applyAlignment="1">
      <alignment horizontal="center" wrapText="1"/>
    </xf>
    <xf numFmtId="0" fontId="1" fillId="0" borderId="1" xfId="0" applyFont="1" applyBorder="1" applyAlignment="1">
      <alignment horizontal="center"/>
    </xf>
    <xf numFmtId="0" fontId="11" fillId="0" borderId="0" xfId="0" applyFont="1" applyAlignment="1">
      <alignment horizontal="center"/>
    </xf>
    <xf numFmtId="0" fontId="25" fillId="0" borderId="4" xfId="0" applyFont="1" applyBorder="1" applyAlignment="1">
      <alignment horizontal="right"/>
    </xf>
    <xf numFmtId="0" fontId="25" fillId="0" borderId="6" xfId="0" applyFont="1" applyBorder="1" applyAlignment="1">
      <alignment horizontal="right"/>
    </xf>
    <xf numFmtId="0" fontId="25" fillId="0" borderId="5" xfId="0" applyFont="1" applyBorder="1" applyAlignment="1">
      <alignment horizontal="right"/>
    </xf>
    <xf numFmtId="2" fontId="12" fillId="0" borderId="4" xfId="0" applyNumberFormat="1" applyFont="1" applyBorder="1" applyAlignment="1">
      <alignment horizontal="center"/>
    </xf>
    <xf numFmtId="2" fontId="12" fillId="0" borderId="5" xfId="0" applyNumberFormat="1" applyFont="1" applyBorder="1" applyAlignment="1">
      <alignment horizontal="center"/>
    </xf>
    <xf numFmtId="0" fontId="10" fillId="0" borderId="1" xfId="0" applyFont="1" applyBorder="1" applyAlignment="1">
      <alignment horizontal="left" wrapText="1"/>
    </xf>
    <xf numFmtId="2" fontId="12" fillId="0" borderId="1" xfId="0" applyNumberFormat="1" applyFont="1" applyBorder="1" applyAlignment="1">
      <alignment horizontal="center"/>
    </xf>
    <xf numFmtId="0" fontId="12" fillId="0" borderId="1" xfId="0" applyFont="1" applyBorder="1" applyAlignment="1">
      <alignment horizontal="center"/>
    </xf>
    <xf numFmtId="0" fontId="11" fillId="0" borderId="0" xfId="0" applyFont="1" applyAlignment="1">
      <alignment horizont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4" fontId="3" fillId="0" borderId="1" xfId="0" applyNumberFormat="1" applyFont="1" applyBorder="1" applyAlignment="1">
      <alignment horizontal="center" vertical="center"/>
    </xf>
    <xf numFmtId="4" fontId="12" fillId="0" borderId="4" xfId="0" applyNumberFormat="1" applyFont="1" applyBorder="1" applyAlignment="1">
      <alignment horizontal="center" vertical="center" wrapText="1"/>
    </xf>
    <xf numFmtId="4" fontId="12" fillId="0" borderId="5" xfId="0" applyNumberFormat="1" applyFont="1" applyBorder="1" applyAlignment="1">
      <alignment horizontal="center" vertical="center" wrapText="1"/>
    </xf>
    <xf numFmtId="0" fontId="27" fillId="0" borderId="1" xfId="0" applyFont="1" applyBorder="1" applyAlignment="1">
      <alignment horizontal="center" wrapText="1"/>
    </xf>
    <xf numFmtId="4"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wrapText="1"/>
    </xf>
    <xf numFmtId="4" fontId="10" fillId="0" borderId="1" xfId="0" applyNumberFormat="1" applyFont="1" applyBorder="1"/>
    <xf numFmtId="4" fontId="1" fillId="0" borderId="1" xfId="0" applyNumberFormat="1" applyFont="1" applyBorder="1" applyAlignment="1">
      <alignment horizontal="right" wrapText="1"/>
    </xf>
    <xf numFmtId="4" fontId="1" fillId="0" borderId="1" xfId="0" applyNumberFormat="1" applyFont="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A33" zoomScale="80" zoomScaleNormal="80" workbookViewId="0">
      <selection activeCell="E51" sqref="E51"/>
    </sheetView>
  </sheetViews>
  <sheetFormatPr defaultRowHeight="15" x14ac:dyDescent="0.25"/>
  <cols>
    <col min="1" max="1" width="3.85546875" customWidth="1"/>
    <col min="2" max="2" width="30.140625" customWidth="1"/>
    <col min="3" max="3" width="12.7109375" customWidth="1"/>
    <col min="4" max="4" width="13" customWidth="1"/>
    <col min="5" max="5" width="13.7109375" customWidth="1"/>
    <col min="6" max="6" width="9" customWidth="1"/>
    <col min="7" max="7" width="10.42578125" customWidth="1"/>
    <col min="8" max="8" width="11.42578125" customWidth="1"/>
    <col min="9" max="9" width="10.140625" customWidth="1"/>
    <col min="10" max="10" width="13" customWidth="1"/>
    <col min="11" max="11" width="15.42578125" customWidth="1"/>
    <col min="12" max="12" width="15.85546875" customWidth="1"/>
    <col min="13" max="13" width="14.5703125" customWidth="1"/>
    <col min="14" max="14" width="16" customWidth="1"/>
    <col min="15" max="16" width="13.5703125" customWidth="1"/>
    <col min="17" max="17" width="8.5703125" customWidth="1"/>
    <col min="18" max="18" width="11.28515625" customWidth="1"/>
    <col min="19" max="19" width="9.42578125" customWidth="1"/>
    <col min="20" max="20" width="13.5703125" customWidth="1"/>
  </cols>
  <sheetData>
    <row r="1" spans="1:20" ht="15.75" x14ac:dyDescent="0.25">
      <c r="O1" s="103"/>
      <c r="P1" s="103"/>
      <c r="R1" s="174" t="s">
        <v>61</v>
      </c>
      <c r="S1" s="174"/>
    </row>
    <row r="2" spans="1:20" ht="15.75" x14ac:dyDescent="0.25">
      <c r="P2" s="178" t="s">
        <v>163</v>
      </c>
      <c r="Q2" s="178"/>
      <c r="R2" s="178"/>
      <c r="S2" s="178"/>
    </row>
    <row r="3" spans="1:20" ht="34.5" customHeight="1" x14ac:dyDescent="0.25">
      <c r="N3" s="179" t="s">
        <v>169</v>
      </c>
      <c r="O3" s="179"/>
      <c r="P3" s="179"/>
      <c r="Q3" s="179"/>
      <c r="R3" s="179"/>
      <c r="S3" s="179"/>
    </row>
    <row r="4" spans="1:20" ht="18.75" x14ac:dyDescent="0.3">
      <c r="F4" s="177" t="s">
        <v>155</v>
      </c>
      <c r="G4" s="177"/>
      <c r="H4" s="177"/>
    </row>
    <row r="5" spans="1:20" ht="18.75" x14ac:dyDescent="0.3">
      <c r="A5" s="176" t="s">
        <v>143</v>
      </c>
      <c r="B5" s="176"/>
      <c r="C5" s="176"/>
      <c r="D5" s="176"/>
      <c r="E5" s="176"/>
      <c r="F5" s="176"/>
      <c r="G5" s="176"/>
      <c r="H5" s="176"/>
      <c r="I5" s="176"/>
      <c r="J5" s="176"/>
      <c r="K5" s="176"/>
      <c r="L5" s="176"/>
      <c r="M5" s="176"/>
      <c r="N5" s="176"/>
      <c r="O5" s="176"/>
      <c r="P5" s="1"/>
    </row>
    <row r="6" spans="1:20" ht="15.75" x14ac:dyDescent="0.25">
      <c r="A6" s="1"/>
      <c r="B6" s="1"/>
      <c r="C6" s="1"/>
      <c r="D6" s="1"/>
      <c r="E6" s="1"/>
      <c r="F6" s="1"/>
      <c r="G6" s="1"/>
      <c r="H6" s="1"/>
      <c r="I6" s="1"/>
      <c r="J6" s="16"/>
      <c r="K6" s="16"/>
      <c r="L6" s="1"/>
      <c r="M6" s="1"/>
      <c r="N6" s="1"/>
      <c r="O6" s="14"/>
      <c r="P6" s="14"/>
    </row>
    <row r="7" spans="1:20" ht="15.75" customHeight="1" x14ac:dyDescent="0.25">
      <c r="A7" s="191" t="s">
        <v>32</v>
      </c>
      <c r="B7" s="191" t="s">
        <v>2</v>
      </c>
      <c r="C7" s="175" t="s">
        <v>41</v>
      </c>
      <c r="D7" s="180" t="s">
        <v>42</v>
      </c>
      <c r="E7" s="181"/>
      <c r="F7" s="181"/>
      <c r="G7" s="181"/>
      <c r="H7" s="181"/>
      <c r="I7" s="181"/>
      <c r="J7" s="181"/>
      <c r="K7" s="181"/>
      <c r="L7" s="181"/>
      <c r="M7" s="181"/>
      <c r="N7" s="182"/>
      <c r="O7" s="175" t="s">
        <v>30</v>
      </c>
      <c r="P7" s="175" t="s">
        <v>90</v>
      </c>
      <c r="Q7" s="175" t="s">
        <v>121</v>
      </c>
      <c r="R7" s="175" t="s">
        <v>118</v>
      </c>
      <c r="S7" s="175" t="s">
        <v>119</v>
      </c>
      <c r="T7" s="183" t="s">
        <v>120</v>
      </c>
    </row>
    <row r="8" spans="1:20" ht="94.5" x14ac:dyDescent="0.25">
      <c r="A8" s="192"/>
      <c r="B8" s="192"/>
      <c r="C8" s="175"/>
      <c r="D8" s="93" t="s">
        <v>31</v>
      </c>
      <c r="E8" s="24" t="s">
        <v>165</v>
      </c>
      <c r="F8" s="93" t="s">
        <v>75</v>
      </c>
      <c r="G8" s="24" t="s">
        <v>80</v>
      </c>
      <c r="H8" s="24" t="s">
        <v>84</v>
      </c>
      <c r="I8" s="24" t="s">
        <v>81</v>
      </c>
      <c r="J8" s="24" t="s">
        <v>166</v>
      </c>
      <c r="K8" s="17" t="s">
        <v>83</v>
      </c>
      <c r="L8" s="17" t="s">
        <v>82</v>
      </c>
      <c r="M8" s="24" t="s">
        <v>76</v>
      </c>
      <c r="N8" s="24" t="s">
        <v>77</v>
      </c>
      <c r="O8" s="175"/>
      <c r="P8" s="175"/>
      <c r="Q8" s="175"/>
      <c r="R8" s="175"/>
      <c r="S8" s="175"/>
      <c r="T8" s="183"/>
    </row>
    <row r="9" spans="1:20" ht="32.25" customHeight="1" x14ac:dyDescent="0.25">
      <c r="A9" s="96">
        <v>1</v>
      </c>
      <c r="B9" s="96">
        <v>2</v>
      </c>
      <c r="C9" s="93">
        <v>3</v>
      </c>
      <c r="D9" s="93">
        <v>4</v>
      </c>
      <c r="E9" s="93">
        <v>5</v>
      </c>
      <c r="F9" s="93" t="s">
        <v>79</v>
      </c>
      <c r="G9" s="93">
        <v>7</v>
      </c>
      <c r="H9" s="93">
        <v>8</v>
      </c>
      <c r="I9" s="93">
        <v>9</v>
      </c>
      <c r="J9" s="24">
        <v>10</v>
      </c>
      <c r="K9" s="24" t="s">
        <v>85</v>
      </c>
      <c r="L9" s="17" t="s">
        <v>86</v>
      </c>
      <c r="M9" s="17">
        <v>13</v>
      </c>
      <c r="N9" s="17">
        <v>14</v>
      </c>
      <c r="O9" s="17" t="s">
        <v>87</v>
      </c>
      <c r="P9" s="17">
        <v>16</v>
      </c>
      <c r="Q9" s="96">
        <v>17</v>
      </c>
      <c r="R9" s="96" t="s">
        <v>123</v>
      </c>
      <c r="S9" s="96" t="s">
        <v>122</v>
      </c>
      <c r="T9" s="96" t="s">
        <v>124</v>
      </c>
    </row>
    <row r="10" spans="1:20" ht="36" customHeight="1" x14ac:dyDescent="0.25">
      <c r="A10" s="20">
        <v>1</v>
      </c>
      <c r="B10" s="21" t="s">
        <v>117</v>
      </c>
      <c r="C10" s="15">
        <v>0</v>
      </c>
      <c r="D10" s="15">
        <v>95</v>
      </c>
      <c r="E10" s="28">
        <f>LMpielik_5_LMZino!H9</f>
        <v>49</v>
      </c>
      <c r="F10" s="28">
        <f>E10*12</f>
        <v>588</v>
      </c>
      <c r="G10" s="28">
        <v>600</v>
      </c>
      <c r="H10" s="28"/>
      <c r="I10" s="28">
        <v>600</v>
      </c>
      <c r="J10" s="6">
        <f>LMpielik_6_LMZino!E10</f>
        <v>560</v>
      </c>
      <c r="K10" s="6">
        <f>H10*J10</f>
        <v>0</v>
      </c>
      <c r="L10" s="6">
        <f>G10*J10</f>
        <v>336000</v>
      </c>
      <c r="M10" s="184"/>
      <c r="N10" s="184"/>
      <c r="O10" s="76">
        <f>D10+F10-I10</f>
        <v>83</v>
      </c>
      <c r="P10" s="76">
        <f>C10+G10+H10-I10</f>
        <v>0</v>
      </c>
      <c r="Q10" s="108">
        <v>12</v>
      </c>
      <c r="R10" s="109">
        <f>J10/1.12</f>
        <v>499.99999999999994</v>
      </c>
      <c r="S10" s="110">
        <f>J10-R10</f>
        <v>60.000000000000057</v>
      </c>
      <c r="T10" s="45">
        <f>S10*G10</f>
        <v>36000.000000000036</v>
      </c>
    </row>
    <row r="11" spans="1:20" ht="15.75" x14ac:dyDescent="0.25">
      <c r="A11" s="189" t="s">
        <v>5</v>
      </c>
      <c r="B11" s="190"/>
      <c r="C11" s="15"/>
      <c r="D11" s="15"/>
      <c r="E11" s="28"/>
      <c r="F11" s="29"/>
      <c r="G11" s="29"/>
      <c r="H11" s="29"/>
      <c r="I11" s="29"/>
      <c r="J11" s="10"/>
      <c r="K11" s="10"/>
      <c r="L11" s="66"/>
      <c r="M11" s="185"/>
      <c r="N11" s="185"/>
      <c r="O11" s="20"/>
      <c r="P11" s="76">
        <f t="shared" ref="P11:P39" si="0">C11+G11+H11-I11</f>
        <v>0</v>
      </c>
      <c r="Q11" s="4"/>
      <c r="R11" s="4"/>
      <c r="S11" s="4"/>
      <c r="T11" s="96"/>
    </row>
    <row r="12" spans="1:20" ht="38.25" customHeight="1" x14ac:dyDescent="0.25">
      <c r="A12" s="193" t="s">
        <v>3</v>
      </c>
      <c r="B12" s="194"/>
      <c r="C12" s="30">
        <f t="shared" ref="C12:E12" si="1">SUM(C13:C17)</f>
        <v>45</v>
      </c>
      <c r="D12" s="30">
        <f t="shared" si="1"/>
        <v>477</v>
      </c>
      <c r="E12" s="30">
        <f t="shared" si="1"/>
        <v>154</v>
      </c>
      <c r="F12" s="30">
        <f t="shared" ref="F12:L12" si="2">SUM(F13:F17)</f>
        <v>1848</v>
      </c>
      <c r="G12" s="30">
        <f t="shared" si="2"/>
        <v>2145</v>
      </c>
      <c r="H12" s="30">
        <f t="shared" si="2"/>
        <v>0</v>
      </c>
      <c r="I12" s="30">
        <f t="shared" si="2"/>
        <v>2190</v>
      </c>
      <c r="J12" s="74" t="s">
        <v>28</v>
      </c>
      <c r="K12" s="19">
        <f t="shared" si="2"/>
        <v>0</v>
      </c>
      <c r="L12" s="19">
        <f t="shared" si="2"/>
        <v>124611.75</v>
      </c>
      <c r="M12" s="185"/>
      <c r="N12" s="185"/>
      <c r="O12" s="99">
        <f t="shared" ref="O12" si="3">SUM(O13:O17)</f>
        <v>135</v>
      </c>
      <c r="P12" s="100">
        <f t="shared" si="0"/>
        <v>0</v>
      </c>
      <c r="Q12" s="106"/>
      <c r="R12" s="106"/>
      <c r="S12" s="106"/>
      <c r="T12" s="101">
        <f t="shared" ref="T12" si="4">SUM(T13:T17)</f>
        <v>15718.251623376627</v>
      </c>
    </row>
    <row r="13" spans="1:20" ht="31.5" x14ac:dyDescent="0.25">
      <c r="A13" s="2">
        <v>1</v>
      </c>
      <c r="B13" s="2" t="s">
        <v>10</v>
      </c>
      <c r="C13" s="5">
        <v>24</v>
      </c>
      <c r="D13" s="5">
        <v>0</v>
      </c>
      <c r="E13" s="31">
        <f>LMpielik_5_LMZino!H11</f>
        <v>27</v>
      </c>
      <c r="F13" s="31">
        <f t="shared" ref="F13:F39" si="5">E13*12</f>
        <v>324</v>
      </c>
      <c r="G13" s="31">
        <v>300</v>
      </c>
      <c r="H13" s="31"/>
      <c r="I13" s="31">
        <v>324</v>
      </c>
      <c r="J13" s="10">
        <f>LMpielik_6_LMZino!E12</f>
        <v>104.06</v>
      </c>
      <c r="K13" s="10">
        <f>H13*J13</f>
        <v>0</v>
      </c>
      <c r="L13" s="10">
        <f>G13*J13</f>
        <v>31218</v>
      </c>
      <c r="M13" s="185"/>
      <c r="N13" s="185"/>
      <c r="O13" s="77">
        <f>D13+F13-I13</f>
        <v>0</v>
      </c>
      <c r="P13" s="76">
        <f t="shared" si="0"/>
        <v>0</v>
      </c>
      <c r="Q13" s="4">
        <v>12</v>
      </c>
      <c r="R13" s="104">
        <f>J13/1.12</f>
        <v>92.910714285714278</v>
      </c>
      <c r="S13" s="105">
        <f>J13-R13</f>
        <v>11.149285714285725</v>
      </c>
      <c r="T13" s="11">
        <f>S13*G13</f>
        <v>3344.7857142857174</v>
      </c>
    </row>
    <row r="14" spans="1:20" ht="15.75" x14ac:dyDescent="0.25">
      <c r="A14" s="22">
        <v>2</v>
      </c>
      <c r="B14" s="22" t="s">
        <v>15</v>
      </c>
      <c r="C14" s="5">
        <v>0</v>
      </c>
      <c r="D14" s="5">
        <v>148</v>
      </c>
      <c r="E14" s="31">
        <f>LMpielik_5_LMZino!H13</f>
        <v>25</v>
      </c>
      <c r="F14" s="67">
        <f t="shared" si="5"/>
        <v>300</v>
      </c>
      <c r="G14" s="31">
        <v>324</v>
      </c>
      <c r="H14" s="67"/>
      <c r="I14" s="82">
        <v>324</v>
      </c>
      <c r="J14" s="10">
        <f>LMpielik_6_LMZino!E14</f>
        <v>110</v>
      </c>
      <c r="K14" s="10">
        <f t="shared" ref="K14:K39" si="6">H14*J14</f>
        <v>0</v>
      </c>
      <c r="L14" s="10">
        <f t="shared" ref="L14:L39" si="7">G14*J14</f>
        <v>35640</v>
      </c>
      <c r="M14" s="185"/>
      <c r="N14" s="185"/>
      <c r="O14" s="77">
        <f t="shared" ref="O14:O39" si="8">D14+F14-I14</f>
        <v>124</v>
      </c>
      <c r="P14" s="76">
        <f t="shared" si="0"/>
        <v>0</v>
      </c>
      <c r="Q14" s="4">
        <v>12</v>
      </c>
      <c r="R14" s="104">
        <f t="shared" ref="R14:R15" si="9">J14/1.12</f>
        <v>98.214285714285708</v>
      </c>
      <c r="S14" s="105">
        <f t="shared" ref="S14:S39" si="10">J14-R14</f>
        <v>11.785714285714292</v>
      </c>
      <c r="T14" s="11">
        <f t="shared" ref="T14:T17" si="11">S14*G14</f>
        <v>3818.5714285714307</v>
      </c>
    </row>
    <row r="15" spans="1:20" ht="63" x14ac:dyDescent="0.25">
      <c r="A15" s="2">
        <v>3</v>
      </c>
      <c r="B15" s="2" t="s">
        <v>27</v>
      </c>
      <c r="C15" s="5">
        <v>21</v>
      </c>
      <c r="D15" s="5">
        <v>0</v>
      </c>
      <c r="E15" s="31">
        <f>LMpielik_5_LMZino!H15</f>
        <v>61</v>
      </c>
      <c r="F15" s="31">
        <f t="shared" si="5"/>
        <v>732</v>
      </c>
      <c r="G15" s="31">
        <v>711</v>
      </c>
      <c r="H15" s="31"/>
      <c r="I15" s="31">
        <f>F15</f>
        <v>732</v>
      </c>
      <c r="J15" s="10">
        <f>LMpielik_6_LMZino!E15</f>
        <v>31.1</v>
      </c>
      <c r="K15" s="10">
        <f t="shared" si="6"/>
        <v>0</v>
      </c>
      <c r="L15" s="10">
        <f t="shared" si="7"/>
        <v>22112.100000000002</v>
      </c>
      <c r="M15" s="185"/>
      <c r="N15" s="185"/>
      <c r="O15" s="77">
        <f t="shared" si="8"/>
        <v>0</v>
      </c>
      <c r="P15" s="76">
        <f t="shared" si="0"/>
        <v>0</v>
      </c>
      <c r="Q15" s="4">
        <v>12</v>
      </c>
      <c r="R15" s="104">
        <f t="shared" si="9"/>
        <v>27.767857142857142</v>
      </c>
      <c r="S15" s="105">
        <f t="shared" si="10"/>
        <v>3.3321428571428591</v>
      </c>
      <c r="T15" s="11">
        <f t="shared" si="11"/>
        <v>2369.1535714285728</v>
      </c>
    </row>
    <row r="16" spans="1:20" ht="31.5" x14ac:dyDescent="0.25">
      <c r="A16" s="2">
        <v>4</v>
      </c>
      <c r="B16" s="2" t="s">
        <v>43</v>
      </c>
      <c r="C16" s="5">
        <v>0</v>
      </c>
      <c r="D16" s="5">
        <v>209</v>
      </c>
      <c r="E16" s="31">
        <f>LMpielik_5_LMZino!H17</f>
        <v>29</v>
      </c>
      <c r="F16" s="31">
        <f t="shared" si="5"/>
        <v>348</v>
      </c>
      <c r="G16" s="31">
        <v>557</v>
      </c>
      <c r="H16" s="31">
        <v>0</v>
      </c>
      <c r="I16" s="31">
        <f>G16+H16</f>
        <v>557</v>
      </c>
      <c r="J16" s="10">
        <f>LMpielik_6_LMZino!E17</f>
        <v>54.45</v>
      </c>
      <c r="K16" s="10">
        <f t="shared" si="6"/>
        <v>0</v>
      </c>
      <c r="L16" s="10">
        <f t="shared" si="7"/>
        <v>30328.65</v>
      </c>
      <c r="M16" s="185"/>
      <c r="N16" s="185"/>
      <c r="O16" s="77">
        <f>D16+F16-I16</f>
        <v>0</v>
      </c>
      <c r="P16" s="76">
        <f t="shared" si="0"/>
        <v>0</v>
      </c>
      <c r="Q16" s="4">
        <v>21</v>
      </c>
      <c r="R16" s="104">
        <f>J16/1.21</f>
        <v>45.000000000000007</v>
      </c>
      <c r="S16" s="105">
        <f t="shared" si="10"/>
        <v>9.4499999999999957</v>
      </c>
      <c r="T16" s="11">
        <f t="shared" si="11"/>
        <v>5263.6499999999978</v>
      </c>
    </row>
    <row r="17" spans="1:20" ht="15.75" x14ac:dyDescent="0.25">
      <c r="A17" s="22">
        <v>5</v>
      </c>
      <c r="B17" s="22" t="s">
        <v>16</v>
      </c>
      <c r="C17" s="5">
        <v>0</v>
      </c>
      <c r="D17" s="5">
        <v>120</v>
      </c>
      <c r="E17" s="31">
        <f>LMpielik_5_LMZino!H19</f>
        <v>12</v>
      </c>
      <c r="F17" s="67">
        <f t="shared" si="5"/>
        <v>144</v>
      </c>
      <c r="G17" s="31">
        <v>253</v>
      </c>
      <c r="H17" s="67">
        <v>0</v>
      </c>
      <c r="I17" s="31">
        <v>253</v>
      </c>
      <c r="J17" s="10">
        <f>LMpielik_6_LMZino!E19</f>
        <v>21</v>
      </c>
      <c r="K17" s="10">
        <f t="shared" si="6"/>
        <v>0</v>
      </c>
      <c r="L17" s="10">
        <f t="shared" si="7"/>
        <v>5313</v>
      </c>
      <c r="M17" s="185"/>
      <c r="N17" s="185"/>
      <c r="O17" s="77">
        <f t="shared" si="8"/>
        <v>11</v>
      </c>
      <c r="P17" s="76">
        <f t="shared" si="0"/>
        <v>0</v>
      </c>
      <c r="Q17" s="4">
        <v>21</v>
      </c>
      <c r="R17" s="104">
        <f>J17/1.21</f>
        <v>17.355371900826448</v>
      </c>
      <c r="S17" s="105">
        <f t="shared" si="10"/>
        <v>3.644628099173552</v>
      </c>
      <c r="T17" s="11">
        <f t="shared" si="11"/>
        <v>922.09090909090867</v>
      </c>
    </row>
    <row r="18" spans="1:20" ht="24.75" customHeight="1" x14ac:dyDescent="0.25">
      <c r="A18" s="187" t="s">
        <v>4</v>
      </c>
      <c r="B18" s="188"/>
      <c r="C18" s="32">
        <f t="shared" ref="C18:E18" si="12">SUM(C19:C27)</f>
        <v>25</v>
      </c>
      <c r="D18" s="32">
        <f t="shared" si="12"/>
        <v>1265</v>
      </c>
      <c r="E18" s="32">
        <f t="shared" si="12"/>
        <v>165</v>
      </c>
      <c r="F18" s="32">
        <f t="shared" ref="F18:L18" si="13">SUM(F19:F27)</f>
        <v>1980</v>
      </c>
      <c r="G18" s="32">
        <f t="shared" si="13"/>
        <v>2388</v>
      </c>
      <c r="H18" s="32">
        <f t="shared" si="13"/>
        <v>672</v>
      </c>
      <c r="I18" s="32">
        <f t="shared" si="13"/>
        <v>3085</v>
      </c>
      <c r="J18" s="75" t="s">
        <v>28</v>
      </c>
      <c r="K18" s="18">
        <f t="shared" si="13"/>
        <v>10868.4</v>
      </c>
      <c r="L18" s="18">
        <f t="shared" si="13"/>
        <v>483764.05</v>
      </c>
      <c r="M18" s="185"/>
      <c r="N18" s="185"/>
      <c r="O18" s="100">
        <f t="shared" ref="O18" si="14">SUM(O19:O27)</f>
        <v>160</v>
      </c>
      <c r="P18" s="100">
        <f t="shared" si="0"/>
        <v>0</v>
      </c>
      <c r="Q18" s="106"/>
      <c r="R18" s="107"/>
      <c r="S18" s="106"/>
      <c r="T18" s="102">
        <f t="shared" ref="T18" si="15">SUM(T19:T27)</f>
        <v>83324.162160566731</v>
      </c>
    </row>
    <row r="19" spans="1:20" ht="31.5" x14ac:dyDescent="0.25">
      <c r="A19" s="2">
        <v>1</v>
      </c>
      <c r="B19" s="2" t="s">
        <v>17</v>
      </c>
      <c r="C19" s="5">
        <v>0</v>
      </c>
      <c r="D19" s="5">
        <v>0</v>
      </c>
      <c r="E19" s="31">
        <f>LMpielik_5_LMZino!H21</f>
        <v>11</v>
      </c>
      <c r="F19" s="33">
        <f t="shared" si="5"/>
        <v>132</v>
      </c>
      <c r="G19" s="31">
        <f>D19+F19</f>
        <v>132</v>
      </c>
      <c r="H19" s="33"/>
      <c r="I19" s="33">
        <f>G19</f>
        <v>132</v>
      </c>
      <c r="J19" s="10">
        <f>LMpielik_6_LMZino!E20</f>
        <v>30</v>
      </c>
      <c r="K19" s="10">
        <f t="shared" si="6"/>
        <v>0</v>
      </c>
      <c r="L19" s="10">
        <f t="shared" si="7"/>
        <v>3960</v>
      </c>
      <c r="M19" s="185"/>
      <c r="N19" s="185"/>
      <c r="O19" s="77">
        <f t="shared" si="8"/>
        <v>0</v>
      </c>
      <c r="P19" s="76">
        <f t="shared" si="0"/>
        <v>0</v>
      </c>
      <c r="Q19" s="4">
        <v>12</v>
      </c>
      <c r="R19" s="104">
        <f>J19/1.12</f>
        <v>26.785714285714285</v>
      </c>
      <c r="S19" s="105">
        <f t="shared" si="10"/>
        <v>3.2142857142857153</v>
      </c>
      <c r="T19" s="11">
        <f>S19*G19</f>
        <v>424.28571428571445</v>
      </c>
    </row>
    <row r="20" spans="1:20" ht="15.75" x14ac:dyDescent="0.25">
      <c r="A20" s="2">
        <v>1</v>
      </c>
      <c r="B20" s="2" t="s">
        <v>18</v>
      </c>
      <c r="C20" s="5">
        <v>0</v>
      </c>
      <c r="D20" s="5">
        <v>4</v>
      </c>
      <c r="E20" s="31">
        <f>LMpielik_5_LMZino!H23</f>
        <v>9</v>
      </c>
      <c r="F20" s="33">
        <f t="shared" si="5"/>
        <v>108</v>
      </c>
      <c r="G20" s="31">
        <f t="shared" ref="G20:G25" si="16">D20+F20</f>
        <v>112</v>
      </c>
      <c r="H20" s="33"/>
      <c r="I20" s="33">
        <f t="shared" ref="I20:I25" si="17">G20</f>
        <v>112</v>
      </c>
      <c r="J20" s="10">
        <f>LMpielik_6_LMZino!E22</f>
        <v>50</v>
      </c>
      <c r="K20" s="10">
        <f t="shared" si="6"/>
        <v>0</v>
      </c>
      <c r="L20" s="10">
        <f t="shared" si="7"/>
        <v>5600</v>
      </c>
      <c r="M20" s="185"/>
      <c r="N20" s="185"/>
      <c r="O20" s="77">
        <f t="shared" si="8"/>
        <v>0</v>
      </c>
      <c r="P20" s="76">
        <f t="shared" si="0"/>
        <v>0</v>
      </c>
      <c r="Q20" s="4">
        <v>12</v>
      </c>
      <c r="R20" s="104">
        <f>J20/1.12</f>
        <v>44.642857142857139</v>
      </c>
      <c r="S20" s="105">
        <f t="shared" si="10"/>
        <v>5.3571428571428612</v>
      </c>
      <c r="T20" s="11">
        <f t="shared" ref="T20:T27" si="18">S20*G20</f>
        <v>600.00000000000045</v>
      </c>
    </row>
    <row r="21" spans="1:20" ht="15.75" x14ac:dyDescent="0.25">
      <c r="A21" s="2">
        <v>2</v>
      </c>
      <c r="B21" s="2" t="s">
        <v>0</v>
      </c>
      <c r="C21" s="5">
        <v>0</v>
      </c>
      <c r="D21" s="5">
        <v>208</v>
      </c>
      <c r="E21" s="31">
        <f>LMpielik_5_LMZino!H25</f>
        <v>41</v>
      </c>
      <c r="F21" s="33">
        <f t="shared" si="5"/>
        <v>492</v>
      </c>
      <c r="G21" s="31">
        <f t="shared" si="16"/>
        <v>700</v>
      </c>
      <c r="H21" s="33"/>
      <c r="I21" s="33">
        <f t="shared" si="17"/>
        <v>700</v>
      </c>
      <c r="J21" s="10">
        <f>LMpielik_6_LMZino!E24</f>
        <v>94.8</v>
      </c>
      <c r="K21" s="10">
        <f t="shared" si="6"/>
        <v>0</v>
      </c>
      <c r="L21" s="10">
        <f t="shared" si="7"/>
        <v>66360</v>
      </c>
      <c r="M21" s="185"/>
      <c r="N21" s="185"/>
      <c r="O21" s="77">
        <f t="shared" si="8"/>
        <v>0</v>
      </c>
      <c r="P21" s="76">
        <f t="shared" si="0"/>
        <v>0</v>
      </c>
      <c r="Q21" s="4">
        <v>21</v>
      </c>
      <c r="R21" s="104">
        <f>J21/1.21</f>
        <v>78.347107438016522</v>
      </c>
      <c r="S21" s="105">
        <f t="shared" si="10"/>
        <v>16.452892561983475</v>
      </c>
      <c r="T21" s="11">
        <f t="shared" si="18"/>
        <v>11517.024793388433</v>
      </c>
    </row>
    <row r="22" spans="1:20" ht="15.75" x14ac:dyDescent="0.25">
      <c r="A22" s="2">
        <v>3</v>
      </c>
      <c r="B22" s="2" t="s">
        <v>7</v>
      </c>
      <c r="C22" s="5">
        <v>0</v>
      </c>
      <c r="D22" s="5">
        <v>550</v>
      </c>
      <c r="E22" s="31">
        <f>LMpielik_5_LMZino!H27</f>
        <v>45</v>
      </c>
      <c r="F22" s="33">
        <f t="shared" si="5"/>
        <v>540</v>
      </c>
      <c r="G22" s="31">
        <f t="shared" si="16"/>
        <v>1090</v>
      </c>
      <c r="H22" s="33"/>
      <c r="I22" s="33">
        <f t="shared" si="17"/>
        <v>1090</v>
      </c>
      <c r="J22" s="10">
        <f>LMpielik_6_LMZino!E26</f>
        <v>334.2</v>
      </c>
      <c r="K22" s="10">
        <f>H22*J22</f>
        <v>0</v>
      </c>
      <c r="L22" s="10">
        <f t="shared" si="7"/>
        <v>364278</v>
      </c>
      <c r="M22" s="185"/>
      <c r="N22" s="185"/>
      <c r="O22" s="77">
        <f t="shared" si="8"/>
        <v>0</v>
      </c>
      <c r="P22" s="76">
        <f>C22+G22+H22-I22</f>
        <v>0</v>
      </c>
      <c r="Q22" s="4">
        <v>21</v>
      </c>
      <c r="R22" s="104">
        <f t="shared" ref="R22:R27" si="19">J22/1.21</f>
        <v>276.198347107438</v>
      </c>
      <c r="S22" s="105">
        <f t="shared" si="10"/>
        <v>58.001652892561992</v>
      </c>
      <c r="T22" s="11">
        <f t="shared" si="18"/>
        <v>63221.801652892573</v>
      </c>
    </row>
    <row r="23" spans="1:20" ht="66" customHeight="1" x14ac:dyDescent="0.25">
      <c r="A23" s="8">
        <v>4</v>
      </c>
      <c r="B23" s="7" t="s">
        <v>8</v>
      </c>
      <c r="C23" s="5">
        <v>0</v>
      </c>
      <c r="D23" s="5">
        <v>23</v>
      </c>
      <c r="E23" s="31">
        <f>LMpielik_5_LMZino!H29</f>
        <v>2</v>
      </c>
      <c r="F23" s="33">
        <f t="shared" si="5"/>
        <v>24</v>
      </c>
      <c r="G23" s="31">
        <f t="shared" si="16"/>
        <v>47</v>
      </c>
      <c r="H23" s="33"/>
      <c r="I23" s="33">
        <f t="shared" si="17"/>
        <v>47</v>
      </c>
      <c r="J23" s="10">
        <f>LMpielik_6_LMZino!E28</f>
        <v>170</v>
      </c>
      <c r="K23" s="10">
        <f>H23*J23</f>
        <v>0</v>
      </c>
      <c r="L23" s="10">
        <f t="shared" si="7"/>
        <v>7990</v>
      </c>
      <c r="M23" s="185"/>
      <c r="N23" s="185"/>
      <c r="O23" s="77">
        <f t="shared" si="8"/>
        <v>0</v>
      </c>
      <c r="P23" s="76">
        <f>C23+G23+H23-I23</f>
        <v>0</v>
      </c>
      <c r="Q23" s="4">
        <v>21</v>
      </c>
      <c r="R23" s="104">
        <f t="shared" si="19"/>
        <v>140.49586776859505</v>
      </c>
      <c r="S23" s="105">
        <f t="shared" si="10"/>
        <v>29.504132231404952</v>
      </c>
      <c r="T23" s="11">
        <f t="shared" si="18"/>
        <v>1386.6942148760327</v>
      </c>
    </row>
    <row r="24" spans="1:20" ht="31.5" x14ac:dyDescent="0.25">
      <c r="A24" s="22">
        <v>5</v>
      </c>
      <c r="B24" s="23" t="s">
        <v>19</v>
      </c>
      <c r="C24" s="5">
        <v>0</v>
      </c>
      <c r="D24" s="5">
        <v>174</v>
      </c>
      <c r="E24" s="31">
        <f>LMpielik_5_LMZino!H31</f>
        <v>18</v>
      </c>
      <c r="F24" s="67">
        <f t="shared" si="5"/>
        <v>216</v>
      </c>
      <c r="G24" s="67"/>
      <c r="H24" s="67">
        <v>312</v>
      </c>
      <c r="I24" s="83">
        <v>312</v>
      </c>
      <c r="J24" s="10">
        <f>LMpielik_6_LMZino!E30</f>
        <v>24.45</v>
      </c>
      <c r="K24" s="10">
        <f t="shared" si="6"/>
        <v>7628.4</v>
      </c>
      <c r="L24" s="10">
        <f t="shared" si="7"/>
        <v>0</v>
      </c>
      <c r="M24" s="185"/>
      <c r="N24" s="185"/>
      <c r="O24" s="77">
        <f t="shared" si="8"/>
        <v>78</v>
      </c>
      <c r="P24" s="76">
        <f t="shared" si="0"/>
        <v>0</v>
      </c>
      <c r="Q24" s="4">
        <v>21</v>
      </c>
      <c r="R24" s="104">
        <f t="shared" si="19"/>
        <v>20.206611570247933</v>
      </c>
      <c r="S24" s="105">
        <f t="shared" si="10"/>
        <v>4.2433884297520663</v>
      </c>
      <c r="T24" s="11">
        <f t="shared" si="18"/>
        <v>0</v>
      </c>
    </row>
    <row r="25" spans="1:20" ht="15.75" x14ac:dyDescent="0.25">
      <c r="A25" s="2">
        <v>6</v>
      </c>
      <c r="B25" s="9" t="s">
        <v>9</v>
      </c>
      <c r="C25" s="5">
        <v>0</v>
      </c>
      <c r="D25" s="5">
        <v>68</v>
      </c>
      <c r="E25" s="31">
        <f>LMpielik_5_LMZino!H33</f>
        <v>8</v>
      </c>
      <c r="F25" s="31">
        <f t="shared" si="5"/>
        <v>96</v>
      </c>
      <c r="G25" s="31">
        <f t="shared" si="16"/>
        <v>164</v>
      </c>
      <c r="H25" s="31"/>
      <c r="I25" s="33">
        <f t="shared" si="17"/>
        <v>164</v>
      </c>
      <c r="J25" s="10">
        <f>LMpielik_6_LMZino!E31</f>
        <v>180</v>
      </c>
      <c r="K25" s="10">
        <f t="shared" si="6"/>
        <v>0</v>
      </c>
      <c r="L25" s="10">
        <f t="shared" si="7"/>
        <v>29520</v>
      </c>
      <c r="M25" s="185"/>
      <c r="N25" s="185"/>
      <c r="O25" s="77">
        <f t="shared" si="8"/>
        <v>0</v>
      </c>
      <c r="P25" s="76">
        <f t="shared" si="0"/>
        <v>0</v>
      </c>
      <c r="Q25" s="4">
        <v>21</v>
      </c>
      <c r="R25" s="104">
        <f t="shared" si="19"/>
        <v>148.7603305785124</v>
      </c>
      <c r="S25" s="105">
        <f t="shared" si="10"/>
        <v>31.239669421487605</v>
      </c>
      <c r="T25" s="11">
        <f t="shared" si="18"/>
        <v>5123.3057851239673</v>
      </c>
    </row>
    <row r="26" spans="1:20" ht="15.75" x14ac:dyDescent="0.25">
      <c r="A26" s="2">
        <v>7</v>
      </c>
      <c r="B26" s="9" t="s">
        <v>1</v>
      </c>
      <c r="C26" s="5">
        <v>25</v>
      </c>
      <c r="D26" s="5">
        <v>0</v>
      </c>
      <c r="E26" s="31">
        <f>LMpielik_5_LMZino!H35</f>
        <v>14</v>
      </c>
      <c r="F26" s="31">
        <f t="shared" si="5"/>
        <v>168</v>
      </c>
      <c r="G26" s="31">
        <f>D26+F26-C26</f>
        <v>143</v>
      </c>
      <c r="H26" s="31"/>
      <c r="I26" s="33">
        <f>F26</f>
        <v>168</v>
      </c>
      <c r="J26" s="10">
        <f>LMpielik_6_LMZino!E33</f>
        <v>42.35</v>
      </c>
      <c r="K26" s="10">
        <f t="shared" si="6"/>
        <v>0</v>
      </c>
      <c r="L26" s="10">
        <f t="shared" si="7"/>
        <v>6056.05</v>
      </c>
      <c r="M26" s="185"/>
      <c r="N26" s="185"/>
      <c r="O26" s="77">
        <f t="shared" si="8"/>
        <v>0</v>
      </c>
      <c r="P26" s="76">
        <f t="shared" si="0"/>
        <v>0</v>
      </c>
      <c r="Q26" s="4">
        <v>21</v>
      </c>
      <c r="R26" s="104">
        <f t="shared" si="19"/>
        <v>35</v>
      </c>
      <c r="S26" s="105">
        <f t="shared" si="10"/>
        <v>7.3500000000000014</v>
      </c>
      <c r="T26" s="11">
        <f t="shared" si="18"/>
        <v>1051.0500000000002</v>
      </c>
    </row>
    <row r="27" spans="1:20" ht="15.75" x14ac:dyDescent="0.25">
      <c r="A27" s="22">
        <v>8</v>
      </c>
      <c r="B27" s="23" t="s">
        <v>20</v>
      </c>
      <c r="C27" s="5">
        <v>0</v>
      </c>
      <c r="D27" s="5">
        <v>238</v>
      </c>
      <c r="E27" s="31">
        <f>LMpielik_5_LMZino!H37</f>
        <v>17</v>
      </c>
      <c r="F27" s="67">
        <f t="shared" si="5"/>
        <v>204</v>
      </c>
      <c r="G27" s="31"/>
      <c r="H27" s="67">
        <v>360</v>
      </c>
      <c r="I27" s="83">
        <v>360</v>
      </c>
      <c r="J27" s="10">
        <f>LMpielik_6_LMZino!E35</f>
        <v>9</v>
      </c>
      <c r="K27" s="10">
        <f t="shared" si="6"/>
        <v>3240</v>
      </c>
      <c r="L27" s="10">
        <f t="shared" si="7"/>
        <v>0</v>
      </c>
      <c r="M27" s="185"/>
      <c r="N27" s="185"/>
      <c r="O27" s="77">
        <f t="shared" si="8"/>
        <v>82</v>
      </c>
      <c r="P27" s="76">
        <f t="shared" si="0"/>
        <v>0</v>
      </c>
      <c r="Q27" s="4">
        <v>21</v>
      </c>
      <c r="R27" s="104">
        <f t="shared" si="19"/>
        <v>7.4380165289256199</v>
      </c>
      <c r="S27" s="105">
        <f t="shared" si="10"/>
        <v>1.5619834710743801</v>
      </c>
      <c r="T27" s="11">
        <f t="shared" si="18"/>
        <v>0</v>
      </c>
    </row>
    <row r="28" spans="1:20" ht="57" customHeight="1" x14ac:dyDescent="0.25">
      <c r="A28" s="187" t="s">
        <v>6</v>
      </c>
      <c r="B28" s="188"/>
      <c r="C28" s="32">
        <f t="shared" ref="C28:E28" si="20">SUM(C29:C39)</f>
        <v>144</v>
      </c>
      <c r="D28" s="32">
        <f t="shared" si="20"/>
        <v>374</v>
      </c>
      <c r="E28" s="32">
        <f t="shared" si="20"/>
        <v>58</v>
      </c>
      <c r="F28" s="32">
        <f t="shared" ref="F28:L28" si="21">SUM(F29:F39)</f>
        <v>684</v>
      </c>
      <c r="G28" s="32">
        <f t="shared" si="21"/>
        <v>619</v>
      </c>
      <c r="H28" s="32">
        <f t="shared" si="21"/>
        <v>213</v>
      </c>
      <c r="I28" s="32">
        <f t="shared" si="21"/>
        <v>950</v>
      </c>
      <c r="J28" s="75" t="s">
        <v>28</v>
      </c>
      <c r="K28" s="18">
        <f t="shared" si="21"/>
        <v>17323.23</v>
      </c>
      <c r="L28" s="18">
        <f t="shared" si="21"/>
        <v>178686.41999999998</v>
      </c>
      <c r="M28" s="185"/>
      <c r="N28" s="185"/>
      <c r="O28" s="100">
        <f t="shared" ref="O28" si="22">SUM(O29:O39)</f>
        <v>108</v>
      </c>
      <c r="P28" s="100">
        <f t="shared" si="0"/>
        <v>26</v>
      </c>
      <c r="Q28" s="106"/>
      <c r="R28" s="107"/>
      <c r="S28" s="106"/>
      <c r="T28" s="102">
        <f t="shared" ref="T28" si="23">SUM(T29:T39)</f>
        <v>30482.419409681217</v>
      </c>
    </row>
    <row r="29" spans="1:20" ht="31.5" x14ac:dyDescent="0.25">
      <c r="A29" s="2">
        <v>1</v>
      </c>
      <c r="B29" s="9" t="s">
        <v>11</v>
      </c>
      <c r="C29" s="5">
        <v>0</v>
      </c>
      <c r="D29" s="5">
        <v>16</v>
      </c>
      <c r="E29" s="31">
        <f>LMpielik_5_LMZino!H39</f>
        <v>10</v>
      </c>
      <c r="F29" s="31">
        <f t="shared" si="5"/>
        <v>120</v>
      </c>
      <c r="G29" s="31">
        <f>D29+F29</f>
        <v>136</v>
      </c>
      <c r="H29" s="31"/>
      <c r="I29" s="31">
        <f>G29</f>
        <v>136</v>
      </c>
      <c r="J29" s="10">
        <f>LMpielik_6_LMZino!E36</f>
        <v>35.380000000000003</v>
      </c>
      <c r="K29" s="10">
        <f t="shared" si="6"/>
        <v>0</v>
      </c>
      <c r="L29" s="10">
        <f t="shared" si="7"/>
        <v>4811.68</v>
      </c>
      <c r="M29" s="185"/>
      <c r="N29" s="185"/>
      <c r="O29" s="77">
        <f t="shared" si="8"/>
        <v>0</v>
      </c>
      <c r="P29" s="76">
        <f t="shared" si="0"/>
        <v>0</v>
      </c>
      <c r="Q29" s="4">
        <v>12</v>
      </c>
      <c r="R29" s="104">
        <f>J29/1.12</f>
        <v>31.589285714285715</v>
      </c>
      <c r="S29" s="105">
        <f t="shared" si="10"/>
        <v>3.7907142857142873</v>
      </c>
      <c r="T29" s="11">
        <f>S29*G29</f>
        <v>515.53714285714307</v>
      </c>
    </row>
    <row r="30" spans="1:20" ht="31.5" x14ac:dyDescent="0.25">
      <c r="A30" s="2">
        <v>1</v>
      </c>
      <c r="B30" s="9" t="s">
        <v>12</v>
      </c>
      <c r="C30" s="5">
        <v>59</v>
      </c>
      <c r="D30" s="5">
        <v>0</v>
      </c>
      <c r="E30" s="31">
        <f>LMpielik_5_LMZino!H41</f>
        <v>5</v>
      </c>
      <c r="F30" s="31">
        <f t="shared" si="5"/>
        <v>60</v>
      </c>
      <c r="G30" s="31">
        <v>0</v>
      </c>
      <c r="H30" s="31"/>
      <c r="I30" s="31">
        <v>59</v>
      </c>
      <c r="J30" s="10">
        <f>LMpielik_6_LMZino!E38</f>
        <v>44</v>
      </c>
      <c r="K30" s="10">
        <f t="shared" si="6"/>
        <v>0</v>
      </c>
      <c r="L30" s="10">
        <f t="shared" si="7"/>
        <v>0</v>
      </c>
      <c r="M30" s="185"/>
      <c r="N30" s="185"/>
      <c r="O30" s="77">
        <f t="shared" si="8"/>
        <v>1</v>
      </c>
      <c r="P30" s="76">
        <f t="shared" si="0"/>
        <v>0</v>
      </c>
      <c r="Q30" s="4">
        <v>12</v>
      </c>
      <c r="R30" s="104">
        <f>J30/1.12</f>
        <v>39.285714285714285</v>
      </c>
      <c r="S30" s="105">
        <f t="shared" si="10"/>
        <v>4.7142857142857153</v>
      </c>
      <c r="T30" s="11">
        <f t="shared" ref="T30:T39" si="24">S30*G30</f>
        <v>0</v>
      </c>
    </row>
    <row r="31" spans="1:20" ht="31.5" x14ac:dyDescent="0.25">
      <c r="A31" s="2">
        <v>2</v>
      </c>
      <c r="B31" s="9" t="s">
        <v>22</v>
      </c>
      <c r="C31" s="5">
        <v>0</v>
      </c>
      <c r="D31" s="5">
        <v>126</v>
      </c>
      <c r="E31" s="31">
        <f>LMpielik_5_LMZino!H43</f>
        <v>12</v>
      </c>
      <c r="F31" s="31">
        <f t="shared" si="5"/>
        <v>144</v>
      </c>
      <c r="G31" s="31">
        <f t="shared" ref="G31:G35" si="25">D31+F31</f>
        <v>270</v>
      </c>
      <c r="H31" s="31"/>
      <c r="I31" s="31">
        <f t="shared" ref="I31:I35" si="26">G31</f>
        <v>270</v>
      </c>
      <c r="J31" s="10">
        <f>LMpielik_6_LMZino!E40</f>
        <v>381.45</v>
      </c>
      <c r="K31" s="10">
        <f t="shared" si="6"/>
        <v>0</v>
      </c>
      <c r="L31" s="10">
        <f t="shared" si="7"/>
        <v>102991.5</v>
      </c>
      <c r="M31" s="185"/>
      <c r="N31" s="185"/>
      <c r="O31" s="77">
        <f t="shared" si="8"/>
        <v>0</v>
      </c>
      <c r="P31" s="76">
        <f t="shared" si="0"/>
        <v>0</v>
      </c>
      <c r="Q31" s="4">
        <v>21</v>
      </c>
      <c r="R31" s="104">
        <f>J31/1.21</f>
        <v>315.24793388429754</v>
      </c>
      <c r="S31" s="105">
        <f t="shared" si="10"/>
        <v>66.202066115702451</v>
      </c>
      <c r="T31" s="11">
        <f t="shared" si="24"/>
        <v>17874.557851239661</v>
      </c>
    </row>
    <row r="32" spans="1:20" ht="15.75" x14ac:dyDescent="0.25">
      <c r="A32" s="2">
        <v>3</v>
      </c>
      <c r="B32" s="1" t="s">
        <v>29</v>
      </c>
      <c r="C32" s="5">
        <v>0</v>
      </c>
      <c r="D32" s="5">
        <v>0</v>
      </c>
      <c r="E32" s="31">
        <f>LMpielik_5_LMZino!H45</f>
        <v>1</v>
      </c>
      <c r="F32" s="31"/>
      <c r="G32" s="31">
        <f t="shared" si="25"/>
        <v>0</v>
      </c>
      <c r="H32" s="31"/>
      <c r="I32" s="31">
        <f t="shared" si="26"/>
        <v>0</v>
      </c>
      <c r="J32" s="10">
        <f>LMpielik_6_LMZino!E42</f>
        <v>658.6</v>
      </c>
      <c r="K32" s="10">
        <f t="shared" si="6"/>
        <v>0</v>
      </c>
      <c r="L32" s="10">
        <f t="shared" si="7"/>
        <v>0</v>
      </c>
      <c r="M32" s="185"/>
      <c r="N32" s="185"/>
      <c r="O32" s="77">
        <f t="shared" si="8"/>
        <v>0</v>
      </c>
      <c r="P32" s="76">
        <f t="shared" si="0"/>
        <v>0</v>
      </c>
      <c r="Q32" s="4">
        <v>21</v>
      </c>
      <c r="R32" s="104">
        <f t="shared" ref="R32:R37" si="27">J32/1.21</f>
        <v>544.29752066115702</v>
      </c>
      <c r="S32" s="105">
        <f t="shared" si="10"/>
        <v>114.302479338843</v>
      </c>
      <c r="T32" s="11">
        <f t="shared" si="24"/>
        <v>0</v>
      </c>
    </row>
    <row r="33" spans="1:20" ht="63" x14ac:dyDescent="0.25">
      <c r="A33" s="2">
        <v>4</v>
      </c>
      <c r="B33" s="12" t="s">
        <v>13</v>
      </c>
      <c r="C33" s="5">
        <v>38</v>
      </c>
      <c r="D33" s="5">
        <v>0</v>
      </c>
      <c r="E33" s="31">
        <f>LMpielik_5_LMZino!H47</f>
        <v>1</v>
      </c>
      <c r="F33" s="31">
        <f t="shared" si="5"/>
        <v>12</v>
      </c>
      <c r="G33" s="31">
        <v>0</v>
      </c>
      <c r="H33" s="31"/>
      <c r="I33" s="31">
        <v>12</v>
      </c>
      <c r="J33" s="10">
        <f>LMpielik_6_LMZino!E44</f>
        <v>442.37</v>
      </c>
      <c r="K33" s="10">
        <f t="shared" si="6"/>
        <v>0</v>
      </c>
      <c r="L33" s="10">
        <f t="shared" si="7"/>
        <v>0</v>
      </c>
      <c r="M33" s="185"/>
      <c r="N33" s="185"/>
      <c r="O33" s="77">
        <f t="shared" si="8"/>
        <v>0</v>
      </c>
      <c r="P33" s="76">
        <f t="shared" si="0"/>
        <v>26</v>
      </c>
      <c r="Q33" s="4">
        <v>21</v>
      </c>
      <c r="R33" s="104">
        <f t="shared" si="27"/>
        <v>365.59504132231405</v>
      </c>
      <c r="S33" s="105">
        <f t="shared" si="10"/>
        <v>76.774958677685959</v>
      </c>
      <c r="T33" s="11">
        <f t="shared" si="24"/>
        <v>0</v>
      </c>
    </row>
    <row r="34" spans="1:20" ht="15.75" x14ac:dyDescent="0.25">
      <c r="A34" s="2">
        <v>5</v>
      </c>
      <c r="B34" s="23" t="s">
        <v>25</v>
      </c>
      <c r="C34" s="5">
        <v>0</v>
      </c>
      <c r="D34" s="5">
        <v>45</v>
      </c>
      <c r="E34" s="31">
        <f>LMpielik_5_LMZino!H49</f>
        <v>8</v>
      </c>
      <c r="F34" s="67">
        <f t="shared" si="5"/>
        <v>96</v>
      </c>
      <c r="G34" s="31">
        <v>100</v>
      </c>
      <c r="H34" s="67">
        <v>33</v>
      </c>
      <c r="I34" s="31">
        <v>133</v>
      </c>
      <c r="J34" s="10">
        <f>LMpielik_6_LMZino!E46</f>
        <v>168.19</v>
      </c>
      <c r="K34" s="10">
        <f t="shared" si="6"/>
        <v>5550.2699999999995</v>
      </c>
      <c r="L34" s="10">
        <f t="shared" si="7"/>
        <v>16819</v>
      </c>
      <c r="M34" s="185"/>
      <c r="N34" s="185"/>
      <c r="O34" s="77">
        <f t="shared" si="8"/>
        <v>8</v>
      </c>
      <c r="P34" s="76">
        <f t="shared" si="0"/>
        <v>0</v>
      </c>
      <c r="Q34" s="4">
        <v>21</v>
      </c>
      <c r="R34" s="104">
        <f t="shared" si="27"/>
        <v>139</v>
      </c>
      <c r="S34" s="105">
        <f t="shared" si="10"/>
        <v>29.189999999999998</v>
      </c>
      <c r="T34" s="11">
        <f t="shared" si="24"/>
        <v>2919</v>
      </c>
    </row>
    <row r="35" spans="1:20" ht="31.5" x14ac:dyDescent="0.25">
      <c r="A35" s="2">
        <v>6</v>
      </c>
      <c r="B35" s="9" t="s">
        <v>24</v>
      </c>
      <c r="C35" s="5">
        <v>0</v>
      </c>
      <c r="D35" s="5">
        <v>28</v>
      </c>
      <c r="E35" s="31">
        <f>LMpielik_5_LMZino!H51</f>
        <v>3</v>
      </c>
      <c r="F35" s="31">
        <f t="shared" si="5"/>
        <v>36</v>
      </c>
      <c r="G35" s="31">
        <f t="shared" si="25"/>
        <v>64</v>
      </c>
      <c r="H35" s="31"/>
      <c r="I35" s="31">
        <f t="shared" si="26"/>
        <v>64</v>
      </c>
      <c r="J35" s="10">
        <f>LMpielik_6_LMZino!E47</f>
        <v>795.41</v>
      </c>
      <c r="K35" s="10">
        <f t="shared" si="6"/>
        <v>0</v>
      </c>
      <c r="L35" s="10">
        <f t="shared" si="7"/>
        <v>50906.239999999998</v>
      </c>
      <c r="M35" s="185"/>
      <c r="N35" s="185"/>
      <c r="O35" s="77">
        <f t="shared" si="8"/>
        <v>0</v>
      </c>
      <c r="P35" s="76">
        <f t="shared" si="0"/>
        <v>0</v>
      </c>
      <c r="Q35" s="4">
        <v>21</v>
      </c>
      <c r="R35" s="104">
        <f t="shared" si="27"/>
        <v>657.36363636363637</v>
      </c>
      <c r="S35" s="105">
        <f t="shared" si="10"/>
        <v>138.04636363636359</v>
      </c>
      <c r="T35" s="11">
        <f t="shared" si="24"/>
        <v>8834.96727272727</v>
      </c>
    </row>
    <row r="36" spans="1:20" ht="31.5" x14ac:dyDescent="0.25">
      <c r="A36" s="2">
        <v>7</v>
      </c>
      <c r="B36" s="23" t="s">
        <v>23</v>
      </c>
      <c r="C36" s="5">
        <v>24</v>
      </c>
      <c r="D36" s="5">
        <v>38</v>
      </c>
      <c r="E36" s="31">
        <f>LMpielik_5_LMZino!H53</f>
        <v>3</v>
      </c>
      <c r="F36" s="67">
        <f t="shared" si="5"/>
        <v>36</v>
      </c>
      <c r="G36" s="31">
        <v>0</v>
      </c>
      <c r="H36" s="67">
        <v>12</v>
      </c>
      <c r="I36" s="31">
        <v>36</v>
      </c>
      <c r="J36" s="10">
        <f>LMpielik_6_LMZino!E49</f>
        <v>285</v>
      </c>
      <c r="K36" s="10">
        <f t="shared" si="6"/>
        <v>3420</v>
      </c>
      <c r="L36" s="10">
        <f t="shared" si="7"/>
        <v>0</v>
      </c>
      <c r="M36" s="185"/>
      <c r="N36" s="185"/>
      <c r="O36" s="77">
        <f t="shared" si="8"/>
        <v>38</v>
      </c>
      <c r="P36" s="76">
        <f t="shared" si="0"/>
        <v>0</v>
      </c>
      <c r="Q36" s="4">
        <v>21</v>
      </c>
      <c r="R36" s="104">
        <f t="shared" si="27"/>
        <v>235.53719008264463</v>
      </c>
      <c r="S36" s="105">
        <f t="shared" si="10"/>
        <v>49.462809917355372</v>
      </c>
      <c r="T36" s="11">
        <f t="shared" si="24"/>
        <v>0</v>
      </c>
    </row>
    <row r="37" spans="1:20" ht="78.75" x14ac:dyDescent="0.25">
      <c r="A37" s="2">
        <v>8</v>
      </c>
      <c r="B37" s="23" t="s">
        <v>26</v>
      </c>
      <c r="C37" s="5">
        <v>0</v>
      </c>
      <c r="D37" s="5">
        <v>121</v>
      </c>
      <c r="E37" s="31">
        <f>LMpielik_5_LMZino!H55</f>
        <v>9</v>
      </c>
      <c r="F37" s="67">
        <f t="shared" si="5"/>
        <v>108</v>
      </c>
      <c r="G37" s="31">
        <v>0</v>
      </c>
      <c r="H37" s="67">
        <v>168</v>
      </c>
      <c r="I37" s="31">
        <v>168</v>
      </c>
      <c r="J37" s="10">
        <f>LMpielik_6_LMZino!E50</f>
        <v>49.72</v>
      </c>
      <c r="K37" s="10">
        <f t="shared" si="6"/>
        <v>8352.9599999999991</v>
      </c>
      <c r="L37" s="10">
        <f t="shared" si="7"/>
        <v>0</v>
      </c>
      <c r="M37" s="185"/>
      <c r="N37" s="185"/>
      <c r="O37" s="77">
        <f t="shared" si="8"/>
        <v>61</v>
      </c>
      <c r="P37" s="76">
        <f t="shared" si="0"/>
        <v>0</v>
      </c>
      <c r="Q37" s="4">
        <v>21</v>
      </c>
      <c r="R37" s="104">
        <f t="shared" si="27"/>
        <v>41.090909090909093</v>
      </c>
      <c r="S37" s="105">
        <f t="shared" si="10"/>
        <v>8.6290909090909054</v>
      </c>
      <c r="T37" s="11">
        <f t="shared" si="24"/>
        <v>0</v>
      </c>
    </row>
    <row r="38" spans="1:20" ht="47.25" x14ac:dyDescent="0.25">
      <c r="A38" s="2">
        <v>9</v>
      </c>
      <c r="B38" s="9" t="s">
        <v>14</v>
      </c>
      <c r="C38" s="5">
        <v>16</v>
      </c>
      <c r="D38" s="5">
        <v>0</v>
      </c>
      <c r="E38" s="31">
        <f>LMpielik_5_LMZino!H57</f>
        <v>5</v>
      </c>
      <c r="F38" s="31">
        <f t="shared" si="5"/>
        <v>60</v>
      </c>
      <c r="G38" s="31">
        <v>44</v>
      </c>
      <c r="H38" s="31"/>
      <c r="I38" s="31">
        <v>60</v>
      </c>
      <c r="J38" s="10">
        <f>LMpielik_6_LMZino!E51</f>
        <v>57</v>
      </c>
      <c r="K38" s="10">
        <f t="shared" si="6"/>
        <v>0</v>
      </c>
      <c r="L38" s="10">
        <f t="shared" si="7"/>
        <v>2508</v>
      </c>
      <c r="M38" s="185"/>
      <c r="N38" s="185"/>
      <c r="O38" s="77">
        <f t="shared" si="8"/>
        <v>0</v>
      </c>
      <c r="P38" s="76">
        <f t="shared" si="0"/>
        <v>0</v>
      </c>
      <c r="Q38" s="4">
        <v>12</v>
      </c>
      <c r="R38" s="104">
        <f>J38/1.12</f>
        <v>50.892857142857139</v>
      </c>
      <c r="S38" s="105">
        <f t="shared" si="10"/>
        <v>6.1071428571428612</v>
      </c>
      <c r="T38" s="11">
        <f t="shared" si="24"/>
        <v>268.71428571428589</v>
      </c>
    </row>
    <row r="39" spans="1:20" ht="47.25" x14ac:dyDescent="0.25">
      <c r="A39" s="2">
        <v>10</v>
      </c>
      <c r="B39" s="12" t="s">
        <v>21</v>
      </c>
      <c r="C39" s="5">
        <v>7</v>
      </c>
      <c r="D39" s="5">
        <v>0</v>
      </c>
      <c r="E39" s="31">
        <f>LMpielik_5_LMZino!H59</f>
        <v>1</v>
      </c>
      <c r="F39" s="31">
        <f t="shared" si="5"/>
        <v>12</v>
      </c>
      <c r="G39" s="31">
        <v>5</v>
      </c>
      <c r="H39" s="31"/>
      <c r="I39" s="31">
        <v>12</v>
      </c>
      <c r="J39" s="10">
        <f>LMpielik_6_LMZino!E53</f>
        <v>130</v>
      </c>
      <c r="K39" s="10">
        <f t="shared" si="6"/>
        <v>0</v>
      </c>
      <c r="L39" s="10">
        <f t="shared" si="7"/>
        <v>650</v>
      </c>
      <c r="M39" s="186"/>
      <c r="N39" s="186"/>
      <c r="O39" s="77">
        <f t="shared" si="8"/>
        <v>0</v>
      </c>
      <c r="P39" s="76">
        <f t="shared" si="0"/>
        <v>0</v>
      </c>
      <c r="Q39" s="4">
        <v>12</v>
      </c>
      <c r="R39" s="104">
        <f>J39/1.12</f>
        <v>116.07142857142856</v>
      </c>
      <c r="S39" s="105">
        <f t="shared" si="10"/>
        <v>13.928571428571445</v>
      </c>
      <c r="T39" s="11">
        <f t="shared" si="24"/>
        <v>69.642857142857224</v>
      </c>
    </row>
    <row r="40" spans="1:20" ht="15.75" x14ac:dyDescent="0.25">
      <c r="A40" s="2"/>
      <c r="B40" s="62" t="s">
        <v>40</v>
      </c>
      <c r="C40" s="20">
        <f>C28+C18+C12+C10</f>
        <v>214</v>
      </c>
      <c r="D40" s="20">
        <f t="shared" ref="D40:L40" si="28">D28+D18+D12+D10</f>
        <v>2211</v>
      </c>
      <c r="E40" s="76">
        <f t="shared" si="28"/>
        <v>426</v>
      </c>
      <c r="F40" s="61">
        <f t="shared" si="28"/>
        <v>5100</v>
      </c>
      <c r="G40" s="20">
        <f t="shared" si="28"/>
        <v>5752</v>
      </c>
      <c r="H40" s="20">
        <f t="shared" ref="H40" si="29">H28+H18+H12+H10</f>
        <v>885</v>
      </c>
      <c r="I40" s="20">
        <f t="shared" si="28"/>
        <v>6825</v>
      </c>
      <c r="J40" s="6" t="s">
        <v>28</v>
      </c>
      <c r="K40" s="6">
        <f t="shared" ref="K40" si="30">K28+K18+K12+K10</f>
        <v>28191.629999999997</v>
      </c>
      <c r="L40" s="6">
        <f t="shared" si="28"/>
        <v>1123062.22</v>
      </c>
      <c r="M40" s="95">
        <v>314085</v>
      </c>
      <c r="N40" s="95">
        <f>L40-M40</f>
        <v>808977.22</v>
      </c>
      <c r="O40" s="61">
        <f t="shared" ref="O40:T40" si="31">O28+O18+O12+O10</f>
        <v>486</v>
      </c>
      <c r="P40" s="61">
        <f t="shared" si="31"/>
        <v>26</v>
      </c>
      <c r="Q40" s="61" t="s">
        <v>28</v>
      </c>
      <c r="R40" s="61" t="s">
        <v>28</v>
      </c>
      <c r="S40" s="61">
        <f t="shared" si="31"/>
        <v>60.000000000000057</v>
      </c>
      <c r="T40" s="6">
        <f t="shared" si="31"/>
        <v>165524.8331936246</v>
      </c>
    </row>
    <row r="41" spans="1:20" ht="15.75" x14ac:dyDescent="0.25">
      <c r="A41" s="4"/>
      <c r="B41" s="59" t="s">
        <v>59</v>
      </c>
      <c r="C41" s="65">
        <f>C14+C17+C24+C27+C34+C36+C37</f>
        <v>24</v>
      </c>
      <c r="D41" s="65">
        <f t="shared" ref="D41:L41" si="32">D14+D17+D24+D27+D34+D36+D37</f>
        <v>884</v>
      </c>
      <c r="E41" s="80">
        <f t="shared" si="32"/>
        <v>92</v>
      </c>
      <c r="F41" s="78">
        <f t="shared" si="32"/>
        <v>1104</v>
      </c>
      <c r="G41" s="65">
        <f t="shared" si="32"/>
        <v>677</v>
      </c>
      <c r="H41" s="65">
        <f t="shared" ref="H41" si="33">H14+H17+H24+H27+H34+H36+H37</f>
        <v>885</v>
      </c>
      <c r="I41" s="65">
        <f t="shared" si="32"/>
        <v>1586</v>
      </c>
      <c r="J41" s="64" t="s">
        <v>28</v>
      </c>
      <c r="K41" s="64">
        <f t="shared" ref="K41" si="34">K14+K17+K24+K27+K34+K36+K37</f>
        <v>28191.629999999997</v>
      </c>
      <c r="L41" s="64">
        <f t="shared" si="32"/>
        <v>57772</v>
      </c>
      <c r="M41" s="10" t="s">
        <v>28</v>
      </c>
      <c r="N41" s="10" t="s">
        <v>28</v>
      </c>
      <c r="O41" s="78">
        <f t="shared" ref="O41:P41" si="35">O14+O17+O24+O27+O34+O36+O37</f>
        <v>402</v>
      </c>
      <c r="P41" s="78">
        <f t="shared" si="35"/>
        <v>0</v>
      </c>
      <c r="Q41" s="61" t="s">
        <v>28</v>
      </c>
      <c r="R41" s="61" t="s">
        <v>28</v>
      </c>
      <c r="S41" s="78">
        <f t="shared" ref="S41:T41" si="36">S14+S17+S24+S27+S34+S36+S37</f>
        <v>108.51761511216057</v>
      </c>
      <c r="T41" s="64">
        <f t="shared" si="36"/>
        <v>7659.6623376623393</v>
      </c>
    </row>
    <row r="42" spans="1:20" ht="15.75" customHeight="1" x14ac:dyDescent="0.25">
      <c r="A42" s="4"/>
      <c r="B42" s="60" t="s">
        <v>60</v>
      </c>
      <c r="C42" s="63">
        <f>C10+C13+C15+C16+SUM(C19:C23)+C25+C26+SUM(C29:C33)+C35+C38+C39</f>
        <v>190</v>
      </c>
      <c r="D42" s="63">
        <f t="shared" ref="D42:L42" si="37">D10+D13+D15+D16+SUM(D19:D23)+D25+D26+SUM(D29:D33)+D35+D38+D39</f>
        <v>1327</v>
      </c>
      <c r="E42" s="77">
        <f t="shared" si="37"/>
        <v>334</v>
      </c>
      <c r="F42" s="79">
        <f t="shared" si="37"/>
        <v>3996</v>
      </c>
      <c r="G42" s="63">
        <f t="shared" si="37"/>
        <v>5075</v>
      </c>
      <c r="H42" s="63">
        <f>H10+H13+H15+H16+SUM(H19:H23)+H25+H26+SUM(H29:H33)+H35+H38+H39</f>
        <v>0</v>
      </c>
      <c r="I42" s="63">
        <f t="shared" si="37"/>
        <v>5239</v>
      </c>
      <c r="J42" s="10" t="s">
        <v>28</v>
      </c>
      <c r="K42" s="10">
        <f t="shared" ref="K42" si="38">K10+K13+K15+K16+SUM(K19:K23)+K25+K26+SUM(K29:K33)+K35+K38+K39</f>
        <v>0</v>
      </c>
      <c r="L42" s="10">
        <f t="shared" si="37"/>
        <v>1065290.22</v>
      </c>
      <c r="M42" s="10" t="s">
        <v>28</v>
      </c>
      <c r="N42" s="10" t="s">
        <v>28</v>
      </c>
      <c r="O42" s="79">
        <f t="shared" ref="O42:P42" si="39">O10+O13+O15+O16+SUM(O19:O23)+O25+O26+SUM(O29:O33)+O35+O38+O39</f>
        <v>84</v>
      </c>
      <c r="P42" s="79">
        <f t="shared" si="39"/>
        <v>26</v>
      </c>
      <c r="Q42" s="61" t="s">
        <v>28</v>
      </c>
      <c r="R42" s="61" t="s">
        <v>28</v>
      </c>
      <c r="S42" s="79">
        <f t="shared" ref="S42:T42" si="40">S10+S13+S15+S16+SUM(S19:S23)+S25+S26+SUM(S29:S33)+S35+S38+S39</f>
        <v>658.91778630460453</v>
      </c>
      <c r="T42" s="10">
        <f t="shared" si="40"/>
        <v>157865.17085596226</v>
      </c>
    </row>
    <row r="43" spans="1:20" ht="15.75" x14ac:dyDescent="0.25">
      <c r="A43" s="94"/>
      <c r="B43" s="47" t="s">
        <v>78</v>
      </c>
      <c r="C43" s="20" t="s">
        <v>28</v>
      </c>
      <c r="D43" s="20" t="s">
        <v>28</v>
      </c>
      <c r="E43" s="20" t="s">
        <v>28</v>
      </c>
      <c r="F43" s="20" t="s">
        <v>28</v>
      </c>
      <c r="G43" s="20" t="s">
        <v>28</v>
      </c>
      <c r="H43" s="20" t="s">
        <v>28</v>
      </c>
      <c r="I43" s="20" t="s">
        <v>28</v>
      </c>
      <c r="J43" s="20" t="s">
        <v>28</v>
      </c>
      <c r="K43" s="6">
        <v>0</v>
      </c>
      <c r="L43" s="6">
        <f>M43+N43</f>
        <v>54653.2598</v>
      </c>
      <c r="M43" s="6">
        <v>31408</v>
      </c>
      <c r="N43" s="6">
        <f>LMpielik_7_LMZino!D22</f>
        <v>23245.2598</v>
      </c>
      <c r="O43" s="61" t="s">
        <v>28</v>
      </c>
      <c r="P43" s="61" t="s">
        <v>28</v>
      </c>
      <c r="Q43" s="61" t="s">
        <v>28</v>
      </c>
      <c r="R43" s="61" t="s">
        <v>28</v>
      </c>
      <c r="S43" s="61" t="s">
        <v>28</v>
      </c>
      <c r="T43" s="61" t="s">
        <v>28</v>
      </c>
    </row>
    <row r="44" spans="1:20" ht="15.75" x14ac:dyDescent="0.25">
      <c r="A44" s="94"/>
      <c r="B44" s="97" t="s">
        <v>74</v>
      </c>
      <c r="C44" s="20" t="s">
        <v>28</v>
      </c>
      <c r="D44" s="20" t="s">
        <v>28</v>
      </c>
      <c r="E44" s="20" t="s">
        <v>28</v>
      </c>
      <c r="F44" s="20" t="s">
        <v>28</v>
      </c>
      <c r="G44" s="20" t="s">
        <v>28</v>
      </c>
      <c r="H44" s="20" t="s">
        <v>28</v>
      </c>
      <c r="I44" s="20" t="s">
        <v>28</v>
      </c>
      <c r="J44" s="20" t="s">
        <v>28</v>
      </c>
      <c r="K44" s="6">
        <f>K40+K43</f>
        <v>28191.629999999997</v>
      </c>
      <c r="L44" s="6">
        <f>L40+L43</f>
        <v>1177715.4797999999</v>
      </c>
      <c r="M44" s="6">
        <f>M40+M43</f>
        <v>345493</v>
      </c>
      <c r="N44" s="6">
        <f>N40+N43</f>
        <v>832222.47979999997</v>
      </c>
      <c r="O44" s="61" t="s">
        <v>28</v>
      </c>
      <c r="P44" s="61" t="s">
        <v>28</v>
      </c>
      <c r="Q44" s="61" t="s">
        <v>28</v>
      </c>
      <c r="R44" s="61" t="s">
        <v>28</v>
      </c>
      <c r="S44" s="61" t="s">
        <v>28</v>
      </c>
      <c r="T44" s="61" t="s">
        <v>28</v>
      </c>
    </row>
    <row r="45" spans="1:20" x14ac:dyDescent="0.25">
      <c r="J45" s="13"/>
      <c r="K45" s="13"/>
    </row>
    <row r="46" spans="1:20" ht="15.75" x14ac:dyDescent="0.25">
      <c r="B46" s="173" t="s">
        <v>132</v>
      </c>
      <c r="C46" s="173"/>
      <c r="D46" s="173"/>
      <c r="E46" s="173"/>
      <c r="F46" s="173"/>
      <c r="G46" s="173"/>
      <c r="H46" s="173"/>
      <c r="I46" s="173"/>
      <c r="J46" s="173"/>
      <c r="K46" s="173"/>
      <c r="L46" s="173"/>
      <c r="M46" s="173"/>
      <c r="N46" s="173"/>
    </row>
    <row r="49" spans="2:10" ht="15.75" x14ac:dyDescent="0.25">
      <c r="B49" s="1" t="s">
        <v>159</v>
      </c>
      <c r="C49" s="1"/>
      <c r="D49" s="1"/>
      <c r="E49" s="1"/>
      <c r="F49" s="1"/>
      <c r="G49" s="1"/>
      <c r="H49" s="1"/>
      <c r="I49" s="1"/>
      <c r="J49" s="1" t="s">
        <v>160</v>
      </c>
    </row>
    <row r="50" spans="2:10" ht="15.75" x14ac:dyDescent="0.25">
      <c r="B50" s="1"/>
      <c r="C50" s="1"/>
      <c r="D50" s="1"/>
      <c r="E50" s="1"/>
      <c r="F50" s="1"/>
      <c r="G50" s="1"/>
      <c r="H50" s="1"/>
      <c r="I50" s="1"/>
      <c r="J50" s="1"/>
    </row>
    <row r="51" spans="2:10" ht="15.75" x14ac:dyDescent="0.25">
      <c r="B51" s="39" t="s">
        <v>193</v>
      </c>
      <c r="C51" s="39"/>
      <c r="D51" s="39"/>
      <c r="E51" s="1"/>
      <c r="F51" s="1"/>
      <c r="G51" s="1"/>
      <c r="H51" s="1"/>
      <c r="I51" s="1"/>
      <c r="J51" s="1"/>
    </row>
    <row r="52" spans="2:10" ht="15.75" x14ac:dyDescent="0.25">
      <c r="B52" s="39" t="s">
        <v>161</v>
      </c>
      <c r="C52" s="39"/>
      <c r="D52" s="39"/>
      <c r="E52" s="1"/>
      <c r="F52" s="1"/>
      <c r="G52" s="1"/>
      <c r="H52" s="1"/>
      <c r="I52" s="1"/>
      <c r="J52" s="1"/>
    </row>
    <row r="53" spans="2:10" ht="15.75" x14ac:dyDescent="0.25">
      <c r="B53" s="39" t="s">
        <v>162</v>
      </c>
      <c r="C53" s="39"/>
      <c r="D53" s="39"/>
      <c r="E53" s="1"/>
      <c r="F53" s="1"/>
      <c r="G53" s="1"/>
      <c r="H53" s="1"/>
      <c r="I53" s="1"/>
      <c r="J53" s="1"/>
    </row>
  </sheetData>
  <mergeCells count="22">
    <mergeCell ref="T7:T8"/>
    <mergeCell ref="P7:P8"/>
    <mergeCell ref="M10:M39"/>
    <mergeCell ref="N10:N39"/>
    <mergeCell ref="A18:B18"/>
    <mergeCell ref="A28:B28"/>
    <mergeCell ref="A11:B11"/>
    <mergeCell ref="A7:A8"/>
    <mergeCell ref="B7:B8"/>
    <mergeCell ref="O7:O8"/>
    <mergeCell ref="A12:B12"/>
    <mergeCell ref="C7:C8"/>
    <mergeCell ref="B46:N46"/>
    <mergeCell ref="R1:S1"/>
    <mergeCell ref="Q7:Q8"/>
    <mergeCell ref="R7:R8"/>
    <mergeCell ref="S7:S8"/>
    <mergeCell ref="A5:O5"/>
    <mergeCell ref="F4:H4"/>
    <mergeCell ref="P2:S2"/>
    <mergeCell ref="N3:S3"/>
    <mergeCell ref="D7:N7"/>
  </mergeCells>
  <pageMargins left="0.70866141732283472" right="0.70866141732283472" top="0.74803149606299213" bottom="0.74803149606299213" header="0.31496062992125984" footer="0.31496062992125984"/>
  <pageSetup paperSize="9" scale="50" orientation="landscape" r:id="rId1"/>
  <headerFooter>
    <oddFooter>&amp;CLMpielik_3_070815_LMZino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34" zoomScaleNormal="100" workbookViewId="0">
      <selection activeCell="B54" sqref="B54"/>
    </sheetView>
  </sheetViews>
  <sheetFormatPr defaultRowHeight="15" x14ac:dyDescent="0.25"/>
  <cols>
    <col min="1" max="1" width="3.85546875" customWidth="1"/>
    <col min="2" max="2" width="30.140625" customWidth="1"/>
    <col min="3" max="3" width="12.7109375" customWidth="1"/>
    <col min="4" max="4" width="13" customWidth="1"/>
    <col min="5" max="5" width="13.7109375" customWidth="1"/>
    <col min="6" max="6" width="9" customWidth="1"/>
    <col min="7" max="7" width="10.42578125" customWidth="1"/>
    <col min="8" max="8" width="11.42578125" customWidth="1"/>
    <col min="9" max="9" width="10.140625" customWidth="1"/>
    <col min="10" max="10" width="13" customWidth="1"/>
    <col min="11" max="11" width="15.42578125" customWidth="1"/>
    <col min="12" max="12" width="15.85546875" customWidth="1"/>
    <col min="13" max="13" width="14.5703125" customWidth="1"/>
    <col min="14" max="14" width="16" customWidth="1"/>
    <col min="15" max="15" width="11.7109375" customWidth="1"/>
    <col min="16" max="16" width="11.85546875" customWidth="1"/>
    <col min="17" max="17" width="8.5703125" customWidth="1"/>
    <col min="18" max="18" width="11.28515625" customWidth="1"/>
    <col min="19" max="19" width="9.42578125" customWidth="1"/>
    <col min="20" max="20" width="13.5703125" customWidth="1"/>
  </cols>
  <sheetData>
    <row r="1" spans="1:20" ht="15.75" x14ac:dyDescent="0.25">
      <c r="O1" s="103"/>
      <c r="P1" s="103"/>
      <c r="R1" s="195" t="s">
        <v>58</v>
      </c>
      <c r="S1" s="195"/>
    </row>
    <row r="2" spans="1:20" ht="15.75" x14ac:dyDescent="0.25">
      <c r="P2" s="178" t="s">
        <v>163</v>
      </c>
      <c r="Q2" s="178"/>
      <c r="R2" s="178"/>
      <c r="S2" s="178"/>
    </row>
    <row r="3" spans="1:20" ht="33.75" customHeight="1" x14ac:dyDescent="0.25">
      <c r="N3" s="179" t="s">
        <v>169</v>
      </c>
      <c r="O3" s="179"/>
      <c r="P3" s="179"/>
      <c r="Q3" s="179"/>
      <c r="R3" s="179"/>
      <c r="S3" s="179"/>
    </row>
    <row r="4" spans="1:20" ht="18.75" x14ac:dyDescent="0.3">
      <c r="F4" s="177" t="s">
        <v>155</v>
      </c>
      <c r="G4" s="177"/>
      <c r="H4" s="177"/>
    </row>
    <row r="5" spans="1:20" ht="18.75" x14ac:dyDescent="0.3">
      <c r="A5" s="176" t="s">
        <v>142</v>
      </c>
      <c r="B5" s="176"/>
      <c r="C5" s="176"/>
      <c r="D5" s="176"/>
      <c r="E5" s="176"/>
      <c r="F5" s="176"/>
      <c r="G5" s="176"/>
      <c r="H5" s="176"/>
      <c r="I5" s="176"/>
      <c r="J5" s="176"/>
      <c r="K5" s="176"/>
      <c r="L5" s="176"/>
      <c r="M5" s="176"/>
      <c r="N5" s="176"/>
      <c r="O5" s="176"/>
      <c r="P5" s="1"/>
    </row>
    <row r="6" spans="1:20" ht="15.75" x14ac:dyDescent="0.25">
      <c r="A6" s="1"/>
      <c r="B6" s="1"/>
      <c r="C6" s="1"/>
      <c r="D6" s="1"/>
      <c r="E6" s="1"/>
      <c r="F6" s="1"/>
      <c r="G6" s="1"/>
      <c r="H6" s="1"/>
      <c r="I6" s="1"/>
      <c r="J6" s="16"/>
      <c r="K6" s="16"/>
      <c r="L6" s="1"/>
      <c r="M6" s="1"/>
      <c r="N6" s="1"/>
      <c r="O6" s="14"/>
      <c r="P6" s="14"/>
    </row>
    <row r="7" spans="1:20" ht="15.75" x14ac:dyDescent="0.25">
      <c r="A7" s="191" t="s">
        <v>32</v>
      </c>
      <c r="B7" s="191" t="s">
        <v>2</v>
      </c>
      <c r="C7" s="175" t="s">
        <v>145</v>
      </c>
      <c r="D7" s="180" t="s">
        <v>144</v>
      </c>
      <c r="E7" s="181"/>
      <c r="F7" s="181"/>
      <c r="G7" s="181"/>
      <c r="H7" s="181"/>
      <c r="I7" s="181"/>
      <c r="J7" s="181"/>
      <c r="K7" s="181"/>
      <c r="L7" s="181"/>
      <c r="M7" s="181"/>
      <c r="N7" s="182"/>
      <c r="O7" s="175" t="s">
        <v>147</v>
      </c>
      <c r="P7" s="175" t="s">
        <v>148</v>
      </c>
      <c r="Q7" s="175" t="s">
        <v>121</v>
      </c>
      <c r="R7" s="175" t="s">
        <v>118</v>
      </c>
      <c r="S7" s="175" t="s">
        <v>119</v>
      </c>
      <c r="T7" s="183" t="s">
        <v>120</v>
      </c>
    </row>
    <row r="8" spans="1:20" ht="94.5" x14ac:dyDescent="0.25">
      <c r="A8" s="192"/>
      <c r="B8" s="192"/>
      <c r="C8" s="175"/>
      <c r="D8" s="129" t="s">
        <v>146</v>
      </c>
      <c r="E8" s="24" t="s">
        <v>168</v>
      </c>
      <c r="F8" s="129" t="s">
        <v>75</v>
      </c>
      <c r="G8" s="24" t="s">
        <v>80</v>
      </c>
      <c r="H8" s="24" t="s">
        <v>84</v>
      </c>
      <c r="I8" s="24" t="s">
        <v>81</v>
      </c>
      <c r="J8" s="24" t="s">
        <v>167</v>
      </c>
      <c r="K8" s="128" t="s">
        <v>83</v>
      </c>
      <c r="L8" s="128" t="s">
        <v>82</v>
      </c>
      <c r="M8" s="24" t="s">
        <v>76</v>
      </c>
      <c r="N8" s="24" t="s">
        <v>77</v>
      </c>
      <c r="O8" s="175"/>
      <c r="P8" s="175"/>
      <c r="Q8" s="175"/>
      <c r="R8" s="175"/>
      <c r="S8" s="175"/>
      <c r="T8" s="183"/>
    </row>
    <row r="9" spans="1:20" ht="27" customHeight="1" x14ac:dyDescent="0.25">
      <c r="A9" s="150">
        <v>1</v>
      </c>
      <c r="B9" s="150">
        <v>2</v>
      </c>
      <c r="C9" s="151">
        <v>3</v>
      </c>
      <c r="D9" s="151">
        <v>4</v>
      </c>
      <c r="E9" s="151">
        <v>5</v>
      </c>
      <c r="F9" s="151" t="s">
        <v>79</v>
      </c>
      <c r="G9" s="151">
        <v>7</v>
      </c>
      <c r="H9" s="151">
        <v>8</v>
      </c>
      <c r="I9" s="151">
        <v>9</v>
      </c>
      <c r="J9" s="152">
        <v>10</v>
      </c>
      <c r="K9" s="152" t="s">
        <v>85</v>
      </c>
      <c r="L9" s="153" t="s">
        <v>86</v>
      </c>
      <c r="M9" s="153">
        <v>13</v>
      </c>
      <c r="N9" s="153">
        <v>14</v>
      </c>
      <c r="O9" s="153" t="s">
        <v>87</v>
      </c>
      <c r="P9" s="153">
        <v>16</v>
      </c>
      <c r="Q9" s="150">
        <v>17</v>
      </c>
      <c r="R9" s="150" t="s">
        <v>123</v>
      </c>
      <c r="S9" s="150" t="s">
        <v>122</v>
      </c>
      <c r="T9" s="150" t="s">
        <v>124</v>
      </c>
    </row>
    <row r="10" spans="1:20" ht="15.75" x14ac:dyDescent="0.25">
      <c r="A10" s="20">
        <v>1</v>
      </c>
      <c r="B10" s="21" t="s">
        <v>117</v>
      </c>
      <c r="C10" s="15">
        <v>0</v>
      </c>
      <c r="D10" s="28">
        <f>LMpielik_3_LMZino!O10</f>
        <v>83</v>
      </c>
      <c r="E10" s="28">
        <f>LMpielik_5_LMZino!H9</f>
        <v>49</v>
      </c>
      <c r="F10" s="28">
        <f>E10*12</f>
        <v>588</v>
      </c>
      <c r="G10" s="28">
        <v>622</v>
      </c>
      <c r="H10" s="28"/>
      <c r="I10" s="28">
        <v>622</v>
      </c>
      <c r="J10" s="6">
        <f>LMpielik_6_LMZino!E10</f>
        <v>560</v>
      </c>
      <c r="K10" s="6">
        <f>H10*J10</f>
        <v>0</v>
      </c>
      <c r="L10" s="6">
        <f>G10*J10</f>
        <v>348320</v>
      </c>
      <c r="M10" s="184"/>
      <c r="N10" s="184"/>
      <c r="O10" s="76">
        <f>D10+F10-I10</f>
        <v>49</v>
      </c>
      <c r="P10" s="76">
        <f>C10+G10+H10-I10</f>
        <v>0</v>
      </c>
      <c r="Q10" s="108">
        <v>12</v>
      </c>
      <c r="R10" s="109">
        <f>J10/1.12</f>
        <v>499.99999999999994</v>
      </c>
      <c r="S10" s="110">
        <f>J10-R10</f>
        <v>60.000000000000057</v>
      </c>
      <c r="T10" s="45">
        <f>S10*G10</f>
        <v>37320.000000000036</v>
      </c>
    </row>
    <row r="11" spans="1:20" ht="15.75" x14ac:dyDescent="0.25">
      <c r="A11" s="189" t="s">
        <v>5</v>
      </c>
      <c r="B11" s="190"/>
      <c r="C11" s="15"/>
      <c r="D11" s="15"/>
      <c r="E11" s="28"/>
      <c r="F11" s="29"/>
      <c r="G11" s="29"/>
      <c r="H11" s="29"/>
      <c r="I11" s="29"/>
      <c r="J11" s="10"/>
      <c r="K11" s="10"/>
      <c r="L11" s="66"/>
      <c r="M11" s="185"/>
      <c r="N11" s="185"/>
      <c r="O11" s="20"/>
      <c r="P11" s="76">
        <f t="shared" ref="P11:P39" si="0">C11+G11+H11-I11</f>
        <v>0</v>
      </c>
      <c r="Q11" s="4"/>
      <c r="R11" s="4"/>
      <c r="S11" s="4"/>
      <c r="T11" s="131"/>
    </row>
    <row r="12" spans="1:20" ht="36" customHeight="1" x14ac:dyDescent="0.25">
      <c r="A12" s="193" t="s">
        <v>3</v>
      </c>
      <c r="B12" s="194"/>
      <c r="C12" s="30">
        <f t="shared" ref="C12:L12" si="1">SUM(C13:C17)</f>
        <v>0</v>
      </c>
      <c r="D12" s="30">
        <f t="shared" si="1"/>
        <v>135</v>
      </c>
      <c r="E12" s="30">
        <f t="shared" si="1"/>
        <v>154</v>
      </c>
      <c r="F12" s="30">
        <f t="shared" si="1"/>
        <v>1848</v>
      </c>
      <c r="G12" s="30">
        <f t="shared" si="1"/>
        <v>1983</v>
      </c>
      <c r="H12" s="30">
        <f t="shared" si="1"/>
        <v>0</v>
      </c>
      <c r="I12" s="30">
        <f t="shared" si="1"/>
        <v>1983</v>
      </c>
      <c r="J12" s="74" t="s">
        <v>28</v>
      </c>
      <c r="K12" s="19">
        <f t="shared" si="1"/>
        <v>0</v>
      </c>
      <c r="L12" s="19">
        <f t="shared" si="1"/>
        <v>125324.24</v>
      </c>
      <c r="M12" s="185"/>
      <c r="N12" s="185"/>
      <c r="O12" s="99">
        <f t="shared" ref="O12" si="2">SUM(O13:O17)</f>
        <v>0</v>
      </c>
      <c r="P12" s="100">
        <f t="shared" si="0"/>
        <v>0</v>
      </c>
      <c r="Q12" s="106"/>
      <c r="R12" s="106"/>
      <c r="S12" s="106"/>
      <c r="T12" s="101">
        <f t="shared" ref="T12" si="3">SUM(T13:T17)</f>
        <v>14902.157355371906</v>
      </c>
    </row>
    <row r="13" spans="1:20" ht="31.5" x14ac:dyDescent="0.25">
      <c r="A13" s="2">
        <v>1</v>
      </c>
      <c r="B13" s="2" t="s">
        <v>10</v>
      </c>
      <c r="C13" s="31">
        <f>LMpielik_3_LMZino!P13</f>
        <v>0</v>
      </c>
      <c r="D13" s="31">
        <f>LMpielik_3_LMZino!O13</f>
        <v>0</v>
      </c>
      <c r="E13" s="31">
        <f>LMpielik_5_LMZino!H11</f>
        <v>27</v>
      </c>
      <c r="F13" s="31">
        <f t="shared" ref="F13:F39" si="4">E13*12</f>
        <v>324</v>
      </c>
      <c r="G13" s="31">
        <v>324</v>
      </c>
      <c r="H13" s="31"/>
      <c r="I13" s="31">
        <v>324</v>
      </c>
      <c r="J13" s="10">
        <f>LMpielik_6_LMZino!E12</f>
        <v>104.06</v>
      </c>
      <c r="K13" s="10">
        <f>H13*J13</f>
        <v>0</v>
      </c>
      <c r="L13" s="10">
        <f>G13*J13</f>
        <v>33715.440000000002</v>
      </c>
      <c r="M13" s="185"/>
      <c r="N13" s="185"/>
      <c r="O13" s="77">
        <f>D13+F13-I13</f>
        <v>0</v>
      </c>
      <c r="P13" s="76">
        <f t="shared" si="0"/>
        <v>0</v>
      </c>
      <c r="Q13" s="4">
        <v>12</v>
      </c>
      <c r="R13" s="104">
        <f>J13/1.12</f>
        <v>92.910714285714278</v>
      </c>
      <c r="S13" s="105">
        <f>J13-R13</f>
        <v>11.149285714285725</v>
      </c>
      <c r="T13" s="11">
        <f>S13*G13</f>
        <v>3612.3685714285748</v>
      </c>
    </row>
    <row r="14" spans="1:20" ht="15.75" x14ac:dyDescent="0.25">
      <c r="A14" s="22">
        <v>2</v>
      </c>
      <c r="B14" s="22" t="s">
        <v>15</v>
      </c>
      <c r="C14" s="31">
        <f>LMpielik_3_LMZino!P14</f>
        <v>0</v>
      </c>
      <c r="D14" s="31">
        <f>LMpielik_3_LMZino!O14</f>
        <v>124</v>
      </c>
      <c r="E14" s="31">
        <f>LMpielik_5_LMZino!H13</f>
        <v>25</v>
      </c>
      <c r="F14" s="67">
        <f t="shared" si="4"/>
        <v>300</v>
      </c>
      <c r="G14" s="31">
        <v>424</v>
      </c>
      <c r="H14" s="67"/>
      <c r="I14" s="82">
        <v>424</v>
      </c>
      <c r="J14" s="10">
        <f>LMpielik_6_LMZino!E14</f>
        <v>110</v>
      </c>
      <c r="K14" s="10">
        <f t="shared" ref="K14:K39" si="5">H14*J14</f>
        <v>0</v>
      </c>
      <c r="L14" s="10">
        <f t="shared" ref="L14:L39" si="6">G14*J14</f>
        <v>46640</v>
      </c>
      <c r="M14" s="185"/>
      <c r="N14" s="185"/>
      <c r="O14" s="77">
        <f t="shared" ref="O14:O39" si="7">D14+F14-I14</f>
        <v>0</v>
      </c>
      <c r="P14" s="76">
        <f t="shared" si="0"/>
        <v>0</v>
      </c>
      <c r="Q14" s="4">
        <v>12</v>
      </c>
      <c r="R14" s="104">
        <f t="shared" ref="R14:R15" si="8">J14/1.12</f>
        <v>98.214285714285708</v>
      </c>
      <c r="S14" s="105">
        <f t="shared" ref="S14:S39" si="9">J14-R14</f>
        <v>11.785714285714292</v>
      </c>
      <c r="T14" s="11">
        <f t="shared" ref="T14:T17" si="10">S14*G14</f>
        <v>4997.1428571428596</v>
      </c>
    </row>
    <row r="15" spans="1:20" ht="63" x14ac:dyDescent="0.25">
      <c r="A15" s="2">
        <v>3</v>
      </c>
      <c r="B15" s="2" t="s">
        <v>27</v>
      </c>
      <c r="C15" s="31">
        <f>LMpielik_3_LMZino!P15</f>
        <v>0</v>
      </c>
      <c r="D15" s="31">
        <f>LMpielik_3_LMZino!O15</f>
        <v>0</v>
      </c>
      <c r="E15" s="31">
        <f>LMpielik_5_LMZino!H15</f>
        <v>61</v>
      </c>
      <c r="F15" s="31">
        <f t="shared" si="4"/>
        <v>732</v>
      </c>
      <c r="G15" s="31">
        <v>732</v>
      </c>
      <c r="H15" s="31"/>
      <c r="I15" s="31">
        <f>F15</f>
        <v>732</v>
      </c>
      <c r="J15" s="10">
        <f>LMpielik_6_LMZino!E15</f>
        <v>31.1</v>
      </c>
      <c r="K15" s="10">
        <f t="shared" si="5"/>
        <v>0</v>
      </c>
      <c r="L15" s="10">
        <f t="shared" si="6"/>
        <v>22765.200000000001</v>
      </c>
      <c r="M15" s="185"/>
      <c r="N15" s="185"/>
      <c r="O15" s="77">
        <f t="shared" si="7"/>
        <v>0</v>
      </c>
      <c r="P15" s="76">
        <f t="shared" si="0"/>
        <v>0</v>
      </c>
      <c r="Q15" s="4">
        <v>12</v>
      </c>
      <c r="R15" s="104">
        <f t="shared" si="8"/>
        <v>27.767857142857142</v>
      </c>
      <c r="S15" s="105">
        <f t="shared" si="9"/>
        <v>3.3321428571428591</v>
      </c>
      <c r="T15" s="11">
        <f t="shared" si="10"/>
        <v>2439.1285714285727</v>
      </c>
    </row>
    <row r="16" spans="1:20" ht="31.5" x14ac:dyDescent="0.25">
      <c r="A16" s="2">
        <v>4</v>
      </c>
      <c r="B16" s="2" t="s">
        <v>43</v>
      </c>
      <c r="C16" s="31">
        <f>LMpielik_3_LMZino!P16</f>
        <v>0</v>
      </c>
      <c r="D16" s="31">
        <f>LMpielik_3_LMZino!O16</f>
        <v>0</v>
      </c>
      <c r="E16" s="31">
        <f>LMpielik_5_LMZino!H17</f>
        <v>29</v>
      </c>
      <c r="F16" s="31">
        <f t="shared" si="4"/>
        <v>348</v>
      </c>
      <c r="G16" s="31">
        <v>348</v>
      </c>
      <c r="H16" s="31">
        <v>0</v>
      </c>
      <c r="I16" s="31">
        <f>G16+H16</f>
        <v>348</v>
      </c>
      <c r="J16" s="10">
        <f>LMpielik_6_LMZino!E17</f>
        <v>54.45</v>
      </c>
      <c r="K16" s="10">
        <f t="shared" si="5"/>
        <v>0</v>
      </c>
      <c r="L16" s="10">
        <f t="shared" si="6"/>
        <v>18948.600000000002</v>
      </c>
      <c r="M16" s="185"/>
      <c r="N16" s="185"/>
      <c r="O16" s="77">
        <f>D16+F16-I16</f>
        <v>0</v>
      </c>
      <c r="P16" s="76">
        <f t="shared" si="0"/>
        <v>0</v>
      </c>
      <c r="Q16" s="4">
        <v>21</v>
      </c>
      <c r="R16" s="104">
        <f>J16/1.21</f>
        <v>45.000000000000007</v>
      </c>
      <c r="S16" s="105">
        <f t="shared" si="9"/>
        <v>9.4499999999999957</v>
      </c>
      <c r="T16" s="11">
        <f t="shared" si="10"/>
        <v>3288.5999999999985</v>
      </c>
    </row>
    <row r="17" spans="1:20" ht="15.75" x14ac:dyDescent="0.25">
      <c r="A17" s="22">
        <v>5</v>
      </c>
      <c r="B17" s="22" t="s">
        <v>16</v>
      </c>
      <c r="C17" s="31">
        <f>LMpielik_3_LMZino!P17</f>
        <v>0</v>
      </c>
      <c r="D17" s="31">
        <f>LMpielik_3_LMZino!O17</f>
        <v>11</v>
      </c>
      <c r="E17" s="31">
        <f>LMpielik_5_LMZino!H19</f>
        <v>12</v>
      </c>
      <c r="F17" s="67">
        <f t="shared" si="4"/>
        <v>144</v>
      </c>
      <c r="G17" s="31">
        <v>155</v>
      </c>
      <c r="H17" s="67">
        <v>0</v>
      </c>
      <c r="I17" s="31">
        <v>155</v>
      </c>
      <c r="J17" s="10">
        <f>LMpielik_6_LMZino!E19</f>
        <v>21</v>
      </c>
      <c r="K17" s="10">
        <f t="shared" si="5"/>
        <v>0</v>
      </c>
      <c r="L17" s="10">
        <f t="shared" si="6"/>
        <v>3255</v>
      </c>
      <c r="M17" s="185"/>
      <c r="N17" s="185"/>
      <c r="O17" s="77">
        <f t="shared" si="7"/>
        <v>0</v>
      </c>
      <c r="P17" s="76">
        <f t="shared" si="0"/>
        <v>0</v>
      </c>
      <c r="Q17" s="4">
        <v>21</v>
      </c>
      <c r="R17" s="104">
        <f>J17/1.21</f>
        <v>17.355371900826448</v>
      </c>
      <c r="S17" s="105">
        <f t="shared" si="9"/>
        <v>3.644628099173552</v>
      </c>
      <c r="T17" s="11">
        <f t="shared" si="10"/>
        <v>564.91735537190061</v>
      </c>
    </row>
    <row r="18" spans="1:20" ht="21.75" customHeight="1" x14ac:dyDescent="0.25">
      <c r="A18" s="187" t="s">
        <v>4</v>
      </c>
      <c r="B18" s="188"/>
      <c r="C18" s="32">
        <f t="shared" ref="C18:E18" si="11">SUM(C19:C27)</f>
        <v>0</v>
      </c>
      <c r="D18" s="32">
        <f t="shared" si="11"/>
        <v>160</v>
      </c>
      <c r="E18" s="32">
        <f t="shared" si="11"/>
        <v>165</v>
      </c>
      <c r="F18" s="32">
        <f t="shared" ref="F18:L18" si="12">SUM(F19:F27)</f>
        <v>1980</v>
      </c>
      <c r="G18" s="32">
        <f t="shared" si="12"/>
        <v>1560</v>
      </c>
      <c r="H18" s="32">
        <f t="shared" si="12"/>
        <v>580</v>
      </c>
      <c r="I18" s="32">
        <f t="shared" si="12"/>
        <v>2140</v>
      </c>
      <c r="J18" s="75" t="s">
        <v>28</v>
      </c>
      <c r="K18" s="18">
        <f t="shared" si="12"/>
        <v>9762.2999999999993</v>
      </c>
      <c r="L18" s="18">
        <f t="shared" si="12"/>
        <v>264944.40000000002</v>
      </c>
      <c r="M18" s="185"/>
      <c r="N18" s="185"/>
      <c r="O18" s="100">
        <f t="shared" ref="O18" si="13">SUM(O19:O27)</f>
        <v>0</v>
      </c>
      <c r="P18" s="100">
        <f t="shared" si="0"/>
        <v>0</v>
      </c>
      <c r="Q18" s="106"/>
      <c r="R18" s="107"/>
      <c r="S18" s="106"/>
      <c r="T18" s="102">
        <f t="shared" ref="T18" si="14">SUM(T19:T27)</f>
        <v>45360.480283353019</v>
      </c>
    </row>
    <row r="19" spans="1:20" ht="31.5" x14ac:dyDescent="0.25">
      <c r="A19" s="2">
        <v>1</v>
      </c>
      <c r="B19" s="2" t="s">
        <v>17</v>
      </c>
      <c r="C19" s="31">
        <f>LMpielik_3_LMZino!P19</f>
        <v>0</v>
      </c>
      <c r="D19" s="31">
        <f>LMpielik_3_LMZino!O19</f>
        <v>0</v>
      </c>
      <c r="E19" s="31">
        <f>LMpielik_5_LMZino!H21</f>
        <v>11</v>
      </c>
      <c r="F19" s="33">
        <f t="shared" si="4"/>
        <v>132</v>
      </c>
      <c r="G19" s="31">
        <f>D19+F19</f>
        <v>132</v>
      </c>
      <c r="H19" s="33"/>
      <c r="I19" s="33">
        <f>G19</f>
        <v>132</v>
      </c>
      <c r="J19" s="10">
        <f>LMpielik_6_LMZino!E20</f>
        <v>30</v>
      </c>
      <c r="K19" s="10">
        <f t="shared" si="5"/>
        <v>0</v>
      </c>
      <c r="L19" s="10">
        <f t="shared" si="6"/>
        <v>3960</v>
      </c>
      <c r="M19" s="185"/>
      <c r="N19" s="185"/>
      <c r="O19" s="77">
        <f t="shared" si="7"/>
        <v>0</v>
      </c>
      <c r="P19" s="76">
        <f t="shared" si="0"/>
        <v>0</v>
      </c>
      <c r="Q19" s="4">
        <v>12</v>
      </c>
      <c r="R19" s="104">
        <f>J19/1.12</f>
        <v>26.785714285714285</v>
      </c>
      <c r="S19" s="105">
        <f t="shared" si="9"/>
        <v>3.2142857142857153</v>
      </c>
      <c r="T19" s="11">
        <f>S19*G19</f>
        <v>424.28571428571445</v>
      </c>
    </row>
    <row r="20" spans="1:20" ht="15.75" x14ac:dyDescent="0.25">
      <c r="A20" s="2">
        <v>1</v>
      </c>
      <c r="B20" s="2" t="s">
        <v>18</v>
      </c>
      <c r="C20" s="31">
        <f>LMpielik_3_LMZino!P20</f>
        <v>0</v>
      </c>
      <c r="D20" s="31">
        <f>LMpielik_3_LMZino!O20</f>
        <v>0</v>
      </c>
      <c r="E20" s="31">
        <f>LMpielik_5_LMZino!H23</f>
        <v>9</v>
      </c>
      <c r="F20" s="33">
        <f t="shared" si="4"/>
        <v>108</v>
      </c>
      <c r="G20" s="31">
        <f t="shared" ref="G20:G25" si="15">D20+F20</f>
        <v>108</v>
      </c>
      <c r="H20" s="33"/>
      <c r="I20" s="33">
        <f t="shared" ref="I20:I25" si="16">G20</f>
        <v>108</v>
      </c>
      <c r="J20" s="10">
        <f>LMpielik_6_LMZino!E22</f>
        <v>50</v>
      </c>
      <c r="K20" s="10">
        <f t="shared" si="5"/>
        <v>0</v>
      </c>
      <c r="L20" s="10">
        <f t="shared" si="6"/>
        <v>5400</v>
      </c>
      <c r="M20" s="185"/>
      <c r="N20" s="185"/>
      <c r="O20" s="77">
        <f t="shared" si="7"/>
        <v>0</v>
      </c>
      <c r="P20" s="76">
        <f t="shared" si="0"/>
        <v>0</v>
      </c>
      <c r="Q20" s="4">
        <v>12</v>
      </c>
      <c r="R20" s="104">
        <f>J20/1.12</f>
        <v>44.642857142857139</v>
      </c>
      <c r="S20" s="105">
        <f t="shared" si="9"/>
        <v>5.3571428571428612</v>
      </c>
      <c r="T20" s="11">
        <f t="shared" ref="T20:T27" si="17">S20*G20</f>
        <v>578.57142857142901</v>
      </c>
    </row>
    <row r="21" spans="1:20" ht="15.75" x14ac:dyDescent="0.25">
      <c r="A21" s="2">
        <v>2</v>
      </c>
      <c r="B21" s="2" t="s">
        <v>0</v>
      </c>
      <c r="C21" s="31">
        <f>LMpielik_3_LMZino!P21</f>
        <v>0</v>
      </c>
      <c r="D21" s="31">
        <f>LMpielik_3_LMZino!O21</f>
        <v>0</v>
      </c>
      <c r="E21" s="31">
        <f>LMpielik_5_LMZino!H25</f>
        <v>41</v>
      </c>
      <c r="F21" s="33">
        <f t="shared" si="4"/>
        <v>492</v>
      </c>
      <c r="G21" s="31">
        <f t="shared" si="15"/>
        <v>492</v>
      </c>
      <c r="H21" s="33"/>
      <c r="I21" s="33">
        <f t="shared" si="16"/>
        <v>492</v>
      </c>
      <c r="J21" s="10">
        <f>LMpielik_6_LMZino!E24</f>
        <v>94.8</v>
      </c>
      <c r="K21" s="10">
        <f t="shared" si="5"/>
        <v>0</v>
      </c>
      <c r="L21" s="10">
        <f t="shared" si="6"/>
        <v>46641.599999999999</v>
      </c>
      <c r="M21" s="185"/>
      <c r="N21" s="185"/>
      <c r="O21" s="77">
        <f t="shared" si="7"/>
        <v>0</v>
      </c>
      <c r="P21" s="76">
        <f t="shared" si="0"/>
        <v>0</v>
      </c>
      <c r="Q21" s="4">
        <v>21</v>
      </c>
      <c r="R21" s="104">
        <f>J21/1.21</f>
        <v>78.347107438016522</v>
      </c>
      <c r="S21" s="105">
        <f t="shared" si="9"/>
        <v>16.452892561983475</v>
      </c>
      <c r="T21" s="11">
        <f t="shared" si="17"/>
        <v>8094.8231404958697</v>
      </c>
    </row>
    <row r="22" spans="1:20" ht="15.75" x14ac:dyDescent="0.25">
      <c r="A22" s="2">
        <v>3</v>
      </c>
      <c r="B22" s="2" t="s">
        <v>7</v>
      </c>
      <c r="C22" s="31">
        <f>LMpielik_3_LMZino!P22</f>
        <v>0</v>
      </c>
      <c r="D22" s="31">
        <f>LMpielik_3_LMZino!O22</f>
        <v>0</v>
      </c>
      <c r="E22" s="31">
        <f>LMpielik_5_LMZino!H27</f>
        <v>45</v>
      </c>
      <c r="F22" s="33">
        <f t="shared" si="4"/>
        <v>540</v>
      </c>
      <c r="G22" s="31">
        <f t="shared" si="15"/>
        <v>540</v>
      </c>
      <c r="H22" s="33"/>
      <c r="I22" s="33">
        <f t="shared" si="16"/>
        <v>540</v>
      </c>
      <c r="J22" s="10">
        <f>LMpielik_6_LMZino!E26</f>
        <v>334.2</v>
      </c>
      <c r="K22" s="10">
        <f>H22*J22</f>
        <v>0</v>
      </c>
      <c r="L22" s="10">
        <f t="shared" si="6"/>
        <v>180468</v>
      </c>
      <c r="M22" s="185"/>
      <c r="N22" s="185"/>
      <c r="O22" s="77">
        <f t="shared" si="7"/>
        <v>0</v>
      </c>
      <c r="P22" s="76">
        <f>C22+G22+H22-I22</f>
        <v>0</v>
      </c>
      <c r="Q22" s="4">
        <v>21</v>
      </c>
      <c r="R22" s="104">
        <f t="shared" ref="R22:R27" si="18">J22/1.21</f>
        <v>276.198347107438</v>
      </c>
      <c r="S22" s="105">
        <f t="shared" si="9"/>
        <v>58.001652892561992</v>
      </c>
      <c r="T22" s="11">
        <f t="shared" si="17"/>
        <v>31320.892561983477</v>
      </c>
    </row>
    <row r="23" spans="1:20" ht="47.25" x14ac:dyDescent="0.25">
      <c r="A23" s="8">
        <v>4</v>
      </c>
      <c r="B23" s="7" t="s">
        <v>8</v>
      </c>
      <c r="C23" s="31">
        <f>LMpielik_3_LMZino!P23</f>
        <v>0</v>
      </c>
      <c r="D23" s="31">
        <f>LMpielik_3_LMZino!O23</f>
        <v>0</v>
      </c>
      <c r="E23" s="31">
        <f>LMpielik_5_LMZino!H29</f>
        <v>2</v>
      </c>
      <c r="F23" s="33">
        <f t="shared" si="4"/>
        <v>24</v>
      </c>
      <c r="G23" s="31">
        <f t="shared" si="15"/>
        <v>24</v>
      </c>
      <c r="H23" s="33"/>
      <c r="I23" s="33">
        <f t="shared" si="16"/>
        <v>24</v>
      </c>
      <c r="J23" s="10">
        <f>LMpielik_6_LMZino!E28</f>
        <v>170</v>
      </c>
      <c r="K23" s="10">
        <f>H23*J23</f>
        <v>0</v>
      </c>
      <c r="L23" s="10">
        <f t="shared" si="6"/>
        <v>4080</v>
      </c>
      <c r="M23" s="185"/>
      <c r="N23" s="185"/>
      <c r="O23" s="77">
        <f t="shared" si="7"/>
        <v>0</v>
      </c>
      <c r="P23" s="76">
        <f>C23+G23+H23-I23</f>
        <v>0</v>
      </c>
      <c r="Q23" s="4">
        <v>21</v>
      </c>
      <c r="R23" s="104">
        <f t="shared" si="18"/>
        <v>140.49586776859505</v>
      </c>
      <c r="S23" s="105">
        <f t="shared" si="9"/>
        <v>29.504132231404952</v>
      </c>
      <c r="T23" s="11">
        <f t="shared" si="17"/>
        <v>708.09917355371886</v>
      </c>
    </row>
    <row r="24" spans="1:20" ht="31.5" x14ac:dyDescent="0.25">
      <c r="A24" s="22">
        <v>5</v>
      </c>
      <c r="B24" s="23" t="s">
        <v>19</v>
      </c>
      <c r="C24" s="31">
        <f>LMpielik_3_LMZino!P24</f>
        <v>0</v>
      </c>
      <c r="D24" s="31">
        <f>LMpielik_3_LMZino!O24</f>
        <v>78</v>
      </c>
      <c r="E24" s="31">
        <f>LMpielik_5_LMZino!H31</f>
        <v>18</v>
      </c>
      <c r="F24" s="67">
        <f t="shared" si="4"/>
        <v>216</v>
      </c>
      <c r="G24" s="67"/>
      <c r="H24" s="67">
        <v>294</v>
      </c>
      <c r="I24" s="83">
        <v>294</v>
      </c>
      <c r="J24" s="10">
        <f>LMpielik_6_LMZino!E30</f>
        <v>24.45</v>
      </c>
      <c r="K24" s="10">
        <f t="shared" si="5"/>
        <v>7188.3</v>
      </c>
      <c r="L24" s="10">
        <f t="shared" si="6"/>
        <v>0</v>
      </c>
      <c r="M24" s="185"/>
      <c r="N24" s="185"/>
      <c r="O24" s="77">
        <f t="shared" si="7"/>
        <v>0</v>
      </c>
      <c r="P24" s="76">
        <f t="shared" si="0"/>
        <v>0</v>
      </c>
      <c r="Q24" s="4">
        <v>21</v>
      </c>
      <c r="R24" s="104">
        <f t="shared" si="18"/>
        <v>20.206611570247933</v>
      </c>
      <c r="S24" s="105">
        <f t="shared" si="9"/>
        <v>4.2433884297520663</v>
      </c>
      <c r="T24" s="11">
        <f t="shared" si="17"/>
        <v>0</v>
      </c>
    </row>
    <row r="25" spans="1:20" ht="15.75" x14ac:dyDescent="0.25">
      <c r="A25" s="2">
        <v>6</v>
      </c>
      <c r="B25" s="9" t="s">
        <v>9</v>
      </c>
      <c r="C25" s="31">
        <f>LMpielik_3_LMZino!P25</f>
        <v>0</v>
      </c>
      <c r="D25" s="31">
        <f>LMpielik_3_LMZino!O25</f>
        <v>0</v>
      </c>
      <c r="E25" s="31">
        <f>LMpielik_5_LMZino!H33</f>
        <v>8</v>
      </c>
      <c r="F25" s="31">
        <f t="shared" si="4"/>
        <v>96</v>
      </c>
      <c r="G25" s="31">
        <f t="shared" si="15"/>
        <v>96</v>
      </c>
      <c r="H25" s="31"/>
      <c r="I25" s="33">
        <f t="shared" si="16"/>
        <v>96</v>
      </c>
      <c r="J25" s="10">
        <f>LMpielik_6_LMZino!E31</f>
        <v>180</v>
      </c>
      <c r="K25" s="10">
        <f t="shared" si="5"/>
        <v>0</v>
      </c>
      <c r="L25" s="10">
        <f t="shared" si="6"/>
        <v>17280</v>
      </c>
      <c r="M25" s="185"/>
      <c r="N25" s="185"/>
      <c r="O25" s="77">
        <f t="shared" si="7"/>
        <v>0</v>
      </c>
      <c r="P25" s="76">
        <f t="shared" si="0"/>
        <v>0</v>
      </c>
      <c r="Q25" s="4">
        <v>21</v>
      </c>
      <c r="R25" s="104">
        <f t="shared" si="18"/>
        <v>148.7603305785124</v>
      </c>
      <c r="S25" s="105">
        <f t="shared" si="9"/>
        <v>31.239669421487605</v>
      </c>
      <c r="T25" s="11">
        <f t="shared" si="17"/>
        <v>2999.0082644628101</v>
      </c>
    </row>
    <row r="26" spans="1:20" ht="15.75" x14ac:dyDescent="0.25">
      <c r="A26" s="2">
        <v>7</v>
      </c>
      <c r="B26" s="9" t="s">
        <v>1</v>
      </c>
      <c r="C26" s="31">
        <f>LMpielik_3_LMZino!P26</f>
        <v>0</v>
      </c>
      <c r="D26" s="31">
        <f>LMpielik_3_LMZino!O26</f>
        <v>0</v>
      </c>
      <c r="E26" s="31">
        <f>LMpielik_5_LMZino!H35</f>
        <v>14</v>
      </c>
      <c r="F26" s="31">
        <f t="shared" si="4"/>
        <v>168</v>
      </c>
      <c r="G26" s="31">
        <f>D26+F26-C26</f>
        <v>168</v>
      </c>
      <c r="H26" s="31"/>
      <c r="I26" s="33">
        <f>F26</f>
        <v>168</v>
      </c>
      <c r="J26" s="10">
        <f>LMpielik_6_LMZino!E33</f>
        <v>42.35</v>
      </c>
      <c r="K26" s="10">
        <f t="shared" si="5"/>
        <v>0</v>
      </c>
      <c r="L26" s="10">
        <f t="shared" si="6"/>
        <v>7114.8</v>
      </c>
      <c r="M26" s="185"/>
      <c r="N26" s="185"/>
      <c r="O26" s="77">
        <f t="shared" si="7"/>
        <v>0</v>
      </c>
      <c r="P26" s="76">
        <f t="shared" si="0"/>
        <v>0</v>
      </c>
      <c r="Q26" s="4">
        <v>21</v>
      </c>
      <c r="R26" s="104">
        <f t="shared" si="18"/>
        <v>35</v>
      </c>
      <c r="S26" s="105">
        <f t="shared" si="9"/>
        <v>7.3500000000000014</v>
      </c>
      <c r="T26" s="11">
        <f t="shared" si="17"/>
        <v>1234.8000000000002</v>
      </c>
    </row>
    <row r="27" spans="1:20" ht="15.75" x14ac:dyDescent="0.25">
      <c r="A27" s="22">
        <v>8</v>
      </c>
      <c r="B27" s="23" t="s">
        <v>20</v>
      </c>
      <c r="C27" s="31">
        <f>LMpielik_3_LMZino!P27</f>
        <v>0</v>
      </c>
      <c r="D27" s="31">
        <f>LMpielik_3_LMZino!O27</f>
        <v>82</v>
      </c>
      <c r="E27" s="31">
        <f>LMpielik_5_LMZino!H37</f>
        <v>17</v>
      </c>
      <c r="F27" s="67">
        <f t="shared" si="4"/>
        <v>204</v>
      </c>
      <c r="G27" s="31"/>
      <c r="H27" s="67">
        <v>286</v>
      </c>
      <c r="I27" s="83">
        <v>286</v>
      </c>
      <c r="J27" s="10">
        <f>LMpielik_6_LMZino!E35</f>
        <v>9</v>
      </c>
      <c r="K27" s="10">
        <f t="shared" si="5"/>
        <v>2574</v>
      </c>
      <c r="L27" s="10">
        <f t="shared" si="6"/>
        <v>0</v>
      </c>
      <c r="M27" s="185"/>
      <c r="N27" s="185"/>
      <c r="O27" s="77">
        <f t="shared" si="7"/>
        <v>0</v>
      </c>
      <c r="P27" s="76">
        <f t="shared" si="0"/>
        <v>0</v>
      </c>
      <c r="Q27" s="4">
        <v>21</v>
      </c>
      <c r="R27" s="104">
        <f t="shared" si="18"/>
        <v>7.4380165289256199</v>
      </c>
      <c r="S27" s="105">
        <f t="shared" si="9"/>
        <v>1.5619834710743801</v>
      </c>
      <c r="T27" s="11">
        <f t="shared" si="17"/>
        <v>0</v>
      </c>
    </row>
    <row r="28" spans="1:20" ht="54" customHeight="1" x14ac:dyDescent="0.25">
      <c r="A28" s="187" t="s">
        <v>6</v>
      </c>
      <c r="B28" s="188"/>
      <c r="C28" s="32">
        <f t="shared" ref="C28:E28" si="19">SUM(C29:C39)</f>
        <v>26</v>
      </c>
      <c r="D28" s="32">
        <f t="shared" si="19"/>
        <v>108</v>
      </c>
      <c r="E28" s="32">
        <f t="shared" si="19"/>
        <v>58</v>
      </c>
      <c r="F28" s="32">
        <f t="shared" ref="F28:L28" si="20">SUM(F29:F39)</f>
        <v>684</v>
      </c>
      <c r="G28" s="32">
        <f t="shared" si="20"/>
        <v>560</v>
      </c>
      <c r="H28" s="32">
        <f t="shared" si="20"/>
        <v>220</v>
      </c>
      <c r="I28" s="32">
        <f t="shared" si="20"/>
        <v>792</v>
      </c>
      <c r="J28" s="75" t="s">
        <v>28</v>
      </c>
      <c r="K28" s="18">
        <f t="shared" si="20"/>
        <v>18382.09</v>
      </c>
      <c r="L28" s="18">
        <f t="shared" si="20"/>
        <v>124075.51</v>
      </c>
      <c r="M28" s="185"/>
      <c r="N28" s="185"/>
      <c r="O28" s="100">
        <f t="shared" ref="O28" si="21">SUM(O29:O39)</f>
        <v>0</v>
      </c>
      <c r="P28" s="100">
        <f t="shared" si="0"/>
        <v>14</v>
      </c>
      <c r="Q28" s="106"/>
      <c r="R28" s="107"/>
      <c r="S28" s="106"/>
      <c r="T28" s="102">
        <f t="shared" ref="T28" si="22">SUM(T29:T39)</f>
        <v>20742.83939787485</v>
      </c>
    </row>
    <row r="29" spans="1:20" ht="31.5" x14ac:dyDescent="0.25">
      <c r="A29" s="2">
        <v>1</v>
      </c>
      <c r="B29" s="9" t="s">
        <v>11</v>
      </c>
      <c r="C29" s="31">
        <f>LMpielik_3_LMZino!P29</f>
        <v>0</v>
      </c>
      <c r="D29" s="31">
        <f>LMpielik_3_LMZino!O29</f>
        <v>0</v>
      </c>
      <c r="E29" s="31">
        <f>LMpielik_5_LMZino!H39</f>
        <v>10</v>
      </c>
      <c r="F29" s="31">
        <f t="shared" si="4"/>
        <v>120</v>
      </c>
      <c r="G29" s="31">
        <f>D29+F29</f>
        <v>120</v>
      </c>
      <c r="H29" s="31"/>
      <c r="I29" s="31">
        <f>G29</f>
        <v>120</v>
      </c>
      <c r="J29" s="10">
        <f>LMpielik_6_LMZino!E36</f>
        <v>35.380000000000003</v>
      </c>
      <c r="K29" s="10">
        <f t="shared" si="5"/>
        <v>0</v>
      </c>
      <c r="L29" s="10">
        <f t="shared" si="6"/>
        <v>4245.6000000000004</v>
      </c>
      <c r="M29" s="185"/>
      <c r="N29" s="185"/>
      <c r="O29" s="77">
        <f t="shared" si="7"/>
        <v>0</v>
      </c>
      <c r="P29" s="76">
        <f t="shared" si="0"/>
        <v>0</v>
      </c>
      <c r="Q29" s="4">
        <v>12</v>
      </c>
      <c r="R29" s="104">
        <f>J29/1.12</f>
        <v>31.589285714285715</v>
      </c>
      <c r="S29" s="105">
        <f t="shared" si="9"/>
        <v>3.7907142857142873</v>
      </c>
      <c r="T29" s="11">
        <f>S29*G29</f>
        <v>454.88571428571447</v>
      </c>
    </row>
    <row r="30" spans="1:20" ht="31.5" x14ac:dyDescent="0.25">
      <c r="A30" s="2">
        <v>1</v>
      </c>
      <c r="B30" s="9" t="s">
        <v>12</v>
      </c>
      <c r="C30" s="31">
        <f>LMpielik_3_LMZino!P30</f>
        <v>0</v>
      </c>
      <c r="D30" s="31">
        <f>LMpielik_3_LMZino!O30</f>
        <v>1</v>
      </c>
      <c r="E30" s="31">
        <f>LMpielik_5_LMZino!H41</f>
        <v>5</v>
      </c>
      <c r="F30" s="31">
        <f t="shared" si="4"/>
        <v>60</v>
      </c>
      <c r="G30" s="31">
        <v>61</v>
      </c>
      <c r="H30" s="31"/>
      <c r="I30" s="31">
        <v>61</v>
      </c>
      <c r="J30" s="10">
        <f>LMpielik_6_LMZino!E38</f>
        <v>44</v>
      </c>
      <c r="K30" s="10">
        <f t="shared" si="5"/>
        <v>0</v>
      </c>
      <c r="L30" s="10">
        <f t="shared" si="6"/>
        <v>2684</v>
      </c>
      <c r="M30" s="185"/>
      <c r="N30" s="185"/>
      <c r="O30" s="77">
        <f t="shared" si="7"/>
        <v>0</v>
      </c>
      <c r="P30" s="76">
        <f t="shared" si="0"/>
        <v>0</v>
      </c>
      <c r="Q30" s="4">
        <v>12</v>
      </c>
      <c r="R30" s="104">
        <f>J30/1.12</f>
        <v>39.285714285714285</v>
      </c>
      <c r="S30" s="105">
        <f t="shared" si="9"/>
        <v>4.7142857142857153</v>
      </c>
      <c r="T30" s="11">
        <f t="shared" ref="T30:T39" si="23">S30*G30</f>
        <v>287.57142857142861</v>
      </c>
    </row>
    <row r="31" spans="1:20" ht="31.5" x14ac:dyDescent="0.25">
      <c r="A31" s="2">
        <v>2</v>
      </c>
      <c r="B31" s="9" t="s">
        <v>22</v>
      </c>
      <c r="C31" s="31">
        <f>LMpielik_3_LMZino!P31</f>
        <v>0</v>
      </c>
      <c r="D31" s="31">
        <f>LMpielik_3_LMZino!O31</f>
        <v>0</v>
      </c>
      <c r="E31" s="31">
        <f>LMpielik_5_LMZino!H43</f>
        <v>12</v>
      </c>
      <c r="F31" s="31">
        <f t="shared" si="4"/>
        <v>144</v>
      </c>
      <c r="G31" s="31">
        <f t="shared" ref="G31:G35" si="24">D31+F31</f>
        <v>144</v>
      </c>
      <c r="H31" s="31"/>
      <c r="I31" s="31">
        <f t="shared" ref="I31:I35" si="25">G31</f>
        <v>144</v>
      </c>
      <c r="J31" s="10">
        <f>LMpielik_6_LMZino!E40</f>
        <v>381.45</v>
      </c>
      <c r="K31" s="10">
        <f t="shared" si="5"/>
        <v>0</v>
      </c>
      <c r="L31" s="10">
        <f t="shared" si="6"/>
        <v>54928.799999999996</v>
      </c>
      <c r="M31" s="185"/>
      <c r="N31" s="185"/>
      <c r="O31" s="77">
        <f t="shared" si="7"/>
        <v>0</v>
      </c>
      <c r="P31" s="76">
        <f t="shared" si="0"/>
        <v>0</v>
      </c>
      <c r="Q31" s="4">
        <v>21</v>
      </c>
      <c r="R31" s="104">
        <f>J31/1.21</f>
        <v>315.24793388429754</v>
      </c>
      <c r="S31" s="105">
        <f t="shared" si="9"/>
        <v>66.202066115702451</v>
      </c>
      <c r="T31" s="11">
        <f t="shared" si="23"/>
        <v>9533.0975206611529</v>
      </c>
    </row>
    <row r="32" spans="1:20" ht="15.75" x14ac:dyDescent="0.25">
      <c r="A32" s="2">
        <v>3</v>
      </c>
      <c r="B32" s="1" t="s">
        <v>29</v>
      </c>
      <c r="C32" s="31">
        <f>LMpielik_3_LMZino!P32</f>
        <v>0</v>
      </c>
      <c r="D32" s="31">
        <f>LMpielik_3_LMZino!O32</f>
        <v>0</v>
      </c>
      <c r="E32" s="31">
        <f>LMpielik_5_LMZino!H45</f>
        <v>1</v>
      </c>
      <c r="F32" s="31"/>
      <c r="G32" s="31">
        <f t="shared" si="24"/>
        <v>0</v>
      </c>
      <c r="H32" s="31"/>
      <c r="I32" s="31">
        <f t="shared" si="25"/>
        <v>0</v>
      </c>
      <c r="J32" s="10">
        <f>LMpielik_6_LMZino!E42</f>
        <v>658.6</v>
      </c>
      <c r="K32" s="10">
        <f t="shared" si="5"/>
        <v>0</v>
      </c>
      <c r="L32" s="10">
        <f t="shared" si="6"/>
        <v>0</v>
      </c>
      <c r="M32" s="185"/>
      <c r="N32" s="185"/>
      <c r="O32" s="77">
        <f t="shared" si="7"/>
        <v>0</v>
      </c>
      <c r="P32" s="76">
        <f t="shared" si="0"/>
        <v>0</v>
      </c>
      <c r="Q32" s="4">
        <v>21</v>
      </c>
      <c r="R32" s="104">
        <f t="shared" ref="R32:R37" si="26">J32/1.21</f>
        <v>544.29752066115702</v>
      </c>
      <c r="S32" s="105">
        <f t="shared" si="9"/>
        <v>114.302479338843</v>
      </c>
      <c r="T32" s="11">
        <f t="shared" si="23"/>
        <v>0</v>
      </c>
    </row>
    <row r="33" spans="1:20" ht="63" x14ac:dyDescent="0.25">
      <c r="A33" s="2">
        <v>4</v>
      </c>
      <c r="B33" s="12" t="s">
        <v>13</v>
      </c>
      <c r="C33" s="31">
        <f>LMpielik_3_LMZino!P33</f>
        <v>26</v>
      </c>
      <c r="D33" s="31">
        <f>LMpielik_3_LMZino!O33</f>
        <v>0</v>
      </c>
      <c r="E33" s="31">
        <f>LMpielik_5_LMZino!H47</f>
        <v>1</v>
      </c>
      <c r="F33" s="31">
        <f t="shared" si="4"/>
        <v>12</v>
      </c>
      <c r="G33" s="31">
        <v>0</v>
      </c>
      <c r="H33" s="31"/>
      <c r="I33" s="31">
        <v>12</v>
      </c>
      <c r="J33" s="10">
        <f>LMpielik_6_LMZino!E44</f>
        <v>442.37</v>
      </c>
      <c r="K33" s="10">
        <f t="shared" si="5"/>
        <v>0</v>
      </c>
      <c r="L33" s="10">
        <f t="shared" si="6"/>
        <v>0</v>
      </c>
      <c r="M33" s="185"/>
      <c r="N33" s="185"/>
      <c r="O33" s="77">
        <f t="shared" si="7"/>
        <v>0</v>
      </c>
      <c r="P33" s="76">
        <f t="shared" si="0"/>
        <v>14</v>
      </c>
      <c r="Q33" s="4">
        <v>21</v>
      </c>
      <c r="R33" s="104">
        <f t="shared" si="26"/>
        <v>365.59504132231405</v>
      </c>
      <c r="S33" s="105">
        <f t="shared" si="9"/>
        <v>76.774958677685959</v>
      </c>
      <c r="T33" s="11">
        <f t="shared" si="23"/>
        <v>0</v>
      </c>
    </row>
    <row r="34" spans="1:20" ht="15.75" x14ac:dyDescent="0.25">
      <c r="A34" s="2">
        <v>5</v>
      </c>
      <c r="B34" s="23" t="s">
        <v>25</v>
      </c>
      <c r="C34" s="31">
        <f>LMpielik_3_LMZino!P34</f>
        <v>0</v>
      </c>
      <c r="D34" s="31">
        <f>LMpielik_3_LMZino!O34</f>
        <v>8</v>
      </c>
      <c r="E34" s="31">
        <f>LMpielik_5_LMZino!H49</f>
        <v>8</v>
      </c>
      <c r="F34" s="67">
        <f t="shared" si="4"/>
        <v>96</v>
      </c>
      <c r="G34" s="31">
        <v>65</v>
      </c>
      <c r="H34" s="67">
        <v>39</v>
      </c>
      <c r="I34" s="31">
        <v>104</v>
      </c>
      <c r="J34" s="10">
        <f>LMpielik_6_LMZino!E46</f>
        <v>168.19</v>
      </c>
      <c r="K34" s="10">
        <f t="shared" si="5"/>
        <v>6559.41</v>
      </c>
      <c r="L34" s="10">
        <f t="shared" si="6"/>
        <v>10932.35</v>
      </c>
      <c r="M34" s="185"/>
      <c r="N34" s="185"/>
      <c r="O34" s="77">
        <f t="shared" si="7"/>
        <v>0</v>
      </c>
      <c r="P34" s="76">
        <f t="shared" si="0"/>
        <v>0</v>
      </c>
      <c r="Q34" s="4">
        <v>21</v>
      </c>
      <c r="R34" s="104">
        <f t="shared" si="26"/>
        <v>139</v>
      </c>
      <c r="S34" s="105">
        <f t="shared" si="9"/>
        <v>29.189999999999998</v>
      </c>
      <c r="T34" s="11">
        <f t="shared" si="23"/>
        <v>1897.35</v>
      </c>
    </row>
    <row r="35" spans="1:20" ht="31.5" x14ac:dyDescent="0.25">
      <c r="A35" s="2">
        <v>6</v>
      </c>
      <c r="B35" s="9" t="s">
        <v>24</v>
      </c>
      <c r="C35" s="31">
        <f>LMpielik_3_LMZino!P35</f>
        <v>0</v>
      </c>
      <c r="D35" s="31">
        <f>LMpielik_3_LMZino!O35</f>
        <v>0</v>
      </c>
      <c r="E35" s="31">
        <f>LMpielik_5_LMZino!H51</f>
        <v>3</v>
      </c>
      <c r="F35" s="31">
        <f t="shared" si="4"/>
        <v>36</v>
      </c>
      <c r="G35" s="31">
        <f t="shared" si="24"/>
        <v>36</v>
      </c>
      <c r="H35" s="31"/>
      <c r="I35" s="31">
        <f t="shared" si="25"/>
        <v>36</v>
      </c>
      <c r="J35" s="10">
        <f>LMpielik_6_LMZino!E47</f>
        <v>795.41</v>
      </c>
      <c r="K35" s="10">
        <f t="shared" si="5"/>
        <v>0</v>
      </c>
      <c r="L35" s="10">
        <f t="shared" si="6"/>
        <v>28634.76</v>
      </c>
      <c r="M35" s="185"/>
      <c r="N35" s="185"/>
      <c r="O35" s="77">
        <f t="shared" si="7"/>
        <v>0</v>
      </c>
      <c r="P35" s="76">
        <f t="shared" si="0"/>
        <v>0</v>
      </c>
      <c r="Q35" s="4">
        <v>21</v>
      </c>
      <c r="R35" s="104">
        <f t="shared" si="26"/>
        <v>657.36363636363637</v>
      </c>
      <c r="S35" s="105">
        <f t="shared" si="9"/>
        <v>138.04636363636359</v>
      </c>
      <c r="T35" s="11">
        <f t="shared" si="23"/>
        <v>4969.6690909090894</v>
      </c>
    </row>
    <row r="36" spans="1:20" ht="31.5" x14ac:dyDescent="0.25">
      <c r="A36" s="2">
        <v>7</v>
      </c>
      <c r="B36" s="23" t="s">
        <v>23</v>
      </c>
      <c r="C36" s="31">
        <f>LMpielik_3_LMZino!P36</f>
        <v>0</v>
      </c>
      <c r="D36" s="31">
        <f>LMpielik_3_LMZino!O36</f>
        <v>38</v>
      </c>
      <c r="E36" s="31">
        <f>LMpielik_5_LMZino!H53</f>
        <v>3</v>
      </c>
      <c r="F36" s="67">
        <f t="shared" si="4"/>
        <v>36</v>
      </c>
      <c r="G36" s="31">
        <v>62</v>
      </c>
      <c r="H36" s="67">
        <v>12</v>
      </c>
      <c r="I36" s="31">
        <v>74</v>
      </c>
      <c r="J36" s="10">
        <f>LMpielik_6_LMZino!E49</f>
        <v>285</v>
      </c>
      <c r="K36" s="10">
        <f t="shared" si="5"/>
        <v>3420</v>
      </c>
      <c r="L36" s="10">
        <f t="shared" si="6"/>
        <v>17670</v>
      </c>
      <c r="M36" s="185"/>
      <c r="N36" s="185"/>
      <c r="O36" s="77">
        <f t="shared" si="7"/>
        <v>0</v>
      </c>
      <c r="P36" s="76">
        <f t="shared" si="0"/>
        <v>0</v>
      </c>
      <c r="Q36" s="4">
        <v>21</v>
      </c>
      <c r="R36" s="104">
        <f t="shared" si="26"/>
        <v>235.53719008264463</v>
      </c>
      <c r="S36" s="105">
        <f t="shared" si="9"/>
        <v>49.462809917355372</v>
      </c>
      <c r="T36" s="11">
        <f t="shared" si="23"/>
        <v>3066.6942148760331</v>
      </c>
    </row>
    <row r="37" spans="1:20" ht="78.75" x14ac:dyDescent="0.25">
      <c r="A37" s="2">
        <v>8</v>
      </c>
      <c r="B37" s="23" t="s">
        <v>26</v>
      </c>
      <c r="C37" s="31">
        <f>LMpielik_3_LMZino!P37</f>
        <v>0</v>
      </c>
      <c r="D37" s="31">
        <f>LMpielik_3_LMZino!O37</f>
        <v>61</v>
      </c>
      <c r="E37" s="31">
        <f>LMpielik_5_LMZino!H55</f>
        <v>9</v>
      </c>
      <c r="F37" s="67">
        <f t="shared" si="4"/>
        <v>108</v>
      </c>
      <c r="G37" s="31">
        <v>0</v>
      </c>
      <c r="H37" s="67">
        <v>169</v>
      </c>
      <c r="I37" s="31">
        <v>169</v>
      </c>
      <c r="J37" s="10">
        <f>LMpielik_6_LMZino!E50</f>
        <v>49.72</v>
      </c>
      <c r="K37" s="10">
        <f t="shared" si="5"/>
        <v>8402.68</v>
      </c>
      <c r="L37" s="10">
        <f t="shared" si="6"/>
        <v>0</v>
      </c>
      <c r="M37" s="185"/>
      <c r="N37" s="185"/>
      <c r="O37" s="77">
        <f t="shared" si="7"/>
        <v>0</v>
      </c>
      <c r="P37" s="76">
        <f t="shared" si="0"/>
        <v>0</v>
      </c>
      <c r="Q37" s="4">
        <v>21</v>
      </c>
      <c r="R37" s="104">
        <f t="shared" si="26"/>
        <v>41.090909090909093</v>
      </c>
      <c r="S37" s="105">
        <f t="shared" si="9"/>
        <v>8.6290909090909054</v>
      </c>
      <c r="T37" s="11">
        <f t="shared" si="23"/>
        <v>0</v>
      </c>
    </row>
    <row r="38" spans="1:20" ht="47.25" x14ac:dyDescent="0.25">
      <c r="A38" s="2">
        <v>9</v>
      </c>
      <c r="B38" s="9" t="s">
        <v>14</v>
      </c>
      <c r="C38" s="31">
        <f>LMpielik_3_LMZino!P38</f>
        <v>0</v>
      </c>
      <c r="D38" s="31">
        <f>LMpielik_3_LMZino!O38</f>
        <v>0</v>
      </c>
      <c r="E38" s="31">
        <f>LMpielik_5_LMZino!H57</f>
        <v>5</v>
      </c>
      <c r="F38" s="31">
        <f t="shared" si="4"/>
        <v>60</v>
      </c>
      <c r="G38" s="31">
        <v>60</v>
      </c>
      <c r="H38" s="31"/>
      <c r="I38" s="31">
        <v>60</v>
      </c>
      <c r="J38" s="10">
        <f>LMpielik_6_LMZino!E51</f>
        <v>57</v>
      </c>
      <c r="K38" s="10">
        <f t="shared" si="5"/>
        <v>0</v>
      </c>
      <c r="L38" s="10">
        <f t="shared" si="6"/>
        <v>3420</v>
      </c>
      <c r="M38" s="185"/>
      <c r="N38" s="185"/>
      <c r="O38" s="77">
        <f t="shared" si="7"/>
        <v>0</v>
      </c>
      <c r="P38" s="76">
        <f t="shared" si="0"/>
        <v>0</v>
      </c>
      <c r="Q38" s="4">
        <v>12</v>
      </c>
      <c r="R38" s="104">
        <f>J38/1.12</f>
        <v>50.892857142857139</v>
      </c>
      <c r="S38" s="105">
        <f t="shared" si="9"/>
        <v>6.1071428571428612</v>
      </c>
      <c r="T38" s="11">
        <f t="shared" si="23"/>
        <v>366.42857142857167</v>
      </c>
    </row>
    <row r="39" spans="1:20" ht="47.25" x14ac:dyDescent="0.25">
      <c r="A39" s="2">
        <v>10</v>
      </c>
      <c r="B39" s="12" t="s">
        <v>21</v>
      </c>
      <c r="C39" s="31">
        <f>LMpielik_3_LMZino!P39</f>
        <v>0</v>
      </c>
      <c r="D39" s="31">
        <f>LMpielik_3_LMZino!O39</f>
        <v>0</v>
      </c>
      <c r="E39" s="31">
        <f>LMpielik_5_LMZino!H59</f>
        <v>1</v>
      </c>
      <c r="F39" s="31">
        <f t="shared" si="4"/>
        <v>12</v>
      </c>
      <c r="G39" s="31">
        <v>12</v>
      </c>
      <c r="H39" s="31"/>
      <c r="I39" s="31">
        <v>12</v>
      </c>
      <c r="J39" s="10">
        <f>LMpielik_6_LMZino!E53</f>
        <v>130</v>
      </c>
      <c r="K39" s="10">
        <f t="shared" si="5"/>
        <v>0</v>
      </c>
      <c r="L39" s="10">
        <f t="shared" si="6"/>
        <v>1560</v>
      </c>
      <c r="M39" s="186"/>
      <c r="N39" s="186"/>
      <c r="O39" s="77">
        <f t="shared" si="7"/>
        <v>0</v>
      </c>
      <c r="P39" s="76">
        <f t="shared" si="0"/>
        <v>0</v>
      </c>
      <c r="Q39" s="4">
        <v>12</v>
      </c>
      <c r="R39" s="104">
        <f>J39/1.12</f>
        <v>116.07142857142856</v>
      </c>
      <c r="S39" s="105">
        <f t="shared" si="9"/>
        <v>13.928571428571445</v>
      </c>
      <c r="T39" s="11">
        <f t="shared" si="23"/>
        <v>167.14285714285734</v>
      </c>
    </row>
    <row r="40" spans="1:20" ht="15.75" x14ac:dyDescent="0.25">
      <c r="A40" s="2"/>
      <c r="B40" s="62" t="s">
        <v>40</v>
      </c>
      <c r="C40" s="20">
        <f>C28+C18+C12+C10</f>
        <v>26</v>
      </c>
      <c r="D40" s="20">
        <f t="shared" ref="D40:L40" si="27">D28+D18+D12+D10</f>
        <v>486</v>
      </c>
      <c r="E40" s="76">
        <f t="shared" si="27"/>
        <v>426</v>
      </c>
      <c r="F40" s="61">
        <f t="shared" si="27"/>
        <v>5100</v>
      </c>
      <c r="G40" s="20">
        <f t="shared" si="27"/>
        <v>4725</v>
      </c>
      <c r="H40" s="20">
        <f t="shared" si="27"/>
        <v>800</v>
      </c>
      <c r="I40" s="20">
        <f t="shared" si="27"/>
        <v>5537</v>
      </c>
      <c r="J40" s="6" t="s">
        <v>28</v>
      </c>
      <c r="K40" s="6">
        <f t="shared" si="27"/>
        <v>28144.39</v>
      </c>
      <c r="L40" s="6">
        <f t="shared" si="27"/>
        <v>862664.15</v>
      </c>
      <c r="M40" s="130">
        <v>314085</v>
      </c>
      <c r="N40" s="130">
        <f>L40-M40</f>
        <v>548579.15</v>
      </c>
      <c r="O40" s="61">
        <f t="shared" ref="O40:T40" si="28">O28+O18+O12+O10</f>
        <v>49</v>
      </c>
      <c r="P40" s="61">
        <f t="shared" si="28"/>
        <v>14</v>
      </c>
      <c r="Q40" s="61" t="s">
        <v>28</v>
      </c>
      <c r="R40" s="61" t="s">
        <v>28</v>
      </c>
      <c r="S40" s="61">
        <f t="shared" si="28"/>
        <v>60.000000000000057</v>
      </c>
      <c r="T40" s="6">
        <f t="shared" si="28"/>
        <v>118325.47703659983</v>
      </c>
    </row>
    <row r="41" spans="1:20" ht="15.75" x14ac:dyDescent="0.25">
      <c r="A41" s="4"/>
      <c r="B41" s="59" t="s">
        <v>59</v>
      </c>
      <c r="C41" s="65">
        <f>C14+C17+C24+C27+C34+C36+C37</f>
        <v>0</v>
      </c>
      <c r="D41" s="65">
        <f t="shared" ref="D41:L41" si="29">D14+D17+D24+D27+D34+D36+D37</f>
        <v>402</v>
      </c>
      <c r="E41" s="80">
        <f t="shared" si="29"/>
        <v>92</v>
      </c>
      <c r="F41" s="78">
        <f t="shared" si="29"/>
        <v>1104</v>
      </c>
      <c r="G41" s="65">
        <f t="shared" si="29"/>
        <v>706</v>
      </c>
      <c r="H41" s="65">
        <f t="shared" si="29"/>
        <v>800</v>
      </c>
      <c r="I41" s="65">
        <f t="shared" si="29"/>
        <v>1506</v>
      </c>
      <c r="J41" s="64" t="s">
        <v>28</v>
      </c>
      <c r="K41" s="64">
        <f t="shared" si="29"/>
        <v>28144.39</v>
      </c>
      <c r="L41" s="64">
        <f t="shared" si="29"/>
        <v>78497.350000000006</v>
      </c>
      <c r="M41" s="10" t="s">
        <v>28</v>
      </c>
      <c r="N41" s="10" t="s">
        <v>28</v>
      </c>
      <c r="O41" s="78">
        <f t="shared" ref="O41:P41" si="30">O14+O17+O24+O27+O34+O36+O37</f>
        <v>0</v>
      </c>
      <c r="P41" s="78">
        <f t="shared" si="30"/>
        <v>0</v>
      </c>
      <c r="Q41" s="61" t="s">
        <v>28</v>
      </c>
      <c r="R41" s="61" t="s">
        <v>28</v>
      </c>
      <c r="S41" s="78">
        <f t="shared" ref="S41:T41" si="31">S14+S17+S24+S27+S34+S36+S37</f>
        <v>108.51761511216057</v>
      </c>
      <c r="T41" s="64">
        <f t="shared" si="31"/>
        <v>10526.104427390794</v>
      </c>
    </row>
    <row r="42" spans="1:20" ht="15.75" x14ac:dyDescent="0.25">
      <c r="A42" s="4"/>
      <c r="B42" s="60" t="s">
        <v>60</v>
      </c>
      <c r="C42" s="63">
        <f>C10+C13+C15+C16+SUM(C19:C23)+C25+C26+SUM(C29:C33)+C35+C38+C39</f>
        <v>26</v>
      </c>
      <c r="D42" s="63">
        <f t="shared" ref="D42:L42" si="32">D10+D13+D15+D16+SUM(D19:D23)+D25+D26+SUM(D29:D33)+D35+D38+D39</f>
        <v>84</v>
      </c>
      <c r="E42" s="77">
        <f t="shared" si="32"/>
        <v>334</v>
      </c>
      <c r="F42" s="79">
        <f t="shared" si="32"/>
        <v>3996</v>
      </c>
      <c r="G42" s="63">
        <f t="shared" si="32"/>
        <v>4019</v>
      </c>
      <c r="H42" s="63">
        <f>H10+H13+H15+H16+SUM(H19:H23)+H25+H26+SUM(H29:H33)+H35+H38+H39</f>
        <v>0</v>
      </c>
      <c r="I42" s="63">
        <f t="shared" si="32"/>
        <v>4031</v>
      </c>
      <c r="J42" s="10" t="s">
        <v>28</v>
      </c>
      <c r="K42" s="10">
        <f t="shared" ref="K42" si="33">K10+K13+K15+K16+SUM(K19:K23)+K25+K26+SUM(K29:K33)+K35+K38+K39</f>
        <v>0</v>
      </c>
      <c r="L42" s="10">
        <f t="shared" si="32"/>
        <v>784166.8</v>
      </c>
      <c r="M42" s="10" t="s">
        <v>28</v>
      </c>
      <c r="N42" s="10" t="s">
        <v>28</v>
      </c>
      <c r="O42" s="79">
        <f t="shared" ref="O42:P42" si="34">O10+O13+O15+O16+SUM(O19:O23)+O25+O26+SUM(O29:O33)+O35+O38+O39</f>
        <v>49</v>
      </c>
      <c r="P42" s="79">
        <f t="shared" si="34"/>
        <v>14</v>
      </c>
      <c r="Q42" s="61" t="s">
        <v>28</v>
      </c>
      <c r="R42" s="61" t="s">
        <v>28</v>
      </c>
      <c r="S42" s="79">
        <f t="shared" ref="S42:T42" si="35">S10+S13+S15+S16+SUM(S19:S23)+S25+S26+SUM(S29:S33)+S35+S38+S39</f>
        <v>658.91778630460453</v>
      </c>
      <c r="T42" s="10">
        <f t="shared" si="35"/>
        <v>107799.37260920901</v>
      </c>
    </row>
    <row r="43" spans="1:20" ht="15.75" x14ac:dyDescent="0.25">
      <c r="A43" s="94"/>
      <c r="B43" s="47" t="s">
        <v>78</v>
      </c>
      <c r="C43" s="20" t="s">
        <v>28</v>
      </c>
      <c r="D43" s="20" t="s">
        <v>28</v>
      </c>
      <c r="E43" s="20" t="s">
        <v>28</v>
      </c>
      <c r="F43" s="20" t="s">
        <v>28</v>
      </c>
      <c r="G43" s="20" t="s">
        <v>28</v>
      </c>
      <c r="H43" s="20" t="s">
        <v>28</v>
      </c>
      <c r="I43" s="20" t="s">
        <v>28</v>
      </c>
      <c r="J43" s="20" t="s">
        <v>28</v>
      </c>
      <c r="K43" s="6">
        <v>0</v>
      </c>
      <c r="L43" s="6">
        <f>M43+N43</f>
        <v>52075.2598</v>
      </c>
      <c r="M43" s="6">
        <v>31408</v>
      </c>
      <c r="N43" s="130">
        <f>LMpielik_7_LMZino!E22</f>
        <v>20667.2598</v>
      </c>
      <c r="O43" s="61" t="s">
        <v>28</v>
      </c>
      <c r="P43" s="61" t="s">
        <v>28</v>
      </c>
      <c r="Q43" s="61" t="s">
        <v>28</v>
      </c>
      <c r="R43" s="61" t="s">
        <v>28</v>
      </c>
      <c r="S43" s="61" t="s">
        <v>28</v>
      </c>
      <c r="T43" s="61" t="s">
        <v>28</v>
      </c>
    </row>
    <row r="44" spans="1:20" ht="15.75" x14ac:dyDescent="0.25">
      <c r="A44" s="94"/>
      <c r="B44" s="132" t="s">
        <v>74</v>
      </c>
      <c r="C44" s="20" t="s">
        <v>28</v>
      </c>
      <c r="D44" s="20" t="s">
        <v>28</v>
      </c>
      <c r="E44" s="20" t="s">
        <v>28</v>
      </c>
      <c r="F44" s="20" t="s">
        <v>28</v>
      </c>
      <c r="G44" s="20" t="s">
        <v>28</v>
      </c>
      <c r="H44" s="20" t="s">
        <v>28</v>
      </c>
      <c r="I44" s="20" t="s">
        <v>28</v>
      </c>
      <c r="J44" s="20" t="s">
        <v>28</v>
      </c>
      <c r="K44" s="6">
        <f>K40+K43</f>
        <v>28144.39</v>
      </c>
      <c r="L44" s="6">
        <f>L40+L43</f>
        <v>914739.40980000002</v>
      </c>
      <c r="M44" s="6">
        <f>M40+M43</f>
        <v>345493</v>
      </c>
      <c r="N44" s="6">
        <f>N40+N43</f>
        <v>569246.40980000002</v>
      </c>
      <c r="O44" s="61" t="s">
        <v>28</v>
      </c>
      <c r="P44" s="61" t="s">
        <v>28</v>
      </c>
      <c r="Q44" s="61" t="s">
        <v>28</v>
      </c>
      <c r="R44" s="61" t="s">
        <v>28</v>
      </c>
      <c r="S44" s="61" t="s">
        <v>28</v>
      </c>
      <c r="T44" s="61" t="s">
        <v>28</v>
      </c>
    </row>
    <row r="45" spans="1:20" x14ac:dyDescent="0.25">
      <c r="J45" s="13"/>
      <c r="K45" s="13"/>
    </row>
    <row r="46" spans="1:20" ht="15.75" x14ac:dyDescent="0.25">
      <c r="B46" s="173" t="s">
        <v>132</v>
      </c>
      <c r="C46" s="173"/>
      <c r="D46" s="173"/>
      <c r="E46" s="173"/>
      <c r="F46" s="173"/>
      <c r="G46" s="173"/>
      <c r="H46" s="173"/>
      <c r="I46" s="173"/>
      <c r="J46" s="173"/>
      <c r="K46" s="173"/>
      <c r="L46" s="173"/>
      <c r="M46" s="173"/>
      <c r="N46" s="173"/>
    </row>
    <row r="47" spans="1:20" x14ac:dyDescent="0.25">
      <c r="K47" s="158"/>
    </row>
    <row r="48" spans="1:20" ht="15.75" x14ac:dyDescent="0.25">
      <c r="B48" s="1" t="s">
        <v>159</v>
      </c>
      <c r="C48" s="1"/>
      <c r="D48" s="1"/>
      <c r="E48" s="1"/>
      <c r="F48" s="1"/>
      <c r="G48" s="1"/>
      <c r="H48" s="1"/>
      <c r="I48" s="1"/>
      <c r="J48" s="1" t="s">
        <v>160</v>
      </c>
      <c r="K48" s="158"/>
    </row>
    <row r="49" spans="2:10" ht="15.75" x14ac:dyDescent="0.25">
      <c r="B49" s="1"/>
      <c r="C49" s="1"/>
      <c r="D49" s="1"/>
      <c r="E49" s="1"/>
      <c r="F49" s="1"/>
      <c r="G49" s="1"/>
      <c r="H49" s="1"/>
      <c r="I49" s="1"/>
      <c r="J49" s="1"/>
    </row>
    <row r="50" spans="2:10" ht="15.75" x14ac:dyDescent="0.25">
      <c r="B50" s="39" t="s">
        <v>193</v>
      </c>
      <c r="C50" s="39"/>
      <c r="D50" s="39"/>
      <c r="E50" s="1"/>
      <c r="F50" s="1"/>
      <c r="G50" s="1"/>
      <c r="H50" s="1"/>
      <c r="I50" s="1"/>
      <c r="J50" s="1"/>
    </row>
    <row r="51" spans="2:10" ht="15.75" x14ac:dyDescent="0.25">
      <c r="B51" s="39" t="s">
        <v>161</v>
      </c>
      <c r="C51" s="39"/>
      <c r="D51" s="39"/>
      <c r="E51" s="1"/>
      <c r="F51" s="1"/>
      <c r="G51" s="1"/>
      <c r="H51" s="1"/>
      <c r="I51" s="1"/>
      <c r="J51" s="1"/>
    </row>
    <row r="52" spans="2:10" ht="15.75" x14ac:dyDescent="0.25">
      <c r="B52" s="39" t="s">
        <v>162</v>
      </c>
      <c r="C52" s="39"/>
      <c r="D52" s="39"/>
      <c r="E52" s="1"/>
      <c r="F52" s="1"/>
      <c r="G52" s="1"/>
      <c r="H52" s="1"/>
      <c r="I52" s="1"/>
      <c r="J52" s="1"/>
    </row>
  </sheetData>
  <mergeCells count="22">
    <mergeCell ref="B46:N46"/>
    <mergeCell ref="S7:S8"/>
    <mergeCell ref="T7:T8"/>
    <mergeCell ref="M10:M39"/>
    <mergeCell ref="N10:N39"/>
    <mergeCell ref="A11:B11"/>
    <mergeCell ref="A12:B12"/>
    <mergeCell ref="A18:B18"/>
    <mergeCell ref="A28:B28"/>
    <mergeCell ref="R1:S1"/>
    <mergeCell ref="A5:O5"/>
    <mergeCell ref="A7:A8"/>
    <mergeCell ref="B7:B8"/>
    <mergeCell ref="C7:C8"/>
    <mergeCell ref="O7:O8"/>
    <mergeCell ref="P7:P8"/>
    <mergeCell ref="Q7:Q8"/>
    <mergeCell ref="R7:R8"/>
    <mergeCell ref="F4:H4"/>
    <mergeCell ref="P2:S2"/>
    <mergeCell ref="N3:S3"/>
    <mergeCell ref="D7:N7"/>
  </mergeCells>
  <pageMargins left="0.70866141732283472" right="0.70866141732283472" top="0.74803149606299213" bottom="0.74803149606299213" header="0.31496062992125984" footer="0.31496062992125984"/>
  <pageSetup paperSize="9" scale="50" orientation="landscape" r:id="rId1"/>
  <headerFooter>
    <oddFooter>&amp;CLMpielik_4_070815_LMZino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54" zoomScaleNormal="100" workbookViewId="0">
      <selection activeCell="C76" sqref="C76"/>
    </sheetView>
  </sheetViews>
  <sheetFormatPr defaultRowHeight="15" x14ac:dyDescent="0.25"/>
  <cols>
    <col min="1" max="1" width="3.5703125" customWidth="1"/>
    <col min="2" max="2" width="43.5703125" customWidth="1"/>
    <col min="3" max="3" width="10.140625" customWidth="1"/>
    <col min="4" max="4" width="10" customWidth="1"/>
    <col min="5" max="5" width="10.28515625" customWidth="1"/>
    <col min="6" max="6" width="11.85546875" customWidth="1"/>
    <col min="7" max="7" width="14.140625" customWidth="1"/>
    <col min="8" max="8" width="12.5703125" customWidth="1"/>
    <col min="9" max="9" width="12.42578125" hidden="1" customWidth="1"/>
    <col min="10" max="10" width="12.42578125" customWidth="1"/>
    <col min="11" max="11" width="5.140625" customWidth="1"/>
    <col min="12" max="12" width="6.140625" customWidth="1"/>
    <col min="13" max="13" width="6.5703125" customWidth="1"/>
    <col min="14" max="14" width="5.85546875" customWidth="1"/>
    <col min="15" max="15" width="6.7109375" customWidth="1"/>
    <col min="16" max="16" width="7.140625" customWidth="1"/>
    <col min="17" max="17" width="6.42578125" customWidth="1"/>
    <col min="18" max="18" width="6.85546875" customWidth="1"/>
    <col min="19" max="20" width="6" customWidth="1"/>
    <col min="21" max="21" width="7.5703125" customWidth="1"/>
    <col min="22" max="22" width="6" customWidth="1"/>
    <col min="23" max="23" width="7" customWidth="1"/>
    <col min="24" max="24" width="8.140625" customWidth="1"/>
    <col min="25" max="25" width="8" customWidth="1"/>
    <col min="26" max="26" width="11" customWidth="1"/>
    <col min="27" max="27" width="11.5703125" customWidth="1"/>
  </cols>
  <sheetData>
    <row r="1" spans="1:10" ht="15.75" x14ac:dyDescent="0.25">
      <c r="I1" s="198" t="s">
        <v>137</v>
      </c>
      <c r="J1" s="198"/>
    </row>
    <row r="2" spans="1:10" ht="15.75" x14ac:dyDescent="0.25">
      <c r="G2" s="178" t="s">
        <v>163</v>
      </c>
      <c r="H2" s="178"/>
      <c r="I2" s="178"/>
      <c r="J2" s="178"/>
    </row>
    <row r="3" spans="1:10" ht="36" customHeight="1" x14ac:dyDescent="0.25">
      <c r="C3" s="179" t="s">
        <v>169</v>
      </c>
      <c r="D3" s="179"/>
      <c r="E3" s="179"/>
      <c r="F3" s="179"/>
      <c r="G3" s="179"/>
      <c r="H3" s="179"/>
      <c r="I3" s="179"/>
      <c r="J3" s="179"/>
    </row>
    <row r="4" spans="1:10" ht="18.75" x14ac:dyDescent="0.3">
      <c r="B4" s="87" t="s">
        <v>152</v>
      </c>
      <c r="C4" s="87"/>
      <c r="D4" s="87"/>
      <c r="E4" s="87"/>
      <c r="F4" s="87"/>
      <c r="G4" s="87"/>
      <c r="H4" s="87"/>
    </row>
    <row r="6" spans="1:10" ht="15.75" customHeight="1" x14ac:dyDescent="0.25">
      <c r="A6" s="191" t="s">
        <v>32</v>
      </c>
      <c r="B6" s="205" t="s">
        <v>2</v>
      </c>
      <c r="C6" s="200" t="s">
        <v>48</v>
      </c>
      <c r="D6" s="201"/>
      <c r="E6" s="201"/>
      <c r="F6" s="202"/>
      <c r="G6" s="203" t="s">
        <v>49</v>
      </c>
      <c r="H6" s="204" t="s">
        <v>172</v>
      </c>
      <c r="I6" s="203" t="s">
        <v>50</v>
      </c>
      <c r="J6" s="203"/>
    </row>
    <row r="7" spans="1:10" ht="66.75" customHeight="1" x14ac:dyDescent="0.25">
      <c r="A7" s="192"/>
      <c r="B7" s="205"/>
      <c r="C7" s="3" t="s">
        <v>46</v>
      </c>
      <c r="D7" s="3" t="s">
        <v>45</v>
      </c>
      <c r="E7" s="3" t="s">
        <v>47</v>
      </c>
      <c r="F7" s="85" t="s">
        <v>170</v>
      </c>
      <c r="G7" s="203"/>
      <c r="H7" s="204"/>
      <c r="I7" s="40" t="s">
        <v>51</v>
      </c>
      <c r="J7" s="40" t="s">
        <v>52</v>
      </c>
    </row>
    <row r="8" spans="1:10" ht="51.75" x14ac:dyDescent="0.25">
      <c r="A8" s="86">
        <v>1</v>
      </c>
      <c r="B8" s="70">
        <v>2</v>
      </c>
      <c r="C8" s="69">
        <v>3</v>
      </c>
      <c r="D8" s="69">
        <v>4</v>
      </c>
      <c r="E8" s="69">
        <v>5</v>
      </c>
      <c r="F8" s="72">
        <v>6</v>
      </c>
      <c r="G8" s="71" t="s">
        <v>99</v>
      </c>
      <c r="H8" s="72" t="s">
        <v>171</v>
      </c>
      <c r="I8" s="73" t="s">
        <v>100</v>
      </c>
      <c r="J8" s="73" t="s">
        <v>101</v>
      </c>
    </row>
    <row r="9" spans="1:10" ht="15.75" x14ac:dyDescent="0.25">
      <c r="A9" s="2">
        <v>1</v>
      </c>
      <c r="B9" s="2" t="s">
        <v>33</v>
      </c>
      <c r="C9" s="50">
        <v>20</v>
      </c>
      <c r="D9" s="27">
        <v>39</v>
      </c>
      <c r="E9" s="27">
        <v>34</v>
      </c>
      <c r="F9" s="88">
        <v>47</v>
      </c>
      <c r="G9" s="53">
        <f>(C9+D9+E9+F9)/4</f>
        <v>35</v>
      </c>
      <c r="H9" s="53">
        <f>ROUND(G9*G10,0)</f>
        <v>49</v>
      </c>
      <c r="I9" s="55">
        <f>E9/D9</f>
        <v>0.87179487179487181</v>
      </c>
      <c r="J9" s="55">
        <f>E9/C9</f>
        <v>1.7</v>
      </c>
    </row>
    <row r="10" spans="1:10" ht="26.25" x14ac:dyDescent="0.25">
      <c r="A10" s="2"/>
      <c r="B10" s="51" t="s">
        <v>62</v>
      </c>
      <c r="C10" s="50"/>
      <c r="D10" s="52">
        <f>D9/C9</f>
        <v>1.95</v>
      </c>
      <c r="E10" s="52">
        <f>E9/D9</f>
        <v>0.87179487179487181</v>
      </c>
      <c r="F10" s="89">
        <f>F9/E9</f>
        <v>1.3823529411764706</v>
      </c>
      <c r="G10" s="52">
        <f>(D10+E10+F10)/3</f>
        <v>1.4013826043237809</v>
      </c>
      <c r="H10" s="48"/>
      <c r="I10" s="27"/>
      <c r="J10" s="27"/>
    </row>
    <row r="11" spans="1:10" ht="15.75" x14ac:dyDescent="0.25">
      <c r="A11" s="2">
        <v>2</v>
      </c>
      <c r="B11" s="2" t="s">
        <v>34</v>
      </c>
      <c r="C11" s="50">
        <v>30</v>
      </c>
      <c r="D11" s="27">
        <v>25</v>
      </c>
      <c r="E11" s="27">
        <v>20</v>
      </c>
      <c r="F11" s="88">
        <v>30</v>
      </c>
      <c r="G11" s="53">
        <f>(C11+D11+E11+F11)/4</f>
        <v>26.25</v>
      </c>
      <c r="H11" s="53">
        <f>ROUND(G11*G12,0)</f>
        <v>27</v>
      </c>
      <c r="I11" s="55">
        <f>E11/D11</f>
        <v>0.8</v>
      </c>
      <c r="J11" s="55">
        <f>E11/C11</f>
        <v>0.66666666666666663</v>
      </c>
    </row>
    <row r="12" spans="1:10" ht="26.25" x14ac:dyDescent="0.25">
      <c r="A12" s="2"/>
      <c r="B12" s="51" t="s">
        <v>62</v>
      </c>
      <c r="C12" s="50"/>
      <c r="D12" s="52">
        <f>D11/C11</f>
        <v>0.83333333333333337</v>
      </c>
      <c r="E12" s="52">
        <f>E11/D11</f>
        <v>0.8</v>
      </c>
      <c r="F12" s="89">
        <f>F11/E11</f>
        <v>1.5</v>
      </c>
      <c r="G12" s="52">
        <f>(D12+E12+F12)/3</f>
        <v>1.0444444444444445</v>
      </c>
      <c r="H12" s="48"/>
      <c r="I12" s="27"/>
      <c r="J12" s="27"/>
    </row>
    <row r="13" spans="1:10" ht="15.75" x14ac:dyDescent="0.25">
      <c r="A13" s="2">
        <v>3</v>
      </c>
      <c r="B13" s="22" t="s">
        <v>15</v>
      </c>
      <c r="C13" s="50">
        <v>0</v>
      </c>
      <c r="D13" s="27">
        <v>0</v>
      </c>
      <c r="E13" s="27">
        <v>23</v>
      </c>
      <c r="F13" s="90">
        <v>24</v>
      </c>
      <c r="G13" s="53">
        <f>(C13+D13+E13+F13)/2</f>
        <v>23.5</v>
      </c>
      <c r="H13" s="53">
        <f>ROUND(G13*G14,0)</f>
        <v>25</v>
      </c>
      <c r="I13" s="55">
        <v>0</v>
      </c>
      <c r="J13" s="55">
        <v>0</v>
      </c>
    </row>
    <row r="14" spans="1:10" ht="26.25" x14ac:dyDescent="0.25">
      <c r="A14" s="2"/>
      <c r="B14" s="51" t="s">
        <v>62</v>
      </c>
      <c r="C14" s="50">
        <v>0</v>
      </c>
      <c r="D14" s="27">
        <v>0</v>
      </c>
      <c r="E14" s="27">
        <v>0</v>
      </c>
      <c r="F14" s="89">
        <f>F13/E13</f>
        <v>1.0434782608695652</v>
      </c>
      <c r="G14" s="56">
        <f>F14</f>
        <v>1.0434782608695652</v>
      </c>
      <c r="H14" s="68"/>
      <c r="I14" s="55"/>
      <c r="J14" s="55"/>
    </row>
    <row r="15" spans="1:10" ht="15.75" x14ac:dyDescent="0.25">
      <c r="A15" s="2">
        <v>4</v>
      </c>
      <c r="B15" s="2" t="s">
        <v>35</v>
      </c>
      <c r="C15" s="50">
        <v>10</v>
      </c>
      <c r="D15" s="27">
        <v>11</v>
      </c>
      <c r="E15" s="27">
        <v>13</v>
      </c>
      <c r="F15" s="88">
        <v>66</v>
      </c>
      <c r="G15" s="53">
        <f>(C15+D15+E15+F15)/4</f>
        <v>25</v>
      </c>
      <c r="H15" s="53">
        <f>ROUND(G15*G16,0)</f>
        <v>61</v>
      </c>
      <c r="I15" s="55">
        <f>E15/D15</f>
        <v>1.1818181818181819</v>
      </c>
      <c r="J15" s="55">
        <f>E15/C15</f>
        <v>1.3</v>
      </c>
    </row>
    <row r="16" spans="1:10" ht="26.25" x14ac:dyDescent="0.25">
      <c r="A16" s="2"/>
      <c r="B16" s="51" t="s">
        <v>62</v>
      </c>
      <c r="C16" s="50"/>
      <c r="D16" s="52">
        <f>D15/C15</f>
        <v>1.1000000000000001</v>
      </c>
      <c r="E16" s="52">
        <f>E15/D15</f>
        <v>1.1818181818181819</v>
      </c>
      <c r="F16" s="89">
        <f>F15/E15</f>
        <v>5.0769230769230766</v>
      </c>
      <c r="G16" s="52">
        <f>(D16+E16+F16)/3</f>
        <v>2.4529137529137528</v>
      </c>
      <c r="H16" s="48"/>
      <c r="I16" s="27"/>
      <c r="J16" s="27"/>
    </row>
    <row r="17" spans="1:10" ht="15.75" x14ac:dyDescent="0.25">
      <c r="A17" s="2">
        <v>5</v>
      </c>
      <c r="B17" s="2" t="s">
        <v>43</v>
      </c>
      <c r="C17" s="50">
        <v>0</v>
      </c>
      <c r="D17" s="27">
        <v>0</v>
      </c>
      <c r="E17" s="27">
        <v>12</v>
      </c>
      <c r="F17" s="90">
        <v>40</v>
      </c>
      <c r="G17" s="53">
        <f>(C17+D17+E17+F17)/2</f>
        <v>26</v>
      </c>
      <c r="H17" s="53">
        <f>ROUND(G17*G18,0)</f>
        <v>29</v>
      </c>
      <c r="I17" s="55">
        <v>0</v>
      </c>
      <c r="J17" s="55">
        <v>0</v>
      </c>
    </row>
    <row r="18" spans="1:10" ht="26.25" x14ac:dyDescent="0.25">
      <c r="A18" s="2"/>
      <c r="B18" s="51" t="s">
        <v>62</v>
      </c>
      <c r="C18" s="50"/>
      <c r="D18" s="52">
        <v>0</v>
      </c>
      <c r="E18" s="52">
        <v>0</v>
      </c>
      <c r="F18" s="89">
        <f>F17/E17</f>
        <v>3.3333333333333335</v>
      </c>
      <c r="G18" s="52">
        <f>(D18+E18+F18)/3</f>
        <v>1.1111111111111112</v>
      </c>
      <c r="H18" s="48"/>
      <c r="I18" s="27"/>
      <c r="J18" s="27"/>
    </row>
    <row r="19" spans="1:10" ht="15.75" x14ac:dyDescent="0.25">
      <c r="A19" s="2">
        <v>6</v>
      </c>
      <c r="B19" s="22" t="s">
        <v>16</v>
      </c>
      <c r="C19" s="50">
        <v>0</v>
      </c>
      <c r="D19" s="27">
        <v>0</v>
      </c>
      <c r="E19" s="27">
        <v>3</v>
      </c>
      <c r="F19" s="90">
        <v>7</v>
      </c>
      <c r="G19" s="53">
        <f>(C19+D19+E19+F19)/2</f>
        <v>5</v>
      </c>
      <c r="H19" s="53">
        <f>ROUND(G19*G20,0)</f>
        <v>12</v>
      </c>
      <c r="I19" s="55">
        <v>0</v>
      </c>
      <c r="J19" s="55">
        <v>0</v>
      </c>
    </row>
    <row r="20" spans="1:10" ht="26.25" x14ac:dyDescent="0.25">
      <c r="A20" s="2"/>
      <c r="B20" s="51" t="s">
        <v>62</v>
      </c>
      <c r="C20" s="50"/>
      <c r="D20" s="27">
        <v>0</v>
      </c>
      <c r="E20" s="27">
        <v>0</v>
      </c>
      <c r="F20" s="89">
        <f>F19/E19</f>
        <v>2.3333333333333335</v>
      </c>
      <c r="G20" s="52">
        <f>F20</f>
        <v>2.3333333333333335</v>
      </c>
      <c r="H20" s="53"/>
      <c r="I20" s="55"/>
      <c r="J20" s="55"/>
    </row>
    <row r="21" spans="1:10" ht="23.25" customHeight="1" x14ac:dyDescent="0.25">
      <c r="A21" s="2">
        <v>7</v>
      </c>
      <c r="B21" s="2" t="s">
        <v>17</v>
      </c>
      <c r="C21" s="50">
        <v>1</v>
      </c>
      <c r="D21" s="27">
        <v>4</v>
      </c>
      <c r="E21" s="27">
        <v>4</v>
      </c>
      <c r="F21" s="88">
        <v>9</v>
      </c>
      <c r="G21" s="53">
        <f>(C21+D21+E21+F21)/4</f>
        <v>4.5</v>
      </c>
      <c r="H21" s="53">
        <f>ROUND(G21*G22,0)</f>
        <v>11</v>
      </c>
      <c r="I21" s="55">
        <f>E21/D21</f>
        <v>1</v>
      </c>
      <c r="J21" s="55">
        <f>E21/C21</f>
        <v>4</v>
      </c>
    </row>
    <row r="22" spans="1:10" ht="30" customHeight="1" x14ac:dyDescent="0.25">
      <c r="A22" s="2"/>
      <c r="B22" s="51" t="s">
        <v>62</v>
      </c>
      <c r="C22" s="50"/>
      <c r="D22" s="52">
        <f>D21/C21</f>
        <v>4</v>
      </c>
      <c r="E22" s="52">
        <f>E21/D21</f>
        <v>1</v>
      </c>
      <c r="F22" s="89">
        <f>F21/E21</f>
        <v>2.25</v>
      </c>
      <c r="G22" s="52">
        <f>(D22+E22+F22)/3</f>
        <v>2.4166666666666665</v>
      </c>
      <c r="H22" s="48"/>
      <c r="I22" s="27"/>
      <c r="J22" s="27"/>
    </row>
    <row r="23" spans="1:10" ht="15.75" x14ac:dyDescent="0.25">
      <c r="A23" s="2">
        <v>8</v>
      </c>
      <c r="B23" s="2" t="s">
        <v>18</v>
      </c>
      <c r="C23" s="50">
        <v>4</v>
      </c>
      <c r="D23" s="27">
        <v>5</v>
      </c>
      <c r="E23" s="27">
        <v>8</v>
      </c>
      <c r="F23" s="88">
        <v>10</v>
      </c>
      <c r="G23" s="53">
        <f>(C23+D23+E23+F23)/4</f>
        <v>6.75</v>
      </c>
      <c r="H23" s="53">
        <f>ROUND(G23*G24,0)</f>
        <v>9</v>
      </c>
      <c r="I23" s="55">
        <f>E23/D23</f>
        <v>1.6</v>
      </c>
      <c r="J23" s="55">
        <f>E23/C23</f>
        <v>2</v>
      </c>
    </row>
    <row r="24" spans="1:10" ht="26.25" x14ac:dyDescent="0.25">
      <c r="A24" s="2"/>
      <c r="B24" s="51" t="s">
        <v>62</v>
      </c>
      <c r="C24" s="50"/>
      <c r="D24" s="52">
        <f>D23/C23</f>
        <v>1.25</v>
      </c>
      <c r="E24" s="52">
        <f>E23/D23</f>
        <v>1.6</v>
      </c>
      <c r="F24" s="89">
        <f>F23/E23</f>
        <v>1.25</v>
      </c>
      <c r="G24" s="52">
        <f>(D24+E24+F24)/3</f>
        <v>1.3666666666666665</v>
      </c>
      <c r="H24" s="48"/>
      <c r="I24" s="27"/>
      <c r="J24" s="27"/>
    </row>
    <row r="25" spans="1:10" ht="15.75" x14ac:dyDescent="0.25">
      <c r="A25" s="2">
        <v>9</v>
      </c>
      <c r="B25" s="2" t="s">
        <v>0</v>
      </c>
      <c r="C25" s="50">
        <v>21</v>
      </c>
      <c r="D25" s="27">
        <v>22</v>
      </c>
      <c r="E25" s="27">
        <v>25</v>
      </c>
      <c r="F25" s="88">
        <v>50</v>
      </c>
      <c r="G25" s="53">
        <f>(C25+D25+E25+F25)/4</f>
        <v>29.5</v>
      </c>
      <c r="H25" s="53">
        <f>ROUND(G25*G26,0)</f>
        <v>41</v>
      </c>
      <c r="I25" s="55">
        <f>E25/D25</f>
        <v>1.1363636363636365</v>
      </c>
      <c r="J25" s="55">
        <f>E25/C25</f>
        <v>1.1904761904761905</v>
      </c>
    </row>
    <row r="26" spans="1:10" ht="26.25" x14ac:dyDescent="0.25">
      <c r="A26" s="2"/>
      <c r="B26" s="51" t="s">
        <v>62</v>
      </c>
      <c r="C26" s="50"/>
      <c r="D26" s="52">
        <f>D25/C25</f>
        <v>1.0476190476190477</v>
      </c>
      <c r="E26" s="52">
        <f>E25/D25</f>
        <v>1.1363636363636365</v>
      </c>
      <c r="F26" s="89">
        <f>F25/E25</f>
        <v>2</v>
      </c>
      <c r="G26" s="52">
        <f>(D26+E26+F26)/3</f>
        <v>1.3946608946608947</v>
      </c>
      <c r="H26" s="48"/>
      <c r="I26" s="27"/>
      <c r="J26" s="27"/>
    </row>
    <row r="27" spans="1:10" ht="15.75" x14ac:dyDescent="0.25">
      <c r="A27" s="2">
        <v>10</v>
      </c>
      <c r="B27" s="2" t="s">
        <v>36</v>
      </c>
      <c r="C27" s="50">
        <v>20</v>
      </c>
      <c r="D27" s="27">
        <v>24</v>
      </c>
      <c r="E27" s="27">
        <v>37</v>
      </c>
      <c r="F27" s="88">
        <v>51</v>
      </c>
      <c r="G27" s="53">
        <f>(C27+D27+E27+F27)/4</f>
        <v>33</v>
      </c>
      <c r="H27" s="53">
        <f>ROUND(G27*G28,0)</f>
        <v>45</v>
      </c>
      <c r="I27" s="55">
        <f>E27/D27</f>
        <v>1.5416666666666667</v>
      </c>
      <c r="J27" s="55">
        <f>E27/C27</f>
        <v>1.85</v>
      </c>
    </row>
    <row r="28" spans="1:10" ht="26.25" x14ac:dyDescent="0.25">
      <c r="A28" s="2"/>
      <c r="B28" s="51" t="s">
        <v>62</v>
      </c>
      <c r="C28" s="50"/>
      <c r="D28" s="52">
        <f>D27/C27</f>
        <v>1.2</v>
      </c>
      <c r="E28" s="52">
        <f>E27/D27</f>
        <v>1.5416666666666667</v>
      </c>
      <c r="F28" s="89">
        <f>F27/E27</f>
        <v>1.3783783783783783</v>
      </c>
      <c r="G28" s="52">
        <f>(D28+E28+F28)/3</f>
        <v>1.3733483483483484</v>
      </c>
      <c r="H28" s="48"/>
      <c r="I28" s="27"/>
      <c r="J28" s="27"/>
    </row>
    <row r="29" spans="1:10" ht="21" customHeight="1" x14ac:dyDescent="0.25">
      <c r="A29" s="2">
        <v>11</v>
      </c>
      <c r="B29" s="25" t="s">
        <v>37</v>
      </c>
      <c r="C29" s="50">
        <v>3</v>
      </c>
      <c r="D29" s="27">
        <v>2</v>
      </c>
      <c r="E29" s="27">
        <v>2</v>
      </c>
      <c r="F29" s="88">
        <v>2</v>
      </c>
      <c r="G29" s="53">
        <f>(C29+D29+E29+F29)/4</f>
        <v>2.25</v>
      </c>
      <c r="H29" s="53">
        <f>ROUND(G29*G30,0)</f>
        <v>2</v>
      </c>
      <c r="I29" s="55">
        <f>E29/D29</f>
        <v>1</v>
      </c>
      <c r="J29" s="55">
        <f>E29/C29</f>
        <v>0.66666666666666663</v>
      </c>
    </row>
    <row r="30" spans="1:10" ht="26.25" x14ac:dyDescent="0.25">
      <c r="A30" s="2"/>
      <c r="B30" s="51" t="s">
        <v>62</v>
      </c>
      <c r="C30" s="50"/>
      <c r="D30" s="52">
        <f>D29/C29</f>
        <v>0.66666666666666663</v>
      </c>
      <c r="E30" s="52">
        <f>E29/D29</f>
        <v>1</v>
      </c>
      <c r="F30" s="89">
        <f>F29/E29</f>
        <v>1</v>
      </c>
      <c r="G30" s="52">
        <f>(D30+E30+F30)/3</f>
        <v>0.88888888888888884</v>
      </c>
      <c r="H30" s="48"/>
      <c r="I30" s="27"/>
      <c r="J30" s="27"/>
    </row>
    <row r="31" spans="1:10" ht="15.75" x14ac:dyDescent="0.25">
      <c r="A31" s="2">
        <v>12</v>
      </c>
      <c r="B31" s="23" t="s">
        <v>19</v>
      </c>
      <c r="C31" s="50">
        <v>0</v>
      </c>
      <c r="D31" s="27">
        <v>0</v>
      </c>
      <c r="E31" s="27">
        <v>25</v>
      </c>
      <c r="F31" s="90">
        <v>20</v>
      </c>
      <c r="G31" s="53">
        <f>(C31+D31+E31+F31)/2</f>
        <v>22.5</v>
      </c>
      <c r="H31" s="53">
        <f>ROUND(G31*G32,0)</f>
        <v>18</v>
      </c>
      <c r="I31" s="55">
        <v>0</v>
      </c>
      <c r="J31" s="55">
        <v>0</v>
      </c>
    </row>
    <row r="32" spans="1:10" ht="26.25" x14ac:dyDescent="0.25">
      <c r="A32" s="2"/>
      <c r="B32" s="51" t="s">
        <v>62</v>
      </c>
      <c r="C32" s="50"/>
      <c r="D32" s="27">
        <v>0</v>
      </c>
      <c r="E32" s="27">
        <v>0</v>
      </c>
      <c r="F32" s="89">
        <f>F31/E31</f>
        <v>0.8</v>
      </c>
      <c r="G32" s="52">
        <f>F32</f>
        <v>0.8</v>
      </c>
      <c r="H32" s="68"/>
      <c r="I32" s="55"/>
      <c r="J32" s="55"/>
    </row>
    <row r="33" spans="1:10" ht="15.75" x14ac:dyDescent="0.25">
      <c r="A33" s="2">
        <v>13</v>
      </c>
      <c r="B33" s="2" t="s">
        <v>9</v>
      </c>
      <c r="C33" s="50">
        <v>8</v>
      </c>
      <c r="D33" s="27">
        <v>4</v>
      </c>
      <c r="E33" s="27">
        <v>5</v>
      </c>
      <c r="F33" s="88">
        <v>10</v>
      </c>
      <c r="G33" s="53">
        <f>(C33+D33+E33+F33)/4</f>
        <v>6.75</v>
      </c>
      <c r="H33" s="53">
        <f>ROUND(G33*G34,0)</f>
        <v>8</v>
      </c>
      <c r="I33" s="55">
        <f>E33/D33</f>
        <v>1.25</v>
      </c>
      <c r="J33" s="55">
        <f>E33/C33</f>
        <v>0.625</v>
      </c>
    </row>
    <row r="34" spans="1:10" ht="26.25" x14ac:dyDescent="0.25">
      <c r="A34" s="2"/>
      <c r="B34" s="51" t="s">
        <v>62</v>
      </c>
      <c r="C34" s="50"/>
      <c r="D34" s="52">
        <f>D33/C33</f>
        <v>0.5</v>
      </c>
      <c r="E34" s="52">
        <f>E33/D33</f>
        <v>1.25</v>
      </c>
      <c r="F34" s="89">
        <f>F33/E33</f>
        <v>2</v>
      </c>
      <c r="G34" s="52">
        <f>(D34+E34+F34)/3</f>
        <v>1.25</v>
      </c>
      <c r="H34" s="48"/>
      <c r="I34" s="27"/>
      <c r="J34" s="27"/>
    </row>
    <row r="35" spans="1:10" ht="15.75" x14ac:dyDescent="0.25">
      <c r="A35" s="2">
        <v>14</v>
      </c>
      <c r="B35" s="2" t="s">
        <v>1</v>
      </c>
      <c r="C35" s="50">
        <v>8</v>
      </c>
      <c r="D35" s="27">
        <v>10</v>
      </c>
      <c r="E35" s="27">
        <v>11</v>
      </c>
      <c r="F35" s="88">
        <v>15</v>
      </c>
      <c r="G35" s="53">
        <f>(C35+D35+E35+F35)/4</f>
        <v>11</v>
      </c>
      <c r="H35" s="53">
        <f>ROUND(G35*G36,0)</f>
        <v>14</v>
      </c>
      <c r="I35" s="55">
        <f>E35/D35</f>
        <v>1.1000000000000001</v>
      </c>
      <c r="J35" s="55">
        <f>E35/C35</f>
        <v>1.375</v>
      </c>
    </row>
    <row r="36" spans="1:10" ht="26.25" x14ac:dyDescent="0.25">
      <c r="A36" s="2"/>
      <c r="B36" s="51" t="s">
        <v>62</v>
      </c>
      <c r="C36" s="50"/>
      <c r="D36" s="52">
        <f>D35/C35</f>
        <v>1.25</v>
      </c>
      <c r="E36" s="52">
        <f>E35/D35</f>
        <v>1.1000000000000001</v>
      </c>
      <c r="F36" s="89">
        <f>F35/E35</f>
        <v>1.3636363636363635</v>
      </c>
      <c r="G36" s="52">
        <f>(D36+E36+F36)/3</f>
        <v>1.237878787878788</v>
      </c>
      <c r="H36" s="48"/>
      <c r="I36" s="27"/>
      <c r="J36" s="27"/>
    </row>
    <row r="37" spans="1:10" ht="15.75" x14ac:dyDescent="0.25">
      <c r="A37" s="2">
        <v>15</v>
      </c>
      <c r="B37" s="22" t="s">
        <v>20</v>
      </c>
      <c r="C37" s="50">
        <v>0</v>
      </c>
      <c r="D37" s="27">
        <v>0</v>
      </c>
      <c r="E37" s="27">
        <v>21</v>
      </c>
      <c r="F37" s="90">
        <v>18</v>
      </c>
      <c r="G37" s="53">
        <f>(C37+D37+E37+F37)/2</f>
        <v>19.5</v>
      </c>
      <c r="H37" s="53">
        <f>ROUND(G37*G38,0)</f>
        <v>17</v>
      </c>
      <c r="I37" s="55">
        <v>0</v>
      </c>
      <c r="J37" s="55">
        <v>0</v>
      </c>
    </row>
    <row r="38" spans="1:10" ht="26.25" x14ac:dyDescent="0.25">
      <c r="A38" s="2"/>
      <c r="B38" s="51" t="s">
        <v>62</v>
      </c>
      <c r="C38" s="50"/>
      <c r="D38" s="27">
        <v>0</v>
      </c>
      <c r="E38" s="27">
        <v>0</v>
      </c>
      <c r="F38" s="89">
        <f>F37/E37</f>
        <v>0.8571428571428571</v>
      </c>
      <c r="G38" s="52">
        <f>F38</f>
        <v>0.8571428571428571</v>
      </c>
      <c r="H38" s="68"/>
      <c r="I38" s="55"/>
      <c r="J38" s="55"/>
    </row>
    <row r="39" spans="1:10" ht="21" customHeight="1" x14ac:dyDescent="0.25">
      <c r="A39" s="2">
        <v>16</v>
      </c>
      <c r="B39" s="2" t="s">
        <v>11</v>
      </c>
      <c r="C39" s="50">
        <v>6</v>
      </c>
      <c r="D39" s="27">
        <v>5</v>
      </c>
      <c r="E39" s="27">
        <v>7</v>
      </c>
      <c r="F39" s="88">
        <v>12</v>
      </c>
      <c r="G39" s="53">
        <f>(C39+D39+E39+F39)/4</f>
        <v>7.5</v>
      </c>
      <c r="H39" s="53">
        <f>ROUND(G39*G40,0)</f>
        <v>10</v>
      </c>
      <c r="I39" s="55">
        <f>E39/D39</f>
        <v>1.4</v>
      </c>
      <c r="J39" s="55">
        <f>E39/C39</f>
        <v>1.1666666666666667</v>
      </c>
    </row>
    <row r="40" spans="1:10" ht="26.25" x14ac:dyDescent="0.25">
      <c r="A40" s="2"/>
      <c r="B40" s="51" t="s">
        <v>62</v>
      </c>
      <c r="C40" s="50"/>
      <c r="D40" s="52">
        <f>D39/C39</f>
        <v>0.83333333333333337</v>
      </c>
      <c r="E40" s="52">
        <f>E39/D39</f>
        <v>1.4</v>
      </c>
      <c r="F40" s="89">
        <f>F39/E39</f>
        <v>1.7142857142857142</v>
      </c>
      <c r="G40" s="52">
        <f>(D40+E40+F40)/3</f>
        <v>1.3158730158730159</v>
      </c>
      <c r="H40" s="48"/>
      <c r="I40" s="27"/>
      <c r="J40" s="27"/>
    </row>
    <row r="41" spans="1:10" ht="15.75" x14ac:dyDescent="0.25">
      <c r="A41" s="2">
        <v>17</v>
      </c>
      <c r="B41" s="2" t="s">
        <v>12</v>
      </c>
      <c r="C41" s="50">
        <v>6</v>
      </c>
      <c r="D41" s="27">
        <v>3</v>
      </c>
      <c r="E41" s="27">
        <v>5</v>
      </c>
      <c r="F41" s="88">
        <v>5</v>
      </c>
      <c r="G41" s="53">
        <f>(C41+D41+E41+F41)/4</f>
        <v>4.75</v>
      </c>
      <c r="H41" s="53">
        <f>ROUND(G41*G42,0)</f>
        <v>5</v>
      </c>
      <c r="I41" s="55">
        <f>E41/D41</f>
        <v>1.6666666666666667</v>
      </c>
      <c r="J41" s="55">
        <f>E41/C41</f>
        <v>0.83333333333333337</v>
      </c>
    </row>
    <row r="42" spans="1:10" ht="26.25" x14ac:dyDescent="0.25">
      <c r="A42" s="2"/>
      <c r="B42" s="51" t="s">
        <v>62</v>
      </c>
      <c r="C42" s="50"/>
      <c r="D42" s="52">
        <f>D41/C41</f>
        <v>0.5</v>
      </c>
      <c r="E42" s="52">
        <f>E41/D41</f>
        <v>1.6666666666666667</v>
      </c>
      <c r="F42" s="89">
        <f>F41/E41</f>
        <v>1</v>
      </c>
      <c r="G42" s="52">
        <f>(D42+E42+F42)/3</f>
        <v>1.0555555555555556</v>
      </c>
      <c r="H42" s="48"/>
      <c r="I42" s="27"/>
      <c r="J42" s="27"/>
    </row>
    <row r="43" spans="1:10" ht="15.75" x14ac:dyDescent="0.25">
      <c r="A43" s="2">
        <v>18</v>
      </c>
      <c r="B43" s="2" t="s">
        <v>22</v>
      </c>
      <c r="C43" s="50">
        <v>1</v>
      </c>
      <c r="D43" s="27">
        <v>0</v>
      </c>
      <c r="E43" s="27">
        <v>2</v>
      </c>
      <c r="F43" s="88">
        <v>32</v>
      </c>
      <c r="G43" s="53">
        <f>(C43+D43+E43+F43)/3</f>
        <v>11.666666666666666</v>
      </c>
      <c r="H43" s="53">
        <v>12</v>
      </c>
      <c r="I43" s="55">
        <v>0</v>
      </c>
      <c r="J43" s="55">
        <f>E43/C43</f>
        <v>2</v>
      </c>
    </row>
    <row r="44" spans="1:10" ht="26.25" x14ac:dyDescent="0.25">
      <c r="A44" s="2"/>
      <c r="B44" s="51" t="s">
        <v>62</v>
      </c>
      <c r="C44" s="50"/>
      <c r="D44" s="52">
        <f>D43/C43</f>
        <v>0</v>
      </c>
      <c r="E44" s="52">
        <v>0</v>
      </c>
      <c r="F44" s="89">
        <f>F43/E43</f>
        <v>16</v>
      </c>
      <c r="G44" s="52">
        <f>(D44+E44+F44)/3</f>
        <v>5.333333333333333</v>
      </c>
      <c r="H44" s="48"/>
      <c r="I44" s="27"/>
      <c r="J44" s="27"/>
    </row>
    <row r="45" spans="1:10" ht="15.75" x14ac:dyDescent="0.25">
      <c r="A45" s="2">
        <v>19</v>
      </c>
      <c r="B45" s="4" t="s">
        <v>29</v>
      </c>
      <c r="C45" s="50">
        <v>1</v>
      </c>
      <c r="D45" s="27">
        <v>0</v>
      </c>
      <c r="E45" s="27">
        <v>0</v>
      </c>
      <c r="F45" s="88">
        <v>1</v>
      </c>
      <c r="G45" s="53">
        <f>(C45+D45+E45+F45)/1</f>
        <v>2</v>
      </c>
      <c r="H45" s="53">
        <v>1</v>
      </c>
      <c r="I45" s="55">
        <v>0</v>
      </c>
      <c r="J45" s="55">
        <f>E45/C45</f>
        <v>0</v>
      </c>
    </row>
    <row r="46" spans="1:10" ht="26.25" x14ac:dyDescent="0.25">
      <c r="A46" s="2"/>
      <c r="B46" s="51" t="s">
        <v>62</v>
      </c>
      <c r="C46" s="50"/>
      <c r="D46" s="52">
        <f>D45/C45</f>
        <v>0</v>
      </c>
      <c r="E46" s="52">
        <v>0</v>
      </c>
      <c r="F46" s="89">
        <v>0</v>
      </c>
      <c r="G46" s="52">
        <f>(D46+E46+F46)/3</f>
        <v>0</v>
      </c>
      <c r="H46" s="48"/>
      <c r="I46" s="27"/>
      <c r="J46" s="27"/>
    </row>
    <row r="47" spans="1:10" ht="15.75" x14ac:dyDescent="0.25">
      <c r="A47" s="2">
        <v>20</v>
      </c>
      <c r="B47" s="2" t="s">
        <v>38</v>
      </c>
      <c r="C47" s="50">
        <v>0</v>
      </c>
      <c r="D47" s="27">
        <v>1</v>
      </c>
      <c r="E47" s="27">
        <v>1</v>
      </c>
      <c r="F47" s="88">
        <v>5</v>
      </c>
      <c r="G47" s="53">
        <f>(C47+D47+E47+F47)/2</f>
        <v>3.5</v>
      </c>
      <c r="H47" s="53">
        <v>1</v>
      </c>
      <c r="I47" s="55">
        <f>E47/D47</f>
        <v>1</v>
      </c>
      <c r="J47" s="55">
        <v>0</v>
      </c>
    </row>
    <row r="48" spans="1:10" ht="26.25" x14ac:dyDescent="0.25">
      <c r="A48" s="2"/>
      <c r="B48" s="51" t="s">
        <v>62</v>
      </c>
      <c r="C48" s="50"/>
      <c r="D48" s="52">
        <v>0</v>
      </c>
      <c r="E48" s="52">
        <f>E47/D47</f>
        <v>1</v>
      </c>
      <c r="F48" s="89">
        <v>0</v>
      </c>
      <c r="G48" s="52">
        <f>(D48+E48+F48)/3</f>
        <v>0.33333333333333331</v>
      </c>
      <c r="H48" s="48"/>
      <c r="I48" s="27"/>
      <c r="J48" s="27"/>
    </row>
    <row r="49" spans="1:10" ht="15.75" x14ac:dyDescent="0.25">
      <c r="A49" s="2">
        <v>21</v>
      </c>
      <c r="B49" s="22" t="s">
        <v>25</v>
      </c>
      <c r="C49" s="50">
        <v>0</v>
      </c>
      <c r="D49" s="27">
        <v>0</v>
      </c>
      <c r="E49" s="27">
        <v>6</v>
      </c>
      <c r="F49" s="90">
        <v>7</v>
      </c>
      <c r="G49" s="53">
        <f>(C49+D49+E49+F49)/2</f>
        <v>6.5</v>
      </c>
      <c r="H49" s="53">
        <f>ROUND(G49*G50,0)</f>
        <v>8</v>
      </c>
      <c r="I49" s="55">
        <v>0</v>
      </c>
      <c r="J49" s="55">
        <v>0</v>
      </c>
    </row>
    <row r="50" spans="1:10" ht="26.25" x14ac:dyDescent="0.25">
      <c r="A50" s="2"/>
      <c r="B50" s="51" t="s">
        <v>62</v>
      </c>
      <c r="C50" s="50"/>
      <c r="D50" s="27">
        <v>0</v>
      </c>
      <c r="E50" s="27">
        <v>0</v>
      </c>
      <c r="F50" s="89">
        <f>F49/E49</f>
        <v>1.1666666666666667</v>
      </c>
      <c r="G50" s="52">
        <f>F50</f>
        <v>1.1666666666666667</v>
      </c>
      <c r="H50" s="68"/>
      <c r="I50" s="55"/>
      <c r="J50" s="55"/>
    </row>
    <row r="51" spans="1:10" ht="15.75" x14ac:dyDescent="0.25">
      <c r="A51" s="2">
        <v>22</v>
      </c>
      <c r="B51" s="2" t="s">
        <v>39</v>
      </c>
      <c r="C51" s="50">
        <v>1</v>
      </c>
      <c r="D51" s="27">
        <v>1</v>
      </c>
      <c r="E51" s="27">
        <v>2</v>
      </c>
      <c r="F51" s="88">
        <v>3</v>
      </c>
      <c r="G51" s="53">
        <f>(C51+D51+E51+F51)/4</f>
        <v>1.75</v>
      </c>
      <c r="H51" s="53">
        <f>ROUND(G51*G52,0)</f>
        <v>3</v>
      </c>
      <c r="I51" s="55">
        <f>E51/D51</f>
        <v>2</v>
      </c>
      <c r="J51" s="55">
        <f>E51/C51</f>
        <v>2</v>
      </c>
    </row>
    <row r="52" spans="1:10" ht="26.25" x14ac:dyDescent="0.25">
      <c r="A52" s="2"/>
      <c r="B52" s="51" t="s">
        <v>62</v>
      </c>
      <c r="C52" s="50"/>
      <c r="D52" s="52">
        <f>D51/C51</f>
        <v>1</v>
      </c>
      <c r="E52" s="52">
        <f>E51/D51</f>
        <v>2</v>
      </c>
      <c r="F52" s="89">
        <f>F51/E51</f>
        <v>1.5</v>
      </c>
      <c r="G52" s="52">
        <f>(D52+E52+F52)/3</f>
        <v>1.5</v>
      </c>
      <c r="H52" s="48"/>
      <c r="I52" s="27"/>
      <c r="J52" s="27"/>
    </row>
    <row r="53" spans="1:10" ht="22.5" customHeight="1" x14ac:dyDescent="0.25">
      <c r="A53" s="2">
        <v>23</v>
      </c>
      <c r="B53" s="22" t="s">
        <v>23</v>
      </c>
      <c r="C53" s="50">
        <v>0</v>
      </c>
      <c r="D53" s="27">
        <v>0</v>
      </c>
      <c r="E53" s="27">
        <v>3</v>
      </c>
      <c r="F53" s="90">
        <v>3</v>
      </c>
      <c r="G53" s="53">
        <f>(C53+D53+E53+F53)/2</f>
        <v>3</v>
      </c>
      <c r="H53" s="53">
        <f>ROUND(G53*G54,0)</f>
        <v>3</v>
      </c>
      <c r="I53" s="55">
        <v>0</v>
      </c>
      <c r="J53" s="55">
        <v>0</v>
      </c>
    </row>
    <row r="54" spans="1:10" ht="26.25" x14ac:dyDescent="0.25">
      <c r="A54" s="2"/>
      <c r="B54" s="51" t="s">
        <v>62</v>
      </c>
      <c r="C54" s="50"/>
      <c r="D54" s="27"/>
      <c r="E54" s="27"/>
      <c r="F54" s="89">
        <f>F53/E53</f>
        <v>1</v>
      </c>
      <c r="G54" s="52">
        <f>F54</f>
        <v>1</v>
      </c>
      <c r="H54" s="48"/>
      <c r="I54" s="55"/>
      <c r="J54" s="55"/>
    </row>
    <row r="55" spans="1:10" ht="15.75" x14ac:dyDescent="0.25">
      <c r="A55" s="2">
        <v>24</v>
      </c>
      <c r="B55" s="22" t="s">
        <v>44</v>
      </c>
      <c r="C55" s="50">
        <v>0</v>
      </c>
      <c r="D55" s="27">
        <v>0</v>
      </c>
      <c r="E55" s="27">
        <v>17</v>
      </c>
      <c r="F55" s="90">
        <v>11</v>
      </c>
      <c r="G55" s="53">
        <f>(C55+D55+E55+F55)/2</f>
        <v>14</v>
      </c>
      <c r="H55" s="53">
        <f>ROUND(G55*G56,0)</f>
        <v>9</v>
      </c>
      <c r="I55" s="55">
        <v>0</v>
      </c>
      <c r="J55" s="55">
        <v>0</v>
      </c>
    </row>
    <row r="56" spans="1:10" ht="26.25" x14ac:dyDescent="0.25">
      <c r="A56" s="2"/>
      <c r="B56" s="51" t="s">
        <v>62</v>
      </c>
      <c r="C56" s="50"/>
      <c r="D56" s="27"/>
      <c r="E56" s="27"/>
      <c r="F56" s="89">
        <f>F55/E55</f>
        <v>0.6470588235294118</v>
      </c>
      <c r="G56" s="52">
        <f>F56</f>
        <v>0.6470588235294118</v>
      </c>
      <c r="H56" s="68"/>
      <c r="I56" s="55"/>
      <c r="J56" s="55"/>
    </row>
    <row r="57" spans="1:10" ht="32.25" customHeight="1" x14ac:dyDescent="0.25">
      <c r="A57" s="2">
        <v>25</v>
      </c>
      <c r="B57" s="2" t="s">
        <v>14</v>
      </c>
      <c r="C57" s="50">
        <v>1</v>
      </c>
      <c r="D57" s="27">
        <v>1</v>
      </c>
      <c r="E57" s="27">
        <v>6</v>
      </c>
      <c r="F57" s="88">
        <v>4</v>
      </c>
      <c r="G57" s="53">
        <f>(C57+D57+E57+F57)/4</f>
        <v>3</v>
      </c>
      <c r="H57" s="53">
        <v>5</v>
      </c>
      <c r="I57" s="55">
        <f>E57/D57</f>
        <v>6</v>
      </c>
      <c r="J57" s="55">
        <f>E57/C57</f>
        <v>6</v>
      </c>
    </row>
    <row r="58" spans="1:10" ht="26.25" x14ac:dyDescent="0.25">
      <c r="A58" s="2"/>
      <c r="B58" s="51" t="s">
        <v>62</v>
      </c>
      <c r="C58" s="50"/>
      <c r="D58" s="52">
        <f>D57/C57</f>
        <v>1</v>
      </c>
      <c r="E58" s="52">
        <f>E57/D57</f>
        <v>6</v>
      </c>
      <c r="F58" s="89">
        <f>F57/E57</f>
        <v>0.66666666666666663</v>
      </c>
      <c r="G58" s="52">
        <f>(D58+E58+F58)/3</f>
        <v>2.5555555555555558</v>
      </c>
      <c r="H58" s="84"/>
      <c r="I58" s="27"/>
      <c r="J58" s="27"/>
    </row>
    <row r="59" spans="1:10" ht="31.5" customHeight="1" x14ac:dyDescent="0.25">
      <c r="A59" s="2">
        <v>26</v>
      </c>
      <c r="B59" s="37" t="s">
        <v>21</v>
      </c>
      <c r="C59" s="50">
        <v>0</v>
      </c>
      <c r="D59" s="27">
        <v>1</v>
      </c>
      <c r="E59" s="27">
        <v>1</v>
      </c>
      <c r="F59" s="88">
        <v>1</v>
      </c>
      <c r="G59" s="53">
        <f>(C59+D59+E59+F59)/3</f>
        <v>1</v>
      </c>
      <c r="H59" s="53">
        <f>ROUND(G59*G60,0)</f>
        <v>1</v>
      </c>
      <c r="I59" s="55">
        <f>E59/D59</f>
        <v>1</v>
      </c>
      <c r="J59" s="55">
        <v>0</v>
      </c>
    </row>
    <row r="60" spans="1:10" ht="26.25" x14ac:dyDescent="0.25">
      <c r="A60" s="2"/>
      <c r="B60" s="51" t="s">
        <v>62</v>
      </c>
      <c r="C60" s="50"/>
      <c r="D60" s="52">
        <v>0</v>
      </c>
      <c r="E60" s="52">
        <f>E59/D59</f>
        <v>1</v>
      </c>
      <c r="F60" s="89">
        <f>F59/E59</f>
        <v>1</v>
      </c>
      <c r="G60" s="52">
        <f>(D60+E60+F60)/3</f>
        <v>0.66666666666666663</v>
      </c>
      <c r="H60" s="48"/>
      <c r="I60" s="27"/>
      <c r="J60" s="27"/>
    </row>
    <row r="61" spans="1:10" ht="15.75" x14ac:dyDescent="0.25">
      <c r="A61" s="199" t="s">
        <v>40</v>
      </c>
      <c r="B61" s="199"/>
      <c r="C61" s="49">
        <f>SUM(C9:C59)</f>
        <v>141</v>
      </c>
      <c r="D61" s="54">
        <f t="shared" ref="D61:H61" si="0">SUM(D9:D59)</f>
        <v>175.13095238095235</v>
      </c>
      <c r="E61" s="54">
        <f t="shared" si="0"/>
        <v>316.54831002330997</v>
      </c>
      <c r="F61" s="91">
        <f t="shared" si="0"/>
        <v>534.2632564159419</v>
      </c>
      <c r="G61" s="54">
        <f t="shared" si="0"/>
        <v>371.04595956776262</v>
      </c>
      <c r="H61" s="54">
        <f t="shared" si="0"/>
        <v>426</v>
      </c>
      <c r="I61" s="46">
        <f t="shared" ref="I61:I63" si="1">E61/D61</f>
        <v>1.8074949386145089</v>
      </c>
      <c r="J61" s="46">
        <f t="shared" ref="J61:J63" si="2">E61/C61</f>
        <v>2.2450234753426237</v>
      </c>
    </row>
    <row r="62" spans="1:10" ht="15.75" x14ac:dyDescent="0.25">
      <c r="A62" s="43"/>
      <c r="B62" s="44" t="s">
        <v>59</v>
      </c>
      <c r="C62" s="36">
        <f>C13+C19+C37+C49+C53+C55+C31</f>
        <v>0</v>
      </c>
      <c r="D62" s="36">
        <f t="shared" ref="D62:H62" si="3">D13+D19+D37+D49+D53+D55+D31</f>
        <v>0</v>
      </c>
      <c r="E62" s="36">
        <f t="shared" si="3"/>
        <v>98</v>
      </c>
      <c r="F62" s="92">
        <f t="shared" si="3"/>
        <v>90</v>
      </c>
      <c r="G62" s="26">
        <f t="shared" si="3"/>
        <v>94</v>
      </c>
      <c r="H62" s="36">
        <f t="shared" si="3"/>
        <v>92</v>
      </c>
      <c r="I62" s="46">
        <v>0</v>
      </c>
      <c r="J62" s="46">
        <v>0</v>
      </c>
    </row>
    <row r="63" spans="1:10" ht="15.75" x14ac:dyDescent="0.25">
      <c r="A63" s="43"/>
      <c r="B63" s="47" t="s">
        <v>60</v>
      </c>
      <c r="C63" s="36">
        <f t="shared" ref="C63:H63" si="4">C9+C11+C15+C17+C21+C23+C25+C27+C29+C33+C35+C39+C41+C43+C45+C47+C51+C57+C59</f>
        <v>141</v>
      </c>
      <c r="D63" s="36">
        <f t="shared" si="4"/>
        <v>158</v>
      </c>
      <c r="E63" s="36">
        <f t="shared" si="4"/>
        <v>195</v>
      </c>
      <c r="F63" s="92">
        <f t="shared" si="4"/>
        <v>393</v>
      </c>
      <c r="G63" s="26">
        <f t="shared" si="4"/>
        <v>241.16666666666666</v>
      </c>
      <c r="H63" s="26">
        <f t="shared" si="4"/>
        <v>334</v>
      </c>
      <c r="I63" s="46">
        <f t="shared" si="1"/>
        <v>1.2341772151898733</v>
      </c>
      <c r="J63" s="46">
        <f t="shared" si="2"/>
        <v>1.3829787234042554</v>
      </c>
    </row>
    <row r="64" spans="1:10" ht="15.75" x14ac:dyDescent="0.25">
      <c r="A64" s="163"/>
      <c r="B64" s="164"/>
      <c r="C64" s="165"/>
      <c r="D64" s="165"/>
      <c r="E64" s="165"/>
      <c r="F64" s="166"/>
      <c r="G64" s="167"/>
      <c r="H64" s="167"/>
      <c r="I64" s="168"/>
      <c r="J64" s="168"/>
    </row>
    <row r="65" spans="1:10" ht="15.75" x14ac:dyDescent="0.25">
      <c r="A65" s="163"/>
      <c r="B65" s="196" t="s">
        <v>173</v>
      </c>
      <c r="C65" s="197"/>
      <c r="D65" s="197"/>
      <c r="E65" s="197"/>
      <c r="F65" s="197"/>
      <c r="G65" s="197"/>
      <c r="H65" s="197"/>
      <c r="I65" s="168"/>
      <c r="J65" s="168"/>
    </row>
    <row r="67" spans="1:10" ht="15.75" x14ac:dyDescent="0.25">
      <c r="B67" s="1" t="s">
        <v>159</v>
      </c>
      <c r="C67" s="1"/>
      <c r="D67" s="1"/>
      <c r="E67" s="1"/>
      <c r="F67" s="1"/>
      <c r="G67" s="1"/>
      <c r="H67" s="1"/>
      <c r="I67" s="1"/>
      <c r="J67" s="1" t="s">
        <v>160</v>
      </c>
    </row>
    <row r="68" spans="1:10" ht="15.75" x14ac:dyDescent="0.25">
      <c r="B68" s="1"/>
      <c r="C68" s="1"/>
      <c r="D68" s="1"/>
      <c r="E68" s="1"/>
      <c r="F68" s="1"/>
      <c r="G68" s="1"/>
      <c r="H68" s="1"/>
      <c r="I68" s="1"/>
      <c r="J68" s="1"/>
    </row>
    <row r="69" spans="1:10" ht="15.75" x14ac:dyDescent="0.25">
      <c r="B69" s="39" t="s">
        <v>193</v>
      </c>
      <c r="C69" s="39"/>
      <c r="D69" s="39"/>
      <c r="E69" s="1"/>
      <c r="F69" s="1"/>
      <c r="G69" s="1"/>
      <c r="H69" s="1"/>
      <c r="I69" s="1"/>
      <c r="J69" s="1"/>
    </row>
    <row r="70" spans="1:10" ht="15.75" x14ac:dyDescent="0.25">
      <c r="B70" s="39" t="s">
        <v>161</v>
      </c>
      <c r="C70" s="39"/>
      <c r="D70" s="39"/>
      <c r="E70" s="1"/>
      <c r="F70" s="1"/>
      <c r="G70" s="1"/>
      <c r="H70" s="1"/>
      <c r="I70" s="1"/>
      <c r="J70" s="1"/>
    </row>
    <row r="71" spans="1:10" ht="15.75" x14ac:dyDescent="0.25">
      <c r="B71" s="39" t="s">
        <v>162</v>
      </c>
      <c r="C71" s="39"/>
      <c r="D71" s="39"/>
      <c r="E71" s="1"/>
      <c r="F71" s="1"/>
      <c r="G71" s="1"/>
      <c r="H71" s="1"/>
      <c r="I71" s="1"/>
      <c r="J71" s="1"/>
    </row>
  </sheetData>
  <mergeCells count="11">
    <mergeCell ref="B65:H65"/>
    <mergeCell ref="I1:J1"/>
    <mergeCell ref="A61:B61"/>
    <mergeCell ref="C6:F6"/>
    <mergeCell ref="I6:J6"/>
    <mergeCell ref="G6:G7"/>
    <mergeCell ref="H6:H7"/>
    <mergeCell ref="A6:A7"/>
    <mergeCell ref="B6:B7"/>
    <mergeCell ref="G2:J2"/>
    <mergeCell ref="C3:J3"/>
  </mergeCells>
  <pageMargins left="0.70866141732283472" right="0.70866141732283472" top="0.74803149606299213" bottom="0.74803149606299213" header="0.31496062992125984" footer="0.31496062992125984"/>
  <pageSetup paperSize="9" scale="53" orientation="portrait" r:id="rId1"/>
  <headerFooter>
    <oddFooter>&amp;CLMpielik_5_070815_LMZino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8"/>
  <sheetViews>
    <sheetView topLeftCell="A64" zoomScaleNormal="100" workbookViewId="0">
      <selection activeCell="C86" sqref="C86"/>
    </sheetView>
  </sheetViews>
  <sheetFormatPr defaultRowHeight="15" x14ac:dyDescent="0.25"/>
  <cols>
    <col min="2" max="2" width="33.85546875" customWidth="1"/>
    <col min="3" max="3" width="11.140625" customWidth="1"/>
    <col min="4" max="4" width="10" bestFit="1" customWidth="1"/>
    <col min="5" max="5" width="10.5703125" customWidth="1"/>
    <col min="6" max="7" width="14.140625" hidden="1" customWidth="1"/>
    <col min="8" max="8" width="12.42578125" hidden="1" customWidth="1"/>
    <col min="9" max="9" width="12.42578125" customWidth="1"/>
  </cols>
  <sheetData>
    <row r="2" spans="1:9" ht="15.75" x14ac:dyDescent="0.25">
      <c r="G2" s="198" t="s">
        <v>154</v>
      </c>
      <c r="H2" s="198"/>
      <c r="I2" s="198"/>
    </row>
    <row r="3" spans="1:9" ht="15.75" x14ac:dyDescent="0.25">
      <c r="E3" s="195" t="s">
        <v>163</v>
      </c>
      <c r="F3" s="195"/>
      <c r="G3" s="195"/>
      <c r="H3" s="195"/>
      <c r="I3" s="195"/>
    </row>
    <row r="4" spans="1:9" ht="51" customHeight="1" x14ac:dyDescent="0.25">
      <c r="C4" s="179" t="s">
        <v>169</v>
      </c>
      <c r="D4" s="179"/>
      <c r="E4" s="179"/>
      <c r="F4" s="179"/>
      <c r="G4" s="179"/>
      <c r="H4" s="179"/>
      <c r="I4" s="179"/>
    </row>
    <row r="5" spans="1:9" ht="18.75" x14ac:dyDescent="0.3">
      <c r="A5" s="206" t="s">
        <v>153</v>
      </c>
      <c r="B5" s="206"/>
      <c r="C5" s="206"/>
      <c r="D5" s="206"/>
      <c r="E5" s="206"/>
      <c r="F5" s="206"/>
      <c r="G5" s="206"/>
      <c r="H5" s="206"/>
      <c r="I5" s="206"/>
    </row>
    <row r="6" spans="1:9" ht="18.75" x14ac:dyDescent="0.3">
      <c r="C6" s="38"/>
      <c r="D6" s="38"/>
      <c r="E6" s="38"/>
      <c r="F6" s="38"/>
      <c r="G6" s="38"/>
      <c r="H6" s="38"/>
    </row>
    <row r="7" spans="1:9" ht="15.75" x14ac:dyDescent="0.25">
      <c r="A7" s="175" t="s">
        <v>32</v>
      </c>
      <c r="B7" s="205" t="s">
        <v>2</v>
      </c>
      <c r="C7" s="175" t="s">
        <v>53</v>
      </c>
      <c r="D7" s="175"/>
      <c r="E7" s="175"/>
      <c r="F7" s="203" t="s">
        <v>157</v>
      </c>
      <c r="G7" s="204" t="s">
        <v>54</v>
      </c>
      <c r="H7" s="162" t="s">
        <v>50</v>
      </c>
      <c r="I7" s="161" t="s">
        <v>50</v>
      </c>
    </row>
    <row r="8" spans="1:9" ht="47.25" x14ac:dyDescent="0.25">
      <c r="A8" s="175"/>
      <c r="B8" s="205"/>
      <c r="C8" s="34" t="s">
        <v>55</v>
      </c>
      <c r="D8" s="34" t="s">
        <v>56</v>
      </c>
      <c r="E8" s="34" t="s">
        <v>57</v>
      </c>
      <c r="F8" s="203"/>
      <c r="G8" s="204"/>
      <c r="H8" s="40" t="s">
        <v>51</v>
      </c>
      <c r="I8" s="40" t="s">
        <v>52</v>
      </c>
    </row>
    <row r="9" spans="1:9" ht="45" customHeight="1" x14ac:dyDescent="0.25">
      <c r="A9" s="69">
        <v>1</v>
      </c>
      <c r="B9" s="70">
        <v>2</v>
      </c>
      <c r="C9" s="69">
        <v>3</v>
      </c>
      <c r="D9" s="69">
        <v>4</v>
      </c>
      <c r="E9" s="69">
        <v>5</v>
      </c>
      <c r="F9" s="71" t="s">
        <v>94</v>
      </c>
      <c r="G9" s="72" t="s">
        <v>156</v>
      </c>
      <c r="H9" s="73" t="s">
        <v>95</v>
      </c>
      <c r="I9" s="73" t="s">
        <v>158</v>
      </c>
    </row>
    <row r="10" spans="1:9" ht="15.75" customHeight="1" x14ac:dyDescent="0.25">
      <c r="A10" s="2">
        <v>1</v>
      </c>
      <c r="B10" s="2" t="s">
        <v>33</v>
      </c>
      <c r="C10" s="35">
        <v>711.44</v>
      </c>
      <c r="D10" s="57">
        <v>900</v>
      </c>
      <c r="E10" s="58">
        <v>560</v>
      </c>
      <c r="F10" s="81">
        <f>(C10+D10+E10)/3</f>
        <v>723.81333333333339</v>
      </c>
      <c r="G10" s="81">
        <f>F10*F11</f>
        <v>683.01275066948199</v>
      </c>
      <c r="H10" s="55">
        <f>E10/D10</f>
        <v>0.62222222222222223</v>
      </c>
      <c r="I10" s="55">
        <f>E10/C10</f>
        <v>0.78713594962329914</v>
      </c>
    </row>
    <row r="11" spans="1:9" ht="26.25" x14ac:dyDescent="0.25">
      <c r="A11" s="2"/>
      <c r="B11" s="51" t="s">
        <v>62</v>
      </c>
      <c r="C11" s="35"/>
      <c r="D11" s="52">
        <f>D10/C10</f>
        <v>1.2650399190374451</v>
      </c>
      <c r="E11" s="89">
        <f>E10/D10</f>
        <v>0.62222222222222223</v>
      </c>
      <c r="F11" s="89">
        <f>(D11+E11)/2</f>
        <v>0.94363107062983365</v>
      </c>
      <c r="G11" s="63"/>
      <c r="H11" s="35"/>
      <c r="I11" s="35"/>
    </row>
    <row r="12" spans="1:9" ht="15.75" customHeight="1" x14ac:dyDescent="0.25">
      <c r="A12" s="2">
        <v>2</v>
      </c>
      <c r="B12" s="2" t="s">
        <v>34</v>
      </c>
      <c r="C12" s="35">
        <v>113.83</v>
      </c>
      <c r="D12" s="57">
        <v>90</v>
      </c>
      <c r="E12" s="63">
        <v>104.06</v>
      </c>
      <c r="F12" s="81">
        <f>(C12+D12+E12)/3</f>
        <v>102.63</v>
      </c>
      <c r="G12" s="81">
        <f>ROUND(F12*F13,0)</f>
        <v>100</v>
      </c>
      <c r="H12" s="55">
        <f>E12/D12</f>
        <v>1.1562222222222223</v>
      </c>
      <c r="I12" s="55">
        <f>E12/C12</f>
        <v>0.91417025388737594</v>
      </c>
    </row>
    <row r="13" spans="1:9" ht="26.25" x14ac:dyDescent="0.25">
      <c r="A13" s="2"/>
      <c r="B13" s="51" t="s">
        <v>62</v>
      </c>
      <c r="C13" s="35"/>
      <c r="D13" s="52">
        <f>D12/C12</f>
        <v>0.79065272775191076</v>
      </c>
      <c r="E13" s="89">
        <f>E12/D12</f>
        <v>1.1562222222222223</v>
      </c>
      <c r="F13" s="89">
        <f>(D13+E13)/2</f>
        <v>0.97343747498706645</v>
      </c>
      <c r="G13" s="63"/>
      <c r="H13" s="35"/>
      <c r="I13" s="35"/>
    </row>
    <row r="14" spans="1:9" ht="15.75" x14ac:dyDescent="0.25">
      <c r="A14" s="2">
        <v>3</v>
      </c>
      <c r="B14" s="22" t="s">
        <v>15</v>
      </c>
      <c r="C14" s="35">
        <v>0</v>
      </c>
      <c r="D14" s="35">
        <v>0</v>
      </c>
      <c r="E14" s="58">
        <v>110</v>
      </c>
      <c r="F14" s="81">
        <v>110</v>
      </c>
      <c r="G14" s="58">
        <v>110</v>
      </c>
      <c r="H14" s="55">
        <v>0</v>
      </c>
      <c r="I14" s="55">
        <v>0</v>
      </c>
    </row>
    <row r="15" spans="1:9" ht="15.75" x14ac:dyDescent="0.25">
      <c r="A15" s="2">
        <v>4</v>
      </c>
      <c r="B15" s="2" t="s">
        <v>35</v>
      </c>
      <c r="C15" s="35">
        <v>38.42</v>
      </c>
      <c r="D15" s="57">
        <v>25</v>
      </c>
      <c r="E15" s="58">
        <v>31.1</v>
      </c>
      <c r="F15" s="81">
        <f>(C15+D15+E15)/3</f>
        <v>31.506666666666671</v>
      </c>
      <c r="G15" s="81">
        <f>ROUND(F15*F16,0)</f>
        <v>30</v>
      </c>
      <c r="H15" s="55">
        <f>E15/D15</f>
        <v>1.244</v>
      </c>
      <c r="I15" s="55">
        <f>E15/C15</f>
        <v>0.80947423217074443</v>
      </c>
    </row>
    <row r="16" spans="1:9" ht="26.25" x14ac:dyDescent="0.25">
      <c r="A16" s="2"/>
      <c r="B16" s="51" t="s">
        <v>62</v>
      </c>
      <c r="C16" s="35"/>
      <c r="D16" s="52">
        <f>D15/C15</f>
        <v>0.65070275897969809</v>
      </c>
      <c r="E16" s="89">
        <f>E15/D15</f>
        <v>1.244</v>
      </c>
      <c r="F16" s="89">
        <f>(D16+E16)/2</f>
        <v>0.94735137948984904</v>
      </c>
      <c r="G16" s="63"/>
      <c r="H16" s="35"/>
      <c r="I16" s="35"/>
    </row>
    <row r="17" spans="1:9" ht="15.75" customHeight="1" x14ac:dyDescent="0.25">
      <c r="A17" s="2">
        <v>5</v>
      </c>
      <c r="B17" s="2" t="s">
        <v>43</v>
      </c>
      <c r="C17" s="35">
        <v>120.94</v>
      </c>
      <c r="D17" s="57">
        <v>49</v>
      </c>
      <c r="E17" s="63">
        <v>54.45</v>
      </c>
      <c r="F17" s="81">
        <f>(C17+D17+E17)/3</f>
        <v>74.796666666666667</v>
      </c>
      <c r="G17" s="81">
        <f>ROUND(F17*F18,0)</f>
        <v>57</v>
      </c>
      <c r="H17" s="55">
        <f>E17/D17</f>
        <v>1.1112244897959185</v>
      </c>
      <c r="I17" s="55">
        <f>E17/C17</f>
        <v>0.45022325119894163</v>
      </c>
    </row>
    <row r="18" spans="1:9" ht="26.25" x14ac:dyDescent="0.25">
      <c r="A18" s="2"/>
      <c r="B18" s="51" t="s">
        <v>62</v>
      </c>
      <c r="C18" s="35"/>
      <c r="D18" s="52">
        <f>D17/C17</f>
        <v>0.40515958326442864</v>
      </c>
      <c r="E18" s="89">
        <f>E17/D17</f>
        <v>1.1112244897959185</v>
      </c>
      <c r="F18" s="89">
        <f>(D18+E18)/2</f>
        <v>0.75819203653017353</v>
      </c>
      <c r="G18" s="63"/>
      <c r="H18" s="35"/>
      <c r="I18" s="35"/>
    </row>
    <row r="19" spans="1:9" ht="15.75" x14ac:dyDescent="0.25">
      <c r="A19" s="2">
        <v>6</v>
      </c>
      <c r="B19" s="22" t="s">
        <v>16</v>
      </c>
      <c r="C19" s="35">
        <v>0</v>
      </c>
      <c r="D19" s="35">
        <v>0</v>
      </c>
      <c r="E19" s="58">
        <v>21</v>
      </c>
      <c r="F19" s="58">
        <v>21</v>
      </c>
      <c r="G19" s="58">
        <v>21</v>
      </c>
      <c r="H19" s="55">
        <v>0</v>
      </c>
      <c r="I19" s="55">
        <v>0</v>
      </c>
    </row>
    <row r="20" spans="1:9" ht="15.75" customHeight="1" x14ac:dyDescent="0.25">
      <c r="A20" s="2">
        <v>7</v>
      </c>
      <c r="B20" s="2" t="s">
        <v>17</v>
      </c>
      <c r="C20" s="35">
        <v>56.91</v>
      </c>
      <c r="D20" s="57">
        <v>20</v>
      </c>
      <c r="E20" s="58">
        <v>30</v>
      </c>
      <c r="F20" s="81">
        <f>(C20+D20+E20)/3</f>
        <v>35.636666666666663</v>
      </c>
      <c r="G20" s="81">
        <f>ROUND(F20*F21,0)</f>
        <v>33</v>
      </c>
      <c r="H20" s="55">
        <f>E20/D20</f>
        <v>1.5</v>
      </c>
      <c r="I20" s="55">
        <f>E20/C20</f>
        <v>0.5271481286241434</v>
      </c>
    </row>
    <row r="21" spans="1:9" ht="26.25" x14ac:dyDescent="0.25">
      <c r="A21" s="2"/>
      <c r="B21" s="51" t="s">
        <v>62</v>
      </c>
      <c r="C21" s="35"/>
      <c r="D21" s="52">
        <f>D20/C20</f>
        <v>0.35143208574942897</v>
      </c>
      <c r="E21" s="89">
        <f>E20/D20</f>
        <v>1.5</v>
      </c>
      <c r="F21" s="89">
        <f>(D21+E21)/2</f>
        <v>0.92571604287471443</v>
      </c>
      <c r="G21" s="63"/>
      <c r="H21" s="35"/>
      <c r="I21" s="35"/>
    </row>
    <row r="22" spans="1:9" ht="15.75" customHeight="1" x14ac:dyDescent="0.25">
      <c r="A22" s="2">
        <v>8</v>
      </c>
      <c r="B22" s="2" t="s">
        <v>18</v>
      </c>
      <c r="C22" s="35">
        <v>56.91</v>
      </c>
      <c r="D22" s="57">
        <v>48</v>
      </c>
      <c r="E22" s="58">
        <v>50</v>
      </c>
      <c r="F22" s="81">
        <f>(C22+D22+E22)/3</f>
        <v>51.636666666666663</v>
      </c>
      <c r="G22" s="81">
        <f>ROUND(F22*F23,0)</f>
        <v>49</v>
      </c>
      <c r="H22" s="55">
        <f>E22/D22</f>
        <v>1.0416666666666667</v>
      </c>
      <c r="I22" s="55">
        <f>E22/C22</f>
        <v>0.87858021437357237</v>
      </c>
    </row>
    <row r="23" spans="1:9" ht="26.25" x14ac:dyDescent="0.25">
      <c r="A23" s="2"/>
      <c r="B23" s="51" t="s">
        <v>62</v>
      </c>
      <c r="C23" s="35"/>
      <c r="D23" s="52">
        <f>D22/C22</f>
        <v>0.84343700579862946</v>
      </c>
      <c r="E23" s="89">
        <f>E22/D22</f>
        <v>1.0416666666666667</v>
      </c>
      <c r="F23" s="89">
        <f>(D23+E23)/2</f>
        <v>0.94255183623264815</v>
      </c>
      <c r="G23" s="63"/>
      <c r="H23" s="35"/>
      <c r="I23" s="35"/>
    </row>
    <row r="24" spans="1:9" ht="15.75" customHeight="1" x14ac:dyDescent="0.25">
      <c r="A24" s="2">
        <v>9</v>
      </c>
      <c r="B24" s="2" t="s">
        <v>0</v>
      </c>
      <c r="C24" s="35">
        <v>28.46</v>
      </c>
      <c r="D24" s="57">
        <v>95</v>
      </c>
      <c r="E24" s="58">
        <v>94.8</v>
      </c>
      <c r="F24" s="81">
        <f>(C24+D24+E24)/3</f>
        <v>72.75333333333333</v>
      </c>
      <c r="G24" s="81">
        <f>ROUND(F24*F25,0)</f>
        <v>158</v>
      </c>
      <c r="H24" s="55">
        <f>E24/D24</f>
        <v>0.99789473684210528</v>
      </c>
      <c r="I24" s="55">
        <f>E24/C24</f>
        <v>3.3309908643710471</v>
      </c>
    </row>
    <row r="25" spans="1:9" ht="26.25" x14ac:dyDescent="0.25">
      <c r="A25" s="2"/>
      <c r="B25" s="51" t="s">
        <v>62</v>
      </c>
      <c r="C25" s="35"/>
      <c r="D25" s="52">
        <f>D24/C24</f>
        <v>3.3380182712579058</v>
      </c>
      <c r="E25" s="89">
        <f>E24/D24</f>
        <v>0.99789473684210528</v>
      </c>
      <c r="F25" s="89">
        <f>(D25+E25)/2</f>
        <v>2.1679565040500055</v>
      </c>
      <c r="G25" s="63"/>
      <c r="H25" s="35"/>
      <c r="I25" s="35"/>
    </row>
    <row r="26" spans="1:9" ht="15.75" customHeight="1" x14ac:dyDescent="0.25">
      <c r="A26" s="2">
        <v>10</v>
      </c>
      <c r="B26" s="2" t="s">
        <v>36</v>
      </c>
      <c r="C26" s="35">
        <v>78.260000000000005</v>
      </c>
      <c r="D26" s="35">
        <v>260.31</v>
      </c>
      <c r="E26" s="58">
        <v>334.2</v>
      </c>
      <c r="F26" s="81">
        <f>(C26+D26+E26)/3</f>
        <v>224.25666666666666</v>
      </c>
      <c r="G26" s="81">
        <f>ROUND(F26*F27,0)</f>
        <v>517</v>
      </c>
      <c r="H26" s="55">
        <f>E26/D26</f>
        <v>1.2838538665437362</v>
      </c>
      <c r="I26" s="55">
        <f>E26/C26</f>
        <v>4.2703807820086883</v>
      </c>
    </row>
    <row r="27" spans="1:9" ht="26.25" x14ac:dyDescent="0.25">
      <c r="A27" s="2"/>
      <c r="B27" s="51" t="s">
        <v>62</v>
      </c>
      <c r="C27" s="35"/>
      <c r="D27" s="52">
        <f>D26/C26</f>
        <v>3.3262202913365702</v>
      </c>
      <c r="E27" s="89">
        <f>E26/D26</f>
        <v>1.2838538665437362</v>
      </c>
      <c r="F27" s="89">
        <f>(D27+E27)/2</f>
        <v>2.3050370789401531</v>
      </c>
      <c r="G27" s="63"/>
      <c r="H27" s="35"/>
      <c r="I27" s="35"/>
    </row>
    <row r="28" spans="1:9" ht="31.5" x14ac:dyDescent="0.25">
      <c r="A28" s="2">
        <v>11</v>
      </c>
      <c r="B28" s="25" t="s">
        <v>37</v>
      </c>
      <c r="C28" s="35">
        <v>199.2</v>
      </c>
      <c r="D28" s="57">
        <v>170</v>
      </c>
      <c r="E28" s="58">
        <v>170</v>
      </c>
      <c r="F28" s="81">
        <f>(C28+D28+E28)/3</f>
        <v>179.73333333333335</v>
      </c>
      <c r="G28" s="81">
        <f>ROUND(F28*F29,0)</f>
        <v>167</v>
      </c>
      <c r="H28" s="55">
        <f>E28/D28</f>
        <v>1</v>
      </c>
      <c r="I28" s="55">
        <f>E28/C28</f>
        <v>0.85341365461847396</v>
      </c>
    </row>
    <row r="29" spans="1:9" ht="26.25" x14ac:dyDescent="0.25">
      <c r="A29" s="2"/>
      <c r="B29" s="51" t="s">
        <v>62</v>
      </c>
      <c r="C29" s="35"/>
      <c r="D29" s="52">
        <f>D28/C28</f>
        <v>0.85341365461847396</v>
      </c>
      <c r="E29" s="89">
        <f>E28/D28</f>
        <v>1</v>
      </c>
      <c r="F29" s="89">
        <f>(D29+E29)/2</f>
        <v>0.92670682730923692</v>
      </c>
      <c r="G29" s="63"/>
      <c r="H29" s="35"/>
      <c r="I29" s="35"/>
    </row>
    <row r="30" spans="1:9" ht="31.5" x14ac:dyDescent="0.25">
      <c r="A30" s="2">
        <v>12</v>
      </c>
      <c r="B30" s="23" t="s">
        <v>19</v>
      </c>
      <c r="C30" s="35">
        <v>0</v>
      </c>
      <c r="D30" s="35">
        <v>0</v>
      </c>
      <c r="E30" s="58">
        <v>24.45</v>
      </c>
      <c r="F30" s="58">
        <v>24.45</v>
      </c>
      <c r="G30" s="58">
        <v>24.45</v>
      </c>
      <c r="H30" s="55">
        <v>0</v>
      </c>
      <c r="I30" s="55">
        <v>0</v>
      </c>
    </row>
    <row r="31" spans="1:9" ht="15.75" customHeight="1" x14ac:dyDescent="0.25">
      <c r="A31" s="2">
        <v>13</v>
      </c>
      <c r="B31" s="2" t="s">
        <v>9</v>
      </c>
      <c r="C31" s="35">
        <v>163.63</v>
      </c>
      <c r="D31" s="57">
        <v>128</v>
      </c>
      <c r="E31" s="58">
        <v>180</v>
      </c>
      <c r="F31" s="81">
        <f>(C31+D31+E31)/3</f>
        <v>157.21</v>
      </c>
      <c r="G31" s="81">
        <f>ROUND(F31*F32,0)</f>
        <v>172</v>
      </c>
      <c r="H31" s="55">
        <f>E31/D31</f>
        <v>1.40625</v>
      </c>
      <c r="I31" s="55">
        <f>E31/C31</f>
        <v>1.1000427794414227</v>
      </c>
    </row>
    <row r="32" spans="1:9" ht="26.25" x14ac:dyDescent="0.25">
      <c r="A32" s="2"/>
      <c r="B32" s="51" t="s">
        <v>62</v>
      </c>
      <c r="C32" s="35"/>
      <c r="D32" s="52">
        <f>D31/C31</f>
        <v>0.78225264315834508</v>
      </c>
      <c r="E32" s="89">
        <f>E31/D31</f>
        <v>1.40625</v>
      </c>
      <c r="F32" s="89">
        <f>(D32+E32)/2</f>
        <v>1.0942513215791725</v>
      </c>
      <c r="G32" s="63"/>
      <c r="H32" s="35"/>
      <c r="I32" s="35"/>
    </row>
    <row r="33" spans="1:9" ht="15.75" customHeight="1" x14ac:dyDescent="0.25">
      <c r="A33" s="2">
        <v>14</v>
      </c>
      <c r="B33" s="2" t="s">
        <v>1</v>
      </c>
      <c r="C33" s="35">
        <v>120.94</v>
      </c>
      <c r="D33" s="35">
        <v>24</v>
      </c>
      <c r="E33" s="63">
        <v>42.35</v>
      </c>
      <c r="F33" s="81">
        <f>(C33+D33+E33)/3</f>
        <v>62.43</v>
      </c>
      <c r="G33" s="81">
        <f>ROUND(F33*F34,0)</f>
        <v>61</v>
      </c>
      <c r="H33" s="55">
        <f>E33/D33</f>
        <v>1.7645833333333334</v>
      </c>
      <c r="I33" s="55">
        <f>E33/C33</f>
        <v>0.35017363982139904</v>
      </c>
    </row>
    <row r="34" spans="1:9" ht="26.25" x14ac:dyDescent="0.25">
      <c r="A34" s="2"/>
      <c r="B34" s="51" t="s">
        <v>62</v>
      </c>
      <c r="C34" s="35"/>
      <c r="D34" s="52">
        <f>D33/C33</f>
        <v>0.19844551017033241</v>
      </c>
      <c r="E34" s="89">
        <f>E33/D33</f>
        <v>1.7645833333333334</v>
      </c>
      <c r="F34" s="89">
        <f>(D34+E34)/2</f>
        <v>0.9815144217518329</v>
      </c>
      <c r="G34" s="63"/>
      <c r="H34" s="35"/>
      <c r="I34" s="35"/>
    </row>
    <row r="35" spans="1:9" ht="15.75" x14ac:dyDescent="0.25">
      <c r="A35" s="2">
        <v>15</v>
      </c>
      <c r="B35" s="22" t="s">
        <v>20</v>
      </c>
      <c r="C35" s="35">
        <v>0</v>
      </c>
      <c r="D35" s="35">
        <v>0</v>
      </c>
      <c r="E35" s="58">
        <v>9</v>
      </c>
      <c r="F35" s="58">
        <v>9</v>
      </c>
      <c r="G35" s="58">
        <v>9</v>
      </c>
      <c r="H35" s="55">
        <v>0</v>
      </c>
      <c r="I35" s="55">
        <v>0</v>
      </c>
    </row>
    <row r="36" spans="1:9" ht="31.5" customHeight="1" x14ac:dyDescent="0.25">
      <c r="A36" s="2">
        <v>16</v>
      </c>
      <c r="B36" s="2" t="s">
        <v>11</v>
      </c>
      <c r="C36" s="35">
        <v>56.91</v>
      </c>
      <c r="D36" s="57">
        <v>57</v>
      </c>
      <c r="E36" s="58">
        <v>35.380000000000003</v>
      </c>
      <c r="F36" s="81">
        <f>(C36+D36+E36)/3</f>
        <v>49.763333333333328</v>
      </c>
      <c r="G36" s="81">
        <f>ROUND(F36*F37,0)</f>
        <v>40</v>
      </c>
      <c r="H36" s="55">
        <f>E36/D36</f>
        <v>0.62070175438596498</v>
      </c>
      <c r="I36" s="55">
        <f>E36/C36</f>
        <v>0.62168335969073985</v>
      </c>
    </row>
    <row r="37" spans="1:9" ht="26.25" x14ac:dyDescent="0.25">
      <c r="A37" s="2"/>
      <c r="B37" s="51" t="s">
        <v>62</v>
      </c>
      <c r="C37" s="35"/>
      <c r="D37" s="52">
        <f>D36/C36</f>
        <v>1.0015814443858726</v>
      </c>
      <c r="E37" s="89">
        <f>E36/D36</f>
        <v>0.62070175438596498</v>
      </c>
      <c r="F37" s="89">
        <f>(D37+E37)/2</f>
        <v>0.81114159938591879</v>
      </c>
      <c r="G37" s="63"/>
      <c r="H37" s="35"/>
      <c r="I37" s="35"/>
    </row>
    <row r="38" spans="1:9" ht="20.25" customHeight="1" x14ac:dyDescent="0.25">
      <c r="A38" s="2">
        <v>17</v>
      </c>
      <c r="B38" s="2" t="s">
        <v>12</v>
      </c>
      <c r="C38" s="35">
        <v>35.57</v>
      </c>
      <c r="D38" s="57">
        <v>35</v>
      </c>
      <c r="E38" s="58">
        <v>44</v>
      </c>
      <c r="F38" s="81">
        <f>(C38+D38+E38)/3</f>
        <v>38.19</v>
      </c>
      <c r="G38" s="81">
        <f>ROUND(F38*F39,0)</f>
        <v>43</v>
      </c>
      <c r="H38" s="55">
        <f>E38/D38</f>
        <v>1.2571428571428571</v>
      </c>
      <c r="I38" s="55">
        <f>E38/C38</f>
        <v>1.2369974697779027</v>
      </c>
    </row>
    <row r="39" spans="1:9" ht="31.5" customHeight="1" x14ac:dyDescent="0.25">
      <c r="A39" s="2"/>
      <c r="B39" s="51" t="s">
        <v>62</v>
      </c>
      <c r="C39" s="35"/>
      <c r="D39" s="52">
        <f>D38/C38</f>
        <v>0.98397526005060443</v>
      </c>
      <c r="E39" s="89">
        <f>E38/D38</f>
        <v>1.2571428571428571</v>
      </c>
      <c r="F39" s="89">
        <f>(D39+E39)/2</f>
        <v>1.1205590585967307</v>
      </c>
      <c r="G39" s="63"/>
      <c r="H39" s="35"/>
      <c r="I39" s="35"/>
    </row>
    <row r="40" spans="1:9" ht="22.5" customHeight="1" x14ac:dyDescent="0.25">
      <c r="A40" s="2">
        <v>18</v>
      </c>
      <c r="B40" s="2" t="s">
        <v>22</v>
      </c>
      <c r="C40" s="35">
        <v>996.01</v>
      </c>
      <c r="D40" s="57">
        <v>420</v>
      </c>
      <c r="E40" s="63">
        <v>381.45</v>
      </c>
      <c r="F40" s="81">
        <f>(C40+D40+E40)/3</f>
        <v>599.15333333333331</v>
      </c>
      <c r="G40" s="81">
        <f>ROUND(F40*F41,0)</f>
        <v>398</v>
      </c>
      <c r="H40" s="55">
        <f>E40/D40</f>
        <v>0.90821428571428564</v>
      </c>
      <c r="I40" s="55">
        <f>E40/C40</f>
        <v>0.38297808254937199</v>
      </c>
    </row>
    <row r="41" spans="1:9" ht="27.75" customHeight="1" x14ac:dyDescent="0.25">
      <c r="A41" s="2"/>
      <c r="B41" s="51" t="s">
        <v>62</v>
      </c>
      <c r="C41" s="35"/>
      <c r="D41" s="52">
        <f>D40/C40</f>
        <v>0.42168251322777883</v>
      </c>
      <c r="E41" s="89">
        <f>E40/D40</f>
        <v>0.90821428571428564</v>
      </c>
      <c r="F41" s="89">
        <f>(D41+E41)/2</f>
        <v>0.66494839947103224</v>
      </c>
      <c r="G41" s="63"/>
      <c r="H41" s="35"/>
      <c r="I41" s="35"/>
    </row>
    <row r="42" spans="1:9" ht="15.75" x14ac:dyDescent="0.25">
      <c r="A42" s="2">
        <v>19</v>
      </c>
      <c r="B42" s="4" t="s">
        <v>29</v>
      </c>
      <c r="C42" s="35">
        <v>853.72</v>
      </c>
      <c r="D42" s="35">
        <v>853.72</v>
      </c>
      <c r="E42" s="58">
        <v>658.6</v>
      </c>
      <c r="F42" s="81">
        <f>(C42+D42+E42)/3</f>
        <v>788.68</v>
      </c>
      <c r="G42" s="81">
        <f>ROUND(F42*F43,0)</f>
        <v>699</v>
      </c>
      <c r="H42" s="55">
        <f>E42/D42</f>
        <v>0.77144731293632574</v>
      </c>
      <c r="I42" s="55">
        <f>E42/C42</f>
        <v>0.77144731293632574</v>
      </c>
    </row>
    <row r="43" spans="1:9" ht="26.25" x14ac:dyDescent="0.25">
      <c r="A43" s="2"/>
      <c r="B43" s="51" t="s">
        <v>62</v>
      </c>
      <c r="C43" s="35"/>
      <c r="D43" s="52">
        <f>D42/C42</f>
        <v>1</v>
      </c>
      <c r="E43" s="89">
        <f>E42/D42</f>
        <v>0.77144731293632574</v>
      </c>
      <c r="F43" s="89">
        <f>(D43+E43)/2</f>
        <v>0.88572365646816287</v>
      </c>
      <c r="G43" s="63"/>
      <c r="H43" s="35"/>
      <c r="I43" s="35"/>
    </row>
    <row r="44" spans="1:9" ht="15.75" x14ac:dyDescent="0.25">
      <c r="A44" s="2">
        <v>20</v>
      </c>
      <c r="B44" s="2" t="s">
        <v>38</v>
      </c>
      <c r="C44" s="35">
        <v>0</v>
      </c>
      <c r="D44" s="35">
        <v>0</v>
      </c>
      <c r="E44" s="63">
        <v>442.37</v>
      </c>
      <c r="F44" s="63">
        <v>442.37</v>
      </c>
      <c r="G44" s="63">
        <v>442.37</v>
      </c>
      <c r="H44" s="55">
        <v>0</v>
      </c>
      <c r="I44" s="55">
        <v>0</v>
      </c>
    </row>
    <row r="45" spans="1:9" ht="26.25" x14ac:dyDescent="0.25">
      <c r="A45" s="2"/>
      <c r="B45" s="51" t="s">
        <v>62</v>
      </c>
      <c r="C45" s="35"/>
      <c r="D45" s="52">
        <v>0</v>
      </c>
      <c r="E45" s="89">
        <v>0</v>
      </c>
      <c r="F45" s="89">
        <f>(D45+E45)/2</f>
        <v>0</v>
      </c>
      <c r="G45" s="63"/>
      <c r="H45" s="35"/>
      <c r="I45" s="35"/>
    </row>
    <row r="46" spans="1:9" ht="15.75" x14ac:dyDescent="0.25">
      <c r="A46" s="2">
        <v>21</v>
      </c>
      <c r="B46" s="22" t="s">
        <v>25</v>
      </c>
      <c r="C46" s="35">
        <v>0</v>
      </c>
      <c r="D46" s="35">
        <v>0</v>
      </c>
      <c r="E46" s="58">
        <v>168.19</v>
      </c>
      <c r="F46" s="58">
        <v>168.19</v>
      </c>
      <c r="G46" s="58">
        <v>168.19</v>
      </c>
      <c r="H46" s="55">
        <v>0</v>
      </c>
      <c r="I46" s="55">
        <v>0</v>
      </c>
    </row>
    <row r="47" spans="1:9" ht="15.75" x14ac:dyDescent="0.25">
      <c r="A47" s="2">
        <v>22</v>
      </c>
      <c r="B47" s="2" t="s">
        <v>39</v>
      </c>
      <c r="C47" s="35">
        <v>569.15</v>
      </c>
      <c r="D47" s="57">
        <v>560</v>
      </c>
      <c r="E47" s="63">
        <v>795.41</v>
      </c>
      <c r="F47" s="81">
        <f>(C47+D47+E47)/3</f>
        <v>641.52</v>
      </c>
      <c r="G47" s="81">
        <f>ROUND(F47*F48,0)</f>
        <v>771</v>
      </c>
      <c r="H47" s="55">
        <f>E47/D47</f>
        <v>1.4203749999999999</v>
      </c>
      <c r="I47" s="55">
        <f>E47/C47</f>
        <v>1.3975401915136607</v>
      </c>
    </row>
    <row r="48" spans="1:9" ht="26.25" x14ac:dyDescent="0.25">
      <c r="A48" s="2"/>
      <c r="B48" s="51" t="s">
        <v>62</v>
      </c>
      <c r="C48" s="35"/>
      <c r="D48" s="52">
        <f>D47/C47</f>
        <v>0.9839233945357112</v>
      </c>
      <c r="E48" s="89">
        <f>E47/D47</f>
        <v>1.4203749999999999</v>
      </c>
      <c r="F48" s="89">
        <f>(D48+E48)/2</f>
        <v>1.2021491972678555</v>
      </c>
      <c r="G48" s="63"/>
      <c r="H48" s="35"/>
      <c r="I48" s="35"/>
    </row>
    <row r="49" spans="1:10" ht="31.5" x14ac:dyDescent="0.25">
      <c r="A49" s="2">
        <v>23</v>
      </c>
      <c r="B49" s="22" t="s">
        <v>23</v>
      </c>
      <c r="C49" s="35">
        <v>0</v>
      </c>
      <c r="D49" s="35">
        <v>0</v>
      </c>
      <c r="E49" s="58">
        <v>285</v>
      </c>
      <c r="F49" s="58">
        <v>285</v>
      </c>
      <c r="G49" s="58">
        <v>285</v>
      </c>
      <c r="H49" s="55">
        <v>0</v>
      </c>
      <c r="I49" s="55">
        <v>0</v>
      </c>
    </row>
    <row r="50" spans="1:10" ht="15.75" x14ac:dyDescent="0.25">
      <c r="A50" s="2">
        <v>24</v>
      </c>
      <c r="B50" s="22" t="s">
        <v>44</v>
      </c>
      <c r="C50" s="35">
        <v>0</v>
      </c>
      <c r="D50" s="35">
        <v>0</v>
      </c>
      <c r="E50" s="58">
        <v>49.72</v>
      </c>
      <c r="F50" s="58">
        <v>49.72</v>
      </c>
      <c r="G50" s="58">
        <v>49.72</v>
      </c>
      <c r="H50" s="55">
        <v>0</v>
      </c>
      <c r="I50" s="55">
        <v>0</v>
      </c>
    </row>
    <row r="51" spans="1:10" ht="47.25" x14ac:dyDescent="0.25">
      <c r="A51" s="2">
        <v>25</v>
      </c>
      <c r="B51" s="2" t="s">
        <v>14</v>
      </c>
      <c r="C51" s="35">
        <v>284.57</v>
      </c>
      <c r="D51" s="57">
        <v>280</v>
      </c>
      <c r="E51" s="58">
        <v>57</v>
      </c>
      <c r="F51" s="81">
        <f>(C51+D51+E51)/3</f>
        <v>207.18999999999997</v>
      </c>
      <c r="G51" s="81">
        <f>ROUND(F51*F52,0)</f>
        <v>123</v>
      </c>
      <c r="H51" s="55">
        <f>E51/D51</f>
        <v>0.20357142857142857</v>
      </c>
      <c r="I51" s="55">
        <f>E51/C51</f>
        <v>0.20030221035246162</v>
      </c>
    </row>
    <row r="52" spans="1:10" ht="26.25" x14ac:dyDescent="0.25">
      <c r="A52" s="2"/>
      <c r="B52" s="51" t="s">
        <v>62</v>
      </c>
      <c r="C52" s="35"/>
      <c r="D52" s="52">
        <f>D51/C51</f>
        <v>0.98394068243314481</v>
      </c>
      <c r="E52" s="89">
        <f>E51/D51</f>
        <v>0.20357142857142857</v>
      </c>
      <c r="F52" s="89">
        <f>(D52+E52)/2</f>
        <v>0.59375605550228672</v>
      </c>
      <c r="G52" s="63"/>
      <c r="H52" s="35"/>
      <c r="I52" s="35"/>
    </row>
    <row r="53" spans="1:10" ht="47.25" x14ac:dyDescent="0.25">
      <c r="A53" s="2">
        <v>26</v>
      </c>
      <c r="B53" s="37" t="s">
        <v>21</v>
      </c>
      <c r="C53" s="35">
        <v>711.44</v>
      </c>
      <c r="D53" s="35">
        <v>711.44</v>
      </c>
      <c r="E53" s="58">
        <v>130</v>
      </c>
      <c r="F53" s="81">
        <f>(C53+D53+E53)/3</f>
        <v>517.62666666666667</v>
      </c>
      <c r="G53" s="81">
        <f>ROUND(F53*F54,0)</f>
        <v>306</v>
      </c>
      <c r="H53" s="55">
        <f>E53/D53</f>
        <v>0.18272798830540873</v>
      </c>
      <c r="I53" s="55">
        <f>E53/C53</f>
        <v>0.18272798830540873</v>
      </c>
    </row>
    <row r="54" spans="1:10" ht="26.25" x14ac:dyDescent="0.25">
      <c r="A54" s="2"/>
      <c r="B54" s="51" t="s">
        <v>62</v>
      </c>
      <c r="C54" s="35"/>
      <c r="D54" s="52">
        <f>D53/C53</f>
        <v>1</v>
      </c>
      <c r="E54" s="89">
        <f>E53/D53</f>
        <v>0.18272798830540873</v>
      </c>
      <c r="F54" s="89">
        <f>(D54+E54)/2</f>
        <v>0.59136399415270435</v>
      </c>
      <c r="G54" s="63"/>
      <c r="H54" s="35"/>
      <c r="I54" s="35"/>
    </row>
    <row r="55" spans="1:10" ht="15.75" x14ac:dyDescent="0.25">
      <c r="A55" s="199" t="s">
        <v>40</v>
      </c>
      <c r="B55" s="199"/>
      <c r="C55" s="11" t="s">
        <v>28</v>
      </c>
      <c r="D55" s="11" t="s">
        <v>28</v>
      </c>
      <c r="E55" s="11" t="s">
        <v>28</v>
      </c>
      <c r="F55" s="11" t="s">
        <v>28</v>
      </c>
      <c r="G55" s="11" t="s">
        <v>28</v>
      </c>
      <c r="H55" s="46" t="e">
        <f>E55/D55</f>
        <v>#VALUE!</v>
      </c>
      <c r="I55" s="46">
        <f>SUM(I10:I54)/18</f>
        <v>1.0591894647369431</v>
      </c>
      <c r="J55" s="159"/>
    </row>
    <row r="56" spans="1:10" ht="15.75" x14ac:dyDescent="0.25">
      <c r="A56" s="43"/>
      <c r="B56" s="44" t="s">
        <v>59</v>
      </c>
      <c r="C56" s="11" t="s">
        <v>28</v>
      </c>
      <c r="D56" s="11" t="s">
        <v>28</v>
      </c>
      <c r="E56" s="11" t="s">
        <v>28</v>
      </c>
      <c r="F56" s="11" t="s">
        <v>28</v>
      </c>
      <c r="G56" s="11" t="s">
        <v>28</v>
      </c>
      <c r="H56" s="46">
        <v>0</v>
      </c>
      <c r="I56" s="46">
        <v>0</v>
      </c>
    </row>
    <row r="57" spans="1:10" ht="15.75" x14ac:dyDescent="0.25">
      <c r="A57" s="43"/>
      <c r="B57" s="47" t="s">
        <v>60</v>
      </c>
      <c r="C57" s="45" t="s">
        <v>28</v>
      </c>
      <c r="D57" s="45" t="s">
        <v>28</v>
      </c>
      <c r="E57" s="45" t="s">
        <v>28</v>
      </c>
      <c r="F57" s="45" t="s">
        <v>28</v>
      </c>
      <c r="G57" s="45" t="s">
        <v>28</v>
      </c>
      <c r="H57" s="46" t="e">
        <f>E57/D57</f>
        <v>#VALUE!</v>
      </c>
      <c r="I57" s="46">
        <f>SUM(I10:I53)/18</f>
        <v>1.0591894647369431</v>
      </c>
    </row>
    <row r="58" spans="1:10" ht="15.75" x14ac:dyDescent="0.25">
      <c r="A58" s="41"/>
      <c r="B58" s="41"/>
      <c r="C58" s="42"/>
      <c r="D58" s="42"/>
      <c r="E58" s="42"/>
      <c r="F58" s="42"/>
      <c r="G58" s="42"/>
      <c r="H58" s="42"/>
      <c r="I58" s="42"/>
    </row>
    <row r="60" spans="1:10" ht="15.75" x14ac:dyDescent="0.25">
      <c r="A60" s="39" t="s">
        <v>96</v>
      </c>
      <c r="B60" s="39"/>
      <c r="C60" s="39"/>
      <c r="D60" s="39"/>
      <c r="E60" s="39"/>
    </row>
    <row r="61" spans="1:10" ht="15.75" x14ac:dyDescent="0.25">
      <c r="A61" s="39" t="s">
        <v>97</v>
      </c>
      <c r="B61" s="39"/>
      <c r="C61" s="39"/>
      <c r="D61" s="39"/>
      <c r="E61" s="39"/>
    </row>
    <row r="62" spans="1:10" ht="15.75" x14ac:dyDescent="0.25">
      <c r="A62" s="39" t="s">
        <v>98</v>
      </c>
      <c r="B62" s="39"/>
      <c r="C62" s="39"/>
      <c r="D62" s="39"/>
      <c r="E62" s="39"/>
    </row>
    <row r="64" spans="1:10" ht="15.75" x14ac:dyDescent="0.25">
      <c r="A64" s="1" t="s">
        <v>159</v>
      </c>
      <c r="B64" s="1"/>
      <c r="C64" s="1"/>
      <c r="D64" s="1"/>
      <c r="E64" s="1"/>
      <c r="F64" s="1"/>
      <c r="G64" s="1"/>
      <c r="H64" s="1"/>
      <c r="I64" s="1" t="s">
        <v>160</v>
      </c>
    </row>
    <row r="65" spans="1:9" ht="15.75" x14ac:dyDescent="0.25">
      <c r="A65" s="1"/>
      <c r="B65" s="1"/>
      <c r="C65" s="1"/>
      <c r="D65" s="1"/>
      <c r="E65" s="1"/>
      <c r="F65" s="1"/>
      <c r="G65" s="1"/>
      <c r="H65" s="1"/>
      <c r="I65" s="1"/>
    </row>
    <row r="66" spans="1:9" ht="15.75" x14ac:dyDescent="0.25">
      <c r="A66" s="39" t="s">
        <v>193</v>
      </c>
      <c r="B66" s="39"/>
      <c r="C66" s="39"/>
      <c r="D66" s="1"/>
      <c r="E66" s="1"/>
      <c r="F66" s="1"/>
      <c r="G66" s="1"/>
      <c r="H66" s="1"/>
      <c r="I66" s="1"/>
    </row>
    <row r="67" spans="1:9" ht="15.75" x14ac:dyDescent="0.25">
      <c r="A67" s="39" t="s">
        <v>161</v>
      </c>
      <c r="B67" s="39"/>
      <c r="C67" s="39"/>
      <c r="D67" s="1"/>
      <c r="E67" s="1"/>
      <c r="F67" s="1"/>
      <c r="G67" s="1"/>
      <c r="H67" s="1"/>
      <c r="I67" s="1"/>
    </row>
    <row r="68" spans="1:9" ht="15.75" x14ac:dyDescent="0.25">
      <c r="A68" s="39" t="s">
        <v>162</v>
      </c>
      <c r="B68" s="39"/>
      <c r="C68" s="39"/>
      <c r="D68" s="1"/>
      <c r="E68" s="1"/>
      <c r="F68" s="1"/>
      <c r="G68" s="1"/>
      <c r="H68" s="1"/>
      <c r="I68" s="1"/>
    </row>
  </sheetData>
  <mergeCells count="10">
    <mergeCell ref="A7:A8"/>
    <mergeCell ref="B7:B8"/>
    <mergeCell ref="G2:I2"/>
    <mergeCell ref="A55:B55"/>
    <mergeCell ref="C7:E7"/>
    <mergeCell ref="F7:F8"/>
    <mergeCell ref="G7:G8"/>
    <mergeCell ref="A5:I5"/>
    <mergeCell ref="E3:I3"/>
    <mergeCell ref="C4:I4"/>
  </mergeCells>
  <pageMargins left="0.70866141732283472" right="0.70866141732283472" top="0.74803149606299213" bottom="0.74803149606299213" header="0.31496062992125984" footer="0.31496062992125984"/>
  <pageSetup paperSize="9" scale="75" orientation="portrait" r:id="rId1"/>
  <headerFooter>
    <oddFooter>&amp;CLMpielik_6_070815_LMZino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A31" zoomScaleNormal="100" workbookViewId="0">
      <selection activeCell="E48" sqref="E48"/>
    </sheetView>
  </sheetViews>
  <sheetFormatPr defaultRowHeight="15" x14ac:dyDescent="0.25"/>
  <cols>
    <col min="1" max="1" width="3.42578125" customWidth="1"/>
    <col min="2" max="2" width="25.140625" customWidth="1"/>
    <col min="3" max="3" width="9" customWidth="1"/>
    <col min="4" max="4" width="10.42578125" customWidth="1"/>
    <col min="5" max="5" width="11.42578125" customWidth="1"/>
    <col min="6" max="6" width="13" customWidth="1"/>
    <col min="7" max="7" width="23.5703125" customWidth="1"/>
    <col min="8" max="8" width="15" customWidth="1"/>
    <col min="9" max="9" width="11.7109375" customWidth="1"/>
    <col min="10" max="12" width="15" customWidth="1"/>
    <col min="13" max="13" width="14.42578125" customWidth="1"/>
  </cols>
  <sheetData>
    <row r="1" spans="1:13" ht="15.75" x14ac:dyDescent="0.25">
      <c r="K1" s="198" t="s">
        <v>164</v>
      </c>
      <c r="L1" s="198"/>
      <c r="M1" s="198"/>
    </row>
    <row r="2" spans="1:13" ht="15.75" x14ac:dyDescent="0.25">
      <c r="J2" s="178" t="s">
        <v>163</v>
      </c>
      <c r="K2" s="178"/>
      <c r="L2" s="178"/>
      <c r="M2" s="178"/>
    </row>
    <row r="3" spans="1:13" ht="32.25" customHeight="1" x14ac:dyDescent="0.25">
      <c r="H3" s="179" t="s">
        <v>169</v>
      </c>
      <c r="I3" s="179"/>
      <c r="J3" s="179"/>
      <c r="K3" s="179"/>
      <c r="L3" s="179"/>
      <c r="M3" s="179"/>
    </row>
    <row r="4" spans="1:13" ht="18.75" x14ac:dyDescent="0.3">
      <c r="C4" s="177" t="s">
        <v>155</v>
      </c>
      <c r="D4" s="177"/>
      <c r="E4" s="177"/>
      <c r="K4" s="160"/>
      <c r="L4" s="160"/>
      <c r="M4" s="160"/>
    </row>
    <row r="5" spans="1:13" ht="40.5" customHeight="1" x14ac:dyDescent="0.3">
      <c r="A5" s="215" t="s">
        <v>141</v>
      </c>
      <c r="B5" s="215"/>
      <c r="C5" s="215"/>
      <c r="D5" s="215"/>
      <c r="E5" s="215"/>
      <c r="F5" s="215"/>
      <c r="G5" s="215"/>
      <c r="H5" s="215"/>
      <c r="I5" s="215"/>
      <c r="J5" s="215"/>
      <c r="K5" s="111"/>
      <c r="L5" s="111"/>
    </row>
    <row r="6" spans="1:13" ht="15.75" customHeight="1" x14ac:dyDescent="0.3">
      <c r="A6" s="98"/>
      <c r="B6" s="98"/>
      <c r="C6" s="98"/>
      <c r="D6" s="98"/>
      <c r="E6" s="127"/>
      <c r="F6" s="98"/>
      <c r="G6" s="98"/>
      <c r="H6" s="111"/>
      <c r="I6" s="111"/>
      <c r="J6" s="111"/>
      <c r="K6" s="111"/>
      <c r="L6" s="111"/>
    </row>
    <row r="7" spans="1:13" ht="15.75" x14ac:dyDescent="0.25">
      <c r="A7" s="214" t="s">
        <v>128</v>
      </c>
      <c r="B7" s="214"/>
      <c r="C7" s="214"/>
      <c r="D7" s="214"/>
      <c r="E7" s="214"/>
      <c r="F7" s="214"/>
      <c r="G7" s="214"/>
      <c r="H7" s="214" t="s">
        <v>127</v>
      </c>
      <c r="I7" s="214"/>
      <c r="J7" s="214"/>
      <c r="K7" s="214"/>
      <c r="L7" s="214"/>
      <c r="M7" s="214"/>
    </row>
    <row r="8" spans="1:13" ht="63.75" customHeight="1" x14ac:dyDescent="0.25">
      <c r="A8" s="112"/>
      <c r="B8" s="113" t="s">
        <v>110</v>
      </c>
      <c r="C8" s="114" t="s">
        <v>102</v>
      </c>
      <c r="D8" s="114" t="s">
        <v>138</v>
      </c>
      <c r="E8" s="133" t="s">
        <v>139</v>
      </c>
      <c r="F8" s="210" t="s">
        <v>63</v>
      </c>
      <c r="G8" s="211"/>
      <c r="H8" s="154" t="s">
        <v>133</v>
      </c>
      <c r="I8" s="154" t="s">
        <v>134</v>
      </c>
      <c r="J8" s="155" t="s">
        <v>125</v>
      </c>
      <c r="K8" s="155" t="s">
        <v>126</v>
      </c>
      <c r="L8" s="155" t="s">
        <v>129</v>
      </c>
      <c r="M8" s="154" t="s">
        <v>136</v>
      </c>
    </row>
    <row r="9" spans="1:13" ht="15.75" x14ac:dyDescent="0.25">
      <c r="A9" s="115">
        <v>1</v>
      </c>
      <c r="B9" s="115" t="s">
        <v>108</v>
      </c>
      <c r="C9" s="4"/>
      <c r="D9" s="110">
        <f>SUM(D10:D13)</f>
        <v>13602</v>
      </c>
      <c r="E9" s="110">
        <f>SUM(E10:E13)</f>
        <v>13602</v>
      </c>
      <c r="F9" s="213"/>
      <c r="G9" s="213"/>
      <c r="H9" s="45">
        <f>H10+H11+H13</f>
        <v>0</v>
      </c>
      <c r="I9" s="45">
        <f>I10+I11+I13</f>
        <v>0</v>
      </c>
      <c r="J9" s="45">
        <f>J10+J11+J13+J14</f>
        <v>1284.57</v>
      </c>
      <c r="K9" s="45">
        <f t="shared" ref="K9" si="0">K10+K11+K13+K14</f>
        <v>2886.0005999999998</v>
      </c>
      <c r="L9" s="45">
        <f t="shared" ref="L9" si="1">L10+L11+L13+L14</f>
        <v>4170.5706</v>
      </c>
      <c r="M9" s="45">
        <f t="shared" ref="M9" si="2">M10+M11+M13+M14</f>
        <v>2408.8746000000001</v>
      </c>
    </row>
    <row r="10" spans="1:13" ht="15" customHeight="1" x14ac:dyDescent="0.25">
      <c r="A10" s="115" t="s">
        <v>111</v>
      </c>
      <c r="B10" s="116" t="s">
        <v>107</v>
      </c>
      <c r="C10" s="4">
        <v>200</v>
      </c>
      <c r="D10" s="105">
        <f>C10*12</f>
        <v>2400</v>
      </c>
      <c r="E10" s="105">
        <f>D10</f>
        <v>2400</v>
      </c>
      <c r="F10" s="212" t="s">
        <v>192</v>
      </c>
      <c r="G10" s="212"/>
      <c r="H10" s="126">
        <v>0</v>
      </c>
      <c r="I10" s="126">
        <v>0</v>
      </c>
      <c r="J10" s="117">
        <f>D10*10.5%</f>
        <v>252</v>
      </c>
      <c r="K10" s="117">
        <f>D10*23.59%</f>
        <v>566.16</v>
      </c>
      <c r="L10" s="117">
        <f>J10+K10</f>
        <v>818.16</v>
      </c>
      <c r="M10" s="57">
        <f>(D10-J10)*22%</f>
        <v>472.56</v>
      </c>
    </row>
    <row r="11" spans="1:13" ht="85.5" customHeight="1" x14ac:dyDescent="0.25">
      <c r="A11" s="115" t="s">
        <v>112</v>
      </c>
      <c r="B11" s="116" t="s">
        <v>92</v>
      </c>
      <c r="C11" s="104">
        <v>570</v>
      </c>
      <c r="D11" s="105">
        <f t="shared" ref="D11:D12" si="3">C11*12</f>
        <v>6840</v>
      </c>
      <c r="E11" s="105">
        <f t="shared" ref="E11:E13" si="4">D11</f>
        <v>6840</v>
      </c>
      <c r="F11" s="212"/>
      <c r="G11" s="212"/>
      <c r="H11" s="126">
        <v>0</v>
      </c>
      <c r="I11" s="126">
        <v>0</v>
      </c>
      <c r="J11" s="117">
        <f t="shared" ref="J11:J13" si="5">D11*10.5%</f>
        <v>718.19999999999993</v>
      </c>
      <c r="K11" s="117">
        <f t="shared" ref="K11:K13" si="6">D11*23.59%</f>
        <v>1613.556</v>
      </c>
      <c r="L11" s="117">
        <f t="shared" ref="L11:L13" si="7">J11+K11</f>
        <v>2331.7559999999999</v>
      </c>
      <c r="M11" s="57">
        <f t="shared" ref="M11:M13" si="8">(D11-J11)*22%</f>
        <v>1346.796</v>
      </c>
    </row>
    <row r="12" spans="1:13" ht="63.75" customHeight="1" x14ac:dyDescent="0.25">
      <c r="A12" s="115" t="s">
        <v>113</v>
      </c>
      <c r="B12" s="116" t="s">
        <v>177</v>
      </c>
      <c r="C12" s="104">
        <v>114</v>
      </c>
      <c r="D12" s="105">
        <f t="shared" si="3"/>
        <v>1368</v>
      </c>
      <c r="E12" s="105">
        <f t="shared" si="4"/>
        <v>1368</v>
      </c>
      <c r="F12" s="212"/>
      <c r="G12" s="212"/>
      <c r="H12" s="126"/>
      <c r="I12" s="126"/>
      <c r="J12" s="117"/>
      <c r="K12" s="117"/>
      <c r="L12" s="117"/>
      <c r="M12" s="57"/>
    </row>
    <row r="13" spans="1:13" ht="270.75" customHeight="1" x14ac:dyDescent="0.25">
      <c r="A13" s="115" t="s">
        <v>176</v>
      </c>
      <c r="B13" s="116" t="s">
        <v>178</v>
      </c>
      <c r="C13" s="118">
        <v>249.5</v>
      </c>
      <c r="D13" s="105">
        <f>C13*12</f>
        <v>2994</v>
      </c>
      <c r="E13" s="105">
        <f t="shared" si="4"/>
        <v>2994</v>
      </c>
      <c r="F13" s="212"/>
      <c r="G13" s="212"/>
      <c r="H13" s="126">
        <v>0</v>
      </c>
      <c r="I13" s="126">
        <v>0</v>
      </c>
      <c r="J13" s="117">
        <f t="shared" si="5"/>
        <v>314.37</v>
      </c>
      <c r="K13" s="117">
        <f t="shared" si="6"/>
        <v>706.28459999999995</v>
      </c>
      <c r="L13" s="117">
        <f t="shared" si="7"/>
        <v>1020.6546</v>
      </c>
      <c r="M13" s="57">
        <f t="shared" si="8"/>
        <v>589.51859999999999</v>
      </c>
    </row>
    <row r="14" spans="1:13" ht="34.5" customHeight="1" x14ac:dyDescent="0.25">
      <c r="A14" s="115">
        <v>2</v>
      </c>
      <c r="B14" s="3" t="s">
        <v>126</v>
      </c>
      <c r="C14" s="118">
        <f>(C10+C11+C13)*23.59%</f>
        <v>240.50004999999999</v>
      </c>
      <c r="D14" s="119">
        <f>SUM(D10:D13)*23.59%</f>
        <v>3208.7118</v>
      </c>
      <c r="E14" s="119">
        <f>SUM(E10:E13)*23.59%</f>
        <v>3208.7118</v>
      </c>
      <c r="F14" s="210"/>
      <c r="G14" s="211"/>
      <c r="H14" s="126">
        <v>0</v>
      </c>
      <c r="I14" s="126">
        <v>0</v>
      </c>
      <c r="J14" s="126">
        <v>0</v>
      </c>
      <c r="K14" s="126">
        <v>0</v>
      </c>
      <c r="L14" s="126">
        <v>0</v>
      </c>
      <c r="M14" s="126">
        <v>0</v>
      </c>
    </row>
    <row r="15" spans="1:13" ht="31.5" customHeight="1" x14ac:dyDescent="0.25">
      <c r="A15" s="115">
        <v>3</v>
      </c>
      <c r="B15" s="121" t="s">
        <v>175</v>
      </c>
      <c r="C15" s="114"/>
      <c r="D15" s="120">
        <v>853.72</v>
      </c>
      <c r="E15" s="120">
        <v>853.72</v>
      </c>
      <c r="F15" s="212" t="s">
        <v>174</v>
      </c>
      <c r="G15" s="212"/>
      <c r="H15" s="126">
        <v>0</v>
      </c>
      <c r="I15" s="126">
        <v>0</v>
      </c>
      <c r="J15" s="126">
        <v>0</v>
      </c>
      <c r="K15" s="126">
        <v>0</v>
      </c>
      <c r="L15" s="126">
        <v>0</v>
      </c>
      <c r="M15" s="126">
        <v>0</v>
      </c>
    </row>
    <row r="16" spans="1:13" ht="67.5" customHeight="1" x14ac:dyDescent="0.25">
      <c r="A16" s="115">
        <v>4</v>
      </c>
      <c r="B16" s="121" t="s">
        <v>104</v>
      </c>
      <c r="C16" s="114"/>
      <c r="D16" s="120">
        <f>D17+D18</f>
        <v>2367.6799999999998</v>
      </c>
      <c r="E16" s="120">
        <f>E17+E18</f>
        <v>2367.6799999999998</v>
      </c>
      <c r="F16" s="212" t="s">
        <v>109</v>
      </c>
      <c r="G16" s="212"/>
      <c r="H16" s="117">
        <f>D16-D16/1.21</f>
        <v>410.91966942148747</v>
      </c>
      <c r="I16" s="117">
        <f>H16</f>
        <v>410.91966942148747</v>
      </c>
      <c r="J16" s="126">
        <v>0</v>
      </c>
      <c r="K16" s="126">
        <v>0</v>
      </c>
      <c r="L16" s="126">
        <v>0</v>
      </c>
      <c r="M16" s="126">
        <v>0</v>
      </c>
    </row>
    <row r="17" spans="1:13" ht="110.25" x14ac:dyDescent="0.25">
      <c r="A17" s="115" t="s">
        <v>130</v>
      </c>
      <c r="B17" s="3" t="s">
        <v>105</v>
      </c>
      <c r="C17" s="104">
        <v>15.13</v>
      </c>
      <c r="D17" s="105">
        <v>181.6</v>
      </c>
      <c r="E17" s="105">
        <f>D17</f>
        <v>181.6</v>
      </c>
      <c r="F17" s="212"/>
      <c r="G17" s="212"/>
      <c r="H17" s="126">
        <v>0</v>
      </c>
      <c r="I17" s="126">
        <v>0</v>
      </c>
      <c r="J17" s="126">
        <v>0</v>
      </c>
      <c r="K17" s="126">
        <v>0</v>
      </c>
      <c r="L17" s="126">
        <v>0</v>
      </c>
      <c r="M17" s="126">
        <v>0</v>
      </c>
    </row>
    <row r="18" spans="1:13" ht="141.75" x14ac:dyDescent="0.25">
      <c r="A18" s="115" t="s">
        <v>131</v>
      </c>
      <c r="B18" s="3" t="s">
        <v>106</v>
      </c>
      <c r="C18" s="4"/>
      <c r="D18" s="105">
        <v>2186.08</v>
      </c>
      <c r="E18" s="105">
        <f>D18</f>
        <v>2186.08</v>
      </c>
      <c r="F18" s="212"/>
      <c r="G18" s="212"/>
      <c r="H18" s="126">
        <v>0</v>
      </c>
      <c r="I18" s="126">
        <v>0</v>
      </c>
      <c r="J18" s="126">
        <v>0</v>
      </c>
      <c r="K18" s="126">
        <v>0</v>
      </c>
      <c r="L18" s="126">
        <v>0</v>
      </c>
      <c r="M18" s="126">
        <v>0</v>
      </c>
    </row>
    <row r="19" spans="1:13" ht="87" customHeight="1" x14ac:dyDescent="0.25">
      <c r="A19" s="115">
        <v>5</v>
      </c>
      <c r="B19" s="121" t="s">
        <v>115</v>
      </c>
      <c r="C19" s="117">
        <v>21.57</v>
      </c>
      <c r="D19" s="120">
        <v>258.83999999999997</v>
      </c>
      <c r="E19" s="120">
        <f>D19</f>
        <v>258.83999999999997</v>
      </c>
      <c r="F19" s="212" t="s">
        <v>116</v>
      </c>
      <c r="G19" s="212"/>
      <c r="H19" s="117">
        <f>D19-D19/1.21</f>
        <v>44.922644628099164</v>
      </c>
      <c r="I19" s="117">
        <f>H19</f>
        <v>44.922644628099164</v>
      </c>
      <c r="J19" s="126">
        <v>0</v>
      </c>
      <c r="K19" s="126">
        <v>0</v>
      </c>
      <c r="L19" s="126">
        <v>0</v>
      </c>
      <c r="M19" s="126">
        <v>0</v>
      </c>
    </row>
    <row r="20" spans="1:13" ht="87" customHeight="1" x14ac:dyDescent="0.25">
      <c r="A20" s="115">
        <v>6</v>
      </c>
      <c r="B20" s="121" t="s">
        <v>89</v>
      </c>
      <c r="C20" s="114"/>
      <c r="D20" s="120">
        <f>H41</f>
        <v>376.30799999999999</v>
      </c>
      <c r="E20" s="120">
        <f>D20</f>
        <v>376.30799999999999</v>
      </c>
      <c r="F20" s="212" t="s">
        <v>114</v>
      </c>
      <c r="G20" s="212"/>
      <c r="H20" s="117">
        <f>D20-D20/1.21</f>
        <v>65.309652892561985</v>
      </c>
      <c r="I20" s="117">
        <f>H20</f>
        <v>65.309652892561985</v>
      </c>
      <c r="J20" s="126">
        <v>0</v>
      </c>
      <c r="K20" s="126">
        <v>0</v>
      </c>
      <c r="L20" s="126">
        <v>0</v>
      </c>
      <c r="M20" s="126">
        <v>0</v>
      </c>
    </row>
    <row r="21" spans="1:13" ht="63" customHeight="1" x14ac:dyDescent="0.25">
      <c r="A21" s="115">
        <v>7</v>
      </c>
      <c r="B21" s="122" t="s">
        <v>91</v>
      </c>
      <c r="C21" s="114"/>
      <c r="D21" s="120">
        <v>2578</v>
      </c>
      <c r="E21" s="120">
        <v>0</v>
      </c>
      <c r="F21" s="212" t="s">
        <v>135</v>
      </c>
      <c r="G21" s="212"/>
      <c r="H21" s="117">
        <f>D21-D21/1.21</f>
        <v>447.42148760330565</v>
      </c>
      <c r="I21" s="117">
        <v>0</v>
      </c>
      <c r="J21" s="126">
        <v>0</v>
      </c>
      <c r="K21" s="126">
        <v>0</v>
      </c>
      <c r="L21" s="126">
        <v>0</v>
      </c>
      <c r="M21" s="126">
        <v>0</v>
      </c>
    </row>
    <row r="22" spans="1:13" ht="15.75" x14ac:dyDescent="0.25">
      <c r="A22" s="123"/>
      <c r="B22" s="112" t="s">
        <v>103</v>
      </c>
      <c r="C22" s="114"/>
      <c r="D22" s="120">
        <f>D9+D15+D16+D19+D20+D21+D14</f>
        <v>23245.2598</v>
      </c>
      <c r="E22" s="120">
        <f>E9+E15+E16+E19+E20+E21+E14</f>
        <v>20667.2598</v>
      </c>
      <c r="F22" s="210"/>
      <c r="G22" s="211"/>
      <c r="H22" s="120">
        <f>H9+H15+H16+H19+H20+H21+H14</f>
        <v>968.5734545454543</v>
      </c>
      <c r="I22" s="120">
        <f>I9+I15+I16+I19+I20+I21+I14</f>
        <v>521.15196694214865</v>
      </c>
      <c r="J22" s="120">
        <f t="shared" ref="J22" si="9">J9+J15+J16+J19+J20+J21+J14</f>
        <v>1284.57</v>
      </c>
      <c r="K22" s="120">
        <f t="shared" ref="K22" si="10">K9+K15+K16+K19+K20+K21+K14</f>
        <v>2886.0005999999998</v>
      </c>
      <c r="L22" s="120">
        <f t="shared" ref="L22" si="11">L9+L15+L16+L19+L20+L21+L14</f>
        <v>4170.5706</v>
      </c>
      <c r="M22" s="120">
        <f t="shared" ref="M22" si="12">M9+M15+M16+M19+M20+M21+M14</f>
        <v>2408.8746000000001</v>
      </c>
    </row>
    <row r="23" spans="1:13" ht="15.75" x14ac:dyDescent="0.25">
      <c r="A23" s="123"/>
      <c r="B23" s="123"/>
      <c r="C23" s="124"/>
      <c r="D23" s="169"/>
      <c r="E23" s="169"/>
      <c r="F23" s="124"/>
      <c r="G23" s="124"/>
      <c r="H23" s="169"/>
      <c r="I23" s="169"/>
      <c r="J23" s="169"/>
      <c r="K23" s="169"/>
      <c r="L23" s="169"/>
      <c r="M23" s="169"/>
    </row>
    <row r="24" spans="1:13" ht="15.75" x14ac:dyDescent="0.25">
      <c r="A24" s="123"/>
      <c r="B24" s="123"/>
      <c r="C24" s="124"/>
      <c r="D24" s="169"/>
      <c r="E24" s="169"/>
      <c r="F24" s="124"/>
      <c r="G24" s="124"/>
      <c r="H24" s="169"/>
      <c r="I24" s="169"/>
      <c r="J24" s="169"/>
      <c r="K24" s="169"/>
      <c r="L24" s="169"/>
      <c r="M24" s="169"/>
    </row>
    <row r="25" spans="1:13" ht="15.75" x14ac:dyDescent="0.25">
      <c r="A25" s="123"/>
      <c r="B25" s="123"/>
      <c r="C25" s="124"/>
      <c r="D25" s="169"/>
      <c r="E25" s="169"/>
      <c r="F25" s="124"/>
      <c r="G25" s="124"/>
      <c r="H25" s="169"/>
      <c r="I25" s="169"/>
      <c r="J25" s="169"/>
      <c r="K25" s="169"/>
      <c r="L25" s="169"/>
      <c r="M25" s="169"/>
    </row>
    <row r="26" spans="1:13" ht="15.75" x14ac:dyDescent="0.25">
      <c r="A26" s="123"/>
      <c r="B26" s="123"/>
      <c r="C26" s="124"/>
      <c r="D26" s="169"/>
      <c r="E26" s="169"/>
      <c r="F26" s="124"/>
      <c r="G26" s="124"/>
      <c r="H26" s="169"/>
      <c r="I26" s="169"/>
      <c r="J26" s="169"/>
      <c r="K26" s="169"/>
      <c r="L26" s="169"/>
      <c r="M26" s="169"/>
    </row>
    <row r="27" spans="1:13" ht="15.75" x14ac:dyDescent="0.25">
      <c r="A27" s="123"/>
      <c r="B27" s="123"/>
      <c r="C27" s="124"/>
      <c r="D27" s="169"/>
      <c r="E27" s="169"/>
      <c r="F27" s="124"/>
      <c r="G27" s="124"/>
      <c r="H27" s="169"/>
      <c r="I27" s="169"/>
      <c r="J27" s="169"/>
      <c r="K27" s="169"/>
      <c r="L27" s="169"/>
      <c r="M27" s="169"/>
    </row>
    <row r="28" spans="1:13" ht="15.75" x14ac:dyDescent="0.25">
      <c r="A28" s="123"/>
      <c r="B28" s="123"/>
      <c r="C28" s="124"/>
      <c r="D28" s="169"/>
      <c r="E28" s="169"/>
      <c r="F28" s="124"/>
      <c r="G28" s="124"/>
      <c r="H28" s="169"/>
      <c r="I28" s="169"/>
      <c r="J28" s="169"/>
      <c r="K28" s="169"/>
      <c r="L28" s="169"/>
      <c r="M28" s="169"/>
    </row>
    <row r="29" spans="1:13" ht="15.75" x14ac:dyDescent="0.25">
      <c r="A29" s="123"/>
      <c r="B29" s="123"/>
      <c r="C29" s="124"/>
      <c r="D29" s="169"/>
      <c r="E29" s="169"/>
      <c r="F29" s="124"/>
      <c r="G29" s="124"/>
      <c r="H29" s="169"/>
      <c r="I29" s="169"/>
      <c r="J29" s="169"/>
      <c r="K29" s="169"/>
      <c r="L29" s="169"/>
      <c r="M29" s="169"/>
    </row>
    <row r="30" spans="1:13" ht="15.75" x14ac:dyDescent="0.25">
      <c r="A30" s="123"/>
      <c r="B30" s="123"/>
      <c r="C30" s="124"/>
      <c r="D30" s="169"/>
      <c r="E30" s="169"/>
      <c r="F30" s="124"/>
      <c r="G30" s="124"/>
      <c r="H30" s="169"/>
      <c r="I30" s="169"/>
      <c r="J30" s="169"/>
      <c r="K30" s="169"/>
      <c r="L30" s="169"/>
      <c r="M30" s="169"/>
    </row>
    <row r="31" spans="1:13" ht="15.75" x14ac:dyDescent="0.25">
      <c r="A31" s="123"/>
      <c r="B31" s="123"/>
      <c r="C31" s="124"/>
      <c r="D31" s="169"/>
      <c r="E31" s="169"/>
      <c r="F31" s="124"/>
      <c r="G31" s="124"/>
      <c r="H31" s="169"/>
      <c r="I31" s="169"/>
      <c r="J31" s="169"/>
      <c r="K31" s="169"/>
      <c r="L31" s="169"/>
      <c r="M31" s="169"/>
    </row>
    <row r="32" spans="1:13" ht="15.75" x14ac:dyDescent="0.25">
      <c r="A32" s="123"/>
      <c r="B32" s="123"/>
      <c r="C32" s="124"/>
      <c r="D32" s="169"/>
      <c r="E32" s="169"/>
      <c r="F32" s="124"/>
      <c r="G32" s="124"/>
      <c r="H32" s="169"/>
      <c r="I32" s="169"/>
      <c r="J32" s="169"/>
      <c r="K32" s="169"/>
      <c r="L32" s="169"/>
      <c r="M32" s="169"/>
    </row>
    <row r="33" spans="1:13" ht="15.75" x14ac:dyDescent="0.25">
      <c r="B33" s="134" t="s">
        <v>140</v>
      </c>
      <c r="G33" s="42"/>
      <c r="H33" s="42"/>
      <c r="I33" s="14"/>
      <c r="J33" s="125"/>
      <c r="K33" s="125"/>
      <c r="L33" s="125"/>
      <c r="M33" s="1"/>
    </row>
    <row r="34" spans="1:13" ht="15.75" x14ac:dyDescent="0.25">
      <c r="B34" s="134"/>
      <c r="G34" s="42"/>
      <c r="H34" s="42"/>
      <c r="I34" s="14"/>
      <c r="J34" s="125"/>
      <c r="K34" s="125"/>
      <c r="L34" s="125"/>
      <c r="M34" s="1"/>
    </row>
    <row r="35" spans="1:13" ht="72.75" x14ac:dyDescent="0.25">
      <c r="A35" s="135" t="s">
        <v>32</v>
      </c>
      <c r="B35" s="135" t="s">
        <v>64</v>
      </c>
      <c r="C35" s="136" t="s">
        <v>65</v>
      </c>
      <c r="D35" s="136" t="s">
        <v>66</v>
      </c>
      <c r="E35" s="136" t="s">
        <v>93</v>
      </c>
      <c r="F35" s="136" t="s">
        <v>67</v>
      </c>
      <c r="G35" s="136" t="s">
        <v>88</v>
      </c>
      <c r="H35" s="136" t="s">
        <v>68</v>
      </c>
      <c r="I35" s="1"/>
      <c r="J35" s="1"/>
      <c r="K35" s="1"/>
      <c r="L35" s="1"/>
      <c r="M35" s="1"/>
    </row>
    <row r="36" spans="1:13" ht="26.25" x14ac:dyDescent="0.25">
      <c r="A36" s="137">
        <v>1</v>
      </c>
      <c r="B36" s="138" t="s">
        <v>69</v>
      </c>
      <c r="C36" s="139">
        <v>180</v>
      </c>
      <c r="D36" s="140">
        <v>18</v>
      </c>
      <c r="E36" s="141">
        <v>1.234</v>
      </c>
      <c r="F36" s="142">
        <f t="shared" ref="F36:F40" si="13">D36*E36</f>
        <v>22.212</v>
      </c>
      <c r="G36" s="142">
        <f>C36*0.1</f>
        <v>18</v>
      </c>
      <c r="H36" s="140">
        <f t="shared" ref="H36:H40" si="14">F36+G36</f>
        <v>40.212000000000003</v>
      </c>
      <c r="I36" s="1"/>
      <c r="J36" s="1"/>
      <c r="K36" s="1"/>
      <c r="L36" s="1"/>
      <c r="M36" s="1"/>
    </row>
    <row r="37" spans="1:13" ht="39" x14ac:dyDescent="0.25">
      <c r="A37" s="137">
        <v>3</v>
      </c>
      <c r="B37" s="143" t="s">
        <v>70</v>
      </c>
      <c r="C37" s="139">
        <v>470</v>
      </c>
      <c r="D37" s="140">
        <v>47</v>
      </c>
      <c r="E37" s="141">
        <v>1.234</v>
      </c>
      <c r="F37" s="142">
        <f t="shared" si="13"/>
        <v>57.997999999999998</v>
      </c>
      <c r="G37" s="142">
        <f>C37*0.11</f>
        <v>51.7</v>
      </c>
      <c r="H37" s="140">
        <f t="shared" si="14"/>
        <v>109.69800000000001</v>
      </c>
      <c r="I37" s="1"/>
      <c r="J37" s="1"/>
      <c r="K37" s="1"/>
      <c r="L37" s="1"/>
      <c r="M37" s="1"/>
    </row>
    <row r="38" spans="1:13" ht="39" x14ac:dyDescent="0.25">
      <c r="A38" s="144">
        <v>5</v>
      </c>
      <c r="B38" s="145" t="s">
        <v>71</v>
      </c>
      <c r="C38" s="146">
        <v>98</v>
      </c>
      <c r="D38" s="147">
        <v>9.8000000000000007</v>
      </c>
      <c r="E38" s="141">
        <v>1.234</v>
      </c>
      <c r="F38" s="148">
        <f>D38*E38</f>
        <v>12.093200000000001</v>
      </c>
      <c r="G38" s="148">
        <f t="shared" ref="G38:G40" si="15">C38*0.11</f>
        <v>10.78</v>
      </c>
      <c r="H38" s="147">
        <f>F38+G38</f>
        <v>22.873200000000001</v>
      </c>
      <c r="I38" s="1"/>
      <c r="J38" s="1"/>
      <c r="K38" s="1"/>
      <c r="L38" s="1"/>
      <c r="M38" s="1"/>
    </row>
    <row r="39" spans="1:13" ht="26.25" x14ac:dyDescent="0.25">
      <c r="A39" s="137">
        <v>7</v>
      </c>
      <c r="B39" s="138" t="s">
        <v>72</v>
      </c>
      <c r="C39" s="139">
        <v>464</v>
      </c>
      <c r="D39" s="140">
        <v>46.4</v>
      </c>
      <c r="E39" s="141">
        <v>1.234</v>
      </c>
      <c r="F39" s="142">
        <f t="shared" si="13"/>
        <v>57.257599999999996</v>
      </c>
      <c r="G39" s="142">
        <f t="shared" si="15"/>
        <v>51.04</v>
      </c>
      <c r="H39" s="140">
        <f t="shared" si="14"/>
        <v>108.29759999999999</v>
      </c>
      <c r="I39" s="1"/>
      <c r="J39" s="1"/>
      <c r="K39" s="1"/>
      <c r="L39" s="1"/>
      <c r="M39" s="1"/>
    </row>
    <row r="40" spans="1:13" ht="39" x14ac:dyDescent="0.25">
      <c r="A40" s="137">
        <v>9</v>
      </c>
      <c r="B40" s="138" t="s">
        <v>73</v>
      </c>
      <c r="C40" s="139">
        <v>408</v>
      </c>
      <c r="D40" s="140">
        <v>40.799999999999997</v>
      </c>
      <c r="E40" s="141">
        <v>1.234</v>
      </c>
      <c r="F40" s="142">
        <f t="shared" si="13"/>
        <v>50.347199999999994</v>
      </c>
      <c r="G40" s="142">
        <f t="shared" si="15"/>
        <v>44.88</v>
      </c>
      <c r="H40" s="140">
        <f t="shared" si="14"/>
        <v>95.227199999999996</v>
      </c>
      <c r="I40" s="1"/>
      <c r="J40" s="1"/>
      <c r="K40" s="1"/>
      <c r="L40" s="1"/>
      <c r="M40" s="1"/>
    </row>
    <row r="41" spans="1:13" ht="15.75" x14ac:dyDescent="0.25">
      <c r="A41" s="207" t="s">
        <v>74</v>
      </c>
      <c r="B41" s="208"/>
      <c r="C41" s="208"/>
      <c r="D41" s="208"/>
      <c r="E41" s="209"/>
      <c r="F41" s="142">
        <f>SUM(F36:F40)</f>
        <v>199.90799999999996</v>
      </c>
      <c r="G41" s="142">
        <f>SUM(G36:G40)</f>
        <v>176.4</v>
      </c>
      <c r="H41" s="149">
        <f>SUM(H36:H40)</f>
        <v>376.30799999999999</v>
      </c>
      <c r="I41" s="1"/>
      <c r="J41" s="1"/>
      <c r="K41" s="1"/>
      <c r="L41" s="1"/>
      <c r="M41" s="1"/>
    </row>
    <row r="42" spans="1:13" ht="15.75" x14ac:dyDescent="0.25">
      <c r="A42" s="1"/>
      <c r="B42" s="1"/>
      <c r="C42" s="1"/>
      <c r="D42" s="1"/>
      <c r="E42" s="1"/>
      <c r="F42" s="1"/>
      <c r="G42" s="1"/>
      <c r="H42" s="1"/>
      <c r="I42" s="1"/>
      <c r="J42" s="1"/>
      <c r="K42" s="1"/>
      <c r="L42" s="1"/>
      <c r="M42" s="1"/>
    </row>
    <row r="43" spans="1:13" x14ac:dyDescent="0.25">
      <c r="B43" s="156" t="s">
        <v>149</v>
      </c>
      <c r="C43" s="156" t="s">
        <v>150</v>
      </c>
    </row>
    <row r="44" spans="1:13" x14ac:dyDescent="0.25">
      <c r="B44" s="156">
        <v>1.379</v>
      </c>
      <c r="C44" s="156">
        <v>2013</v>
      </c>
    </row>
    <row r="45" spans="1:13" x14ac:dyDescent="0.25">
      <c r="B45" s="156">
        <v>1.224</v>
      </c>
      <c r="C45" s="156">
        <v>2014</v>
      </c>
    </row>
    <row r="46" spans="1:13" x14ac:dyDescent="0.25">
      <c r="B46" s="156">
        <v>1.099</v>
      </c>
      <c r="C46" s="156">
        <v>2015</v>
      </c>
    </row>
    <row r="47" spans="1:13" x14ac:dyDescent="0.25">
      <c r="B47" s="157">
        <v>1.234</v>
      </c>
      <c r="C47" s="157" t="s">
        <v>151</v>
      </c>
    </row>
    <row r="50" spans="2:10" ht="15.75" x14ac:dyDescent="0.25">
      <c r="B50" s="1" t="s">
        <v>159</v>
      </c>
      <c r="C50" s="1"/>
      <c r="D50" s="1"/>
      <c r="E50" s="1"/>
      <c r="F50" s="1"/>
      <c r="G50" s="1" t="s">
        <v>160</v>
      </c>
      <c r="H50" s="1"/>
      <c r="I50" s="1"/>
    </row>
    <row r="51" spans="2:10" ht="15.75" x14ac:dyDescent="0.25">
      <c r="B51" s="1"/>
      <c r="C51" s="1"/>
      <c r="D51" s="1"/>
      <c r="E51" s="1"/>
      <c r="F51" s="1"/>
      <c r="G51" s="1"/>
      <c r="H51" s="1"/>
      <c r="I51" s="1"/>
      <c r="J51" s="1"/>
    </row>
    <row r="52" spans="2:10" ht="15.75" x14ac:dyDescent="0.25">
      <c r="B52" s="39" t="s">
        <v>193</v>
      </c>
      <c r="C52" s="39"/>
      <c r="D52" s="39"/>
      <c r="E52" s="1"/>
      <c r="F52" s="1"/>
      <c r="G52" s="1"/>
      <c r="H52" s="1"/>
      <c r="I52" s="1"/>
      <c r="J52" s="1"/>
    </row>
    <row r="53" spans="2:10" ht="15.75" x14ac:dyDescent="0.25">
      <c r="B53" s="39" t="s">
        <v>161</v>
      </c>
      <c r="C53" s="39"/>
      <c r="D53" s="39"/>
      <c r="E53" s="1"/>
      <c r="F53" s="1"/>
      <c r="G53" s="1"/>
      <c r="H53" s="1"/>
      <c r="I53" s="1"/>
      <c r="J53" s="1"/>
    </row>
    <row r="54" spans="2:10" ht="15.75" x14ac:dyDescent="0.25">
      <c r="B54" s="39" t="s">
        <v>162</v>
      </c>
      <c r="C54" s="39"/>
      <c r="D54" s="39"/>
      <c r="E54" s="1"/>
      <c r="F54" s="1"/>
      <c r="G54" s="1"/>
      <c r="H54" s="1"/>
      <c r="I54" s="1"/>
      <c r="J54" s="1"/>
    </row>
  </sheetData>
  <mergeCells count="18">
    <mergeCell ref="K1:M1"/>
    <mergeCell ref="F9:G9"/>
    <mergeCell ref="F22:G22"/>
    <mergeCell ref="H7:M7"/>
    <mergeCell ref="A7:G7"/>
    <mergeCell ref="F16:G18"/>
    <mergeCell ref="F19:G19"/>
    <mergeCell ref="F20:G20"/>
    <mergeCell ref="F21:G21"/>
    <mergeCell ref="F14:G14"/>
    <mergeCell ref="C4:E4"/>
    <mergeCell ref="A5:J5"/>
    <mergeCell ref="J2:M2"/>
    <mergeCell ref="H3:M3"/>
    <mergeCell ref="A41:E41"/>
    <mergeCell ref="F8:G8"/>
    <mergeCell ref="F15:G15"/>
    <mergeCell ref="F10:G13"/>
  </mergeCells>
  <pageMargins left="0.70866141732283472" right="0.70866141732283472" top="0.74803149606299213" bottom="0.74803149606299213" header="0.31496062992125984" footer="0.31496062992125984"/>
  <pageSetup paperSize="9" scale="70" orientation="landscape" r:id="rId1"/>
  <headerFooter>
    <oddFooter>&amp;CLMpielik_7_070815_LMZino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D20" sqref="D20"/>
    </sheetView>
  </sheetViews>
  <sheetFormatPr defaultRowHeight="15" x14ac:dyDescent="0.25"/>
  <cols>
    <col min="1" max="1" width="27.28515625" customWidth="1"/>
    <col min="2" max="2" width="10.28515625" customWidth="1"/>
    <col min="3" max="3" width="10.85546875" customWidth="1"/>
    <col min="4" max="4" width="10.28515625" customWidth="1"/>
    <col min="5" max="5" width="10.85546875" customWidth="1"/>
    <col min="6" max="6" width="11" customWidth="1"/>
    <col min="7" max="7" width="12.28515625" customWidth="1"/>
    <col min="10" max="10" width="15" customWidth="1"/>
    <col min="11" max="11" width="11.7109375" customWidth="1"/>
    <col min="12" max="14" width="15" customWidth="1"/>
    <col min="15" max="15" width="14.42578125" customWidth="1"/>
  </cols>
  <sheetData>
    <row r="1" spans="1:10" ht="15.75" x14ac:dyDescent="0.25">
      <c r="F1" s="198" t="s">
        <v>179</v>
      </c>
      <c r="G1" s="198"/>
      <c r="I1" s="172"/>
      <c r="J1" s="172"/>
    </row>
    <row r="2" spans="1:10" ht="15.75" x14ac:dyDescent="0.25">
      <c r="G2" s="170" t="s">
        <v>163</v>
      </c>
      <c r="H2" s="170"/>
      <c r="I2" s="170"/>
      <c r="J2" s="170"/>
    </row>
    <row r="3" spans="1:10" ht="63.75" customHeight="1" x14ac:dyDescent="0.25">
      <c r="E3" s="179" t="s">
        <v>169</v>
      </c>
      <c r="F3" s="179"/>
      <c r="G3" s="179"/>
      <c r="H3" s="171"/>
      <c r="I3" s="171"/>
      <c r="J3" s="171"/>
    </row>
    <row r="4" spans="1:10" ht="18.75" x14ac:dyDescent="0.3">
      <c r="B4" s="177" t="s">
        <v>155</v>
      </c>
      <c r="C4" s="177"/>
      <c r="D4" s="177"/>
    </row>
    <row r="5" spans="1:10" x14ac:dyDescent="0.25">
      <c r="A5" s="216" t="s">
        <v>180</v>
      </c>
      <c r="B5" s="216"/>
      <c r="C5" s="216"/>
      <c r="D5" s="216"/>
      <c r="E5" s="216"/>
      <c r="F5" s="216"/>
    </row>
    <row r="6" spans="1:10" ht="39.75" customHeight="1" x14ac:dyDescent="0.25">
      <c r="A6" s="217"/>
      <c r="B6" s="217"/>
      <c r="C6" s="217"/>
      <c r="D6" s="217"/>
      <c r="E6" s="217"/>
      <c r="F6" s="217"/>
    </row>
    <row r="7" spans="1:10" ht="15.75" x14ac:dyDescent="0.25">
      <c r="A7" s="218" t="s">
        <v>181</v>
      </c>
      <c r="B7" s="219" t="s">
        <v>182</v>
      </c>
      <c r="C7" s="220"/>
      <c r="D7" s="219" t="s">
        <v>183</v>
      </c>
      <c r="E7" s="220"/>
      <c r="F7" s="221" t="s">
        <v>184</v>
      </c>
      <c r="G7" s="221"/>
    </row>
    <row r="8" spans="1:10" ht="15.75" x14ac:dyDescent="0.25">
      <c r="A8" s="222"/>
      <c r="B8" s="223" t="s">
        <v>185</v>
      </c>
      <c r="C8" s="223" t="s">
        <v>186</v>
      </c>
      <c r="D8" s="223" t="s">
        <v>185</v>
      </c>
      <c r="E8" s="223" t="s">
        <v>186</v>
      </c>
      <c r="F8" s="223" t="s">
        <v>185</v>
      </c>
      <c r="G8" s="223" t="s">
        <v>186</v>
      </c>
    </row>
    <row r="9" spans="1:10" ht="15.75" x14ac:dyDescent="0.25">
      <c r="A9" s="105" t="s">
        <v>187</v>
      </c>
      <c r="B9" s="11" t="s">
        <v>28</v>
      </c>
      <c r="C9" s="110">
        <f>SUM(C10:C15)</f>
        <v>25575.71</v>
      </c>
      <c r="D9" s="105" t="s">
        <v>28</v>
      </c>
      <c r="E9" s="110">
        <f>SUM(E10:E15)</f>
        <v>16810.71</v>
      </c>
      <c r="F9" s="11" t="s">
        <v>28</v>
      </c>
      <c r="G9" s="110">
        <f>SUM(G10:G15)</f>
        <v>42386.42</v>
      </c>
    </row>
    <row r="10" spans="1:10" ht="15.75" x14ac:dyDescent="0.25">
      <c r="A10" s="224" t="s">
        <v>188</v>
      </c>
      <c r="B10" s="105">
        <v>720</v>
      </c>
      <c r="C10" s="105">
        <f>B10*12</f>
        <v>8640</v>
      </c>
      <c r="D10" s="105">
        <v>0</v>
      </c>
      <c r="E10" s="105">
        <f>D10*12</f>
        <v>0</v>
      </c>
      <c r="F10" s="105">
        <v>720</v>
      </c>
      <c r="G10" s="105">
        <f>F10*12</f>
        <v>8640</v>
      </c>
    </row>
    <row r="11" spans="1:10" ht="31.5" x14ac:dyDescent="0.25">
      <c r="A11" s="116" t="s">
        <v>107</v>
      </c>
      <c r="B11" s="105"/>
      <c r="C11" s="105"/>
      <c r="D11" s="105">
        <v>200</v>
      </c>
      <c r="E11" s="105">
        <f>D11*12</f>
        <v>2400</v>
      </c>
      <c r="F11" s="105">
        <v>200</v>
      </c>
      <c r="G11" s="105">
        <f>F11*12</f>
        <v>2400</v>
      </c>
    </row>
    <row r="12" spans="1:10" ht="15.75" x14ac:dyDescent="0.25">
      <c r="A12" s="116" t="s">
        <v>189</v>
      </c>
      <c r="B12" s="105"/>
      <c r="C12" s="105"/>
      <c r="D12" s="105">
        <v>570</v>
      </c>
      <c r="E12" s="105">
        <f>D12*12</f>
        <v>6840</v>
      </c>
      <c r="F12" s="105">
        <v>570</v>
      </c>
      <c r="G12" s="105">
        <f>F12*12</f>
        <v>6840</v>
      </c>
    </row>
    <row r="13" spans="1:10" ht="31.5" x14ac:dyDescent="0.25">
      <c r="A13" s="225" t="s">
        <v>177</v>
      </c>
      <c r="B13" s="105">
        <v>570</v>
      </c>
      <c r="C13" s="105">
        <f>B13*12</f>
        <v>6840</v>
      </c>
      <c r="D13" s="105">
        <v>114</v>
      </c>
      <c r="E13" s="105">
        <f>D13*12</f>
        <v>1368</v>
      </c>
      <c r="F13" s="105">
        <v>684</v>
      </c>
      <c r="G13" s="105">
        <f>F13*12</f>
        <v>8208</v>
      </c>
    </row>
    <row r="14" spans="1:10" ht="94.5" x14ac:dyDescent="0.25">
      <c r="A14" s="225" t="s">
        <v>190</v>
      </c>
      <c r="B14" s="105">
        <v>434.5</v>
      </c>
      <c r="C14" s="105">
        <f>B14*12</f>
        <v>5214</v>
      </c>
      <c r="D14" s="105">
        <v>249.5</v>
      </c>
      <c r="E14" s="105">
        <f>D14*12</f>
        <v>2994</v>
      </c>
      <c r="F14" s="105">
        <v>684</v>
      </c>
      <c r="G14" s="105">
        <f>F14*12</f>
        <v>8208</v>
      </c>
    </row>
    <row r="15" spans="1:10" ht="47.25" x14ac:dyDescent="0.25">
      <c r="A15" s="226" t="s">
        <v>191</v>
      </c>
      <c r="B15" s="11" t="s">
        <v>28</v>
      </c>
      <c r="C15" s="105">
        <f>ROUND(SUM(C10:C14)*23.59%,2)</f>
        <v>4881.71</v>
      </c>
      <c r="D15" s="11" t="s">
        <v>28</v>
      </c>
      <c r="E15" s="105">
        <f>ROUND(SUM(E10:E14)*23.59%,2)</f>
        <v>3208.71</v>
      </c>
      <c r="F15" s="11" t="s">
        <v>28</v>
      </c>
      <c r="G15" s="105">
        <f>C15+E15</f>
        <v>8090.42</v>
      </c>
    </row>
    <row r="20" spans="1:4" ht="15.75" x14ac:dyDescent="0.25">
      <c r="A20" s="39" t="s">
        <v>193</v>
      </c>
      <c r="B20" s="39"/>
      <c r="C20" s="39"/>
      <c r="D20" s="1"/>
    </row>
    <row r="21" spans="1:4" ht="15.75" x14ac:dyDescent="0.25">
      <c r="A21" s="39" t="s">
        <v>161</v>
      </c>
      <c r="B21" s="39"/>
      <c r="C21" s="39"/>
      <c r="D21" s="1"/>
    </row>
    <row r="22" spans="1:4" ht="15.75" x14ac:dyDescent="0.25">
      <c r="A22" s="39" t="s">
        <v>162</v>
      </c>
      <c r="B22" s="39"/>
      <c r="C22" s="39"/>
      <c r="D22" s="1"/>
    </row>
  </sheetData>
  <mergeCells count="7">
    <mergeCell ref="A5:F6"/>
    <mergeCell ref="B7:C7"/>
    <mergeCell ref="D7:E7"/>
    <mergeCell ref="F7:G7"/>
    <mergeCell ref="F1:G1"/>
    <mergeCell ref="E3:G3"/>
    <mergeCell ref="B4:D4"/>
  </mergeCells>
  <pageMargins left="0.70866141732283472" right="0.70866141732283472" top="0.74803149606299213" bottom="0.74803149606299213" header="0.31496062992125984" footer="0.31496062992125984"/>
  <pageSetup paperSize="9" scale="80" orientation="portrait" r:id="rId1"/>
  <headerFooter>
    <oddFooter>&amp;CLMpielik_8_070815_LMZino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LMpielik_3_LMZino</vt:lpstr>
      <vt:lpstr>LMpielik_4_LMZino</vt:lpstr>
      <vt:lpstr>LMpielik_5_LMZino</vt:lpstr>
      <vt:lpstr>LMpielik_6_LMZino</vt:lpstr>
      <vt:lpstr>LMpielik_7_LMZino</vt:lpstr>
      <vt:lpstr>LMpielik_8_LMZino</vt:lpstr>
      <vt:lpstr>LMpielik_3_LMZino!Print_Titles</vt:lpstr>
      <vt:lpstr>LMpielik_4_LMZino!Print_Titles</vt:lpstr>
      <vt:lpstr>LMpielik_5_LMZino!Print_Titles</vt:lpstr>
      <vt:lpstr>LMpielik_6_LMZino!Print_Titles</vt:lpstr>
      <vt:lpstr>LMpielik_7_LMZino!Print_Titles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papildus nepieciešamo finansējumu valsts nodrošināto tehnisko palīglīdzekļu pakalpojuma ieviešanā”</dc:title>
  <dc:creator>Lilita Cirule</dc:creator>
  <cp:keywords>Variants Nr.1, pielikumi no 3_7</cp:keywords>
  <cp:lastModifiedBy>Lilita Cirule</cp:lastModifiedBy>
  <cp:lastPrinted>2015-08-07T07:00:15Z</cp:lastPrinted>
  <dcterms:created xsi:type="dcterms:W3CDTF">2014-04-10T11:24:37Z</dcterms:created>
  <dcterms:modified xsi:type="dcterms:W3CDTF">2015-08-07T07:01:52Z</dcterms:modified>
  <cp:category>tālr. 67021647, Lilita.Cirule@lm.gov.lv	, fax 67276445		</cp:category>
</cp:coreProperties>
</file>