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80" windowWidth="28800" windowHeight="12255" firstSheet="1" activeTab="6"/>
  </bookViews>
  <sheets>
    <sheet name="LMpielik_9_LMZino" sheetId="1" r:id="rId1"/>
    <sheet name="LMpielik_10_LMZino" sheetId="8" r:id="rId2"/>
    <sheet name="LMpielik_11_LMZino" sheetId="4" r:id="rId3"/>
    <sheet name="LMpielik_12_LMZino" sheetId="5" r:id="rId4"/>
    <sheet name="LMpielik_13_LMZino" sheetId="6" r:id="rId5"/>
    <sheet name="LMpielik_14_LMZino" sheetId="7" r:id="rId6"/>
    <sheet name="LMpielik_15_LMZino" sheetId="9" r:id="rId7"/>
  </sheets>
  <definedNames>
    <definedName name="_xlnm.Print_Titles" localSheetId="2">LMpielik_11_LMZino!$6:$8</definedName>
    <definedName name="_xlnm.Print_Titles" localSheetId="3">LMpielik_12_LMZino!$6:$8</definedName>
    <definedName name="_xlnm.Print_Titles" localSheetId="4">LMpielik_13_LMZino!$7:$8</definedName>
    <definedName name="_xlnm.Print_Titles" localSheetId="0">LMpielik_9_LMZino!$8:$8</definedName>
  </definedNames>
  <calcPr calcId="144525"/>
</workbook>
</file>

<file path=xl/calcChain.xml><?xml version="1.0" encoding="utf-8"?>
<calcChain xmlns="http://schemas.openxmlformats.org/spreadsheetml/2006/main">
  <c r="H19" i="9" l="1"/>
  <c r="E19" i="9"/>
  <c r="K19" i="9" s="1"/>
  <c r="H18" i="9"/>
  <c r="H9" i="9" s="1"/>
  <c r="K16" i="9"/>
  <c r="H16" i="9"/>
  <c r="K15" i="9"/>
  <c r="H15" i="9"/>
  <c r="E15" i="9"/>
  <c r="J14" i="9"/>
  <c r="K14" i="9" s="1"/>
  <c r="E14" i="9"/>
  <c r="K13" i="9"/>
  <c r="H13" i="9"/>
  <c r="E13" i="9"/>
  <c r="K12" i="9"/>
  <c r="H12" i="9"/>
  <c r="E12" i="9"/>
  <c r="J11" i="9"/>
  <c r="K11" i="9" s="1"/>
  <c r="E11" i="9"/>
  <c r="E18" i="9" s="1"/>
  <c r="J10" i="9"/>
  <c r="K10" i="9" s="1"/>
  <c r="E10" i="9"/>
  <c r="K18" i="9" l="1"/>
  <c r="K9" i="9" s="1"/>
  <c r="E9" i="9"/>
  <c r="F14" i="6"/>
  <c r="G21" i="1" l="1"/>
  <c r="G20" i="1"/>
  <c r="G19" i="1"/>
  <c r="G18" i="1"/>
  <c r="G17" i="1"/>
  <c r="G16" i="1"/>
  <c r="G15" i="1"/>
  <c r="G13" i="1"/>
  <c r="G12" i="1"/>
  <c r="G21" i="8" l="1"/>
  <c r="G20" i="8"/>
  <c r="G19" i="8"/>
  <c r="G18" i="8"/>
  <c r="G17" i="8"/>
  <c r="G16" i="8"/>
  <c r="G15" i="8"/>
  <c r="G13" i="8"/>
  <c r="G12" i="8"/>
  <c r="G11" i="8"/>
  <c r="G11" i="1"/>
  <c r="J9" i="4" l="1"/>
  <c r="H23" i="5" l="1"/>
  <c r="H25" i="5"/>
  <c r="H9" i="5" l="1"/>
  <c r="I26" i="8" l="1"/>
  <c r="F24" i="8"/>
  <c r="M21" i="8"/>
  <c r="H21" i="8"/>
  <c r="M19" i="8"/>
  <c r="H19" i="8"/>
  <c r="M17" i="8"/>
  <c r="H17" i="8"/>
  <c r="M15" i="8"/>
  <c r="H15" i="8"/>
  <c r="F14" i="8"/>
  <c r="M13" i="8"/>
  <c r="N13" i="8" s="1"/>
  <c r="D13" i="8"/>
  <c r="E13" i="8" s="1"/>
  <c r="H16" i="8" l="1"/>
  <c r="H18" i="8"/>
  <c r="H20" i="8"/>
  <c r="M16" i="8"/>
  <c r="M18" i="8"/>
  <c r="N18" i="8" s="1"/>
  <c r="O18" i="8" s="1"/>
  <c r="M20" i="8"/>
  <c r="N20" i="8" s="1"/>
  <c r="O20" i="8" s="1"/>
  <c r="M12" i="8"/>
  <c r="N12" i="8" s="1"/>
  <c r="N15" i="8"/>
  <c r="N17" i="8"/>
  <c r="O17" i="8" s="1"/>
  <c r="N19" i="8"/>
  <c r="O19" i="8" s="1"/>
  <c r="N21" i="8"/>
  <c r="O21" i="8" s="1"/>
  <c r="H11" i="8"/>
  <c r="M11" i="8"/>
  <c r="G31" i="6"/>
  <c r="G32" i="6"/>
  <c r="G30" i="6"/>
  <c r="G29" i="6"/>
  <c r="G19" i="6"/>
  <c r="G20" i="6"/>
  <c r="G17" i="6" s="1"/>
  <c r="G21" i="6"/>
  <c r="G22" i="6"/>
  <c r="G18" i="6"/>
  <c r="G15" i="6"/>
  <c r="G14" i="6"/>
  <c r="G13" i="6"/>
  <c r="G12" i="6"/>
  <c r="G11" i="6"/>
  <c r="G10" i="6"/>
  <c r="M14" i="8" l="1"/>
  <c r="H14" i="8"/>
  <c r="O15" i="8"/>
  <c r="N16" i="8"/>
  <c r="O16" i="8" s="1"/>
  <c r="H24" i="8"/>
  <c r="M10" i="8"/>
  <c r="N11" i="8"/>
  <c r="N14" i="8" l="1"/>
  <c r="O14" i="8"/>
  <c r="N23" i="8"/>
  <c r="O11" i="8"/>
  <c r="N10" i="8"/>
  <c r="N24" i="8"/>
  <c r="F23" i="6"/>
  <c r="I23" i="6"/>
  <c r="J18" i="6"/>
  <c r="N22" i="8" l="1"/>
  <c r="O24" i="8"/>
  <c r="I19" i="6"/>
  <c r="J19" i="6" s="1"/>
  <c r="J33" i="6" s="1"/>
  <c r="I20" i="6"/>
  <c r="J20" i="6" s="1"/>
  <c r="I21" i="6"/>
  <c r="J21" i="6" s="1"/>
  <c r="I22" i="6"/>
  <c r="J22" i="6" s="1"/>
  <c r="I28" i="6"/>
  <c r="I29" i="6"/>
  <c r="J29" i="6" s="1"/>
  <c r="I30" i="6"/>
  <c r="J30" i="6" s="1"/>
  <c r="I32" i="6"/>
  <c r="J32" i="6" s="1"/>
  <c r="I18" i="6"/>
  <c r="K11" i="6"/>
  <c r="N11" i="6" s="1"/>
  <c r="K12" i="6"/>
  <c r="K13" i="6"/>
  <c r="K10" i="6"/>
  <c r="M10" i="6" s="1"/>
  <c r="L11" i="6"/>
  <c r="L12" i="6"/>
  <c r="L13" i="6"/>
  <c r="N12" i="6"/>
  <c r="N13" i="6"/>
  <c r="L10" i="6"/>
  <c r="M15" i="6"/>
  <c r="M16" i="6"/>
  <c r="M17" i="6"/>
  <c r="M18" i="6"/>
  <c r="M19" i="6"/>
  <c r="M20" i="6"/>
  <c r="M21" i="6"/>
  <c r="M22" i="6"/>
  <c r="M23" i="6"/>
  <c r="M24" i="6"/>
  <c r="M25" i="6"/>
  <c r="M26" i="6"/>
  <c r="M27" i="6"/>
  <c r="M28" i="6"/>
  <c r="M29" i="6"/>
  <c r="M30" i="6"/>
  <c r="M31" i="6"/>
  <c r="M32" i="6"/>
  <c r="M9" i="6"/>
  <c r="I33" i="6" l="1"/>
  <c r="M13" i="6"/>
  <c r="M12" i="6"/>
  <c r="N10" i="6"/>
  <c r="H9" i="7"/>
  <c r="L14" i="6" s="1"/>
  <c r="L33" i="6" s="1"/>
  <c r="M11" i="6"/>
  <c r="M16" i="1"/>
  <c r="N16" i="1" s="1"/>
  <c r="O16" i="1" s="1"/>
  <c r="M17" i="1"/>
  <c r="N17" i="1" s="1"/>
  <c r="O17" i="1" s="1"/>
  <c r="M18" i="1"/>
  <c r="N18" i="1" s="1"/>
  <c r="O18" i="1" s="1"/>
  <c r="M19" i="1"/>
  <c r="N19" i="1" s="1"/>
  <c r="O19" i="1" s="1"/>
  <c r="M20" i="1"/>
  <c r="N20" i="1" s="1"/>
  <c r="O20" i="1" s="1"/>
  <c r="M21" i="1"/>
  <c r="N21" i="1" s="1"/>
  <c r="O21" i="1" s="1"/>
  <c r="M15" i="1"/>
  <c r="N15" i="1" s="1"/>
  <c r="O15" i="1" s="1"/>
  <c r="M13" i="1"/>
  <c r="N13" i="1" s="1"/>
  <c r="M11" i="1"/>
  <c r="I9" i="7" l="1"/>
  <c r="N14" i="6" s="1"/>
  <c r="N33" i="6" s="1"/>
  <c r="N14" i="1"/>
  <c r="M14" i="1"/>
  <c r="N11" i="1"/>
  <c r="O11" i="1" s="1"/>
  <c r="O24" i="1" s="1"/>
  <c r="G9" i="7"/>
  <c r="K14" i="6" s="1"/>
  <c r="O14" i="1"/>
  <c r="M14" i="6" l="1"/>
  <c r="M33" i="6" s="1"/>
  <c r="K33" i="6"/>
  <c r="N24" i="1"/>
  <c r="E8" i="7"/>
  <c r="E9" i="7" s="1"/>
  <c r="I9" i="5" l="1"/>
  <c r="I9" i="4"/>
  <c r="G9" i="4"/>
  <c r="F21" i="6" l="1"/>
  <c r="F20" i="6"/>
  <c r="F18" i="6"/>
  <c r="F11" i="6"/>
  <c r="F12" i="6"/>
  <c r="F28" i="4" l="1"/>
  <c r="G28" i="4" s="1"/>
  <c r="F26" i="4"/>
  <c r="G26" i="4" s="1"/>
  <c r="F24" i="4"/>
  <c r="G24" i="4" s="1"/>
  <c r="F16" i="4"/>
  <c r="G16" i="4" s="1"/>
  <c r="F14" i="4"/>
  <c r="G14" i="4" s="1"/>
  <c r="F12" i="4"/>
  <c r="G12" i="4" s="1"/>
  <c r="G27" i="4"/>
  <c r="G25" i="4"/>
  <c r="G23" i="4"/>
  <c r="G15" i="4"/>
  <c r="G13" i="4"/>
  <c r="G11" i="4"/>
  <c r="G21" i="4"/>
  <c r="G19" i="4"/>
  <c r="G17" i="4"/>
  <c r="F18" i="4"/>
  <c r="F10" i="4"/>
  <c r="F20" i="4"/>
  <c r="F22" i="4"/>
  <c r="F29" i="4"/>
  <c r="F30" i="4"/>
  <c r="F31" i="4"/>
  <c r="H27" i="4" l="1"/>
  <c r="D20" i="8" s="1"/>
  <c r="E20" i="8" s="1"/>
  <c r="H11" i="4"/>
  <c r="D12" i="8" s="1"/>
  <c r="H25" i="4"/>
  <c r="D18" i="8" s="1"/>
  <c r="E18" i="8" s="1"/>
  <c r="H23" i="4"/>
  <c r="D16" i="8" s="1"/>
  <c r="E16" i="8" s="1"/>
  <c r="H13" i="4"/>
  <c r="D15" i="8" s="1"/>
  <c r="E15" i="8" l="1"/>
  <c r="E12" i="8"/>
  <c r="E23" i="8" s="1"/>
  <c r="D23" i="8"/>
  <c r="F32" i="6"/>
  <c r="F31" i="6" s="1"/>
  <c r="F28" i="6"/>
  <c r="F27" i="6"/>
  <c r="F26" i="6"/>
  <c r="F25" i="6"/>
  <c r="F24" i="6"/>
  <c r="F22" i="6"/>
  <c r="D19" i="6"/>
  <c r="F19" i="6" s="1"/>
  <c r="F16" i="6"/>
  <c r="F13" i="6"/>
  <c r="F10" i="6"/>
  <c r="F9" i="6" l="1"/>
  <c r="G16" i="6"/>
  <c r="G9" i="6" s="1"/>
  <c r="G33" i="6" s="1"/>
  <c r="J25" i="8" s="1"/>
  <c r="H25" i="8" s="1"/>
  <c r="F15" i="6"/>
  <c r="F17" i="6"/>
  <c r="F33" i="6" l="1"/>
  <c r="J25" i="1" s="1"/>
  <c r="I26" i="1"/>
  <c r="D20" i="1"/>
  <c r="D18" i="1"/>
  <c r="D16" i="1"/>
  <c r="D15" i="1"/>
  <c r="D13" i="1"/>
  <c r="D12" i="1"/>
  <c r="F21" i="5" l="1"/>
  <c r="G21" i="5" s="1"/>
  <c r="F22" i="5"/>
  <c r="G22" i="5" s="1"/>
  <c r="F20" i="5"/>
  <c r="F12" i="5"/>
  <c r="G12" i="5" s="1"/>
  <c r="F11" i="5"/>
  <c r="F13" i="5"/>
  <c r="G13" i="5" s="1"/>
  <c r="F9" i="5"/>
  <c r="D29" i="4"/>
  <c r="E29" i="4"/>
  <c r="G29" i="4"/>
  <c r="C29" i="4"/>
  <c r="D30" i="4"/>
  <c r="E30" i="4"/>
  <c r="G30" i="4"/>
  <c r="H30" i="4"/>
  <c r="C30" i="4"/>
  <c r="E19" i="5"/>
  <c r="D19" i="5"/>
  <c r="I18" i="5"/>
  <c r="H18" i="5"/>
  <c r="F18" i="5"/>
  <c r="E17" i="5"/>
  <c r="D17" i="5"/>
  <c r="I16" i="5"/>
  <c r="H16" i="5"/>
  <c r="F16" i="5"/>
  <c r="E15" i="5"/>
  <c r="D15" i="5"/>
  <c r="F15" i="5" s="1"/>
  <c r="I14" i="5"/>
  <c r="H14" i="5"/>
  <c r="F14" i="5"/>
  <c r="E10" i="5"/>
  <c r="D10" i="5"/>
  <c r="G31" i="4"/>
  <c r="E22" i="4"/>
  <c r="D22" i="4"/>
  <c r="E20" i="4"/>
  <c r="D20" i="4"/>
  <c r="E18" i="4"/>
  <c r="D18" i="4"/>
  <c r="E10" i="4"/>
  <c r="D10" i="4"/>
  <c r="I17" i="4"/>
  <c r="J17" i="4"/>
  <c r="I19" i="4"/>
  <c r="J19" i="4"/>
  <c r="I21" i="4"/>
  <c r="J21" i="4"/>
  <c r="G11" i="5" l="1"/>
  <c r="M12" i="1"/>
  <c r="I23" i="5"/>
  <c r="I25" i="5"/>
  <c r="I29" i="4"/>
  <c r="J29" i="4"/>
  <c r="G18" i="4"/>
  <c r="H17" i="4" s="1"/>
  <c r="D19" i="8" s="1"/>
  <c r="E19" i="8" s="1"/>
  <c r="G22" i="4"/>
  <c r="H21" i="4" s="1"/>
  <c r="D21" i="8" s="1"/>
  <c r="E21" i="8" s="1"/>
  <c r="G20" i="5"/>
  <c r="G14" i="5"/>
  <c r="G10" i="4"/>
  <c r="G20" i="4"/>
  <c r="H19" i="4" s="1"/>
  <c r="F19" i="5"/>
  <c r="G18" i="5" s="1"/>
  <c r="F10" i="5"/>
  <c r="G9" i="5" s="1"/>
  <c r="F17" i="5"/>
  <c r="G16" i="5" s="1"/>
  <c r="D31" i="4"/>
  <c r="E31" i="4"/>
  <c r="C31" i="4"/>
  <c r="N12" i="1" l="1"/>
  <c r="M10" i="1"/>
  <c r="J31" i="4"/>
  <c r="D17" i="1"/>
  <c r="D17" i="8"/>
  <c r="H9" i="4"/>
  <c r="D21" i="1"/>
  <c r="I31" i="4"/>
  <c r="D19" i="1"/>
  <c r="N23" i="1" l="1"/>
  <c r="N10" i="1"/>
  <c r="N22" i="1" s="1"/>
  <c r="H31" i="4"/>
  <c r="D11" i="8"/>
  <c r="E17" i="8"/>
  <c r="E14" i="8" s="1"/>
  <c r="D14" i="8"/>
  <c r="H29" i="4"/>
  <c r="D11" i="1"/>
  <c r="E11" i="8" l="1"/>
  <c r="D10" i="8"/>
  <c r="D22" i="8" s="1"/>
  <c r="D24" i="8"/>
  <c r="D10" i="1"/>
  <c r="E10" i="8" l="1"/>
  <c r="E22" i="8" s="1"/>
  <c r="E24" i="8"/>
  <c r="D24" i="1"/>
  <c r="D23" i="1"/>
  <c r="D14" i="1" l="1"/>
  <c r="C10" i="1" l="1"/>
  <c r="C23" i="1"/>
  <c r="C24" i="1" l="1"/>
  <c r="C14" i="1"/>
  <c r="E12" i="1"/>
  <c r="F12" i="1" l="1"/>
  <c r="E20" i="1"/>
  <c r="E18" i="1"/>
  <c r="E17" i="1"/>
  <c r="E13" i="1"/>
  <c r="H12" i="1" l="1"/>
  <c r="O12" i="1"/>
  <c r="H17" i="1"/>
  <c r="H18" i="1"/>
  <c r="H20" i="1"/>
  <c r="K12" i="1"/>
  <c r="C12" i="8" s="1"/>
  <c r="F13" i="1"/>
  <c r="C22" i="1"/>
  <c r="D22" i="1"/>
  <c r="F12" i="8" l="1"/>
  <c r="K12" i="8" s="1"/>
  <c r="H13" i="1"/>
  <c r="O13" i="1"/>
  <c r="O23" i="1" s="1"/>
  <c r="K18" i="1"/>
  <c r="C18" i="8" s="1"/>
  <c r="K18" i="8" s="1"/>
  <c r="K20" i="1"/>
  <c r="C20" i="8" s="1"/>
  <c r="K20" i="8" s="1"/>
  <c r="K17" i="1"/>
  <c r="C17" i="8" s="1"/>
  <c r="K17" i="8" s="1"/>
  <c r="K13" i="1"/>
  <c r="C13" i="8" s="1"/>
  <c r="E21" i="1"/>
  <c r="E19" i="1"/>
  <c r="E16" i="1"/>
  <c r="E15" i="1"/>
  <c r="E11" i="1"/>
  <c r="F13" i="8" l="1"/>
  <c r="K13" i="8"/>
  <c r="F23" i="8"/>
  <c r="O12" i="8"/>
  <c r="H12" i="8"/>
  <c r="O10" i="1"/>
  <c r="O22" i="1" s="1"/>
  <c r="H15" i="1"/>
  <c r="H16" i="1"/>
  <c r="H19" i="1"/>
  <c r="H11" i="1"/>
  <c r="H10" i="1" s="1"/>
  <c r="K21" i="1"/>
  <c r="C21" i="8" s="1"/>
  <c r="K21" i="8" s="1"/>
  <c r="E24" i="1"/>
  <c r="E23" i="1"/>
  <c r="E10" i="1"/>
  <c r="E14" i="1"/>
  <c r="O13" i="8" l="1"/>
  <c r="O10" i="8" s="1"/>
  <c r="O22" i="8" s="1"/>
  <c r="H13" i="8"/>
  <c r="H10" i="8" s="1"/>
  <c r="H22" i="8" s="1"/>
  <c r="J22" i="8" s="1"/>
  <c r="F10" i="8"/>
  <c r="F22" i="8" s="1"/>
  <c r="K15" i="1"/>
  <c r="C15" i="8" s="1"/>
  <c r="K19" i="1"/>
  <c r="C19" i="8" s="1"/>
  <c r="K19" i="8" s="1"/>
  <c r="K16" i="1"/>
  <c r="C16" i="8" s="1"/>
  <c r="K16" i="8" s="1"/>
  <c r="F23" i="1"/>
  <c r="F24" i="1"/>
  <c r="K11" i="1"/>
  <c r="F10" i="1"/>
  <c r="F14" i="1"/>
  <c r="H21" i="1"/>
  <c r="H23" i="1"/>
  <c r="E22" i="1"/>
  <c r="K15" i="8" l="1"/>
  <c r="C14" i="8"/>
  <c r="C23" i="8"/>
  <c r="K10" i="1"/>
  <c r="C11" i="8"/>
  <c r="O23" i="8"/>
  <c r="H23" i="8"/>
  <c r="K23" i="1"/>
  <c r="K14" i="1"/>
  <c r="F22" i="1"/>
  <c r="K24" i="1"/>
  <c r="H24" i="1"/>
  <c r="H14" i="1"/>
  <c r="K22" i="1" l="1"/>
  <c r="K14" i="8"/>
  <c r="K23" i="8"/>
  <c r="C10" i="8"/>
  <c r="C22" i="8" s="1"/>
  <c r="K11" i="8"/>
  <c r="C24" i="8"/>
  <c r="H22" i="1"/>
  <c r="J22" i="1" s="1"/>
  <c r="K24" i="8" l="1"/>
  <c r="K10" i="8"/>
  <c r="K22" i="8" s="1"/>
  <c r="H26" i="8"/>
  <c r="J26" i="8"/>
  <c r="J26" i="1"/>
  <c r="H26" i="1"/>
</calcChain>
</file>

<file path=xl/sharedStrings.xml><?xml version="1.0" encoding="utf-8"?>
<sst xmlns="http://schemas.openxmlformats.org/spreadsheetml/2006/main" count="461" uniqueCount="215">
  <si>
    <t>Tehniskā palīglīdzekļa nosaukums</t>
  </si>
  <si>
    <t>Dzirdes aparāts</t>
  </si>
  <si>
    <t xml:space="preserve">Laikrādis ar vibrozvanu </t>
  </si>
  <si>
    <t>Telefons ar pastiprinātāju</t>
  </si>
  <si>
    <t>Digitālā vizuālās saziņas ierīce</t>
  </si>
  <si>
    <t>FM radiofrekvenču pārraides sistēma (raidītājs/uztvērējs)</t>
  </si>
  <si>
    <t>Dzirdes palīglīdzeklis (komunikators)</t>
  </si>
  <si>
    <t xml:space="preserve">Skaņas indikators ar mehānisko signālu </t>
  </si>
  <si>
    <t>Savienotājvienība radio un televīzijas uztvērējiem (TV cilpa)</t>
  </si>
  <si>
    <r>
      <t xml:space="preserve">Skaņas indikators ar gaismas signālu </t>
    </r>
    <r>
      <rPr>
        <i/>
        <sz val="12"/>
        <color theme="1"/>
        <rFont val="Times New Roman"/>
        <family val="1"/>
        <charset val="186"/>
      </rPr>
      <t>(pašreizējais nosaukums - gaismas indikators</t>
    </r>
    <r>
      <rPr>
        <sz val="12"/>
        <color theme="1"/>
        <rFont val="Times New Roman"/>
        <family val="1"/>
        <charset val="186"/>
      </rPr>
      <t>)</t>
    </r>
  </si>
  <si>
    <t>Dzirdes aparāti</t>
  </si>
  <si>
    <t>Surdotehnika</t>
  </si>
  <si>
    <t>X</t>
  </si>
  <si>
    <t>2016.gadā</t>
  </si>
  <si>
    <t>N.P.K.</t>
  </si>
  <si>
    <t>KOPĀ</t>
  </si>
  <si>
    <t xml:space="preserve">Rindas prognoze uz 01.01.2017. </t>
  </si>
  <si>
    <t>plānotā rinda uz 01.01.2016.</t>
  </si>
  <si>
    <t>personu skaits, kas iestāsies rindā 2016.gadā</t>
  </si>
  <si>
    <t>Dzirdes aparāti bērniem ar                   1-5 vājdzirdības pakāpi</t>
  </si>
  <si>
    <t>2012.gadā</t>
  </si>
  <si>
    <t>2013.gadā</t>
  </si>
  <si>
    <t>2014.gadā</t>
  </si>
  <si>
    <t>Vid. mēnesī stājas rindā /vidējais izmaiņu koeficients</t>
  </si>
  <si>
    <t>Vidēji mēnesī ar pieaug. vai samazin.</t>
  </si>
  <si>
    <r>
      <t xml:space="preserve">Skaņas indikators ar gaismas signālu </t>
    </r>
    <r>
      <rPr>
        <i/>
        <sz val="12"/>
        <color theme="1"/>
        <rFont val="Times New Roman"/>
        <family val="1"/>
        <charset val="186"/>
      </rPr>
      <t>(vecais nosaukums - gaismas indikators</t>
    </r>
    <r>
      <rPr>
        <sz val="12"/>
        <color theme="1"/>
        <rFont val="Times New Roman"/>
        <family val="1"/>
        <charset val="186"/>
      </rPr>
      <t>)</t>
    </r>
  </si>
  <si>
    <t>Vidēji mēnesī rindā stājušos personu skaits</t>
  </si>
  <si>
    <t>Jaunie TP kopā</t>
  </si>
  <si>
    <t>Vecie TP kopā</t>
  </si>
  <si>
    <t>Vidējās izmaiņas  (+ vai -) pret iepriekšējo gadu/ koeficients</t>
  </si>
  <si>
    <t>TP cenas euro</t>
  </si>
  <si>
    <t>2012.gadā *</t>
  </si>
  <si>
    <t>2013.gadā **</t>
  </si>
  <si>
    <t>2014.gadā ***</t>
  </si>
  <si>
    <t>Izmaiņas</t>
  </si>
  <si>
    <t>2014.gads pret 2013. gadu, %</t>
  </si>
  <si>
    <t>2014. gads pret 2012. gadu, %</t>
  </si>
  <si>
    <t>Dzirdes aparāti pieaugušajiem</t>
  </si>
  <si>
    <t xml:space="preserve">Dzirdes aparāts </t>
  </si>
  <si>
    <t>5=4*12</t>
  </si>
  <si>
    <t>8=6*7</t>
  </si>
  <si>
    <t>nepieciešamais finansējums</t>
  </si>
  <si>
    <t xml:space="preserve">bāzes finansējums </t>
  </si>
  <si>
    <t>papildus nepieciešamais finansējums</t>
  </si>
  <si>
    <t>11=3+5-6</t>
  </si>
  <si>
    <t>Administrēšanas izdevumi</t>
  </si>
  <si>
    <t>Izdevumi kopā</t>
  </si>
  <si>
    <t>10=9-8</t>
  </si>
  <si>
    <t>Vidējā cena ar pieaug. vai samazin.</t>
  </si>
  <si>
    <t>Izmaksu pozīcija</t>
  </si>
  <si>
    <t>Mērvienība</t>
  </si>
  <si>
    <t>Mērvienības cena, euro</t>
  </si>
  <si>
    <t xml:space="preserve">Pamatojums </t>
  </si>
  <si>
    <t>nosaukums</t>
  </si>
  <si>
    <t>skaits</t>
  </si>
  <si>
    <t>Atalgojuma fonds, t.sk. D/d VSAO</t>
  </si>
  <si>
    <t>1.1.</t>
  </si>
  <si>
    <t>Klientu apkalpošanas speciālists</t>
  </si>
  <si>
    <t>slodze</t>
  </si>
  <si>
    <t>1.2.</t>
  </si>
  <si>
    <t>Datu ievades operators</t>
  </si>
  <si>
    <t>1.3.</t>
  </si>
  <si>
    <t>Lietvedības sekretāre</t>
  </si>
  <si>
    <t>1.4,</t>
  </si>
  <si>
    <t>1.5.</t>
  </si>
  <si>
    <t>VSAO 23.59%</t>
  </si>
  <si>
    <t>%</t>
  </si>
  <si>
    <t>1.6.</t>
  </si>
  <si>
    <t>Uzņēmējdarbības riska valsts nodeva</t>
  </si>
  <si>
    <t>slodzes</t>
  </si>
  <si>
    <t>2.1.</t>
  </si>
  <si>
    <t>Pasta izdevumi</t>
  </si>
  <si>
    <t>2.2.</t>
  </si>
  <si>
    <t xml:space="preserve">Kancelejas preces </t>
  </si>
  <si>
    <t>2.3.</t>
  </si>
  <si>
    <t>Biroja tehnikas apkope</t>
  </si>
  <si>
    <t>2.4.</t>
  </si>
  <si>
    <t>Sakaru izdevumi</t>
  </si>
  <si>
    <t>2.5.</t>
  </si>
  <si>
    <t>Sakaru tehnikas iegāde</t>
  </si>
  <si>
    <t>2.6.</t>
  </si>
  <si>
    <t>Biroja tehnikas iegāde darbiniekiem</t>
  </si>
  <si>
    <t>2.6.1.</t>
  </si>
  <si>
    <t>Galda datorkomlpekti</t>
  </si>
  <si>
    <t>2.6.2.</t>
  </si>
  <si>
    <t>Monitori</t>
  </si>
  <si>
    <t>2.6.3.</t>
  </si>
  <si>
    <t>Multifunkc.printeris (kopētājs, skeneris)</t>
  </si>
  <si>
    <t>2.6.4.</t>
  </si>
  <si>
    <t>Programmnodrošinājums</t>
  </si>
  <si>
    <t>2.7.</t>
  </si>
  <si>
    <t xml:space="preserve">Inventāra iegāde </t>
  </si>
  <si>
    <t>Administrācijas telpu izdevumi</t>
  </si>
  <si>
    <r>
      <t xml:space="preserve">Administrēšanas telpu uzturēšnas izdevumi </t>
    </r>
    <r>
      <rPr>
        <i/>
        <sz val="12"/>
        <color theme="1"/>
        <rFont val="Times New Roman"/>
        <family val="1"/>
        <charset val="186"/>
      </rPr>
      <t>(noma, komunālie maksājumi, telpu uzkopšana)</t>
    </r>
  </si>
  <si>
    <r>
      <t>20m</t>
    </r>
    <r>
      <rPr>
        <vertAlign val="superscript"/>
        <sz val="12"/>
        <color theme="1"/>
        <rFont val="Times New Roman"/>
        <family val="1"/>
        <charset val="186"/>
      </rPr>
      <t>2</t>
    </r>
  </si>
  <si>
    <t>2292 euro/12 mēneši=191 euro mēnesī</t>
  </si>
  <si>
    <t>iepirktie /izsniegtie TP</t>
  </si>
  <si>
    <t>Surdotulks</t>
  </si>
  <si>
    <t>Sociālās garantijas</t>
  </si>
  <si>
    <t>Ministru kabineta 05.11.2013. noteikumi Nr.1249 " Noteikumi par uzņēmējdarbības riska valsts nodevas apmēru, kā arī darbinieku prasījumu garantiju fondā un maksātnespējas procesa izmaksu segšanai ieskaitāmās nodevas daļu 2015.gadā" nosaka, ka  uzņēmējdarbības riska valsts nodeva (URVN) 2015. gadā  ir 0,36  euro mēnesī, ko aprēķina par katru darbinieku, ar kuru nodibinātas darba tiesiskās attiecības.</t>
  </si>
  <si>
    <t>klienti</t>
  </si>
  <si>
    <t>mēneši</t>
  </si>
  <si>
    <t>12 mēn. x 11 euro x 3 darbinieki (2.75 darbinieki)</t>
  </si>
  <si>
    <t>1385 klienti x 2 euro</t>
  </si>
  <si>
    <t>2 darbinieki x 330 euro/ Paredzēts iegādāties 2 mobilos telefonus ar Windows Phone 8 operētājsistēmu (lai informāciju var sinhronizēt ar dotoros esošo) surdotulkam un klientu apkalpošanas speciālistam.</t>
  </si>
  <si>
    <t>Viena darbinieka darba vietas iekārtošanas izmaksas ir 1246 euro (386+130+250+430+100)/ Paredzēts iegādāties 2 datorkomplektus (sistēmbloks, klaviatūra, pele, monitors, regulējams monitora statīvs) ar MS Windows8.1 Pro operētājsistēmu, MS Office H&amp;B 2013 ofisa programmatūru un Kaspersky Internet Security antivīrusu programmatūru lietvedības sekretārei un datu ievades operatoram. Uz abiem darbiniekiem paredzēts iegādāties multifunkcionālo printeri, kuram ir opcija pieslēgšanai iekšējam datortīklam (LAN).</t>
  </si>
  <si>
    <t>Pasta un sakaru izdevumi, kancelejas preces, biroja tehnikas apkope, inventārs</t>
  </si>
  <si>
    <t>Juridiskie pakalpojumi</t>
  </si>
  <si>
    <t>Informatīvo bukletu izdošana</t>
  </si>
  <si>
    <t>4.</t>
  </si>
  <si>
    <t>3.</t>
  </si>
  <si>
    <t>5.</t>
  </si>
  <si>
    <t>5.1.</t>
  </si>
  <si>
    <t>50 euro x 12 mēneši</t>
  </si>
  <si>
    <t>1.7.</t>
  </si>
  <si>
    <t>7=(3+4+5+6)/4</t>
  </si>
  <si>
    <t>9=5/3</t>
  </si>
  <si>
    <t>10=5/3</t>
  </si>
  <si>
    <t>9=5/4</t>
  </si>
  <si>
    <t>6=(3+4+5)/3</t>
  </si>
  <si>
    <t>8=5/4</t>
  </si>
  <si>
    <t>* 2012.gada cenas tādas kā LM iesniedza 2013.gada sākumā FM, kad prasīja papildus finansējumu 2014.gadam</t>
  </si>
  <si>
    <t>** 2013.gada cenas norādītas tādas, kādas tika iesniegtas ministrijā 2014.gada sākumā</t>
  </si>
  <si>
    <t>*** 2014.gada cenas norādītas tādas, kādas ir šobrīd un kuras liek tālāk aprēķinos</t>
  </si>
  <si>
    <t xml:space="preserve">Latvijas Nedzirdīgo savienība /Tehnisko palīglīdzekļu nodrošināšanai nepieciešamā bāzes finansējuma aprēķins 2016.gadam </t>
  </si>
  <si>
    <t>N.p.k</t>
  </si>
  <si>
    <t>Veids</t>
  </si>
  <si>
    <t>Darbinieku skaits</t>
  </si>
  <si>
    <t>Finansējums</t>
  </si>
  <si>
    <t>Summa</t>
  </si>
  <si>
    <t>Paskaidrojumi</t>
  </si>
  <si>
    <t>Veselības apdrošināšana</t>
  </si>
  <si>
    <t>*Likuma par iedzīvotāju ienākuma nodokli 8.panta 5 daļa nosaka, ka " No maksātāja ienākumiem, par kuriem maksā algas nodokli .....veselības vai nelaimes gadījumu apdrošināšanas prēmiju summas, kas nepārsniedz 10 procentus no maksātājam aprēķinātās bruto darba samaksas taksācijas gadā, bet ne vairāk kā 426,86 euro gadā....." un savukārt  Valsts un pašvaldību institūciju amatpersonu un darbinieku atlīdzības likumā paredzētās normas (37.pants 1.;2.daļa) nosaka, ka Veselības apdrošināšanas polises (polises cena nedrīkst pārsniegt normatīvajos aktos par iedzīvotāju ienākuma nodokli noteikto apmēru. Šā panta trešajā, ceturtajā, piektajā vai sestajā daļā neminētas amatpersonas (darbinieka) veselības apdrošināšanas polises cena nedrīkst pārsniegt pusi no normatīvajos aktos par iedzīvotāju ienākuma nodokli noteiktā apmēra. Ja apdrošināšanas polises cena pārsniedz minēto apmēru, amatpersona (darbinieks) sedz cenu starpību) - puse 213.43 euro.</t>
  </si>
  <si>
    <t>Kopā</t>
  </si>
  <si>
    <t>PVN likme %</t>
  </si>
  <si>
    <t>Cena bez PVN euro</t>
  </si>
  <si>
    <t>PVN euro</t>
  </si>
  <si>
    <t>PVN ieņēmumi valsts budžetā</t>
  </si>
  <si>
    <t>13=7/1.12</t>
  </si>
  <si>
    <t>14=7-13</t>
  </si>
  <si>
    <t>15=6*14</t>
  </si>
  <si>
    <t>Ieņēmumi valsts budžetā</t>
  </si>
  <si>
    <t>Sociālās apdrošināšanas iemaksas 10.5%</t>
  </si>
  <si>
    <t>Sociālās apdrošināšanas iemaksas 23.59%</t>
  </si>
  <si>
    <t>Sociālās apdrošināšanas iemaksas kopā</t>
  </si>
  <si>
    <t>Iedzīvotāju ienākuma nod. ieņēmumi valsts budžetā 22%</t>
  </si>
  <si>
    <t>PVN 21% 2016.gadā</t>
  </si>
  <si>
    <t>PVN 21% 2017. un 2018.gadā</t>
  </si>
  <si>
    <t>Nepieciešams veikt papildus 6 iepirkuma procedūras tehniskajiem palīglīdzekļiem un līdz ar to nepieciešami papildus juriskie palpojumi, noslēdzot pakalpojumu līgumu. Aprēķini veikti ņemot vērā līdzšinējos izdevumus, kur konsultācijas uz vienu iepirkumu izmaksājušas vidēji 250,00 euro.</t>
  </si>
  <si>
    <t>03.06.2003. MK Noteikumi Nr.291 un līgums ar LM nosaka nepieciešamību informēt klientus. Plānots katalogā medicine.lv un 9 lielākajos reģionālajos izdevumos ievietot informatīvos sludinājumus par jaunajiem tehniskajiem palīglīdzekļiem. Aprēķini veikti ņemot vērā 2014.gada vidējos izdevumus par vienu publikāciju: 150,00 euro x 10 publikācijas.</t>
  </si>
  <si>
    <t xml:space="preserve">Papildus finansējums 2016.gadā </t>
  </si>
  <si>
    <t xml:space="preserve">Papildus finansējums 2017. un 2018..gadā </t>
  </si>
  <si>
    <t>9.pielikums</t>
  </si>
  <si>
    <t>10.pielikums</t>
  </si>
  <si>
    <t xml:space="preserve">Latvijas Nedzirdīgo savienība/ Sociālo garantiju aprēķins administratīvajiem darbiniekiem  </t>
  </si>
  <si>
    <t>Latvijas Nedzirdīgo savienība /Tehnisko palīglīdzekļu nodrošināšanai nepieciešamā bāzes finansējuma aprēķins 2017.gadam un turpmākajiem gadiem</t>
  </si>
  <si>
    <t>2017.gadā</t>
  </si>
  <si>
    <t>plānotā rinda uz 01.01.2017.</t>
  </si>
  <si>
    <t>personu skaits, kas iestāsies rindā 2017.gadā</t>
  </si>
  <si>
    <t xml:space="preserve">Rindas prognoze uz 01.01.2018. </t>
  </si>
  <si>
    <t xml:space="preserve">Latvijas Nedzirdīgo savienība / vidēji mēnesī rindā stājušos personu skaita aprēķins </t>
  </si>
  <si>
    <t xml:space="preserve">Latvijas Nedzirdīgo savienība /  tehnisko palīglīdzekļu vidējo cenu aprēķins </t>
  </si>
  <si>
    <t>11.pielikums</t>
  </si>
  <si>
    <t>Latvijas Nedzirdīgo savienība/ papildus nepieciešamā finansējuma aprēķins administrēšanas izdevumiem 2016.gadam  un turpmākajiem gadiem</t>
  </si>
  <si>
    <t>12.pielikums</t>
  </si>
  <si>
    <t>Variants Nr.1</t>
  </si>
  <si>
    <t>7=6 kolonnas 8 rinda*9 rinda                     ( koeficients)</t>
  </si>
  <si>
    <t>Vidējā TP cena no 2012.-2014.gadam</t>
  </si>
  <si>
    <t>13.pielikums</t>
  </si>
  <si>
    <t>Labklājības ministrs</t>
  </si>
  <si>
    <t>U.Augulis</t>
  </si>
  <si>
    <t>L.Cīrule, 67021647, Lilita.Cirule@lm.gov.lv</t>
  </si>
  <si>
    <t>Fakss: 67276445</t>
  </si>
  <si>
    <t>Konceptuālais ziņojums</t>
  </si>
  <si>
    <t>TP cena                   (11.pielikuma                           5 kolonna)</t>
  </si>
  <si>
    <t>TP cena                   (11.pielikuma 5 kolonna)</t>
  </si>
  <si>
    <t xml:space="preserve">personu skaits, kas vidēji mēnesī iestājas rindā                      (10.pielikuma 8 kolonna) </t>
  </si>
  <si>
    <t>8=7 kolonnas 8 rinda*9 rinda               ( koeficients) utt.</t>
  </si>
  <si>
    <t>„Par papildus nepieciešamo finansējumu valsts nodrošināto tehnisko palīglīdzekļu pakalpojuma ieviešanā”</t>
  </si>
  <si>
    <t xml:space="preserve">2015.gadā no janvāra līdz aprīlim* </t>
  </si>
  <si>
    <t>*Vidēji mēnesī rindā stājušos personu skaits 2015.gadā tiek prognozēts saskaņā ar 2015.gada četru mēnešu vidējo faktu.</t>
  </si>
  <si>
    <t>Sociālo garantiju aprēķins 14.pielikumā</t>
  </si>
  <si>
    <t>14.pielikums</t>
  </si>
  <si>
    <t xml:space="preserve">Latvijas Nedzirdīgo savienība/  atlīdzībai plānotā finansējuma aprēķins  2016.gadam </t>
  </si>
  <si>
    <t>Nr.p.k.</t>
  </si>
  <si>
    <t>Izmaksu pozīcijas</t>
  </si>
  <si>
    <t xml:space="preserve">2015.gads - Mērvienība </t>
  </si>
  <si>
    <t>2015.gads - izmaksas mēnesī euro</t>
  </si>
  <si>
    <t xml:space="preserve">2015.gada finansējums euro </t>
  </si>
  <si>
    <t>2016.gads/papildus</t>
  </si>
  <si>
    <t>2016.gadam nepieciešamais finansējums kopā</t>
  </si>
  <si>
    <t xml:space="preserve">2016.gads - Mērvienība </t>
  </si>
  <si>
    <t>2016.gads - izmaksas mēnesī euro</t>
  </si>
  <si>
    <t xml:space="preserve">2016.gada finansējums euro </t>
  </si>
  <si>
    <t>8=7*12 mēn.*6</t>
  </si>
  <si>
    <t>1.</t>
  </si>
  <si>
    <t>Valsts deleģēto sociālo pakalpojumu nodaļas vadītājs</t>
  </si>
  <si>
    <t>1slodze</t>
  </si>
  <si>
    <t>Galvenā grāmatvede - finansiste</t>
  </si>
  <si>
    <t>1 slodze</t>
  </si>
  <si>
    <t>2 slodze</t>
  </si>
  <si>
    <t>0.5slodze</t>
  </si>
  <si>
    <t>1.5 slodze</t>
  </si>
  <si>
    <t>Datu bāzes administrators</t>
  </si>
  <si>
    <t>0.5 slodze</t>
  </si>
  <si>
    <t>0.25 slodze</t>
  </si>
  <si>
    <t>0.75 slodzes</t>
  </si>
  <si>
    <t>1 slodzes</t>
  </si>
  <si>
    <t>0.5 slodzes</t>
  </si>
  <si>
    <t>VSAOI 23.59%</t>
  </si>
  <si>
    <t>UD riska valsts nodeva</t>
  </si>
  <si>
    <t>15.pielikums</t>
  </si>
  <si>
    <t xml:space="preserve"> LNS  ir deleģēta valsts funkcija tehnisko palīglīdzekļu nodrošināšanā. 2015.gadā tehnisko palīglīdzekļu pakalpojumu nodrošina 4.25 amata slodzes. Ņemot vērā to, ka  LNS palielinās darba apjoms, palielinoties pieprasījumam pēc tehniskajiem palīglīdzekļiem, ir nepieciešams piesaistīt papildus darbiniekus. Atalgojuma izdevumi plānoti pamatojoties uz faktu, ka ņemot vērā 2014.gada un 2015.gada janvāra -februāra datus, vidēji mēnesī rindā  uz tehniskajiiem palīglīdzekļiem tiek uzņemti 405 klienti, tai skiaitā 127 klienti uz jaunajiem tehniskajiem palīglīdzekļiem  un vidēji 50 klientiem mēnesī tiek atteikta uzņemšana. Papildus tam ir jāuztur komunikācija ar klientiem, atbildot uz viņu jautājumiem, sagatavojot uzaicinājumus saņemt tehnisko palīglīdzekli u.tml. Jau pie pašreizējās iesniegumu plūsmas esošie darbinieki pārslogoti, jo administratīvais slogs no klientiem pārlikts uz pakalpojumu sniedzēju (LNS jāpārliecinās par iesniegumos minētās informācijas patiesību, kā arī jāiegūst papildus nepieciešamā informācija pašiem). 2014.gadā veiktie MK noteikumu grozījumi un LM izveidotā datu uzskaites sistēma LaBIS paredz papildus informācijas ievadi datu bāzē, tāpēc pieaug darba apjoms datu ievadē. Līdztekus tam minētie grozījumi paredz, ka šajos noteikumos minētos  savienības izdotos administratīvos aktus un faktisko rīcību persona vai tās likumiskais pārstāvis var apstrīdēt  savienības valdes priekšsēdētājam. Savienības valdes priekšsēdētāja lēmumus persona vai tās likumiskais pārstāvis var pārsūdzēt tiesā. Ņemot vērā šo faktu un to, ka 90% no administratīvā personāla ir dzirdes invalīdi, paredzēts uz 0,5 slodzi pastāvīgā darbā pieņemt surdotulku, lai nodrošinātu komunikāciju ar klientiem, kuri neprot zīmju valodu un līdztekus tam atvieglotu administratīvā personāla komunikāciju ar valsts institūcijām. Administrēšanas izdevumiem 2016.gadā ir plānots novirzīt mazāk nekā normatīvajos aktos noteikts (Sociālo pakalpojumu un sociālās palīdzības likuma 13.panta 23 daļā noteikto administrēšanas izdevumiem deleģēto funkciju ieviesēji novirza ne vairāk kā 10 % no pakalpojuma nodrošināšanai piešķirtajiem valsts budžeta līdzekļiem), attiecīgi, LNS – 7.2 % (2015.gadā - 10%) no pakalpojuma nodrošināšanas finansējuma (aprēķini 15.pielikumā).</t>
  </si>
  <si>
    <t>07.08.2015. 9:09</t>
  </si>
  <si>
    <t>09.08.2015. 9:09</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</si>
</sst>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charset val="186"/>
      <scheme val="minor"/>
    </font>
    <font>
      <b/>
      <sz val="14"/>
      <color theme="1"/>
      <name val="Times New Roman"/>
      <family val="1"/>
      <charset val="186"/>
    </font>
    <font>
      <b/>
      <sz val="12"/>
      <color theme="1"/>
      <name val="Times New Roman"/>
      <family val="1"/>
      <charset val="186"/>
    </font>
    <font>
      <sz val="12"/>
      <color theme="1"/>
      <name val="Times New Roman"/>
      <family val="1"/>
      <charset val="186"/>
    </font>
    <font>
      <i/>
      <sz val="12"/>
      <color theme="1"/>
      <name val="Times New Roman"/>
      <family val="1"/>
      <charset val="186"/>
    </font>
    <font>
      <i/>
      <u/>
      <sz val="12"/>
      <color theme="1"/>
      <name val="Times New Roman"/>
      <family val="1"/>
      <charset val="186"/>
    </font>
    <font>
      <b/>
      <i/>
      <u/>
      <sz val="12"/>
      <color theme="1"/>
      <name val="Times New Roman"/>
      <family val="1"/>
      <charset val="186"/>
    </font>
    <font>
      <sz val="12"/>
      <name val="Times New Roman"/>
      <family val="1"/>
      <charset val="186"/>
    </font>
    <font>
      <b/>
      <sz val="12"/>
      <name val="Times New Roman"/>
      <family val="1"/>
      <charset val="186"/>
    </font>
    <font>
      <sz val="12"/>
      <color indexed="8"/>
      <name val="Times New Roman"/>
      <family val="1"/>
      <charset val="186"/>
    </font>
    <font>
      <sz val="11"/>
      <color theme="1"/>
      <name val="Calibri"/>
      <family val="2"/>
      <charset val="186"/>
      <scheme val="minor"/>
    </font>
    <font>
      <i/>
      <sz val="10"/>
      <name val="Times New Roman"/>
      <family val="1"/>
      <charset val="186"/>
    </font>
    <font>
      <i/>
      <sz val="12"/>
      <name val="Times New Roman"/>
      <family val="1"/>
      <charset val="186"/>
    </font>
    <font>
      <b/>
      <sz val="14"/>
      <color indexed="8"/>
      <name val="Times New Roman"/>
      <family val="1"/>
      <charset val="186"/>
    </font>
    <font>
      <b/>
      <sz val="14"/>
      <name val="Times New Roman"/>
      <family val="1"/>
      <charset val="186"/>
    </font>
    <font>
      <i/>
      <u/>
      <sz val="12"/>
      <name val="Times New Roman"/>
      <family val="1"/>
      <charset val="186"/>
    </font>
    <font>
      <sz val="11"/>
      <color theme="1"/>
      <name val="Times New Roman"/>
      <family val="1"/>
      <charset val="186"/>
    </font>
    <font>
      <sz val="10"/>
      <color theme="1"/>
      <name val="Times New Roman"/>
      <family val="1"/>
      <charset val="186"/>
    </font>
    <font>
      <b/>
      <sz val="12"/>
      <color indexed="8"/>
      <name val="Times New Roman"/>
      <family val="1"/>
      <charset val="186"/>
    </font>
    <font>
      <sz val="11"/>
      <name val="Times New Roman"/>
      <family val="1"/>
      <charset val="186"/>
    </font>
    <font>
      <i/>
      <sz val="12"/>
      <color indexed="8"/>
      <name val="Times New Roman"/>
      <family val="1"/>
      <charset val="186"/>
    </font>
    <font>
      <vertAlign val="superscript"/>
      <sz val="12"/>
      <color theme="1"/>
      <name val="Times New Roman"/>
      <family val="1"/>
      <charset val="186"/>
    </font>
    <font>
      <b/>
      <i/>
      <sz val="12"/>
      <color theme="1"/>
      <name val="Times New Roman"/>
      <family val="1"/>
      <charset val="186"/>
    </font>
    <font>
      <sz val="10"/>
      <color indexed="8"/>
      <name val="Times New Roman"/>
      <family val="1"/>
      <charset val="186"/>
    </font>
    <font>
      <sz val="10"/>
      <name val="Times New Roman"/>
      <family val="1"/>
      <charset val="186"/>
    </font>
    <font>
      <sz val="10"/>
      <name val="Arial"/>
      <family val="2"/>
      <charset val="186"/>
    </font>
    <font>
      <b/>
      <sz val="11"/>
      <color theme="1"/>
      <name val="Times New Roman"/>
      <family val="1"/>
      <charset val="186"/>
    </font>
    <font>
      <sz val="10"/>
      <name val="Arial"/>
      <family val="2"/>
      <charset val="186"/>
    </font>
    <font>
      <sz val="11"/>
      <color rgb="FFFF0000"/>
      <name val="Calibri"/>
      <family val="2"/>
      <charset val="186"/>
    </font>
    <font>
      <b/>
      <sz val="11"/>
      <color indexed="8"/>
      <name val="Calibri"/>
      <family val="2"/>
      <charset val="186"/>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C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s>
  <cellStyleXfs count="5">
    <xf numFmtId="0" fontId="0" fillId="0" borderId="0"/>
    <xf numFmtId="9" fontId="10" fillId="0" borderId="0" applyFont="0" applyFill="0" applyBorder="0" applyAlignment="0" applyProtection="0"/>
    <xf numFmtId="0" fontId="25" fillId="0" borderId="0"/>
    <xf numFmtId="0" fontId="27" fillId="0" borderId="0"/>
    <xf numFmtId="0" fontId="10" fillId="0" borderId="0"/>
  </cellStyleXfs>
  <cellXfs count="277">
    <xf numFmtId="0" fontId="0" fillId="0" borderId="0" xfId="0"/>
    <xf numFmtId="0" fontId="1" fillId="0" borderId="5" xfId="0" applyFont="1" applyBorder="1" applyAlignment="1"/>
    <xf numFmtId="0" fontId="3" fillId="0" borderId="1" xfId="0" applyFont="1" applyBorder="1"/>
    <xf numFmtId="0" fontId="3" fillId="3" borderId="1" xfId="0" applyFont="1" applyFill="1" applyBorder="1"/>
    <xf numFmtId="4" fontId="3" fillId="3" borderId="1" xfId="0" applyNumberFormat="1" applyFont="1" applyFill="1" applyBorder="1"/>
    <xf numFmtId="0" fontId="3" fillId="0" borderId="0" xfId="0" applyFont="1"/>
    <xf numFmtId="4" fontId="2" fillId="0" borderId="1" xfId="0" applyNumberFormat="1" applyFont="1" applyBorder="1" applyAlignment="1">
      <alignment horizontal="center" wrapText="1"/>
    </xf>
    <xf numFmtId="0" fontId="2" fillId="3" borderId="1" xfId="0" applyFont="1" applyFill="1" applyBorder="1"/>
    <xf numFmtId="4" fontId="2" fillId="3" borderId="1" xfId="0" applyNumberFormat="1" applyFont="1" applyFill="1" applyBorder="1"/>
    <xf numFmtId="0" fontId="3" fillId="0" borderId="5" xfId="0" applyFont="1" applyBorder="1" applyAlignment="1"/>
    <xf numFmtId="0" fontId="5" fillId="2" borderId="1" xfId="0" applyFont="1" applyFill="1" applyBorder="1" applyAlignment="1">
      <alignment vertical="top"/>
    </xf>
    <xf numFmtId="0" fontId="5" fillId="2" borderId="1" xfId="0" applyFont="1" applyFill="1" applyBorder="1" applyAlignment="1">
      <alignment vertical="top" wrapText="1"/>
    </xf>
    <xf numFmtId="0" fontId="2" fillId="3" borderId="1" xfId="0" applyFont="1" applyFill="1" applyBorder="1" applyAlignment="1">
      <alignment horizontal="center"/>
    </xf>
    <xf numFmtId="0" fontId="2" fillId="0" borderId="1" xfId="0" applyFont="1" applyBorder="1" applyAlignment="1">
      <alignment horizontal="center"/>
    </xf>
    <xf numFmtId="0" fontId="3" fillId="3" borderId="1" xfId="0" applyFont="1" applyFill="1" applyBorder="1" applyAlignment="1">
      <alignment vertical="top"/>
    </xf>
    <xf numFmtId="0" fontId="3" fillId="3" borderId="1" xfId="0" applyFont="1" applyFill="1" applyBorder="1" applyAlignment="1">
      <alignment vertical="top" wrapText="1"/>
    </xf>
    <xf numFmtId="1" fontId="3" fillId="0" borderId="1" xfId="0" applyNumberFormat="1" applyFont="1" applyBorder="1" applyAlignment="1">
      <alignment horizontal="center" wrapText="1"/>
    </xf>
    <xf numFmtId="1" fontId="2" fillId="3" borderId="1" xfId="0" applyNumberFormat="1" applyFont="1" applyFill="1" applyBorder="1"/>
    <xf numFmtId="4" fontId="0" fillId="0" borderId="0" xfId="0" applyNumberFormat="1"/>
    <xf numFmtId="0" fontId="3" fillId="0" borderId="1" xfId="0" applyFont="1" applyBorder="1" applyAlignment="1">
      <alignment horizontal="center"/>
    </xf>
    <xf numFmtId="0" fontId="3" fillId="0" borderId="1" xfId="0" applyFont="1" applyBorder="1" applyAlignment="1">
      <alignment horizontal="center" wrapText="1"/>
    </xf>
    <xf numFmtId="0" fontId="3" fillId="0" borderId="1" xfId="0" applyFont="1" applyBorder="1" applyAlignment="1">
      <alignment wrapText="1"/>
    </xf>
    <xf numFmtId="2" fontId="9" fillId="0" borderId="3" xfId="0" applyNumberFormat="1" applyFont="1" applyBorder="1" applyAlignment="1">
      <alignment horizontal="center" wrapText="1"/>
    </xf>
    <xf numFmtId="0" fontId="3" fillId="0" borderId="1" xfId="0" applyFont="1" applyBorder="1" applyAlignment="1">
      <alignment horizontal="center"/>
    </xf>
    <xf numFmtId="0" fontId="3" fillId="0" borderId="1" xfId="0" applyFont="1" applyBorder="1" applyAlignment="1">
      <alignment horizontal="center" wrapText="1"/>
    </xf>
    <xf numFmtId="0" fontId="3" fillId="3" borderId="1" xfId="0" applyFont="1" applyFill="1" applyBorder="1" applyAlignment="1">
      <alignment horizontal="left"/>
    </xf>
    <xf numFmtId="0" fontId="3" fillId="3" borderId="1" xfId="0" applyFont="1" applyFill="1" applyBorder="1" applyAlignment="1">
      <alignment horizontal="left" wrapText="1"/>
    </xf>
    <xf numFmtId="0" fontId="11" fillId="0" borderId="1" xfId="0" applyFont="1" applyBorder="1" applyAlignment="1">
      <alignment horizontal="left" wrapText="1"/>
    </xf>
    <xf numFmtId="0" fontId="3" fillId="0" borderId="1" xfId="0" applyFont="1" applyFill="1" applyBorder="1" applyAlignment="1">
      <alignment horizontal="left"/>
    </xf>
    <xf numFmtId="0" fontId="5" fillId="2" borderId="1" xfId="0" applyFont="1" applyFill="1" applyBorder="1" applyAlignment="1">
      <alignment horizontal="left" wrapText="1"/>
    </xf>
    <xf numFmtId="0" fontId="3" fillId="0" borderId="1" xfId="0" applyFont="1" applyBorder="1" applyAlignment="1">
      <alignment horizontal="left"/>
    </xf>
    <xf numFmtId="9" fontId="7" fillId="0" borderId="1" xfId="1" applyFont="1" applyBorder="1" applyAlignment="1">
      <alignment horizontal="center"/>
    </xf>
    <xf numFmtId="1" fontId="3" fillId="0" borderId="0" xfId="0" applyNumberFormat="1" applyFont="1" applyAlignment="1">
      <alignment horizontal="center"/>
    </xf>
    <xf numFmtId="0" fontId="3" fillId="0" borderId="0" xfId="0" applyFont="1" applyAlignment="1">
      <alignment horizontal="center"/>
    </xf>
    <xf numFmtId="1" fontId="7" fillId="0" borderId="2" xfId="0" applyNumberFormat="1" applyFont="1" applyBorder="1" applyAlignment="1">
      <alignment horizontal="center"/>
    </xf>
    <xf numFmtId="2" fontId="12" fillId="0" borderId="1" xfId="0" applyNumberFormat="1" applyFont="1" applyBorder="1" applyAlignment="1">
      <alignment horizontal="center" wrapText="1"/>
    </xf>
    <xf numFmtId="0" fontId="5" fillId="2" borderId="1" xfId="0" applyFont="1" applyFill="1" applyBorder="1" applyAlignment="1">
      <alignment horizontal="right" wrapText="1"/>
    </xf>
    <xf numFmtId="0" fontId="3" fillId="3" borderId="1" xfId="0" applyFont="1" applyFill="1" applyBorder="1" applyAlignment="1">
      <alignment horizontal="right" wrapText="1"/>
    </xf>
    <xf numFmtId="1" fontId="2" fillId="0" borderId="1" xfId="0" applyNumberFormat="1" applyFont="1" applyBorder="1" applyAlignment="1">
      <alignment horizontal="center"/>
    </xf>
    <xf numFmtId="9" fontId="8" fillId="0" borderId="1" xfId="1" applyFont="1" applyBorder="1" applyAlignment="1">
      <alignment horizontal="center"/>
    </xf>
    <xf numFmtId="0" fontId="6" fillId="2" borderId="1" xfId="0" applyFont="1" applyFill="1" applyBorder="1" applyAlignment="1">
      <alignment horizontal="right" wrapText="1"/>
    </xf>
    <xf numFmtId="0" fontId="2" fillId="3" borderId="1" xfId="0" applyFont="1" applyFill="1" applyBorder="1" applyAlignment="1">
      <alignment horizontal="right" wrapText="1"/>
    </xf>
    <xf numFmtId="0" fontId="7" fillId="0" borderId="0" xfId="0" applyFont="1"/>
    <xf numFmtId="2" fontId="7" fillId="0" borderId="1" xfId="0" applyNumberFormat="1" applyFont="1" applyBorder="1" applyAlignment="1">
      <alignment horizontal="center" wrapText="1"/>
    </xf>
    <xf numFmtId="1" fontId="7" fillId="0" borderId="1" xfId="0" applyNumberFormat="1" applyFont="1" applyBorder="1" applyAlignment="1">
      <alignment horizontal="center" wrapText="1"/>
    </xf>
    <xf numFmtId="1" fontId="3" fillId="0" borderId="2" xfId="0" applyNumberFormat="1" applyFont="1" applyBorder="1" applyAlignment="1">
      <alignment horizontal="center"/>
    </xf>
    <xf numFmtId="2" fontId="3" fillId="0" borderId="1" xfId="0" applyNumberFormat="1" applyFont="1" applyBorder="1" applyAlignment="1">
      <alignment horizontal="center"/>
    </xf>
    <xf numFmtId="2" fontId="7" fillId="0" borderId="2" xfId="0" applyNumberFormat="1" applyFont="1" applyBorder="1" applyAlignment="1">
      <alignment horizontal="center"/>
    </xf>
    <xf numFmtId="2" fontId="7" fillId="0" borderId="2" xfId="0" applyNumberFormat="1" applyFont="1" applyBorder="1" applyAlignment="1">
      <alignment horizontal="center" wrapText="1"/>
    </xf>
    <xf numFmtId="4" fontId="2" fillId="0" borderId="1" xfId="0" applyNumberFormat="1" applyFont="1" applyBorder="1" applyAlignment="1">
      <alignment horizontal="center"/>
    </xf>
    <xf numFmtId="0" fontId="15" fillId="2" borderId="1" xfId="0" applyFont="1" applyFill="1" applyBorder="1" applyAlignment="1">
      <alignment wrapText="1"/>
    </xf>
    <xf numFmtId="0" fontId="7" fillId="3" borderId="1" xfId="0" applyFont="1" applyFill="1" applyBorder="1" applyAlignment="1">
      <alignment vertical="top" wrapText="1"/>
    </xf>
    <xf numFmtId="0" fontId="3" fillId="3" borderId="1" xfId="0" applyFont="1" applyFill="1" applyBorder="1" applyAlignment="1">
      <alignment horizontal="center"/>
    </xf>
    <xf numFmtId="3" fontId="2" fillId="3" borderId="1" xfId="0" applyNumberFormat="1" applyFont="1" applyFill="1" applyBorder="1" applyAlignment="1">
      <alignment horizontal="center" wrapText="1"/>
    </xf>
    <xf numFmtId="4" fontId="2" fillId="3" borderId="1" xfId="0" applyNumberFormat="1" applyFont="1" applyFill="1" applyBorder="1" applyAlignment="1">
      <alignment horizontal="center" wrapText="1"/>
    </xf>
    <xf numFmtId="0" fontId="5" fillId="3" borderId="1" xfId="0" applyFont="1" applyFill="1" applyBorder="1"/>
    <xf numFmtId="4" fontId="5" fillId="3" borderId="1" xfId="0" applyNumberFormat="1" applyFont="1" applyFill="1" applyBorder="1"/>
    <xf numFmtId="3" fontId="2" fillId="3" borderId="1" xfId="0" applyNumberFormat="1" applyFont="1" applyFill="1" applyBorder="1" applyAlignment="1">
      <alignment horizontal="center"/>
    </xf>
    <xf numFmtId="4" fontId="2" fillId="3" borderId="1" xfId="0" applyNumberFormat="1" applyFont="1" applyFill="1" applyBorder="1" applyAlignment="1">
      <alignment horizontal="center"/>
    </xf>
    <xf numFmtId="0" fontId="5" fillId="0" borderId="1" xfId="0" applyFont="1" applyBorder="1" applyAlignment="1">
      <alignment horizontal="center"/>
    </xf>
    <xf numFmtId="1" fontId="3" fillId="3" borderId="1" xfId="0" applyNumberFormat="1" applyFont="1" applyFill="1" applyBorder="1"/>
    <xf numFmtId="0" fontId="0" fillId="3" borderId="0" xfId="0" applyFill="1"/>
    <xf numFmtId="1" fontId="5" fillId="3" borderId="1" xfId="0" applyNumberFormat="1" applyFont="1" applyFill="1" applyBorder="1"/>
    <xf numFmtId="4" fontId="5" fillId="0" borderId="1" xfId="0" applyNumberFormat="1" applyFont="1" applyBorder="1" applyAlignment="1">
      <alignment horizontal="center"/>
    </xf>
    <xf numFmtId="4" fontId="3" fillId="0" borderId="1" xfId="0" applyNumberFormat="1" applyFont="1" applyBorder="1" applyAlignment="1">
      <alignment horizontal="center"/>
    </xf>
    <xf numFmtId="3" fontId="3" fillId="0" borderId="1" xfId="0" applyNumberFormat="1" applyFont="1" applyBorder="1" applyAlignment="1">
      <alignment horizontal="center"/>
    </xf>
    <xf numFmtId="3" fontId="3" fillId="3" borderId="1" xfId="0" applyNumberFormat="1" applyFont="1" applyFill="1" applyBorder="1"/>
    <xf numFmtId="0" fontId="4" fillId="0" borderId="1" xfId="0" applyFont="1" applyBorder="1" applyAlignment="1">
      <alignment horizontal="center"/>
    </xf>
    <xf numFmtId="1" fontId="5" fillId="0" borderId="1" xfId="0" applyNumberFormat="1" applyFont="1" applyBorder="1" applyAlignment="1">
      <alignment horizontal="center"/>
    </xf>
    <xf numFmtId="4" fontId="3" fillId="3" borderId="1" xfId="0" applyNumberFormat="1" applyFont="1" applyFill="1" applyBorder="1" applyAlignment="1">
      <alignment horizontal="center"/>
    </xf>
    <xf numFmtId="0" fontId="3" fillId="0" borderId="0" xfId="0" applyFont="1" applyAlignment="1">
      <alignment horizontal="right"/>
    </xf>
    <xf numFmtId="0" fontId="3" fillId="0" borderId="1" xfId="0" applyFont="1" applyBorder="1" applyAlignment="1">
      <alignment horizontal="right"/>
    </xf>
    <xf numFmtId="3" fontId="2" fillId="0" borderId="1" xfId="0" applyNumberFormat="1" applyFont="1" applyBorder="1" applyAlignment="1">
      <alignment horizontal="center"/>
    </xf>
    <xf numFmtId="0" fontId="2" fillId="0" borderId="1" xfId="0" applyFont="1" applyBorder="1" applyAlignment="1">
      <alignment horizontal="right"/>
    </xf>
    <xf numFmtId="2" fontId="7" fillId="0" borderId="2" xfId="0" applyNumberFormat="1" applyFont="1" applyBorder="1" applyAlignment="1">
      <alignment horizontal="center" vertical="center"/>
    </xf>
    <xf numFmtId="0" fontId="2" fillId="0" borderId="1" xfId="0" applyFont="1" applyBorder="1"/>
    <xf numFmtId="0" fontId="18" fillId="3" borderId="1" xfId="0" applyFont="1" applyFill="1" applyBorder="1"/>
    <xf numFmtId="0" fontId="9" fillId="0" borderId="1" xfId="0" applyFont="1" applyFill="1" applyBorder="1"/>
    <xf numFmtId="0" fontId="9" fillId="0" borderId="1" xfId="0" applyFont="1" applyFill="1" applyBorder="1" applyAlignment="1">
      <alignment horizontal="center"/>
    </xf>
    <xf numFmtId="0" fontId="9" fillId="3" borderId="1" xfId="0" applyFont="1" applyFill="1" applyBorder="1"/>
    <xf numFmtId="0" fontId="9" fillId="3" borderId="1" xfId="0" applyFont="1" applyFill="1" applyBorder="1" applyAlignment="1">
      <alignment horizontal="center"/>
    </xf>
    <xf numFmtId="0" fontId="19" fillId="0" borderId="1" xfId="0" applyFont="1" applyBorder="1" applyAlignment="1">
      <alignment horizontal="left" wrapText="1"/>
    </xf>
    <xf numFmtId="0" fontId="18" fillId="0" borderId="1" xfId="0" applyFont="1" applyFill="1" applyBorder="1" applyAlignment="1">
      <alignment wrapText="1"/>
    </xf>
    <xf numFmtId="0" fontId="9" fillId="0" borderId="1" xfId="0" applyFont="1" applyFill="1" applyBorder="1" applyAlignment="1">
      <alignment wrapText="1"/>
    </xf>
    <xf numFmtId="0" fontId="20" fillId="0" borderId="1" xfId="0" applyFont="1" applyFill="1" applyBorder="1" applyAlignment="1">
      <alignment wrapText="1"/>
    </xf>
    <xf numFmtId="4" fontId="4" fillId="0" borderId="1" xfId="0" applyNumberFormat="1" applyFont="1" applyBorder="1" applyAlignment="1">
      <alignment horizontal="center"/>
    </xf>
    <xf numFmtId="0" fontId="3" fillId="0" borderId="1" xfId="0" applyFont="1" applyFill="1" applyBorder="1" applyAlignment="1">
      <alignment horizontal="right"/>
    </xf>
    <xf numFmtId="0" fontId="3" fillId="0" borderId="1" xfId="0" applyFont="1" applyFill="1" applyBorder="1" applyAlignment="1">
      <alignment horizontal="center"/>
    </xf>
    <xf numFmtId="0" fontId="4" fillId="0" borderId="1" xfId="0" applyFont="1" applyFill="1" applyBorder="1" applyAlignment="1">
      <alignment horizontal="center"/>
    </xf>
    <xf numFmtId="4" fontId="4" fillId="0" borderId="1" xfId="0" applyNumberFormat="1" applyFont="1" applyFill="1" applyBorder="1" applyAlignment="1">
      <alignment horizontal="center"/>
    </xf>
    <xf numFmtId="14" fontId="3" fillId="0" borderId="1" xfId="0" applyNumberFormat="1" applyFont="1" applyBorder="1" applyAlignment="1">
      <alignment horizontal="right"/>
    </xf>
    <xf numFmtId="0" fontId="18" fillId="0" borderId="1" xfId="0" applyFont="1" applyFill="1" applyBorder="1"/>
    <xf numFmtId="0" fontId="3" fillId="0" borderId="1" xfId="0" applyFont="1" applyBorder="1" applyAlignment="1">
      <alignment horizontal="left" vertical="top" wrapText="1"/>
    </xf>
    <xf numFmtId="0" fontId="3" fillId="0" borderId="0" xfId="0" applyFont="1" applyAlignment="1">
      <alignment horizontal="center"/>
    </xf>
    <xf numFmtId="0" fontId="3" fillId="0" borderId="1" xfId="0" applyFont="1" applyBorder="1" applyAlignment="1">
      <alignment horizontal="center" wrapText="1"/>
    </xf>
    <xf numFmtId="0" fontId="3" fillId="0" borderId="1" xfId="0" applyFont="1" applyBorder="1" applyAlignment="1">
      <alignment horizontal="center"/>
    </xf>
    <xf numFmtId="0" fontId="3" fillId="0" borderId="2" xfId="0" applyFont="1" applyBorder="1" applyAlignment="1">
      <alignment horizontal="center"/>
    </xf>
    <xf numFmtId="2" fontId="9" fillId="0" borderId="1" xfId="0" applyNumberFormat="1" applyFont="1" applyBorder="1" applyAlignment="1">
      <alignment horizontal="center" wrapText="1"/>
    </xf>
    <xf numFmtId="0" fontId="3" fillId="0" borderId="2" xfId="0" applyFont="1" applyFill="1" applyBorder="1" applyAlignment="1">
      <alignment horizontal="left"/>
    </xf>
    <xf numFmtId="0" fontId="3" fillId="0" borderId="1" xfId="0" applyFont="1" applyBorder="1" applyAlignment="1">
      <alignment horizontal="center"/>
    </xf>
    <xf numFmtId="0" fontId="16" fillId="0" borderId="1" xfId="0" applyFont="1" applyBorder="1" applyAlignment="1">
      <alignment horizontal="left" vertical="top" wrapText="1"/>
    </xf>
    <xf numFmtId="0" fontId="2" fillId="0" borderId="1" xfId="0" applyFont="1" applyBorder="1" applyAlignment="1">
      <alignment horizontal="right"/>
    </xf>
    <xf numFmtId="0" fontId="3" fillId="0" borderId="0" xfId="0" applyFont="1" applyFill="1"/>
    <xf numFmtId="0" fontId="3" fillId="0" borderId="5" xfId="0" applyFont="1" applyFill="1" applyBorder="1" applyAlignment="1"/>
    <xf numFmtId="0" fontId="3" fillId="0" borderId="1" xfId="0" applyFont="1" applyFill="1" applyBorder="1" applyAlignment="1">
      <alignment horizontal="center" wrapText="1"/>
    </xf>
    <xf numFmtId="3" fontId="2" fillId="0" borderId="1" xfId="0" applyNumberFormat="1" applyFont="1" applyFill="1" applyBorder="1" applyAlignment="1">
      <alignment horizontal="center" wrapText="1"/>
    </xf>
    <xf numFmtId="3" fontId="5" fillId="0" borderId="1" xfId="0" applyNumberFormat="1" applyFont="1" applyFill="1" applyBorder="1"/>
    <xf numFmtId="0" fontId="5" fillId="0" borderId="1" xfId="0" applyFont="1" applyFill="1" applyBorder="1"/>
    <xf numFmtId="0" fontId="2" fillId="0" borderId="1" xfId="0" applyFont="1" applyFill="1" applyBorder="1"/>
    <xf numFmtId="3" fontId="3" fillId="0" borderId="1" xfId="0" applyNumberFormat="1" applyFont="1" applyFill="1" applyBorder="1"/>
    <xf numFmtId="3" fontId="2" fillId="0" borderId="1" xfId="0" applyNumberFormat="1" applyFont="1" applyFill="1" applyBorder="1" applyAlignment="1">
      <alignment horizontal="center"/>
    </xf>
    <xf numFmtId="0" fontId="5" fillId="0" borderId="1" xfId="0" applyFont="1" applyFill="1" applyBorder="1" applyAlignment="1">
      <alignment horizontal="center"/>
    </xf>
    <xf numFmtId="3" fontId="3" fillId="0" borderId="1" xfId="0" applyNumberFormat="1" applyFont="1" applyFill="1" applyBorder="1" applyAlignment="1">
      <alignment horizontal="center"/>
    </xf>
    <xf numFmtId="0" fontId="2" fillId="0" borderId="1" xfId="0" applyFont="1" applyFill="1" applyBorder="1" applyAlignment="1">
      <alignment horizontal="center"/>
    </xf>
    <xf numFmtId="0" fontId="0" fillId="0" borderId="0" xfId="0" applyFill="1"/>
    <xf numFmtId="0" fontId="22" fillId="0" borderId="1" xfId="0" applyFont="1" applyBorder="1" applyAlignment="1">
      <alignment horizontal="center"/>
    </xf>
    <xf numFmtId="16" fontId="3" fillId="3" borderId="1" xfId="0" applyNumberFormat="1" applyFont="1" applyFill="1" applyBorder="1" applyAlignment="1">
      <alignment horizontal="right"/>
    </xf>
    <xf numFmtId="0" fontId="3" fillId="3" borderId="1" xfId="0" applyFont="1" applyFill="1" applyBorder="1" applyAlignment="1">
      <alignment horizontal="center"/>
    </xf>
    <xf numFmtId="0" fontId="3" fillId="3" borderId="2" xfId="0" applyFont="1" applyFill="1" applyBorder="1" applyAlignment="1">
      <alignment horizontal="center"/>
    </xf>
    <xf numFmtId="1" fontId="17" fillId="0" borderId="1" xfId="0" applyNumberFormat="1" applyFont="1" applyBorder="1" applyAlignment="1">
      <alignment horizontal="center" wrapText="1"/>
    </xf>
    <xf numFmtId="1" fontId="23" fillId="0" borderId="12" xfId="0" applyNumberFormat="1" applyFont="1" applyBorder="1" applyAlignment="1">
      <alignment horizontal="center" wrapText="1"/>
    </xf>
    <xf numFmtId="1" fontId="24" fillId="0" borderId="12" xfId="0" applyNumberFormat="1" applyFont="1" applyBorder="1" applyAlignment="1">
      <alignment horizontal="center" wrapText="1"/>
    </xf>
    <xf numFmtId="1" fontId="23" fillId="0" borderId="1" xfId="0" applyNumberFormat="1" applyFont="1" applyBorder="1" applyAlignment="1">
      <alignment horizontal="center" wrapText="1"/>
    </xf>
    <xf numFmtId="1" fontId="17" fillId="3" borderId="2" xfId="0" applyNumberFormat="1" applyFont="1" applyFill="1" applyBorder="1" applyAlignment="1">
      <alignment horizontal="center" wrapText="1"/>
    </xf>
    <xf numFmtId="2" fontId="12" fillId="3" borderId="1" xfId="0" applyNumberFormat="1" applyFont="1" applyFill="1" applyBorder="1" applyAlignment="1">
      <alignment horizontal="center" wrapText="1"/>
    </xf>
    <xf numFmtId="1" fontId="7" fillId="3" borderId="2" xfId="0" applyNumberFormat="1" applyFont="1" applyFill="1" applyBorder="1" applyAlignment="1">
      <alignment horizontal="center" wrapText="1"/>
    </xf>
    <xf numFmtId="1" fontId="23" fillId="0" borderId="3" xfId="0" applyNumberFormat="1" applyFont="1" applyBorder="1" applyAlignment="1">
      <alignment horizontal="center" wrapText="1"/>
    </xf>
    <xf numFmtId="2" fontId="7" fillId="3" borderId="1" xfId="0" applyNumberFormat="1" applyFont="1" applyFill="1" applyBorder="1"/>
    <xf numFmtId="2" fontId="15" fillId="3" borderId="1" xfId="0" applyNumberFormat="1" applyFont="1" applyFill="1" applyBorder="1"/>
    <xf numFmtId="0" fontId="8" fillId="3" borderId="1" xfId="0" applyFont="1" applyFill="1" applyBorder="1" applyAlignment="1">
      <alignment horizontal="center"/>
    </xf>
    <xf numFmtId="4" fontId="2" fillId="0" borderId="0" xfId="0" applyNumberFormat="1" applyFont="1" applyBorder="1" applyAlignment="1">
      <alignment horizontal="center"/>
    </xf>
    <xf numFmtId="0" fontId="13" fillId="0" borderId="0" xfId="0" applyFont="1" applyAlignment="1"/>
    <xf numFmtId="0" fontId="14" fillId="0" borderId="0" xfId="0" applyFont="1" applyAlignment="1"/>
    <xf numFmtId="0" fontId="1" fillId="0" borderId="0" xfId="0" applyFont="1" applyBorder="1" applyAlignment="1"/>
    <xf numFmtId="2" fontId="7" fillId="0" borderId="1" xfId="0" applyNumberFormat="1" applyFont="1" applyBorder="1" applyAlignment="1">
      <alignment horizontal="center"/>
    </xf>
    <xf numFmtId="0" fontId="25" fillId="0" borderId="0" xfId="2"/>
    <xf numFmtId="0" fontId="26" fillId="0" borderId="0" xfId="2" applyFont="1"/>
    <xf numFmtId="0" fontId="3" fillId="0" borderId="1" xfId="2" applyFont="1" applyBorder="1" applyAlignment="1">
      <alignment horizontal="center"/>
    </xf>
    <xf numFmtId="0" fontId="3" fillId="0" borderId="1" xfId="2" applyFont="1" applyBorder="1" applyAlignment="1">
      <alignment horizontal="center" wrapText="1"/>
    </xf>
    <xf numFmtId="0" fontId="3" fillId="0" borderId="1" xfId="2" applyFont="1" applyBorder="1"/>
    <xf numFmtId="0" fontId="3" fillId="0" borderId="1" xfId="2" applyFont="1" applyBorder="1" applyAlignment="1">
      <alignment wrapText="1"/>
    </xf>
    <xf numFmtId="0" fontId="2" fillId="4" borderId="1" xfId="2" applyFont="1" applyFill="1" applyBorder="1"/>
    <xf numFmtId="0" fontId="2" fillId="4" borderId="1" xfId="3" applyFont="1" applyFill="1" applyBorder="1"/>
    <xf numFmtId="0" fontId="3" fillId="0" borderId="1" xfId="0" applyFont="1" applyBorder="1" applyAlignment="1">
      <alignment horizontal="center"/>
    </xf>
    <xf numFmtId="0" fontId="3" fillId="3" borderId="1" xfId="0" applyFont="1" applyFill="1" applyBorder="1" applyAlignment="1">
      <alignment horizontal="center" wrapText="1"/>
    </xf>
    <xf numFmtId="0" fontId="3" fillId="3" borderId="1" xfId="0" applyFont="1" applyFill="1" applyBorder="1" applyAlignment="1">
      <alignment horizontal="center"/>
    </xf>
    <xf numFmtId="0" fontId="3" fillId="0" borderId="1" xfId="0" applyFont="1" applyBorder="1" applyAlignment="1">
      <alignment horizontal="center" wrapText="1"/>
    </xf>
    <xf numFmtId="0" fontId="3" fillId="0" borderId="1" xfId="0" applyFont="1" applyBorder="1" applyAlignment="1">
      <alignment horizontal="center"/>
    </xf>
    <xf numFmtId="0" fontId="3" fillId="0" borderId="1" xfId="0" applyFont="1" applyBorder="1" applyAlignment="1">
      <alignment horizontal="center" wrapText="1"/>
    </xf>
    <xf numFmtId="0" fontId="3" fillId="0" borderId="1" xfId="0" applyFont="1" applyFill="1" applyBorder="1" applyAlignment="1">
      <alignment horizontal="center" wrapText="1"/>
    </xf>
    <xf numFmtId="0" fontId="7" fillId="0" borderId="1" xfId="0" applyFont="1" applyBorder="1" applyAlignment="1">
      <alignment horizontal="center"/>
    </xf>
    <xf numFmtId="2" fontId="3" fillId="0" borderId="1" xfId="0" applyNumberFormat="1" applyFont="1" applyBorder="1"/>
    <xf numFmtId="4" fontId="3" fillId="0" borderId="1" xfId="0" applyNumberFormat="1" applyFont="1" applyBorder="1"/>
    <xf numFmtId="0" fontId="25" fillId="0" borderId="1" xfId="2" applyBorder="1"/>
    <xf numFmtId="2" fontId="2" fillId="4" borderId="1" xfId="2" applyNumberFormat="1" applyFont="1" applyFill="1" applyBorder="1"/>
    <xf numFmtId="0" fontId="3" fillId="0" borderId="1" xfId="0" applyFont="1" applyBorder="1" applyAlignment="1">
      <alignment horizontal="center"/>
    </xf>
    <xf numFmtId="0" fontId="3" fillId="0" borderId="1" xfId="0" applyFont="1" applyFill="1" applyBorder="1" applyAlignment="1">
      <alignment horizontal="center" wrapText="1"/>
    </xf>
    <xf numFmtId="0" fontId="7" fillId="0" borderId="4" xfId="0" applyFont="1" applyBorder="1" applyAlignment="1">
      <alignment horizontal="left" wrapText="1"/>
    </xf>
    <xf numFmtId="4" fontId="2" fillId="0" borderId="4" xfId="0" applyNumberFormat="1" applyFont="1" applyBorder="1" applyAlignment="1">
      <alignment horizontal="center"/>
    </xf>
    <xf numFmtId="0" fontId="3" fillId="0" borderId="1" xfId="0" applyFont="1" applyBorder="1" applyAlignment="1">
      <alignment horizontal="center" wrapText="1"/>
    </xf>
    <xf numFmtId="0" fontId="3" fillId="0"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1" xfId="0" applyFont="1" applyBorder="1" applyAlignment="1">
      <alignment horizontal="center"/>
    </xf>
    <xf numFmtId="3" fontId="5" fillId="3" borderId="1" xfId="0" applyNumberFormat="1" applyFont="1" applyFill="1" applyBorder="1"/>
    <xf numFmtId="9" fontId="7" fillId="0" borderId="0" xfId="1" applyFont="1" applyBorder="1" applyAlignment="1">
      <alignment horizontal="center"/>
    </xf>
    <xf numFmtId="0" fontId="3" fillId="0" borderId="0" xfId="0" applyFont="1" applyAlignment="1">
      <alignment horizontal="right"/>
    </xf>
    <xf numFmtId="0" fontId="3" fillId="0" borderId="0" xfId="0" applyFont="1"/>
    <xf numFmtId="0" fontId="7" fillId="0" borderId="0" xfId="0" applyFont="1"/>
    <xf numFmtId="0" fontId="3" fillId="0" borderId="0" xfId="0" applyFont="1"/>
    <xf numFmtId="0" fontId="7" fillId="0" borderId="0" xfId="0" applyFont="1"/>
    <xf numFmtId="0" fontId="3" fillId="0" borderId="0" xfId="0" applyFont="1"/>
    <xf numFmtId="0" fontId="7" fillId="0" borderId="0" xfId="0" applyFont="1"/>
    <xf numFmtId="0" fontId="3" fillId="0" borderId="0" xfId="0" applyFont="1"/>
    <xf numFmtId="0" fontId="7" fillId="0" borderId="0" xfId="0" applyFont="1"/>
    <xf numFmtId="0" fontId="3" fillId="0" borderId="0" xfId="0" applyFont="1"/>
    <xf numFmtId="0" fontId="7" fillId="0" borderId="0" xfId="0" applyFont="1"/>
    <xf numFmtId="0" fontId="0" fillId="0" borderId="0" xfId="0"/>
    <xf numFmtId="0" fontId="3" fillId="0" borderId="0" xfId="0" applyFont="1"/>
    <xf numFmtId="0" fontId="7" fillId="0" borderId="0" xfId="0" applyFont="1"/>
    <xf numFmtId="0" fontId="3" fillId="0" borderId="0" xfId="0" applyFont="1" applyAlignment="1"/>
    <xf numFmtId="0" fontId="3" fillId="0" borderId="0" xfId="0" applyFont="1" applyAlignment="1">
      <alignment wrapText="1"/>
    </xf>
    <xf numFmtId="0" fontId="3" fillId="0" borderId="0" xfId="0" applyFont="1" applyBorder="1" applyAlignment="1">
      <alignment horizontal="left"/>
    </xf>
    <xf numFmtId="0" fontId="2" fillId="3" borderId="0" xfId="0" applyFont="1" applyFill="1" applyBorder="1" applyAlignment="1">
      <alignment horizontal="right" wrapText="1"/>
    </xf>
    <xf numFmtId="0" fontId="2" fillId="0" borderId="0" xfId="0" applyFont="1" applyBorder="1" applyAlignment="1">
      <alignment horizontal="center"/>
    </xf>
    <xf numFmtId="1" fontId="2" fillId="0" borderId="0" xfId="0" applyNumberFormat="1" applyFont="1" applyBorder="1" applyAlignment="1">
      <alignment horizontal="center"/>
    </xf>
    <xf numFmtId="9" fontId="8" fillId="0" borderId="0" xfId="1" applyFont="1" applyBorder="1" applyAlignment="1">
      <alignment horizontal="center"/>
    </xf>
    <xf numFmtId="0" fontId="9" fillId="0" borderId="3" xfId="0" applyFont="1" applyBorder="1" applyAlignment="1">
      <alignment wrapText="1"/>
    </xf>
    <xf numFmtId="0" fontId="9" fillId="3" borderId="3" xfId="0" applyFont="1" applyFill="1" applyBorder="1" applyAlignment="1">
      <alignment wrapText="1"/>
    </xf>
    <xf numFmtId="0" fontId="9" fillId="0" borderId="3" xfId="0" applyFont="1" applyBorder="1" applyAlignment="1">
      <alignment horizontal="center"/>
    </xf>
    <xf numFmtId="0" fontId="9" fillId="0" borderId="3" xfId="0" applyFont="1" applyBorder="1" applyAlignment="1">
      <alignment horizontal="center" wrapText="1"/>
    </xf>
    <xf numFmtId="0" fontId="9" fillId="3" borderId="3" xfId="0" applyFont="1" applyFill="1" applyBorder="1" applyAlignment="1">
      <alignment horizontal="center" wrapText="1"/>
    </xf>
    <xf numFmtId="0" fontId="18" fillId="0" borderId="13" xfId="0" applyFont="1" applyFill="1" applyBorder="1"/>
    <xf numFmtId="0" fontId="18" fillId="3" borderId="14" xfId="0" applyFont="1" applyFill="1" applyBorder="1"/>
    <xf numFmtId="2" fontId="18" fillId="3" borderId="14" xfId="0" applyNumberFormat="1" applyFont="1" applyFill="1" applyBorder="1" applyAlignment="1">
      <alignment horizontal="center"/>
    </xf>
    <xf numFmtId="4" fontId="18" fillId="3" borderId="14" xfId="0" applyNumberFormat="1" applyFont="1" applyFill="1" applyBorder="1"/>
    <xf numFmtId="0" fontId="9" fillId="0" borderId="0" xfId="0" applyFont="1" applyAlignment="1">
      <alignment wrapText="1"/>
    </xf>
    <xf numFmtId="4" fontId="9" fillId="0" borderId="1" xfId="0" applyNumberFormat="1" applyFont="1" applyFill="1" applyBorder="1"/>
    <xf numFmtId="2" fontId="9" fillId="3" borderId="4" xfId="0" applyNumberFormat="1" applyFont="1" applyFill="1" applyBorder="1"/>
    <xf numFmtId="4" fontId="9" fillId="3" borderId="4" xfId="0" applyNumberFormat="1" applyFont="1" applyFill="1" applyBorder="1"/>
    <xf numFmtId="0" fontId="9" fillId="0" borderId="4" xfId="0" applyFont="1" applyFill="1" applyBorder="1"/>
    <xf numFmtId="2" fontId="9" fillId="3" borderId="1" xfId="0" applyNumberFormat="1" applyFont="1" applyFill="1" applyBorder="1"/>
    <xf numFmtId="4" fontId="3" fillId="0" borderId="1" xfId="0" applyNumberFormat="1" applyFont="1" applyFill="1" applyBorder="1"/>
    <xf numFmtId="4" fontId="9" fillId="3" borderId="1" xfId="0" applyNumberFormat="1" applyFont="1" applyFill="1" applyBorder="1"/>
    <xf numFmtId="0" fontId="3" fillId="0" borderId="1" xfId="0" applyFont="1" applyFill="1" applyBorder="1" applyAlignment="1">
      <alignment wrapText="1"/>
    </xf>
    <xf numFmtId="0" fontId="9" fillId="0" borderId="3" xfId="0" applyFont="1" applyFill="1" applyBorder="1"/>
    <xf numFmtId="0" fontId="9" fillId="3" borderId="3" xfId="0" applyFont="1" applyFill="1" applyBorder="1"/>
    <xf numFmtId="0" fontId="9" fillId="3" borderId="15" xfId="0" applyFont="1" applyFill="1" applyBorder="1"/>
    <xf numFmtId="1" fontId="9" fillId="3" borderId="1" xfId="0" applyNumberFormat="1" applyFont="1" applyFill="1" applyBorder="1" applyAlignment="1">
      <alignment horizontal="center"/>
    </xf>
    <xf numFmtId="0" fontId="0" fillId="0" borderId="0" xfId="0" applyAlignment="1">
      <alignment wrapText="1"/>
    </xf>
    <xf numFmtId="4" fontId="28" fillId="3" borderId="0" xfId="0" applyNumberFormat="1" applyFont="1" applyFill="1"/>
    <xf numFmtId="0" fontId="29" fillId="0" borderId="0" xfId="0" applyFont="1"/>
    <xf numFmtId="0" fontId="2" fillId="3" borderId="2" xfId="0" applyFont="1" applyFill="1" applyBorder="1" applyAlignment="1">
      <alignment horizontal="right" wrapText="1"/>
    </xf>
    <xf numFmtId="0" fontId="2" fillId="3" borderId="6" xfId="0" applyFont="1" applyFill="1" applyBorder="1" applyAlignment="1">
      <alignment horizontal="right" wrapText="1"/>
    </xf>
    <xf numFmtId="0" fontId="2" fillId="0" borderId="2" xfId="0" applyFont="1" applyBorder="1" applyAlignment="1">
      <alignment horizontal="center"/>
    </xf>
    <xf numFmtId="0" fontId="2" fillId="0" borderId="6" xfId="0" applyFont="1" applyBorder="1" applyAlignment="1">
      <alignment horizontal="center"/>
    </xf>
    <xf numFmtId="0" fontId="2" fillId="3" borderId="2" xfId="0" applyFont="1" applyFill="1" applyBorder="1" applyAlignment="1">
      <alignment horizontal="center" vertical="top" wrapText="1"/>
    </xf>
    <xf numFmtId="0" fontId="2" fillId="3" borderId="6" xfId="0" applyFont="1" applyFill="1" applyBorder="1" applyAlignment="1">
      <alignment horizontal="center" vertical="top"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3" borderId="1" xfId="0" applyFont="1" applyFill="1" applyBorder="1" applyAlignment="1">
      <alignment horizontal="center" wrapText="1"/>
    </xf>
    <xf numFmtId="2" fontId="3" fillId="0" borderId="1" xfId="0" applyNumberFormat="1" applyFont="1" applyBorder="1" applyAlignment="1">
      <alignment horizontal="center" wrapText="1"/>
    </xf>
    <xf numFmtId="0" fontId="3" fillId="3" borderId="2" xfId="0" applyFont="1" applyFill="1" applyBorder="1" applyAlignment="1">
      <alignment horizontal="center"/>
    </xf>
    <xf numFmtId="0" fontId="3" fillId="3" borderId="7" xfId="0" applyFont="1" applyFill="1" applyBorder="1" applyAlignment="1">
      <alignment horizontal="center"/>
    </xf>
    <xf numFmtId="0" fontId="3" fillId="3" borderId="6" xfId="0" applyFont="1" applyFill="1" applyBorder="1" applyAlignment="1">
      <alignment horizontal="center"/>
    </xf>
    <xf numFmtId="4" fontId="2" fillId="3" borderId="3" xfId="0" applyNumberFormat="1" applyFont="1" applyFill="1" applyBorder="1" applyAlignment="1">
      <alignment horizontal="center" wrapText="1"/>
    </xf>
    <xf numFmtId="4" fontId="2" fillId="3" borderId="8" xfId="0" applyNumberFormat="1" applyFont="1" applyFill="1" applyBorder="1" applyAlignment="1">
      <alignment horizontal="center" wrapText="1"/>
    </xf>
    <xf numFmtId="4" fontId="2" fillId="3" borderId="4" xfId="0" applyNumberFormat="1" applyFont="1" applyFill="1" applyBorder="1" applyAlignment="1">
      <alignment horizontal="center" wrapText="1"/>
    </xf>
    <xf numFmtId="3" fontId="2" fillId="3" borderId="3" xfId="0" applyNumberFormat="1" applyFont="1" applyFill="1" applyBorder="1" applyAlignment="1">
      <alignment horizontal="center" wrapText="1"/>
    </xf>
    <xf numFmtId="3" fontId="2" fillId="3" borderId="8" xfId="0" applyNumberFormat="1" applyFont="1" applyFill="1" applyBorder="1" applyAlignment="1">
      <alignment horizontal="center" wrapText="1"/>
    </xf>
    <xf numFmtId="3" fontId="2" fillId="3" borderId="4" xfId="0" applyNumberFormat="1" applyFont="1" applyFill="1" applyBorder="1" applyAlignment="1">
      <alignment horizontal="center" wrapText="1"/>
    </xf>
    <xf numFmtId="0" fontId="3" fillId="0" borderId="1" xfId="0" applyFont="1" applyFill="1" applyBorder="1" applyAlignment="1">
      <alignment horizontal="center" wrapText="1"/>
    </xf>
    <xf numFmtId="0" fontId="2" fillId="0" borderId="0" xfId="0" applyFont="1" applyAlignment="1">
      <alignment horizontal="right"/>
    </xf>
    <xf numFmtId="0" fontId="3" fillId="0" borderId="1" xfId="0" applyFont="1" applyBorder="1" applyAlignment="1">
      <alignment horizontal="center" wrapText="1"/>
    </xf>
    <xf numFmtId="0" fontId="1" fillId="0" borderId="0" xfId="0" applyFont="1" applyAlignment="1">
      <alignment horizontal="center"/>
    </xf>
    <xf numFmtId="0" fontId="3" fillId="0" borderId="0" xfId="0" applyFont="1" applyAlignment="1">
      <alignment horizontal="right"/>
    </xf>
    <xf numFmtId="0" fontId="3" fillId="0" borderId="0" xfId="0" applyFont="1" applyAlignment="1">
      <alignment horizontal="right" wrapText="1"/>
    </xf>
    <xf numFmtId="0" fontId="3" fillId="3" borderId="0" xfId="0" applyFont="1" applyFill="1" applyBorder="1" applyAlignment="1">
      <alignment horizontal="left" wrapText="1"/>
    </xf>
    <xf numFmtId="0" fontId="2" fillId="3" borderId="0" xfId="0" applyFont="1" applyFill="1" applyBorder="1" applyAlignment="1">
      <alignment horizontal="left" wrapText="1"/>
    </xf>
    <xf numFmtId="2" fontId="9" fillId="0" borderId="1" xfId="0" applyNumberFormat="1" applyFont="1" applyBorder="1" applyAlignment="1">
      <alignment horizontal="center" wrapText="1"/>
    </xf>
    <xf numFmtId="0" fontId="2" fillId="0" borderId="0" xfId="0" applyFont="1" applyAlignment="1">
      <alignment horizontal="center"/>
    </xf>
    <xf numFmtId="0" fontId="2" fillId="0" borderId="2" xfId="0" applyFont="1" applyBorder="1" applyAlignment="1">
      <alignment horizontal="right"/>
    </xf>
    <xf numFmtId="0" fontId="2" fillId="0" borderId="6" xfId="0" applyFont="1" applyBorder="1" applyAlignment="1">
      <alignment horizontal="right"/>
    </xf>
    <xf numFmtId="2" fontId="9" fillId="0" borderId="3" xfId="0" applyNumberFormat="1" applyFont="1" applyBorder="1" applyAlignment="1">
      <alignment horizontal="center" wrapText="1"/>
    </xf>
    <xf numFmtId="2" fontId="9" fillId="0" borderId="4" xfId="0" applyNumberFormat="1"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3" fillId="0" borderId="9" xfId="0" applyFont="1" applyBorder="1" applyAlignment="1">
      <alignment horizontal="center" wrapText="1"/>
    </xf>
    <xf numFmtId="0" fontId="3" fillId="0" borderId="2" xfId="0" applyFont="1" applyBorder="1" applyAlignment="1">
      <alignment horizontal="center" wrapText="1"/>
    </xf>
    <xf numFmtId="0" fontId="3" fillId="0" borderId="7" xfId="0" applyFont="1" applyBorder="1" applyAlignment="1">
      <alignment horizontal="center" wrapText="1"/>
    </xf>
    <xf numFmtId="0" fontId="3" fillId="0" borderId="6" xfId="0" applyFont="1" applyBorder="1" applyAlignment="1">
      <alignment horizontal="center" wrapText="1"/>
    </xf>
    <xf numFmtId="2" fontId="9" fillId="0" borderId="2" xfId="0" applyNumberFormat="1" applyFont="1" applyBorder="1" applyAlignment="1">
      <alignment horizontal="center" wrapText="1"/>
    </xf>
    <xf numFmtId="2" fontId="9" fillId="0" borderId="6" xfId="0" applyNumberFormat="1" applyFont="1" applyBorder="1" applyAlignment="1">
      <alignment horizontal="center" wrapText="1"/>
    </xf>
    <xf numFmtId="0" fontId="3" fillId="0" borderId="0" xfId="0" applyFont="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3" fillId="0" borderId="1" xfId="0" applyFont="1" applyBorder="1" applyAlignment="1">
      <alignment horizontal="center"/>
    </xf>
    <xf numFmtId="0" fontId="16" fillId="0" borderId="1" xfId="0" applyFont="1" applyBorder="1" applyAlignment="1">
      <alignment horizontal="left" vertical="top" wrapText="1"/>
    </xf>
    <xf numFmtId="0" fontId="3" fillId="0" borderId="3" xfId="0" applyFont="1" applyBorder="1" applyAlignment="1">
      <alignment horizontal="left" wrapText="1"/>
    </xf>
    <xf numFmtId="0" fontId="3" fillId="0" borderId="8" xfId="0" applyFont="1" applyBorder="1" applyAlignment="1">
      <alignment horizontal="left" wrapText="1"/>
    </xf>
    <xf numFmtId="0" fontId="3" fillId="0" borderId="4" xfId="0" applyFont="1" applyBorder="1" applyAlignment="1">
      <alignment horizontal="left" wrapText="1"/>
    </xf>
    <xf numFmtId="0" fontId="1" fillId="0" borderId="0" xfId="0" applyFont="1" applyAlignment="1">
      <alignment horizontal="center" wrapText="1"/>
    </xf>
    <xf numFmtId="0" fontId="8" fillId="0" borderId="1"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1" fillId="0" borderId="0" xfId="2" applyFont="1" applyAlignment="1">
      <alignment horizontal="center"/>
    </xf>
    <xf numFmtId="0" fontId="7" fillId="0" borderId="0" xfId="2" applyFont="1" applyAlignment="1">
      <alignment horizontal="right"/>
    </xf>
    <xf numFmtId="0" fontId="9" fillId="0" borderId="2" xfId="0" applyFont="1" applyBorder="1" applyAlignment="1">
      <alignment horizontal="center" wrapText="1"/>
    </xf>
    <xf numFmtId="0" fontId="9" fillId="0" borderId="7" xfId="0" applyFont="1" applyBorder="1" applyAlignment="1">
      <alignment horizontal="center" wrapText="1"/>
    </xf>
    <xf numFmtId="0" fontId="9" fillId="0" borderId="6" xfId="0" applyFont="1" applyBorder="1" applyAlignment="1">
      <alignment horizontal="center" wrapText="1"/>
    </xf>
    <xf numFmtId="0" fontId="13" fillId="0" borderId="5" xfId="0" applyFont="1" applyBorder="1" applyAlignment="1">
      <alignment horizontal="center" wrapText="1"/>
    </xf>
    <xf numFmtId="0" fontId="9" fillId="0" borderId="1" xfId="0" applyFont="1" applyBorder="1" applyAlignment="1">
      <alignment horizontal="center"/>
    </xf>
    <xf numFmtId="0" fontId="9" fillId="0" borderId="3" xfId="0" applyFont="1" applyBorder="1" applyAlignment="1">
      <alignment horizontal="center" wrapText="1"/>
    </xf>
    <xf numFmtId="0" fontId="9" fillId="0" borderId="4" xfId="0" applyFont="1" applyBorder="1" applyAlignment="1">
      <alignment horizontal="center" wrapText="1"/>
    </xf>
    <xf numFmtId="0" fontId="9" fillId="3" borderId="3" xfId="0" applyFont="1" applyFill="1" applyBorder="1" applyAlignment="1">
      <alignment horizontal="center" wrapText="1"/>
    </xf>
    <xf numFmtId="0" fontId="9" fillId="3" borderId="4" xfId="0" applyFont="1" applyFill="1" applyBorder="1" applyAlignment="1">
      <alignment horizontal="center" wrapText="1"/>
    </xf>
  </cellXfs>
  <cellStyles count="5">
    <cellStyle name="Normal" xfId="0" builtinId="0"/>
    <cellStyle name="Parasts 2" xfId="2"/>
    <cellStyle name="Parasts 2 2" xfId="3"/>
    <cellStyle name="Parasts 3" xfId="4"/>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opLeftCell="B17" zoomScale="86" zoomScaleNormal="86" workbookViewId="0">
      <selection activeCell="F38" sqref="F38"/>
    </sheetView>
  </sheetViews>
  <sheetFormatPr defaultRowHeight="15" x14ac:dyDescent="0.25"/>
  <cols>
    <col min="1" max="1" width="7.28515625" customWidth="1"/>
    <col min="2" max="2" width="30.140625" customWidth="1"/>
    <col min="3" max="5" width="12.42578125" customWidth="1"/>
    <col min="6" max="6" width="12.42578125" style="114" customWidth="1"/>
    <col min="7" max="7" width="14.140625" customWidth="1"/>
    <col min="8" max="10" width="16.28515625" customWidth="1"/>
    <col min="11" max="11" width="12.42578125" customWidth="1"/>
    <col min="12" max="12" width="8.5703125" style="61" customWidth="1"/>
    <col min="13" max="13" width="11.28515625" customWidth="1"/>
    <col min="14" max="14" width="12" customWidth="1"/>
    <col min="15" max="15" width="13.5703125" customWidth="1"/>
  </cols>
  <sheetData>
    <row r="1" spans="1:15" ht="15.75" x14ac:dyDescent="0.25">
      <c r="A1" s="5"/>
      <c r="B1" s="5"/>
      <c r="C1" s="5"/>
      <c r="D1" s="5"/>
      <c r="E1" s="5"/>
      <c r="F1" s="102"/>
      <c r="G1" s="5"/>
      <c r="H1" s="5"/>
      <c r="M1" s="231" t="s">
        <v>152</v>
      </c>
      <c r="N1" s="231"/>
    </row>
    <row r="2" spans="1:15" ht="15.75" x14ac:dyDescent="0.25">
      <c r="A2" s="5"/>
      <c r="B2" s="5"/>
      <c r="C2" s="5"/>
      <c r="D2" s="5"/>
      <c r="E2" s="5"/>
      <c r="F2" s="102"/>
      <c r="G2" s="5"/>
      <c r="H2" s="5"/>
      <c r="I2" s="176"/>
      <c r="J2" s="176"/>
      <c r="K2" s="234" t="s">
        <v>173</v>
      </c>
      <c r="L2" s="234"/>
      <c r="M2" s="234"/>
      <c r="N2" s="234"/>
    </row>
    <row r="3" spans="1:15" ht="39.75" customHeight="1" x14ac:dyDescent="0.25">
      <c r="A3" s="5"/>
      <c r="B3" s="5"/>
      <c r="C3" s="5"/>
      <c r="D3" s="5"/>
      <c r="E3" s="5"/>
      <c r="F3" s="102"/>
      <c r="G3" s="5"/>
      <c r="H3" s="5"/>
      <c r="I3" s="235" t="s">
        <v>178</v>
      </c>
      <c r="J3" s="235"/>
      <c r="K3" s="235"/>
      <c r="L3" s="235"/>
      <c r="M3" s="235"/>
      <c r="N3" s="235"/>
    </row>
    <row r="4" spans="1:15" ht="18.75" x14ac:dyDescent="0.3">
      <c r="A4" s="5"/>
      <c r="B4" s="5"/>
      <c r="C4" s="233" t="s">
        <v>165</v>
      </c>
      <c r="D4" s="233"/>
      <c r="E4" s="233"/>
      <c r="F4" s="102"/>
      <c r="G4" s="5"/>
      <c r="H4" s="5"/>
      <c r="I4" s="5"/>
      <c r="J4" s="5"/>
      <c r="K4" s="5"/>
    </row>
    <row r="5" spans="1:15" ht="18.75" x14ac:dyDescent="0.3">
      <c r="A5" s="133" t="s">
        <v>124</v>
      </c>
      <c r="B5" s="133"/>
      <c r="C5" s="133"/>
      <c r="D5" s="133"/>
      <c r="E5" s="133"/>
      <c r="F5" s="133"/>
      <c r="G5" s="133"/>
      <c r="H5" s="133"/>
      <c r="I5" s="133"/>
      <c r="J5" s="133"/>
      <c r="K5" s="133"/>
    </row>
    <row r="6" spans="1:15" ht="18.75" x14ac:dyDescent="0.3">
      <c r="A6" s="1"/>
      <c r="B6" s="9"/>
      <c r="C6" s="9"/>
      <c r="D6" s="9"/>
      <c r="E6" s="9"/>
      <c r="F6" s="103"/>
      <c r="G6" s="9"/>
      <c r="H6" s="5"/>
      <c r="I6" s="5"/>
      <c r="J6" s="5"/>
      <c r="K6" s="5"/>
    </row>
    <row r="7" spans="1:15" ht="24.75" customHeight="1" x14ac:dyDescent="0.25">
      <c r="A7" s="217" t="s">
        <v>14</v>
      </c>
      <c r="B7" s="220" t="s">
        <v>0</v>
      </c>
      <c r="C7" s="221" t="s">
        <v>13</v>
      </c>
      <c r="D7" s="222"/>
      <c r="E7" s="222"/>
      <c r="F7" s="222"/>
      <c r="G7" s="222"/>
      <c r="H7" s="222"/>
      <c r="I7" s="222"/>
      <c r="J7" s="223"/>
      <c r="K7" s="219" t="s">
        <v>16</v>
      </c>
      <c r="L7" s="232" t="s">
        <v>134</v>
      </c>
      <c r="M7" s="232" t="s">
        <v>135</v>
      </c>
      <c r="N7" s="232" t="s">
        <v>136</v>
      </c>
      <c r="O7" s="230" t="s">
        <v>137</v>
      </c>
    </row>
    <row r="8" spans="1:15" ht="135" customHeight="1" x14ac:dyDescent="0.25">
      <c r="A8" s="218"/>
      <c r="B8" s="220"/>
      <c r="C8" s="144" t="s">
        <v>17</v>
      </c>
      <c r="D8" s="144" t="s">
        <v>176</v>
      </c>
      <c r="E8" s="144" t="s">
        <v>18</v>
      </c>
      <c r="F8" s="104" t="s">
        <v>96</v>
      </c>
      <c r="G8" s="144" t="s">
        <v>174</v>
      </c>
      <c r="H8" s="144" t="s">
        <v>41</v>
      </c>
      <c r="I8" s="144" t="s">
        <v>42</v>
      </c>
      <c r="J8" s="144" t="s">
        <v>43</v>
      </c>
      <c r="K8" s="219"/>
      <c r="L8" s="232"/>
      <c r="M8" s="232"/>
      <c r="N8" s="232"/>
      <c r="O8" s="230"/>
    </row>
    <row r="9" spans="1:15" ht="15.75" x14ac:dyDescent="0.25">
      <c r="A9" s="146">
        <v>1</v>
      </c>
      <c r="B9" s="16">
        <v>2</v>
      </c>
      <c r="C9" s="144">
        <v>3</v>
      </c>
      <c r="D9" s="144">
        <v>4</v>
      </c>
      <c r="E9" s="144" t="s">
        <v>39</v>
      </c>
      <c r="F9" s="104">
        <v>6</v>
      </c>
      <c r="G9" s="144">
        <v>7</v>
      </c>
      <c r="H9" s="144" t="s">
        <v>40</v>
      </c>
      <c r="I9" s="144">
        <v>9</v>
      </c>
      <c r="J9" s="144" t="s">
        <v>47</v>
      </c>
      <c r="K9" s="144" t="s">
        <v>44</v>
      </c>
      <c r="L9" s="145">
        <v>12</v>
      </c>
      <c r="M9" s="143" t="s">
        <v>138</v>
      </c>
      <c r="N9" s="143" t="s">
        <v>139</v>
      </c>
      <c r="O9" s="143" t="s">
        <v>140</v>
      </c>
    </row>
    <row r="10" spans="1:15" ht="15.75" x14ac:dyDescent="0.25">
      <c r="A10" s="213" t="s">
        <v>10</v>
      </c>
      <c r="B10" s="214"/>
      <c r="C10" s="53">
        <f>C11+C12+C13</f>
        <v>460</v>
      </c>
      <c r="D10" s="53">
        <f>D11+D13+D12</f>
        <v>320</v>
      </c>
      <c r="E10" s="53">
        <f>E11+E15+E13+E12</f>
        <v>4128</v>
      </c>
      <c r="F10" s="105">
        <f>F11+F15+F13+F12</f>
        <v>4820</v>
      </c>
      <c r="G10" s="54" t="s">
        <v>12</v>
      </c>
      <c r="H10" s="54">
        <f>H11++H13+H12</f>
        <v>951234.4</v>
      </c>
      <c r="I10" s="224"/>
      <c r="J10" s="227"/>
      <c r="K10" s="53">
        <f t="shared" ref="K10:O10" si="0">K11++K13+K12</f>
        <v>300</v>
      </c>
      <c r="L10" s="53" t="s">
        <v>12</v>
      </c>
      <c r="M10" s="53">
        <f t="shared" si="0"/>
        <v>614.35714285714278</v>
      </c>
      <c r="N10" s="53">
        <f t="shared" si="0"/>
        <v>73.722857142857208</v>
      </c>
      <c r="O10" s="54">
        <f t="shared" si="0"/>
        <v>101917.9714285715</v>
      </c>
    </row>
    <row r="11" spans="1:15" ht="19.5" customHeight="1" x14ac:dyDescent="0.25">
      <c r="A11" s="14">
        <v>1</v>
      </c>
      <c r="B11" s="51" t="s">
        <v>37</v>
      </c>
      <c r="C11" s="66">
        <v>450</v>
      </c>
      <c r="D11" s="60">
        <f>LMpielik_11_LMZino!H9</f>
        <v>301</v>
      </c>
      <c r="E11" s="3">
        <f>D11*12</f>
        <v>3612</v>
      </c>
      <c r="F11" s="106">
        <v>3762</v>
      </c>
      <c r="G11" s="127">
        <f>LMpielik_12_LMZino!E9</f>
        <v>236</v>
      </c>
      <c r="H11" s="4">
        <f>F11*G11</f>
        <v>887832</v>
      </c>
      <c r="I11" s="225"/>
      <c r="J11" s="228"/>
      <c r="K11" s="66">
        <f>C11+E11-F11</f>
        <v>300</v>
      </c>
      <c r="L11" s="3">
        <v>12</v>
      </c>
      <c r="M11" s="151">
        <f>G11/1.12</f>
        <v>210.71428571428569</v>
      </c>
      <c r="N11" s="151">
        <f>G11-M11</f>
        <v>25.285714285714306</v>
      </c>
      <c r="O11" s="152">
        <f>F11*N11</f>
        <v>95124.857142857218</v>
      </c>
    </row>
    <row r="12" spans="1:15" ht="35.25" customHeight="1" x14ac:dyDescent="0.25">
      <c r="A12" s="10">
        <v>2</v>
      </c>
      <c r="B12" s="50" t="s">
        <v>19</v>
      </c>
      <c r="C12" s="55">
        <v>4</v>
      </c>
      <c r="D12" s="62">
        <f>LMpielik_11_LMZino!H11</f>
        <v>17</v>
      </c>
      <c r="E12" s="55">
        <f>D12*12</f>
        <v>204</v>
      </c>
      <c r="F12" s="107">
        <f>C12+E12</f>
        <v>208</v>
      </c>
      <c r="G12" s="128">
        <f>LMpielik_12_LMZino!E11</f>
        <v>280</v>
      </c>
      <c r="H12" s="56">
        <f>F12*G12</f>
        <v>58240</v>
      </c>
      <c r="I12" s="225"/>
      <c r="J12" s="228"/>
      <c r="K12" s="66">
        <f>C12+E12-F12</f>
        <v>0</v>
      </c>
      <c r="L12" s="3">
        <v>12</v>
      </c>
      <c r="M12" s="151">
        <f t="shared" ref="M12:M21" si="1">G12/1.12</f>
        <v>249.99999999999997</v>
      </c>
      <c r="N12" s="151">
        <f t="shared" ref="N12:N21" si="2">G12-M12</f>
        <v>30.000000000000028</v>
      </c>
      <c r="O12" s="152">
        <f t="shared" ref="O12:O21" si="3">F12*N12</f>
        <v>6240.0000000000055</v>
      </c>
    </row>
    <row r="13" spans="1:15" ht="33" customHeight="1" x14ac:dyDescent="0.25">
      <c r="A13" s="10">
        <v>3</v>
      </c>
      <c r="B13" s="11" t="s">
        <v>6</v>
      </c>
      <c r="C13" s="55">
        <v>6</v>
      </c>
      <c r="D13" s="55">
        <f>LMpielik_11_LMZino!H15</f>
        <v>2</v>
      </c>
      <c r="E13" s="55">
        <f t="shared" ref="E13" si="4">D13*12</f>
        <v>24</v>
      </c>
      <c r="F13" s="107">
        <f>C13+E13</f>
        <v>30</v>
      </c>
      <c r="G13" s="128">
        <f>LMpielik_12_LMZino!E13</f>
        <v>172.08</v>
      </c>
      <c r="H13" s="56">
        <f>F13*G13</f>
        <v>5162.4000000000005</v>
      </c>
      <c r="I13" s="225"/>
      <c r="J13" s="228"/>
      <c r="K13" s="66">
        <f>C13+E13-F13</f>
        <v>0</v>
      </c>
      <c r="L13" s="3">
        <v>12</v>
      </c>
      <c r="M13" s="151">
        <f t="shared" si="1"/>
        <v>153.64285714285714</v>
      </c>
      <c r="N13" s="151">
        <f t="shared" si="2"/>
        <v>18.437142857142874</v>
      </c>
      <c r="O13" s="152">
        <f t="shared" si="3"/>
        <v>553.11428571428621</v>
      </c>
    </row>
    <row r="14" spans="1:15" ht="21" customHeight="1" x14ac:dyDescent="0.25">
      <c r="A14" s="215" t="s">
        <v>11</v>
      </c>
      <c r="B14" s="216"/>
      <c r="C14" s="7">
        <f>SUM(C15:C21)</f>
        <v>1052</v>
      </c>
      <c r="D14" s="17">
        <f>SUM(D15:D21)</f>
        <v>70</v>
      </c>
      <c r="E14" s="7">
        <f t="shared" ref="E14:F14" si="5">SUM(E16:E21)</f>
        <v>552</v>
      </c>
      <c r="F14" s="108">
        <f t="shared" si="5"/>
        <v>1002</v>
      </c>
      <c r="G14" s="129" t="s">
        <v>12</v>
      </c>
      <c r="H14" s="8">
        <f t="shared" ref="H14:O14" si="6">SUM(H15:H21)</f>
        <v>667973.23999999987</v>
      </c>
      <c r="I14" s="225"/>
      <c r="J14" s="228"/>
      <c r="K14" s="12">
        <f t="shared" si="6"/>
        <v>70</v>
      </c>
      <c r="L14" s="12" t="s">
        <v>12</v>
      </c>
      <c r="M14" s="12">
        <f t="shared" si="6"/>
        <v>2503.1785714285711</v>
      </c>
      <c r="N14" s="12">
        <f t="shared" si="6"/>
        <v>300.38142857142896</v>
      </c>
      <c r="O14" s="58">
        <f t="shared" si="6"/>
        <v>71568.561428571527</v>
      </c>
    </row>
    <row r="15" spans="1:15" ht="37.5" customHeight="1" x14ac:dyDescent="0.25">
      <c r="A15" s="10">
        <v>4</v>
      </c>
      <c r="B15" s="11" t="s">
        <v>4</v>
      </c>
      <c r="C15" s="55">
        <v>556</v>
      </c>
      <c r="D15" s="62">
        <f>LMpielik_11_LMZino!H13</f>
        <v>24</v>
      </c>
      <c r="E15" s="55">
        <f>D15*12</f>
        <v>288</v>
      </c>
      <c r="F15" s="107">
        <v>820</v>
      </c>
      <c r="G15" s="128">
        <f>LMpielik_12_LMZino!E12</f>
        <v>486.6</v>
      </c>
      <c r="H15" s="56">
        <f t="shared" ref="H15:H21" si="7">F15*G15</f>
        <v>399012</v>
      </c>
      <c r="I15" s="225"/>
      <c r="J15" s="228"/>
      <c r="K15" s="66">
        <f t="shared" ref="K15:K21" si="8">C15+E15-F15</f>
        <v>24</v>
      </c>
      <c r="L15" s="3">
        <v>12</v>
      </c>
      <c r="M15" s="151">
        <f t="shared" si="1"/>
        <v>434.46428571428567</v>
      </c>
      <c r="N15" s="151">
        <f t="shared" si="2"/>
        <v>52.135714285714357</v>
      </c>
      <c r="O15" s="152">
        <f t="shared" si="3"/>
        <v>42751.285714285776</v>
      </c>
    </row>
    <row r="16" spans="1:15" ht="35.25" customHeight="1" x14ac:dyDescent="0.25">
      <c r="A16" s="10">
        <v>5</v>
      </c>
      <c r="B16" s="11" t="s">
        <v>5</v>
      </c>
      <c r="C16" s="55">
        <v>50</v>
      </c>
      <c r="D16" s="62">
        <f>LMpielik_11_LMZino!H23</f>
        <v>4</v>
      </c>
      <c r="E16" s="55">
        <f t="shared" ref="E16" si="9">D16*12</f>
        <v>48</v>
      </c>
      <c r="F16" s="107">
        <v>94</v>
      </c>
      <c r="G16" s="128">
        <f>LMpielik_12_LMZino!E20</f>
        <v>1335</v>
      </c>
      <c r="H16" s="56">
        <f t="shared" si="7"/>
        <v>125490</v>
      </c>
      <c r="I16" s="225"/>
      <c r="J16" s="228"/>
      <c r="K16" s="66">
        <f t="shared" si="8"/>
        <v>4</v>
      </c>
      <c r="L16" s="3">
        <v>12</v>
      </c>
      <c r="M16" s="151">
        <f t="shared" si="1"/>
        <v>1191.9642857142856</v>
      </c>
      <c r="N16" s="151">
        <f t="shared" si="2"/>
        <v>143.03571428571445</v>
      </c>
      <c r="O16" s="152">
        <f t="shared" si="3"/>
        <v>13445.357142857158</v>
      </c>
    </row>
    <row r="17" spans="1:15" ht="65.25" customHeight="1" x14ac:dyDescent="0.25">
      <c r="A17" s="15">
        <v>6</v>
      </c>
      <c r="B17" s="15" t="s">
        <v>9</v>
      </c>
      <c r="C17" s="66">
        <v>28</v>
      </c>
      <c r="D17" s="60">
        <f>LMpielik_11_LMZino!H19</f>
        <v>4</v>
      </c>
      <c r="E17" s="3">
        <f>D17*12</f>
        <v>48</v>
      </c>
      <c r="F17" s="109">
        <v>72</v>
      </c>
      <c r="G17" s="127">
        <f>LMpielik_12_LMZino!E16</f>
        <v>317.68</v>
      </c>
      <c r="H17" s="4">
        <f t="shared" si="7"/>
        <v>22872.959999999999</v>
      </c>
      <c r="I17" s="225"/>
      <c r="J17" s="228"/>
      <c r="K17" s="66">
        <f t="shared" si="8"/>
        <v>4</v>
      </c>
      <c r="L17" s="3">
        <v>12</v>
      </c>
      <c r="M17" s="151">
        <f t="shared" si="1"/>
        <v>283.64285714285711</v>
      </c>
      <c r="N17" s="151">
        <f t="shared" si="2"/>
        <v>34.037142857142896</v>
      </c>
      <c r="O17" s="152">
        <f t="shared" si="3"/>
        <v>2450.6742857142885</v>
      </c>
    </row>
    <row r="18" spans="1:15" ht="35.25" customHeight="1" x14ac:dyDescent="0.25">
      <c r="A18" s="11">
        <v>7</v>
      </c>
      <c r="B18" s="11" t="s">
        <v>7</v>
      </c>
      <c r="C18" s="55">
        <v>187</v>
      </c>
      <c r="D18" s="62">
        <f>LMpielik_11_LMZino!H25</f>
        <v>12</v>
      </c>
      <c r="E18" s="55">
        <f>D18*12</f>
        <v>144</v>
      </c>
      <c r="F18" s="107">
        <v>319</v>
      </c>
      <c r="G18" s="128">
        <f>LMpielik_12_LMZino!E21</f>
        <v>215.76</v>
      </c>
      <c r="H18" s="56">
        <f t="shared" si="7"/>
        <v>68827.44</v>
      </c>
      <c r="I18" s="225"/>
      <c r="J18" s="228"/>
      <c r="K18" s="66">
        <f t="shared" si="8"/>
        <v>12</v>
      </c>
      <c r="L18" s="3">
        <v>12</v>
      </c>
      <c r="M18" s="151">
        <f t="shared" si="1"/>
        <v>192.64285714285711</v>
      </c>
      <c r="N18" s="151">
        <f t="shared" si="2"/>
        <v>23.117142857142881</v>
      </c>
      <c r="O18" s="152">
        <f t="shared" si="3"/>
        <v>7374.3685714285784</v>
      </c>
    </row>
    <row r="19" spans="1:15" ht="15.75" x14ac:dyDescent="0.25">
      <c r="A19" s="15">
        <v>8</v>
      </c>
      <c r="B19" s="15" t="s">
        <v>2</v>
      </c>
      <c r="C19" s="66">
        <v>162</v>
      </c>
      <c r="D19" s="60">
        <f>LMpielik_11_LMZino!H17</f>
        <v>20</v>
      </c>
      <c r="E19" s="3">
        <f>D19*12</f>
        <v>240</v>
      </c>
      <c r="F19" s="109">
        <v>382</v>
      </c>
      <c r="G19" s="127">
        <f>LMpielik_12_LMZino!E14</f>
        <v>46.94</v>
      </c>
      <c r="H19" s="4">
        <f t="shared" si="7"/>
        <v>17931.079999999998</v>
      </c>
      <c r="I19" s="225"/>
      <c r="J19" s="228"/>
      <c r="K19" s="66">
        <f t="shared" si="8"/>
        <v>20</v>
      </c>
      <c r="L19" s="3">
        <v>12</v>
      </c>
      <c r="M19" s="151">
        <f t="shared" si="1"/>
        <v>41.910714285714278</v>
      </c>
      <c r="N19" s="151">
        <f t="shared" si="2"/>
        <v>5.0292857142857201</v>
      </c>
      <c r="O19" s="152">
        <f t="shared" si="3"/>
        <v>1921.1871428571451</v>
      </c>
    </row>
    <row r="20" spans="1:15" ht="15.75" x14ac:dyDescent="0.25">
      <c r="A20" s="10">
        <v>9</v>
      </c>
      <c r="B20" s="11" t="s">
        <v>3</v>
      </c>
      <c r="C20" s="55">
        <v>5</v>
      </c>
      <c r="D20" s="55">
        <f>LMpielik_11_LMZino!H27</f>
        <v>1</v>
      </c>
      <c r="E20" s="55">
        <f>D20*12</f>
        <v>12</v>
      </c>
      <c r="F20" s="107">
        <v>16</v>
      </c>
      <c r="G20" s="128">
        <f>LMpielik_12_LMZino!E22</f>
        <v>135.41999999999999</v>
      </c>
      <c r="H20" s="56">
        <f t="shared" si="7"/>
        <v>2166.7199999999998</v>
      </c>
      <c r="I20" s="225"/>
      <c r="J20" s="228"/>
      <c r="K20" s="66">
        <f t="shared" si="8"/>
        <v>1</v>
      </c>
      <c r="L20" s="3">
        <v>12</v>
      </c>
      <c r="M20" s="151">
        <f t="shared" si="1"/>
        <v>120.91071428571426</v>
      </c>
      <c r="N20" s="151">
        <f t="shared" si="2"/>
        <v>14.509285714285724</v>
      </c>
      <c r="O20" s="152">
        <f t="shared" si="3"/>
        <v>232.14857142857159</v>
      </c>
    </row>
    <row r="21" spans="1:15" ht="34.5" customHeight="1" x14ac:dyDescent="0.25">
      <c r="A21" s="14">
        <v>10</v>
      </c>
      <c r="B21" s="15" t="s">
        <v>8</v>
      </c>
      <c r="C21" s="66">
        <v>64</v>
      </c>
      <c r="D21" s="60">
        <f>LMpielik_11_LMZino!H21</f>
        <v>5</v>
      </c>
      <c r="E21" s="3">
        <f>D21*12</f>
        <v>60</v>
      </c>
      <c r="F21" s="109">
        <v>119</v>
      </c>
      <c r="G21" s="127">
        <f>LMpielik_12_LMZino!E18</f>
        <v>266.16000000000003</v>
      </c>
      <c r="H21" s="4">
        <f t="shared" si="7"/>
        <v>31673.040000000005</v>
      </c>
      <c r="I21" s="226"/>
      <c r="J21" s="229"/>
      <c r="K21" s="66">
        <f t="shared" si="8"/>
        <v>5</v>
      </c>
      <c r="L21" s="3">
        <v>12</v>
      </c>
      <c r="M21" s="151">
        <f t="shared" si="1"/>
        <v>237.64285714285714</v>
      </c>
      <c r="N21" s="151">
        <f t="shared" si="2"/>
        <v>28.517142857142886</v>
      </c>
      <c r="O21" s="152">
        <f t="shared" si="3"/>
        <v>3393.5400000000036</v>
      </c>
    </row>
    <row r="22" spans="1:15" ht="19.5" customHeight="1" x14ac:dyDescent="0.25">
      <c r="A22" s="211" t="s">
        <v>15</v>
      </c>
      <c r="B22" s="212"/>
      <c r="C22" s="57">
        <f>C10+C14</f>
        <v>1512</v>
      </c>
      <c r="D22" s="57">
        <f>D10+D14</f>
        <v>390</v>
      </c>
      <c r="E22" s="57">
        <f>E10+E14</f>
        <v>4680</v>
      </c>
      <c r="F22" s="110">
        <f>F10+F14</f>
        <v>5822</v>
      </c>
      <c r="G22" s="57" t="s">
        <v>12</v>
      </c>
      <c r="H22" s="58">
        <f>H10+H14</f>
        <v>1619207.64</v>
      </c>
      <c r="I22" s="58">
        <v>624416</v>
      </c>
      <c r="J22" s="58">
        <f>H22-I22</f>
        <v>994791.6399999999</v>
      </c>
      <c r="K22" s="57">
        <f>K10+K14</f>
        <v>370</v>
      </c>
      <c r="L22" s="13" t="s">
        <v>12</v>
      </c>
      <c r="M22" s="13" t="s">
        <v>12</v>
      </c>
      <c r="N22" s="58">
        <f>N10+N14</f>
        <v>374.10428571428616</v>
      </c>
      <c r="O22" s="58">
        <f>O10+O14</f>
        <v>173486.53285714303</v>
      </c>
    </row>
    <row r="23" spans="1:15" ht="15.75" x14ac:dyDescent="0.25">
      <c r="A23" s="2"/>
      <c r="B23" s="36" t="s">
        <v>27</v>
      </c>
      <c r="C23" s="59">
        <f>C12+C13+C15+C16+C18+C20</f>
        <v>808</v>
      </c>
      <c r="D23" s="68">
        <f t="shared" ref="D23:K23" si="10">D12+D13+D15+D16+D18+D20</f>
        <v>60</v>
      </c>
      <c r="E23" s="59">
        <f t="shared" si="10"/>
        <v>720</v>
      </c>
      <c r="F23" s="111">
        <f>F12+F13+F15+F16+F18+F20</f>
        <v>1487</v>
      </c>
      <c r="G23" s="59" t="s">
        <v>12</v>
      </c>
      <c r="H23" s="63">
        <f t="shared" si="10"/>
        <v>658898.56000000006</v>
      </c>
      <c r="I23" s="143" t="s">
        <v>12</v>
      </c>
      <c r="J23" s="143" t="s">
        <v>12</v>
      </c>
      <c r="K23" s="59">
        <f t="shared" si="10"/>
        <v>41</v>
      </c>
      <c r="L23" s="13" t="s">
        <v>12</v>
      </c>
      <c r="M23" s="13" t="s">
        <v>12</v>
      </c>
      <c r="N23" s="63">
        <f t="shared" ref="N23:O23" si="11">N12+N13+N15+N16+N18+N20</f>
        <v>281.23500000000035</v>
      </c>
      <c r="O23" s="63">
        <f t="shared" si="11"/>
        <v>70596.274285714375</v>
      </c>
    </row>
    <row r="24" spans="1:15" ht="15.75" x14ac:dyDescent="0.25">
      <c r="A24" s="2"/>
      <c r="B24" s="37" t="s">
        <v>28</v>
      </c>
      <c r="C24" s="65">
        <f>C11+C17+C19+C21</f>
        <v>704</v>
      </c>
      <c r="D24" s="65">
        <f t="shared" ref="D24:K24" si="12">D11+D17+D19+D21</f>
        <v>330</v>
      </c>
      <c r="E24" s="65">
        <f t="shared" si="12"/>
        <v>3960</v>
      </c>
      <c r="F24" s="112">
        <f>F11+F17+F19+F21</f>
        <v>4335</v>
      </c>
      <c r="G24" s="65" t="s">
        <v>12</v>
      </c>
      <c r="H24" s="64">
        <f t="shared" si="12"/>
        <v>960309.08</v>
      </c>
      <c r="I24" s="143" t="s">
        <v>12</v>
      </c>
      <c r="J24" s="143" t="s">
        <v>12</v>
      </c>
      <c r="K24" s="65">
        <f t="shared" si="12"/>
        <v>329</v>
      </c>
      <c r="L24" s="13" t="s">
        <v>12</v>
      </c>
      <c r="M24" s="13" t="s">
        <v>12</v>
      </c>
      <c r="N24" s="64">
        <f t="shared" ref="N24:O24" si="13">N11+N17+N19+N21</f>
        <v>92.869285714285809</v>
      </c>
      <c r="O24" s="64">
        <f t="shared" si="13"/>
        <v>102890.25857142865</v>
      </c>
    </row>
    <row r="25" spans="1:15" ht="15.75" x14ac:dyDescent="0.25">
      <c r="A25" s="13"/>
      <c r="B25" s="41" t="s">
        <v>45</v>
      </c>
      <c r="C25" s="72" t="s">
        <v>12</v>
      </c>
      <c r="D25" s="72" t="s">
        <v>12</v>
      </c>
      <c r="E25" s="72" t="s">
        <v>12</v>
      </c>
      <c r="F25" s="110" t="s">
        <v>12</v>
      </c>
      <c r="G25" s="72" t="s">
        <v>12</v>
      </c>
      <c r="H25" s="49">
        <v>117147.59</v>
      </c>
      <c r="I25" s="49">
        <v>62442</v>
      </c>
      <c r="J25" s="49">
        <f>LMpielik_13_LMZino!F33</f>
        <v>57176.193200000002</v>
      </c>
      <c r="K25" s="13" t="s">
        <v>12</v>
      </c>
      <c r="L25" s="13" t="s">
        <v>12</v>
      </c>
      <c r="M25" s="13" t="s">
        <v>12</v>
      </c>
      <c r="N25" s="13" t="s">
        <v>12</v>
      </c>
      <c r="O25" s="13" t="s">
        <v>12</v>
      </c>
    </row>
    <row r="26" spans="1:15" ht="15.75" x14ac:dyDescent="0.25">
      <c r="A26" s="13"/>
      <c r="B26" s="101" t="s">
        <v>46</v>
      </c>
      <c r="C26" s="13" t="s">
        <v>12</v>
      </c>
      <c r="D26" s="13" t="s">
        <v>12</v>
      </c>
      <c r="E26" s="13" t="s">
        <v>12</v>
      </c>
      <c r="F26" s="113" t="s">
        <v>12</v>
      </c>
      <c r="G26" s="13" t="s">
        <v>12</v>
      </c>
      <c r="H26" s="49">
        <f>H22+H25</f>
        <v>1736355.23</v>
      </c>
      <c r="I26" s="49">
        <f t="shared" ref="I26:J26" si="14">I22+I25</f>
        <v>686858</v>
      </c>
      <c r="J26" s="49">
        <f t="shared" si="14"/>
        <v>1051967.8332</v>
      </c>
      <c r="K26" s="13" t="s">
        <v>12</v>
      </c>
      <c r="L26" s="13" t="s">
        <v>12</v>
      </c>
      <c r="M26" s="13" t="s">
        <v>12</v>
      </c>
      <c r="N26" s="13" t="s">
        <v>12</v>
      </c>
      <c r="O26" s="13" t="s">
        <v>12</v>
      </c>
    </row>
    <row r="27" spans="1:15" ht="15.75" x14ac:dyDescent="0.25">
      <c r="A27" s="5"/>
      <c r="B27" s="5"/>
      <c r="C27" s="5"/>
      <c r="D27" s="5"/>
      <c r="E27" s="5"/>
      <c r="F27" s="102"/>
      <c r="G27" s="5"/>
      <c r="H27" s="5"/>
      <c r="I27" s="5"/>
      <c r="J27" s="5"/>
      <c r="K27" s="5"/>
    </row>
    <row r="28" spans="1:15" ht="15.75" x14ac:dyDescent="0.25">
      <c r="H28" s="130"/>
    </row>
    <row r="29" spans="1:15" ht="15.75" x14ac:dyDescent="0.25">
      <c r="B29" s="166" t="s">
        <v>169</v>
      </c>
      <c r="C29" s="166"/>
      <c r="D29" s="166"/>
      <c r="E29" s="166"/>
      <c r="F29" s="166"/>
      <c r="G29" s="166"/>
      <c r="H29" s="166"/>
      <c r="I29" s="166"/>
      <c r="J29" s="166" t="s">
        <v>170</v>
      </c>
    </row>
    <row r="30" spans="1:15" ht="15.75" x14ac:dyDescent="0.25">
      <c r="B30" s="166"/>
      <c r="C30" s="166"/>
      <c r="D30" s="166"/>
      <c r="E30" s="166"/>
      <c r="F30" s="166"/>
      <c r="G30" s="166"/>
      <c r="H30" s="166"/>
      <c r="I30" s="166"/>
      <c r="J30" s="166"/>
    </row>
    <row r="31" spans="1:15" ht="15.75" x14ac:dyDescent="0.25">
      <c r="B31" s="167" t="s">
        <v>213</v>
      </c>
      <c r="C31" s="167"/>
      <c r="D31" s="167"/>
      <c r="E31" s="166"/>
      <c r="F31" s="166"/>
      <c r="G31" s="166"/>
      <c r="H31" s="166"/>
      <c r="I31" s="166"/>
      <c r="J31" s="166"/>
    </row>
    <row r="32" spans="1:15" ht="15.75" x14ac:dyDescent="0.25">
      <c r="B32" s="167" t="s">
        <v>171</v>
      </c>
      <c r="C32" s="167"/>
      <c r="D32" s="167"/>
      <c r="E32" s="166"/>
      <c r="F32" s="166"/>
      <c r="G32" s="166"/>
      <c r="H32" s="166"/>
      <c r="I32" s="166"/>
      <c r="J32" s="166"/>
    </row>
    <row r="33" spans="2:10" ht="15.75" x14ac:dyDescent="0.25">
      <c r="B33" s="167" t="s">
        <v>172</v>
      </c>
      <c r="C33" s="167"/>
      <c r="D33" s="167"/>
      <c r="E33" s="166"/>
      <c r="F33" s="166"/>
      <c r="G33" s="166"/>
      <c r="H33" s="166"/>
      <c r="I33" s="166"/>
      <c r="J33" s="166"/>
    </row>
  </sheetData>
  <mergeCells count="17">
    <mergeCell ref="O7:O8"/>
    <mergeCell ref="M1:N1"/>
    <mergeCell ref="L7:L8"/>
    <mergeCell ref="C4:E4"/>
    <mergeCell ref="K2:N2"/>
    <mergeCell ref="I3:N3"/>
    <mergeCell ref="M7:M8"/>
    <mergeCell ref="N7:N8"/>
    <mergeCell ref="A22:B22"/>
    <mergeCell ref="A10:B10"/>
    <mergeCell ref="A14:B14"/>
    <mergeCell ref="A7:A8"/>
    <mergeCell ref="K7:K8"/>
    <mergeCell ref="B7:B8"/>
    <mergeCell ref="C7:J7"/>
    <mergeCell ref="I10:I21"/>
    <mergeCell ref="J10:J21"/>
  </mergeCells>
  <pageMargins left="0.70866141732283472" right="0.70866141732283472" top="0.74803149606299213" bottom="0.74803149606299213" header="0.31496062992125984" footer="0.31496062992125984"/>
  <pageSetup paperSize="9" scale="50" orientation="landscape" r:id="rId1"/>
  <headerFooter>
    <oddFooter>&amp;CLMpielik_9_070815_LMZino</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topLeftCell="B15" zoomScaleNormal="100" workbookViewId="0">
      <selection activeCell="C35" sqref="C35"/>
    </sheetView>
  </sheetViews>
  <sheetFormatPr defaultRowHeight="15" x14ac:dyDescent="0.25"/>
  <cols>
    <col min="1" max="1" width="7.28515625" customWidth="1"/>
    <col min="2" max="2" width="30.140625" customWidth="1"/>
    <col min="3" max="6" width="12.42578125" customWidth="1"/>
    <col min="7" max="7" width="12.28515625" customWidth="1"/>
    <col min="8" max="10" width="16.28515625" customWidth="1"/>
    <col min="11" max="11" width="12.42578125" customWidth="1"/>
    <col min="12" max="12" width="8.5703125" customWidth="1"/>
    <col min="13" max="13" width="11.28515625" customWidth="1"/>
    <col min="14" max="14" width="12" customWidth="1"/>
    <col min="15" max="15" width="13.5703125" customWidth="1"/>
  </cols>
  <sheetData>
    <row r="1" spans="1:15" ht="15.75" x14ac:dyDescent="0.25">
      <c r="A1" s="5"/>
      <c r="B1" s="5"/>
      <c r="C1" s="5"/>
      <c r="D1" s="5"/>
      <c r="E1" s="5"/>
      <c r="F1" s="102"/>
      <c r="G1" s="5"/>
      <c r="H1" s="5"/>
      <c r="L1" s="61"/>
      <c r="M1" s="231" t="s">
        <v>153</v>
      </c>
      <c r="N1" s="231"/>
    </row>
    <row r="2" spans="1:15" ht="15.75" x14ac:dyDescent="0.25">
      <c r="A2" s="5"/>
      <c r="B2" s="5"/>
      <c r="C2" s="5"/>
      <c r="D2" s="5"/>
      <c r="E2" s="5"/>
      <c r="F2" s="102"/>
      <c r="G2" s="5"/>
      <c r="H2" s="5"/>
      <c r="I2" s="176"/>
      <c r="J2" s="176"/>
      <c r="K2" s="234" t="s">
        <v>173</v>
      </c>
      <c r="L2" s="234"/>
      <c r="M2" s="234"/>
      <c r="N2" s="234"/>
    </row>
    <row r="3" spans="1:15" ht="40.5" customHeight="1" x14ac:dyDescent="0.25">
      <c r="A3" s="5"/>
      <c r="B3" s="5"/>
      <c r="C3" s="5"/>
      <c r="D3" s="5"/>
      <c r="E3" s="5"/>
      <c r="F3" s="102"/>
      <c r="G3" s="5"/>
      <c r="H3" s="5"/>
      <c r="I3" s="235" t="s">
        <v>178</v>
      </c>
      <c r="J3" s="235"/>
      <c r="K3" s="235"/>
      <c r="L3" s="235"/>
      <c r="M3" s="235"/>
      <c r="N3" s="235"/>
    </row>
    <row r="4" spans="1:15" ht="18.75" x14ac:dyDescent="0.3">
      <c r="A4" s="5"/>
      <c r="B4" s="5"/>
      <c r="C4" s="233" t="s">
        <v>165</v>
      </c>
      <c r="D4" s="233"/>
      <c r="E4" s="233"/>
      <c r="F4" s="102"/>
      <c r="G4" s="5"/>
      <c r="H4" s="5"/>
      <c r="I4" s="5"/>
      <c r="J4" s="5"/>
      <c r="K4" s="5"/>
      <c r="L4" s="61"/>
    </row>
    <row r="5" spans="1:15" ht="18.75" x14ac:dyDescent="0.3">
      <c r="A5" s="133" t="s">
        <v>155</v>
      </c>
      <c r="B5" s="133"/>
      <c r="C5" s="133"/>
      <c r="D5" s="133"/>
      <c r="E5" s="133"/>
      <c r="F5" s="133"/>
      <c r="G5" s="133"/>
      <c r="H5" s="133"/>
      <c r="I5" s="133"/>
      <c r="J5" s="133"/>
      <c r="K5" s="133"/>
      <c r="L5" s="61"/>
    </row>
    <row r="6" spans="1:15" ht="18.75" x14ac:dyDescent="0.3">
      <c r="A6" s="1"/>
      <c r="B6" s="9"/>
      <c r="C6" s="9"/>
      <c r="D6" s="9"/>
      <c r="E6" s="9"/>
      <c r="F6" s="103"/>
      <c r="G6" s="9"/>
      <c r="H6" s="5"/>
      <c r="I6" s="5"/>
      <c r="J6" s="5"/>
      <c r="K6" s="5"/>
      <c r="L6" s="61"/>
    </row>
    <row r="7" spans="1:15" ht="15.75" x14ac:dyDescent="0.25">
      <c r="A7" s="217" t="s">
        <v>14</v>
      </c>
      <c r="B7" s="220" t="s">
        <v>0</v>
      </c>
      <c r="C7" s="221" t="s">
        <v>156</v>
      </c>
      <c r="D7" s="222"/>
      <c r="E7" s="222"/>
      <c r="F7" s="222"/>
      <c r="G7" s="222"/>
      <c r="H7" s="222"/>
      <c r="I7" s="222"/>
      <c r="J7" s="223"/>
      <c r="K7" s="219" t="s">
        <v>159</v>
      </c>
      <c r="L7" s="232" t="s">
        <v>134</v>
      </c>
      <c r="M7" s="232" t="s">
        <v>135</v>
      </c>
      <c r="N7" s="232" t="s">
        <v>136</v>
      </c>
      <c r="O7" s="230" t="s">
        <v>137</v>
      </c>
    </row>
    <row r="8" spans="1:15" ht="94.5" x14ac:dyDescent="0.25">
      <c r="A8" s="218"/>
      <c r="B8" s="220"/>
      <c r="C8" s="161" t="s">
        <v>157</v>
      </c>
      <c r="D8" s="161" t="s">
        <v>176</v>
      </c>
      <c r="E8" s="161" t="s">
        <v>158</v>
      </c>
      <c r="F8" s="160" t="s">
        <v>96</v>
      </c>
      <c r="G8" s="161" t="s">
        <v>175</v>
      </c>
      <c r="H8" s="161" t="s">
        <v>41</v>
      </c>
      <c r="I8" s="161" t="s">
        <v>42</v>
      </c>
      <c r="J8" s="161" t="s">
        <v>43</v>
      </c>
      <c r="K8" s="219"/>
      <c r="L8" s="232"/>
      <c r="M8" s="232"/>
      <c r="N8" s="232"/>
      <c r="O8" s="230"/>
    </row>
    <row r="9" spans="1:15" ht="15.75" x14ac:dyDescent="0.25">
      <c r="A9" s="159">
        <v>1</v>
      </c>
      <c r="B9" s="16">
        <v>2</v>
      </c>
      <c r="C9" s="161">
        <v>3</v>
      </c>
      <c r="D9" s="161">
        <v>4</v>
      </c>
      <c r="E9" s="161" t="s">
        <v>39</v>
      </c>
      <c r="F9" s="160">
        <v>6</v>
      </c>
      <c r="G9" s="161">
        <v>7</v>
      </c>
      <c r="H9" s="161" t="s">
        <v>40</v>
      </c>
      <c r="I9" s="161">
        <v>9</v>
      </c>
      <c r="J9" s="161" t="s">
        <v>47</v>
      </c>
      <c r="K9" s="161" t="s">
        <v>44</v>
      </c>
      <c r="L9" s="145">
        <v>12</v>
      </c>
      <c r="M9" s="162" t="s">
        <v>138</v>
      </c>
      <c r="N9" s="162" t="s">
        <v>139</v>
      </c>
      <c r="O9" s="162" t="s">
        <v>140</v>
      </c>
    </row>
    <row r="10" spans="1:15" ht="15.75" x14ac:dyDescent="0.25">
      <c r="A10" s="213" t="s">
        <v>10</v>
      </c>
      <c r="B10" s="214"/>
      <c r="C10" s="53">
        <f>C11+C12+C13</f>
        <v>300</v>
      </c>
      <c r="D10" s="53">
        <f>D11+D13+D12</f>
        <v>320</v>
      </c>
      <c r="E10" s="53">
        <f>E11+E15+E13+E12</f>
        <v>4128</v>
      </c>
      <c r="F10" s="105">
        <f>F11+F15+F13+F12</f>
        <v>4128</v>
      </c>
      <c r="G10" s="54" t="s">
        <v>12</v>
      </c>
      <c r="H10" s="54">
        <f>H11++H13+H12</f>
        <v>913681.92000000004</v>
      </c>
      <c r="I10" s="224"/>
      <c r="J10" s="227"/>
      <c r="K10" s="53">
        <f t="shared" ref="K10:O10" si="0">K11++K13+K12</f>
        <v>300</v>
      </c>
      <c r="L10" s="53" t="s">
        <v>12</v>
      </c>
      <c r="M10" s="53">
        <f t="shared" si="0"/>
        <v>614.35714285714278</v>
      </c>
      <c r="N10" s="53">
        <f t="shared" si="0"/>
        <v>73.722857142857208</v>
      </c>
      <c r="O10" s="54">
        <f t="shared" si="0"/>
        <v>97894.491428571506</v>
      </c>
    </row>
    <row r="11" spans="1:15" ht="15.75" x14ac:dyDescent="0.25">
      <c r="A11" s="14">
        <v>1</v>
      </c>
      <c r="B11" s="51" t="s">
        <v>37</v>
      </c>
      <c r="C11" s="66">
        <f>LMpielik_9_LMZino!K11</f>
        <v>300</v>
      </c>
      <c r="D11" s="60">
        <f>LMpielik_11_LMZino!H9</f>
        <v>301</v>
      </c>
      <c r="E11" s="3">
        <f>D11*12</f>
        <v>3612</v>
      </c>
      <c r="F11" s="106">
        <v>3612</v>
      </c>
      <c r="G11" s="127">
        <f>LMpielik_12_LMZino!E9</f>
        <v>236</v>
      </c>
      <c r="H11" s="4">
        <f>F11*G11</f>
        <v>852432</v>
      </c>
      <c r="I11" s="225"/>
      <c r="J11" s="228"/>
      <c r="K11" s="66">
        <f>C11+E11-F11</f>
        <v>300</v>
      </c>
      <c r="L11" s="3">
        <v>12</v>
      </c>
      <c r="M11" s="151">
        <f>G11/1.12</f>
        <v>210.71428571428569</v>
      </c>
      <c r="N11" s="151">
        <f>G11-M11</f>
        <v>25.285714285714306</v>
      </c>
      <c r="O11" s="152">
        <f>F11*N11</f>
        <v>91332.000000000073</v>
      </c>
    </row>
    <row r="12" spans="1:15" ht="31.5" x14ac:dyDescent="0.25">
      <c r="A12" s="10">
        <v>2</v>
      </c>
      <c r="B12" s="50" t="s">
        <v>19</v>
      </c>
      <c r="C12" s="163">
        <f>LMpielik_9_LMZino!K12</f>
        <v>0</v>
      </c>
      <c r="D12" s="62">
        <f>LMpielik_11_LMZino!H11</f>
        <v>17</v>
      </c>
      <c r="E12" s="55">
        <f>D12*12</f>
        <v>204</v>
      </c>
      <c r="F12" s="107">
        <f>C12+E12</f>
        <v>204</v>
      </c>
      <c r="G12" s="128">
        <f>LMpielik_12_LMZino!E11</f>
        <v>280</v>
      </c>
      <c r="H12" s="56">
        <f>F12*G12</f>
        <v>57120</v>
      </c>
      <c r="I12" s="225"/>
      <c r="J12" s="228"/>
      <c r="K12" s="66">
        <f>C12+E12-F12</f>
        <v>0</v>
      </c>
      <c r="L12" s="3">
        <v>12</v>
      </c>
      <c r="M12" s="151">
        <f t="shared" ref="M12:M21" si="1">G12/1.12</f>
        <v>249.99999999999997</v>
      </c>
      <c r="N12" s="151">
        <f t="shared" ref="N12:N21" si="2">G12-M12</f>
        <v>30.000000000000028</v>
      </c>
      <c r="O12" s="152">
        <f t="shared" ref="O12:O21" si="3">F12*N12</f>
        <v>6120.0000000000055</v>
      </c>
    </row>
    <row r="13" spans="1:15" ht="31.5" x14ac:dyDescent="0.25">
      <c r="A13" s="10">
        <v>3</v>
      </c>
      <c r="B13" s="11" t="s">
        <v>6</v>
      </c>
      <c r="C13" s="163">
        <f>LMpielik_9_LMZino!K13</f>
        <v>0</v>
      </c>
      <c r="D13" s="55">
        <f>LMpielik_11_LMZino!H15</f>
        <v>2</v>
      </c>
      <c r="E13" s="55">
        <f t="shared" ref="E13" si="4">D13*12</f>
        <v>24</v>
      </c>
      <c r="F13" s="107">
        <f>C13+E13</f>
        <v>24</v>
      </c>
      <c r="G13" s="128">
        <f>LMpielik_12_LMZino!E13</f>
        <v>172.08</v>
      </c>
      <c r="H13" s="56">
        <f>F13*G13</f>
        <v>4129.92</v>
      </c>
      <c r="I13" s="225"/>
      <c r="J13" s="228"/>
      <c r="K13" s="66">
        <f>C13+E13-F13</f>
        <v>0</v>
      </c>
      <c r="L13" s="3">
        <v>12</v>
      </c>
      <c r="M13" s="151">
        <f t="shared" si="1"/>
        <v>153.64285714285714</v>
      </c>
      <c r="N13" s="151">
        <f t="shared" si="2"/>
        <v>18.437142857142874</v>
      </c>
      <c r="O13" s="152">
        <f t="shared" si="3"/>
        <v>442.49142857142897</v>
      </c>
    </row>
    <row r="14" spans="1:15" ht="15.75" x14ac:dyDescent="0.25">
      <c r="A14" s="215" t="s">
        <v>11</v>
      </c>
      <c r="B14" s="216"/>
      <c r="C14" s="7">
        <f>SUM(C15:C21)</f>
        <v>70</v>
      </c>
      <c r="D14" s="17">
        <f>SUM(D15:D21)</f>
        <v>70</v>
      </c>
      <c r="E14" s="7">
        <f t="shared" ref="E14:F14" si="5">SUM(E16:E21)</f>
        <v>552</v>
      </c>
      <c r="F14" s="108">
        <f t="shared" si="5"/>
        <v>552</v>
      </c>
      <c r="G14" s="129" t="s">
        <v>12</v>
      </c>
      <c r="H14" s="8">
        <f t="shared" ref="H14:O14" si="6">SUM(H15:H21)</f>
        <v>279399.12</v>
      </c>
      <c r="I14" s="225"/>
      <c r="J14" s="228"/>
      <c r="K14" s="12">
        <f t="shared" si="6"/>
        <v>70</v>
      </c>
      <c r="L14" s="12" t="s">
        <v>12</v>
      </c>
      <c r="M14" s="12">
        <f t="shared" si="6"/>
        <v>2503.1785714285711</v>
      </c>
      <c r="N14" s="12">
        <f t="shared" si="6"/>
        <v>300.38142857142896</v>
      </c>
      <c r="O14" s="58">
        <f t="shared" si="6"/>
        <v>29935.620000000035</v>
      </c>
    </row>
    <row r="15" spans="1:15" ht="31.5" x14ac:dyDescent="0.25">
      <c r="A15" s="10">
        <v>4</v>
      </c>
      <c r="B15" s="11" t="s">
        <v>4</v>
      </c>
      <c r="C15" s="163">
        <f>LMpielik_9_LMZino!K15</f>
        <v>24</v>
      </c>
      <c r="D15" s="62">
        <f>LMpielik_11_LMZino!H13</f>
        <v>24</v>
      </c>
      <c r="E15" s="55">
        <f>D15*12</f>
        <v>288</v>
      </c>
      <c r="F15" s="107">
        <v>288</v>
      </c>
      <c r="G15" s="128">
        <f>LMpielik_12_LMZino!E12</f>
        <v>486.6</v>
      </c>
      <c r="H15" s="56">
        <f t="shared" ref="H15:H21" si="7">F15*G15</f>
        <v>140140.80000000002</v>
      </c>
      <c r="I15" s="225"/>
      <c r="J15" s="228"/>
      <c r="K15" s="66">
        <f t="shared" ref="K15:K21" si="8">C15+E15-F15</f>
        <v>24</v>
      </c>
      <c r="L15" s="3">
        <v>12</v>
      </c>
      <c r="M15" s="151">
        <f t="shared" si="1"/>
        <v>434.46428571428567</v>
      </c>
      <c r="N15" s="151">
        <f t="shared" si="2"/>
        <v>52.135714285714357</v>
      </c>
      <c r="O15" s="152">
        <f t="shared" si="3"/>
        <v>15015.085714285735</v>
      </c>
    </row>
    <row r="16" spans="1:15" ht="31.5" x14ac:dyDescent="0.25">
      <c r="A16" s="10">
        <v>5</v>
      </c>
      <c r="B16" s="11" t="s">
        <v>5</v>
      </c>
      <c r="C16" s="163">
        <f>LMpielik_9_LMZino!K16</f>
        <v>4</v>
      </c>
      <c r="D16" s="62">
        <f>LMpielik_11_LMZino!H23</f>
        <v>4</v>
      </c>
      <c r="E16" s="55">
        <f t="shared" ref="E16" si="9">D16*12</f>
        <v>48</v>
      </c>
      <c r="F16" s="107">
        <v>48</v>
      </c>
      <c r="G16" s="128">
        <f>LMpielik_12_LMZino!E20</f>
        <v>1335</v>
      </c>
      <c r="H16" s="56">
        <f t="shared" si="7"/>
        <v>64080</v>
      </c>
      <c r="I16" s="225"/>
      <c r="J16" s="228"/>
      <c r="K16" s="66">
        <f t="shared" si="8"/>
        <v>4</v>
      </c>
      <c r="L16" s="3">
        <v>12</v>
      </c>
      <c r="M16" s="151">
        <f t="shared" si="1"/>
        <v>1191.9642857142856</v>
      </c>
      <c r="N16" s="151">
        <f t="shared" si="2"/>
        <v>143.03571428571445</v>
      </c>
      <c r="O16" s="152">
        <f t="shared" si="3"/>
        <v>6865.7142857142935</v>
      </c>
    </row>
    <row r="17" spans="1:15" ht="63" x14ac:dyDescent="0.25">
      <c r="A17" s="15">
        <v>6</v>
      </c>
      <c r="B17" s="15" t="s">
        <v>9</v>
      </c>
      <c r="C17" s="163">
        <f>LMpielik_9_LMZino!K17</f>
        <v>4</v>
      </c>
      <c r="D17" s="60">
        <f>LMpielik_11_LMZino!H19</f>
        <v>4</v>
      </c>
      <c r="E17" s="3">
        <f>D17*12</f>
        <v>48</v>
      </c>
      <c r="F17" s="109">
        <v>48</v>
      </c>
      <c r="G17" s="127">
        <f>LMpielik_12_LMZino!E16</f>
        <v>317.68</v>
      </c>
      <c r="H17" s="4">
        <f t="shared" si="7"/>
        <v>15248.64</v>
      </c>
      <c r="I17" s="225"/>
      <c r="J17" s="228"/>
      <c r="K17" s="66">
        <f t="shared" si="8"/>
        <v>4</v>
      </c>
      <c r="L17" s="3">
        <v>12</v>
      </c>
      <c r="M17" s="151">
        <f t="shared" si="1"/>
        <v>283.64285714285711</v>
      </c>
      <c r="N17" s="151">
        <f t="shared" si="2"/>
        <v>34.037142857142896</v>
      </c>
      <c r="O17" s="152">
        <f t="shared" si="3"/>
        <v>1633.782857142859</v>
      </c>
    </row>
    <row r="18" spans="1:15" ht="31.5" x14ac:dyDescent="0.25">
      <c r="A18" s="11">
        <v>7</v>
      </c>
      <c r="B18" s="11" t="s">
        <v>7</v>
      </c>
      <c r="C18" s="163">
        <f>LMpielik_9_LMZino!K18</f>
        <v>12</v>
      </c>
      <c r="D18" s="62">
        <f>LMpielik_11_LMZino!H25</f>
        <v>12</v>
      </c>
      <c r="E18" s="55">
        <f>D18*12</f>
        <v>144</v>
      </c>
      <c r="F18" s="107">
        <v>144</v>
      </c>
      <c r="G18" s="128">
        <f>LMpielik_12_LMZino!E21</f>
        <v>215.76</v>
      </c>
      <c r="H18" s="56">
        <f t="shared" si="7"/>
        <v>31069.439999999999</v>
      </c>
      <c r="I18" s="225"/>
      <c r="J18" s="228"/>
      <c r="K18" s="66">
        <f t="shared" si="8"/>
        <v>12</v>
      </c>
      <c r="L18" s="3">
        <v>12</v>
      </c>
      <c r="M18" s="151">
        <f t="shared" si="1"/>
        <v>192.64285714285711</v>
      </c>
      <c r="N18" s="151">
        <f t="shared" si="2"/>
        <v>23.117142857142881</v>
      </c>
      <c r="O18" s="152">
        <f t="shared" si="3"/>
        <v>3328.8685714285748</v>
      </c>
    </row>
    <row r="19" spans="1:15" ht="15.75" x14ac:dyDescent="0.25">
      <c r="A19" s="15">
        <v>8</v>
      </c>
      <c r="B19" s="15" t="s">
        <v>2</v>
      </c>
      <c r="C19" s="163">
        <f>LMpielik_9_LMZino!K19</f>
        <v>20</v>
      </c>
      <c r="D19" s="60">
        <f>LMpielik_11_LMZino!H17</f>
        <v>20</v>
      </c>
      <c r="E19" s="3">
        <f>D19*12</f>
        <v>240</v>
      </c>
      <c r="F19" s="109">
        <v>240</v>
      </c>
      <c r="G19" s="127">
        <f>LMpielik_12_LMZino!E14</f>
        <v>46.94</v>
      </c>
      <c r="H19" s="4">
        <f t="shared" si="7"/>
        <v>11265.599999999999</v>
      </c>
      <c r="I19" s="225"/>
      <c r="J19" s="228"/>
      <c r="K19" s="66">
        <f t="shared" si="8"/>
        <v>20</v>
      </c>
      <c r="L19" s="3">
        <v>12</v>
      </c>
      <c r="M19" s="151">
        <f t="shared" si="1"/>
        <v>41.910714285714278</v>
      </c>
      <c r="N19" s="151">
        <f t="shared" si="2"/>
        <v>5.0292857142857201</v>
      </c>
      <c r="O19" s="152">
        <f t="shared" si="3"/>
        <v>1207.0285714285728</v>
      </c>
    </row>
    <row r="20" spans="1:15" ht="15.75" x14ac:dyDescent="0.25">
      <c r="A20" s="10">
        <v>9</v>
      </c>
      <c r="B20" s="11" t="s">
        <v>3</v>
      </c>
      <c r="C20" s="163">
        <f>LMpielik_9_LMZino!K20</f>
        <v>1</v>
      </c>
      <c r="D20" s="55">
        <f>LMpielik_11_LMZino!H27</f>
        <v>1</v>
      </c>
      <c r="E20" s="55">
        <f>D20*12</f>
        <v>12</v>
      </c>
      <c r="F20" s="107">
        <v>12</v>
      </c>
      <c r="G20" s="128">
        <f>LMpielik_12_LMZino!E22</f>
        <v>135.41999999999999</v>
      </c>
      <c r="H20" s="56">
        <f t="shared" si="7"/>
        <v>1625.04</v>
      </c>
      <c r="I20" s="225"/>
      <c r="J20" s="228"/>
      <c r="K20" s="66">
        <f t="shared" si="8"/>
        <v>1</v>
      </c>
      <c r="L20" s="3">
        <v>12</v>
      </c>
      <c r="M20" s="151">
        <f t="shared" si="1"/>
        <v>120.91071428571426</v>
      </c>
      <c r="N20" s="151">
        <f t="shared" si="2"/>
        <v>14.509285714285724</v>
      </c>
      <c r="O20" s="152">
        <f t="shared" si="3"/>
        <v>174.11142857142869</v>
      </c>
    </row>
    <row r="21" spans="1:15" ht="31.5" x14ac:dyDescent="0.25">
      <c r="A21" s="14">
        <v>10</v>
      </c>
      <c r="B21" s="15" t="s">
        <v>8</v>
      </c>
      <c r="C21" s="163">
        <f>LMpielik_9_LMZino!K21</f>
        <v>5</v>
      </c>
      <c r="D21" s="60">
        <f>LMpielik_11_LMZino!H21</f>
        <v>5</v>
      </c>
      <c r="E21" s="3">
        <f>D21*12</f>
        <v>60</v>
      </c>
      <c r="F21" s="109">
        <v>60</v>
      </c>
      <c r="G21" s="127">
        <f>LMpielik_12_LMZino!E18</f>
        <v>266.16000000000003</v>
      </c>
      <c r="H21" s="4">
        <f t="shared" si="7"/>
        <v>15969.600000000002</v>
      </c>
      <c r="I21" s="226"/>
      <c r="J21" s="229"/>
      <c r="K21" s="66">
        <f t="shared" si="8"/>
        <v>5</v>
      </c>
      <c r="L21" s="3">
        <v>12</v>
      </c>
      <c r="M21" s="151">
        <f t="shared" si="1"/>
        <v>237.64285714285714</v>
      </c>
      <c r="N21" s="151">
        <f t="shared" si="2"/>
        <v>28.517142857142886</v>
      </c>
      <c r="O21" s="152">
        <f t="shared" si="3"/>
        <v>1711.0285714285733</v>
      </c>
    </row>
    <row r="22" spans="1:15" ht="15.75" x14ac:dyDescent="0.25">
      <c r="A22" s="211" t="s">
        <v>15</v>
      </c>
      <c r="B22" s="212"/>
      <c r="C22" s="57">
        <f>C10+C14</f>
        <v>370</v>
      </c>
      <c r="D22" s="57">
        <f>D10+D14</f>
        <v>390</v>
      </c>
      <c r="E22" s="57">
        <f>E10+E14</f>
        <v>4680</v>
      </c>
      <c r="F22" s="110">
        <f>F10+F14</f>
        <v>4680</v>
      </c>
      <c r="G22" s="57" t="s">
        <v>12</v>
      </c>
      <c r="H22" s="58">
        <f>H10+H14</f>
        <v>1193081.04</v>
      </c>
      <c r="I22" s="58">
        <v>624416</v>
      </c>
      <c r="J22" s="58">
        <f>H22-I22</f>
        <v>568665.04</v>
      </c>
      <c r="K22" s="57">
        <f>K10+K14</f>
        <v>370</v>
      </c>
      <c r="L22" s="13" t="s">
        <v>12</v>
      </c>
      <c r="M22" s="13" t="s">
        <v>12</v>
      </c>
      <c r="N22" s="58">
        <f>N10+N14</f>
        <v>374.10428571428616</v>
      </c>
      <c r="O22" s="58">
        <f>O10+O14</f>
        <v>127830.11142857154</v>
      </c>
    </row>
    <row r="23" spans="1:15" ht="15.75" x14ac:dyDescent="0.25">
      <c r="A23" s="2"/>
      <c r="B23" s="36" t="s">
        <v>27</v>
      </c>
      <c r="C23" s="59">
        <f>C12+C13+C15+C16+C18+C20</f>
        <v>41</v>
      </c>
      <c r="D23" s="68">
        <f t="shared" ref="D23:K23" si="10">D12+D13+D15+D16+D18+D20</f>
        <v>60</v>
      </c>
      <c r="E23" s="59">
        <f t="shared" si="10"/>
        <v>720</v>
      </c>
      <c r="F23" s="111">
        <f>F12+F13+F15+F16+F18+F20</f>
        <v>720</v>
      </c>
      <c r="G23" s="57" t="s">
        <v>12</v>
      </c>
      <c r="H23" s="63">
        <f t="shared" si="10"/>
        <v>298165.2</v>
      </c>
      <c r="I23" s="162" t="s">
        <v>12</v>
      </c>
      <c r="J23" s="162" t="s">
        <v>12</v>
      </c>
      <c r="K23" s="59">
        <f t="shared" si="10"/>
        <v>41</v>
      </c>
      <c r="L23" s="13" t="s">
        <v>12</v>
      </c>
      <c r="M23" s="13" t="s">
        <v>12</v>
      </c>
      <c r="N23" s="63">
        <f t="shared" ref="N23:O23" si="11">N12+N13+N15+N16+N18+N20</f>
        <v>281.23500000000035</v>
      </c>
      <c r="O23" s="63">
        <f t="shared" si="11"/>
        <v>31946.271428571465</v>
      </c>
    </row>
    <row r="24" spans="1:15" ht="15.75" x14ac:dyDescent="0.25">
      <c r="A24" s="2"/>
      <c r="B24" s="37" t="s">
        <v>28</v>
      </c>
      <c r="C24" s="65">
        <f>C11+C17+C19+C21</f>
        <v>329</v>
      </c>
      <c r="D24" s="65">
        <f t="shared" ref="D24:K24" si="12">D11+D17+D19+D21</f>
        <v>330</v>
      </c>
      <c r="E24" s="65">
        <f t="shared" si="12"/>
        <v>3960</v>
      </c>
      <c r="F24" s="112">
        <f>F11+F17+F19+F21</f>
        <v>3960</v>
      </c>
      <c r="G24" s="57" t="s">
        <v>12</v>
      </c>
      <c r="H24" s="64">
        <f t="shared" si="12"/>
        <v>894915.84</v>
      </c>
      <c r="I24" s="162" t="s">
        <v>12</v>
      </c>
      <c r="J24" s="162" t="s">
        <v>12</v>
      </c>
      <c r="K24" s="65">
        <f t="shared" si="12"/>
        <v>329</v>
      </c>
      <c r="L24" s="13" t="s">
        <v>12</v>
      </c>
      <c r="M24" s="13" t="s">
        <v>12</v>
      </c>
      <c r="N24" s="64">
        <f t="shared" ref="N24:O24" si="13">N11+N17+N19+N21</f>
        <v>92.869285714285809</v>
      </c>
      <c r="O24" s="64">
        <f t="shared" si="13"/>
        <v>95883.840000000069</v>
      </c>
    </row>
    <row r="25" spans="1:15" ht="15.75" x14ac:dyDescent="0.25">
      <c r="A25" s="13"/>
      <c r="B25" s="41" t="s">
        <v>45</v>
      </c>
      <c r="C25" s="72" t="s">
        <v>12</v>
      </c>
      <c r="D25" s="72" t="s">
        <v>12</v>
      </c>
      <c r="E25" s="72" t="s">
        <v>12</v>
      </c>
      <c r="F25" s="110" t="s">
        <v>12</v>
      </c>
      <c r="G25" s="72" t="s">
        <v>12</v>
      </c>
      <c r="H25" s="49">
        <f>I25+J25</f>
        <v>117026.19320000001</v>
      </c>
      <c r="I25" s="49">
        <v>62442</v>
      </c>
      <c r="J25" s="49">
        <f>LMpielik_13_LMZino!G33</f>
        <v>54584.193200000002</v>
      </c>
      <c r="K25" s="13" t="s">
        <v>12</v>
      </c>
      <c r="L25" s="13" t="s">
        <v>12</v>
      </c>
      <c r="M25" s="13" t="s">
        <v>12</v>
      </c>
      <c r="N25" s="13" t="s">
        <v>12</v>
      </c>
      <c r="O25" s="13" t="s">
        <v>12</v>
      </c>
    </row>
    <row r="26" spans="1:15" ht="15.75" x14ac:dyDescent="0.25">
      <c r="A26" s="13"/>
      <c r="B26" s="101" t="s">
        <v>46</v>
      </c>
      <c r="C26" s="13" t="s">
        <v>12</v>
      </c>
      <c r="D26" s="13" t="s">
        <v>12</v>
      </c>
      <c r="E26" s="13" t="s">
        <v>12</v>
      </c>
      <c r="F26" s="113" t="s">
        <v>12</v>
      </c>
      <c r="G26" s="13" t="s">
        <v>12</v>
      </c>
      <c r="H26" s="49">
        <f>H22+H25</f>
        <v>1310107.2332000001</v>
      </c>
      <c r="I26" s="49">
        <f t="shared" ref="I26:J26" si="14">I22+I25</f>
        <v>686858</v>
      </c>
      <c r="J26" s="49">
        <f t="shared" si="14"/>
        <v>623249.23320000002</v>
      </c>
      <c r="K26" s="13" t="s">
        <v>12</v>
      </c>
      <c r="L26" s="13" t="s">
        <v>12</v>
      </c>
      <c r="M26" s="13" t="s">
        <v>12</v>
      </c>
      <c r="N26" s="13" t="s">
        <v>12</v>
      </c>
      <c r="O26" s="13" t="s">
        <v>12</v>
      </c>
    </row>
    <row r="28" spans="1:15" ht="15.75" x14ac:dyDescent="0.25">
      <c r="B28" s="168" t="s">
        <v>169</v>
      </c>
      <c r="C28" s="168"/>
      <c r="D28" s="168"/>
      <c r="E28" s="168"/>
      <c r="F28" s="168"/>
      <c r="G28" s="168"/>
      <c r="H28" s="168"/>
      <c r="I28" s="168"/>
      <c r="J28" s="168" t="s">
        <v>170</v>
      </c>
    </row>
    <row r="29" spans="1:15" ht="15.75" x14ac:dyDescent="0.25">
      <c r="B29" s="168"/>
      <c r="C29" s="168"/>
      <c r="D29" s="168"/>
      <c r="E29" s="168"/>
      <c r="F29" s="168"/>
      <c r="G29" s="168"/>
      <c r="H29" s="168"/>
      <c r="I29" s="168"/>
      <c r="J29" s="168"/>
    </row>
    <row r="30" spans="1:15" ht="15.75" x14ac:dyDescent="0.25">
      <c r="B30" s="169" t="s">
        <v>214</v>
      </c>
      <c r="C30" s="169"/>
      <c r="D30" s="169"/>
      <c r="E30" s="168"/>
      <c r="F30" s="168"/>
      <c r="G30" s="168"/>
      <c r="H30" s="168"/>
      <c r="I30" s="168"/>
      <c r="J30" s="168"/>
    </row>
    <row r="31" spans="1:15" ht="15.75" x14ac:dyDescent="0.25">
      <c r="B31" s="169" t="s">
        <v>171</v>
      </c>
      <c r="C31" s="169"/>
      <c r="D31" s="169"/>
      <c r="E31" s="168"/>
      <c r="F31" s="168"/>
      <c r="G31" s="168"/>
      <c r="H31" s="168"/>
      <c r="I31" s="168"/>
      <c r="J31" s="168"/>
    </row>
    <row r="32" spans="1:15" ht="15.75" x14ac:dyDescent="0.25">
      <c r="B32" s="169" t="s">
        <v>172</v>
      </c>
      <c r="C32" s="169"/>
      <c r="D32" s="169"/>
      <c r="E32" s="168"/>
      <c r="F32" s="168"/>
      <c r="G32" s="168"/>
      <c r="H32" s="168"/>
      <c r="I32" s="168"/>
      <c r="J32" s="168"/>
    </row>
  </sheetData>
  <mergeCells count="17">
    <mergeCell ref="O7:O8"/>
    <mergeCell ref="A10:B10"/>
    <mergeCell ref="I10:I21"/>
    <mergeCell ref="J10:J21"/>
    <mergeCell ref="A14:B14"/>
    <mergeCell ref="A22:B22"/>
    <mergeCell ref="M1:N1"/>
    <mergeCell ref="A7:A8"/>
    <mergeCell ref="B7:B8"/>
    <mergeCell ref="C7:J7"/>
    <mergeCell ref="K7:K8"/>
    <mergeCell ref="L7:L8"/>
    <mergeCell ref="M7:M8"/>
    <mergeCell ref="N7:N8"/>
    <mergeCell ref="C4:E4"/>
    <mergeCell ref="K2:N2"/>
    <mergeCell ref="I3:N3"/>
  </mergeCells>
  <pageMargins left="0.70866141732283472" right="0.70866141732283472" top="0.74803149606299213" bottom="0.74803149606299213" header="0.31496062992125984" footer="0.31496062992125984"/>
  <pageSetup paperSize="9" scale="60" orientation="landscape" r:id="rId1"/>
  <headerFooter>
    <oddFooter>&amp;CLMpielik_10_070815_LMZino</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opLeftCell="A25" zoomScaleNormal="100" workbookViewId="0">
      <selection activeCell="B49" sqref="B49"/>
    </sheetView>
  </sheetViews>
  <sheetFormatPr defaultRowHeight="15" x14ac:dyDescent="0.25"/>
  <cols>
    <col min="1" max="1" width="3.5703125" customWidth="1"/>
    <col min="2" max="2" width="43.5703125" customWidth="1"/>
    <col min="3" max="3" width="10.140625" customWidth="1"/>
    <col min="4" max="4" width="10" customWidth="1"/>
    <col min="5" max="5" width="10.28515625" customWidth="1"/>
    <col min="6" max="6" width="11.85546875" customWidth="1"/>
    <col min="7" max="7" width="14.140625" customWidth="1"/>
    <col min="8" max="8" width="12.5703125" customWidth="1"/>
    <col min="9" max="9" width="12.42578125" hidden="1" customWidth="1"/>
    <col min="10" max="10" width="12.42578125" customWidth="1"/>
  </cols>
  <sheetData>
    <row r="1" spans="1:10" ht="15.75" x14ac:dyDescent="0.25">
      <c r="I1" s="239" t="s">
        <v>162</v>
      </c>
      <c r="J1" s="239"/>
    </row>
    <row r="2" spans="1:10" ht="15.75" x14ac:dyDescent="0.25">
      <c r="E2" s="176"/>
      <c r="F2" s="176"/>
      <c r="G2" s="234" t="s">
        <v>173</v>
      </c>
      <c r="H2" s="234"/>
      <c r="I2" s="234"/>
      <c r="J2" s="234"/>
    </row>
    <row r="3" spans="1:10" ht="30.75" customHeight="1" x14ac:dyDescent="0.25">
      <c r="E3" s="235" t="s">
        <v>178</v>
      </c>
      <c r="F3" s="235"/>
      <c r="G3" s="235"/>
      <c r="H3" s="235"/>
      <c r="I3" s="235"/>
      <c r="J3" s="235"/>
    </row>
    <row r="4" spans="1:10" ht="18.75" x14ac:dyDescent="0.3">
      <c r="B4" s="131" t="s">
        <v>160</v>
      </c>
      <c r="C4" s="131"/>
      <c r="D4" s="131"/>
      <c r="E4" s="131"/>
      <c r="F4" s="131"/>
      <c r="G4" s="131"/>
      <c r="H4" s="131"/>
    </row>
    <row r="6" spans="1:10" ht="24.75" customHeight="1" x14ac:dyDescent="0.25">
      <c r="A6" s="232" t="s">
        <v>14</v>
      </c>
      <c r="B6" s="220" t="s">
        <v>0</v>
      </c>
      <c r="C6" s="246" t="s">
        <v>26</v>
      </c>
      <c r="D6" s="247"/>
      <c r="E6" s="247"/>
      <c r="F6" s="248"/>
      <c r="G6" s="242" t="s">
        <v>23</v>
      </c>
      <c r="H6" s="244" t="s">
        <v>24</v>
      </c>
      <c r="I6" s="238" t="s">
        <v>34</v>
      </c>
      <c r="J6" s="238"/>
    </row>
    <row r="7" spans="1:10" ht="93" customHeight="1" x14ac:dyDescent="0.25">
      <c r="A7" s="232"/>
      <c r="B7" s="220"/>
      <c r="C7" s="21" t="s">
        <v>20</v>
      </c>
      <c r="D7" s="21" t="s">
        <v>21</v>
      </c>
      <c r="E7" s="21" t="s">
        <v>22</v>
      </c>
      <c r="F7" s="94" t="s">
        <v>179</v>
      </c>
      <c r="G7" s="243"/>
      <c r="H7" s="245"/>
      <c r="I7" s="97" t="s">
        <v>35</v>
      </c>
      <c r="J7" s="97" t="s">
        <v>36</v>
      </c>
    </row>
    <row r="8" spans="1:10" ht="58.5" customHeight="1" x14ac:dyDescent="0.25">
      <c r="A8" s="119">
        <v>1</v>
      </c>
      <c r="B8" s="119">
        <v>2</v>
      </c>
      <c r="C8" s="119">
        <v>3</v>
      </c>
      <c r="D8" s="119">
        <v>4</v>
      </c>
      <c r="E8" s="119">
        <v>5</v>
      </c>
      <c r="F8" s="123">
        <v>6</v>
      </c>
      <c r="G8" s="120" t="s">
        <v>115</v>
      </c>
      <c r="H8" s="121" t="s">
        <v>177</v>
      </c>
      <c r="I8" s="122" t="s">
        <v>118</v>
      </c>
      <c r="J8" s="122" t="s">
        <v>117</v>
      </c>
    </row>
    <row r="9" spans="1:10" ht="15.75" x14ac:dyDescent="0.25">
      <c r="A9" s="25">
        <v>1</v>
      </c>
      <c r="B9" s="26" t="s">
        <v>38</v>
      </c>
      <c r="C9" s="19">
        <v>210</v>
      </c>
      <c r="D9" s="19">
        <v>275</v>
      </c>
      <c r="E9" s="19">
        <v>270</v>
      </c>
      <c r="F9" s="118">
        <v>303</v>
      </c>
      <c r="G9" s="34">
        <f>(C9+D9+E9+F9)/4</f>
        <v>264.5</v>
      </c>
      <c r="H9" s="34">
        <f>ROUND(G9*G10,0)</f>
        <v>301</v>
      </c>
      <c r="I9" s="31">
        <f>E9/D9</f>
        <v>0.98181818181818181</v>
      </c>
      <c r="J9" s="31">
        <f>E9/C9</f>
        <v>1.2857142857142858</v>
      </c>
    </row>
    <row r="10" spans="1:10" ht="26.25" x14ac:dyDescent="0.25">
      <c r="A10" s="25"/>
      <c r="B10" s="27" t="s">
        <v>29</v>
      </c>
      <c r="C10" s="19">
        <v>0</v>
      </c>
      <c r="D10" s="35">
        <f>D9/C9</f>
        <v>1.3095238095238095</v>
      </c>
      <c r="E10" s="35">
        <f>E9/D9</f>
        <v>0.98181818181818181</v>
      </c>
      <c r="F10" s="124">
        <f>F9/E9</f>
        <v>1.1222222222222222</v>
      </c>
      <c r="G10" s="35">
        <f>(D10+E10+F10)/3</f>
        <v>1.1378547378547379</v>
      </c>
      <c r="H10" s="19"/>
      <c r="I10" s="31"/>
      <c r="J10" s="31"/>
    </row>
    <row r="11" spans="1:10" ht="31.5" x14ac:dyDescent="0.25">
      <c r="A11" s="25">
        <v>2</v>
      </c>
      <c r="B11" s="50" t="s">
        <v>19</v>
      </c>
      <c r="C11" s="19">
        <v>0</v>
      </c>
      <c r="D11" s="44">
        <v>0</v>
      </c>
      <c r="E11" s="44">
        <v>17</v>
      </c>
      <c r="F11" s="125">
        <v>17</v>
      </c>
      <c r="G11" s="34">
        <f>(C11+D11+E11+F11)/2</f>
        <v>17</v>
      </c>
      <c r="H11" s="34">
        <f>ROUND(G11*G12,0)</f>
        <v>17</v>
      </c>
      <c r="I11" s="31">
        <v>0</v>
      </c>
      <c r="J11" s="31">
        <v>0</v>
      </c>
    </row>
    <row r="12" spans="1:10" ht="26.25" x14ac:dyDescent="0.25">
      <c r="A12" s="25"/>
      <c r="B12" s="27" t="s">
        <v>29</v>
      </c>
      <c r="C12" s="95">
        <v>0</v>
      </c>
      <c r="D12" s="44">
        <v>0</v>
      </c>
      <c r="E12" s="44">
        <v>0</v>
      </c>
      <c r="F12" s="124">
        <f>F11/E11</f>
        <v>1</v>
      </c>
      <c r="G12" s="35">
        <f>(D12+E12+F12)/1</f>
        <v>1</v>
      </c>
      <c r="H12" s="45"/>
      <c r="I12" s="31"/>
      <c r="J12" s="31"/>
    </row>
    <row r="13" spans="1:10" ht="20.25" customHeight="1" x14ac:dyDescent="0.25">
      <c r="A13" s="28">
        <v>3</v>
      </c>
      <c r="B13" s="29" t="s">
        <v>4</v>
      </c>
      <c r="C13" s="19">
        <v>0</v>
      </c>
      <c r="D13" s="19">
        <v>0</v>
      </c>
      <c r="E13" s="19">
        <v>115</v>
      </c>
      <c r="F13" s="118">
        <v>37</v>
      </c>
      <c r="G13" s="34">
        <f>(C13+D13+E13+F13)/2</f>
        <v>76</v>
      </c>
      <c r="H13" s="34">
        <f>ROUND(G13*G14,0)</f>
        <v>24</v>
      </c>
      <c r="I13" s="31">
        <v>0</v>
      </c>
      <c r="J13" s="31">
        <v>0</v>
      </c>
    </row>
    <row r="14" spans="1:10" ht="29.25" customHeight="1" x14ac:dyDescent="0.25">
      <c r="A14" s="28"/>
      <c r="B14" s="27" t="s">
        <v>29</v>
      </c>
      <c r="C14" s="95">
        <v>0</v>
      </c>
      <c r="D14" s="95">
        <v>0</v>
      </c>
      <c r="E14" s="95">
        <v>0</v>
      </c>
      <c r="F14" s="124">
        <f>F13/E13</f>
        <v>0.32173913043478258</v>
      </c>
      <c r="G14" s="35">
        <f>(D14+E14+F14)/1</f>
        <v>0.32173913043478258</v>
      </c>
      <c r="H14" s="34"/>
      <c r="I14" s="31"/>
      <c r="J14" s="31"/>
    </row>
    <row r="15" spans="1:10" ht="15.75" x14ac:dyDescent="0.25">
      <c r="A15" s="28">
        <v>4</v>
      </c>
      <c r="B15" s="29" t="s">
        <v>6</v>
      </c>
      <c r="C15" s="19">
        <v>0</v>
      </c>
      <c r="D15" s="19">
        <v>0</v>
      </c>
      <c r="E15" s="19">
        <v>2</v>
      </c>
      <c r="F15" s="118">
        <v>2</v>
      </c>
      <c r="G15" s="34">
        <f>(C15+D15+E15+F15)/2</f>
        <v>2</v>
      </c>
      <c r="H15" s="34">
        <v>2</v>
      </c>
      <c r="I15" s="31">
        <v>0</v>
      </c>
      <c r="J15" s="31">
        <v>0</v>
      </c>
    </row>
    <row r="16" spans="1:10" ht="26.25" x14ac:dyDescent="0.25">
      <c r="A16" s="28"/>
      <c r="B16" s="27" t="s">
        <v>29</v>
      </c>
      <c r="C16" s="95">
        <v>0</v>
      </c>
      <c r="D16" s="95">
        <v>0</v>
      </c>
      <c r="E16" s="95">
        <v>0</v>
      </c>
      <c r="F16" s="124">
        <f>F15/E15</f>
        <v>1</v>
      </c>
      <c r="G16" s="35">
        <f>(D16+E16+F16)/1</f>
        <v>1</v>
      </c>
      <c r="H16" s="96"/>
      <c r="I16" s="31"/>
      <c r="J16" s="31"/>
    </row>
    <row r="17" spans="1:10" ht="15.75" x14ac:dyDescent="0.25">
      <c r="A17" s="25">
        <v>5</v>
      </c>
      <c r="B17" s="26" t="s">
        <v>2</v>
      </c>
      <c r="C17" s="19">
        <v>15</v>
      </c>
      <c r="D17" s="19">
        <v>12</v>
      </c>
      <c r="E17" s="19">
        <v>23</v>
      </c>
      <c r="F17" s="118">
        <v>19</v>
      </c>
      <c r="G17" s="34">
        <f>(C17+D17+E17+F17)/4</f>
        <v>17.25</v>
      </c>
      <c r="H17" s="34">
        <f>ROUND(G17*G18,0)</f>
        <v>20</v>
      </c>
      <c r="I17" s="31">
        <f t="shared" ref="I17:I31" si="0">E17/D17</f>
        <v>1.9166666666666667</v>
      </c>
      <c r="J17" s="31">
        <f t="shared" ref="J17:J29" si="1">E17/C17</f>
        <v>1.5333333333333334</v>
      </c>
    </row>
    <row r="18" spans="1:10" ht="26.25" x14ac:dyDescent="0.25">
      <c r="A18" s="25"/>
      <c r="B18" s="27" t="s">
        <v>29</v>
      </c>
      <c r="C18" s="19">
        <v>0</v>
      </c>
      <c r="D18" s="35">
        <f>D17/C17</f>
        <v>0.8</v>
      </c>
      <c r="E18" s="35">
        <f>E17/D17</f>
        <v>1.9166666666666667</v>
      </c>
      <c r="F18" s="124">
        <f>F17/E17</f>
        <v>0.82608695652173914</v>
      </c>
      <c r="G18" s="35">
        <f>(D18+E18+F18)/3</f>
        <v>1.1809178743961353</v>
      </c>
      <c r="H18" s="19"/>
      <c r="I18" s="31"/>
      <c r="J18" s="31"/>
    </row>
    <row r="19" spans="1:10" ht="49.5" customHeight="1" x14ac:dyDescent="0.25">
      <c r="A19" s="25">
        <v>6</v>
      </c>
      <c r="B19" s="26" t="s">
        <v>25</v>
      </c>
      <c r="C19" s="19">
        <v>5</v>
      </c>
      <c r="D19" s="19">
        <v>3</v>
      </c>
      <c r="E19" s="19">
        <v>5</v>
      </c>
      <c r="F19" s="118">
        <v>3</v>
      </c>
      <c r="G19" s="34">
        <f>(C19+D19+E19+F19)/4</f>
        <v>4</v>
      </c>
      <c r="H19" s="34">
        <f>ROUND(G19*G20,0)</f>
        <v>4</v>
      </c>
      <c r="I19" s="31">
        <f t="shared" si="0"/>
        <v>1.6666666666666667</v>
      </c>
      <c r="J19" s="31">
        <f t="shared" si="1"/>
        <v>1</v>
      </c>
    </row>
    <row r="20" spans="1:10" ht="33" customHeight="1" x14ac:dyDescent="0.25">
      <c r="A20" s="25"/>
      <c r="B20" s="27" t="s">
        <v>29</v>
      </c>
      <c r="C20" s="19">
        <v>0</v>
      </c>
      <c r="D20" s="35">
        <f>D19/C19</f>
        <v>0.6</v>
      </c>
      <c r="E20" s="35">
        <f>E19/D19</f>
        <v>1.6666666666666667</v>
      </c>
      <c r="F20" s="124">
        <f>F19/E19</f>
        <v>0.6</v>
      </c>
      <c r="G20" s="35">
        <f>(D20+E20+F20)/3</f>
        <v>0.9555555555555556</v>
      </c>
      <c r="H20" s="19"/>
      <c r="I20" s="31"/>
      <c r="J20" s="31"/>
    </row>
    <row r="21" spans="1:10" ht="31.5" x14ac:dyDescent="0.25">
      <c r="A21" s="25">
        <v>7</v>
      </c>
      <c r="B21" s="26" t="s">
        <v>8</v>
      </c>
      <c r="C21" s="19">
        <v>1</v>
      </c>
      <c r="D21" s="19">
        <v>1</v>
      </c>
      <c r="E21" s="19">
        <v>3</v>
      </c>
      <c r="F21" s="118">
        <v>5</v>
      </c>
      <c r="G21" s="34">
        <f>(C21+D21+E21+F21)/4</f>
        <v>2.5</v>
      </c>
      <c r="H21" s="34">
        <f>ROUND(G21*G22,0)</f>
        <v>5</v>
      </c>
      <c r="I21" s="31">
        <f t="shared" si="0"/>
        <v>3</v>
      </c>
      <c r="J21" s="31">
        <f t="shared" si="1"/>
        <v>3</v>
      </c>
    </row>
    <row r="22" spans="1:10" ht="26.25" x14ac:dyDescent="0.25">
      <c r="A22" s="25"/>
      <c r="B22" s="27" t="s">
        <v>29</v>
      </c>
      <c r="C22" s="19">
        <v>0</v>
      </c>
      <c r="D22" s="35">
        <f>D21/C21</f>
        <v>1</v>
      </c>
      <c r="E22" s="35">
        <f>E21/D21</f>
        <v>3</v>
      </c>
      <c r="F22" s="124">
        <f>F21/E21</f>
        <v>1.6666666666666667</v>
      </c>
      <c r="G22" s="35">
        <f>(D22+E22+F22)/3</f>
        <v>1.8888888888888891</v>
      </c>
      <c r="H22" s="19"/>
      <c r="I22" s="31"/>
      <c r="J22" s="31"/>
    </row>
    <row r="23" spans="1:10" ht="31.5" x14ac:dyDescent="0.25">
      <c r="A23" s="28">
        <v>8</v>
      </c>
      <c r="B23" s="29" t="s">
        <v>5</v>
      </c>
      <c r="C23" s="19">
        <v>0</v>
      </c>
      <c r="D23" s="19">
        <v>0</v>
      </c>
      <c r="E23" s="19">
        <v>2</v>
      </c>
      <c r="F23" s="117">
        <v>3</v>
      </c>
      <c r="G23" s="34">
        <f>(C23+D23+E23+F23)/2</f>
        <v>2.5</v>
      </c>
      <c r="H23" s="34">
        <f>ROUND(G23*G24,0)</f>
        <v>4</v>
      </c>
      <c r="I23" s="31">
        <v>0</v>
      </c>
      <c r="J23" s="31">
        <v>0</v>
      </c>
    </row>
    <row r="24" spans="1:10" ht="26.25" x14ac:dyDescent="0.25">
      <c r="A24" s="28"/>
      <c r="B24" s="27" t="s">
        <v>29</v>
      </c>
      <c r="C24" s="95">
        <v>0</v>
      </c>
      <c r="D24" s="95">
        <v>0</v>
      </c>
      <c r="E24" s="35">
        <v>0</v>
      </c>
      <c r="F24" s="124">
        <f>F23/E23</f>
        <v>1.5</v>
      </c>
      <c r="G24" s="35">
        <f>(D24+E24+F24)/1</f>
        <v>1.5</v>
      </c>
      <c r="H24" s="95"/>
      <c r="I24" s="31"/>
      <c r="J24" s="31"/>
    </row>
    <row r="25" spans="1:10" ht="15.75" x14ac:dyDescent="0.25">
      <c r="A25" s="28">
        <v>9</v>
      </c>
      <c r="B25" s="29" t="s">
        <v>7</v>
      </c>
      <c r="C25" s="19">
        <v>0</v>
      </c>
      <c r="D25" s="19">
        <v>0</v>
      </c>
      <c r="E25" s="19">
        <v>31</v>
      </c>
      <c r="F25" s="117">
        <v>16</v>
      </c>
      <c r="G25" s="34">
        <f>(C25+D25+E25+F25)/2</f>
        <v>23.5</v>
      </c>
      <c r="H25" s="34">
        <f>ROUND(G25*G26,0)</f>
        <v>12</v>
      </c>
      <c r="I25" s="31">
        <v>0</v>
      </c>
      <c r="J25" s="31">
        <v>0</v>
      </c>
    </row>
    <row r="26" spans="1:10" ht="26.25" x14ac:dyDescent="0.25">
      <c r="A26" s="28"/>
      <c r="B26" s="27" t="s">
        <v>29</v>
      </c>
      <c r="C26" s="95">
        <v>0</v>
      </c>
      <c r="D26" s="95">
        <v>0</v>
      </c>
      <c r="E26" s="95">
        <v>0</v>
      </c>
      <c r="F26" s="124">
        <f>F25/E25</f>
        <v>0.5161290322580645</v>
      </c>
      <c r="G26" s="35">
        <f>(D26+E26+F26)/1</f>
        <v>0.5161290322580645</v>
      </c>
      <c r="H26" s="95"/>
      <c r="I26" s="31"/>
      <c r="J26" s="31"/>
    </row>
    <row r="27" spans="1:10" ht="15.75" x14ac:dyDescent="0.25">
      <c r="A27" s="28">
        <v>10</v>
      </c>
      <c r="B27" s="29" t="s">
        <v>3</v>
      </c>
      <c r="C27" s="19">
        <v>0</v>
      </c>
      <c r="D27" s="19">
        <v>0</v>
      </c>
      <c r="E27" s="19">
        <v>2</v>
      </c>
      <c r="F27" s="117">
        <v>1</v>
      </c>
      <c r="G27" s="34">
        <f>(C27+D27+E27+F27)/2</f>
        <v>1.5</v>
      </c>
      <c r="H27" s="34">
        <f>ROUND(G27*G28,0)</f>
        <v>1</v>
      </c>
      <c r="I27" s="31">
        <v>0</v>
      </c>
      <c r="J27" s="31">
        <v>0</v>
      </c>
    </row>
    <row r="28" spans="1:10" ht="26.25" x14ac:dyDescent="0.25">
      <c r="A28" s="98"/>
      <c r="B28" s="27" t="s">
        <v>29</v>
      </c>
      <c r="C28" s="95">
        <v>0</v>
      </c>
      <c r="D28" s="95">
        <v>0</v>
      </c>
      <c r="E28" s="95">
        <v>0</v>
      </c>
      <c r="F28" s="35">
        <f>F27/E27</f>
        <v>0.5</v>
      </c>
      <c r="G28" s="35">
        <f>(D28+E28+F28)/1</f>
        <v>0.5</v>
      </c>
      <c r="H28" s="95"/>
      <c r="I28" s="31"/>
      <c r="J28" s="31"/>
    </row>
    <row r="29" spans="1:10" ht="15.75" x14ac:dyDescent="0.25">
      <c r="A29" s="240" t="s">
        <v>15</v>
      </c>
      <c r="B29" s="241"/>
      <c r="C29" s="13">
        <f>C9+C13+C15+C17+C19+C21+C23+C25+C27+C11</f>
        <v>231</v>
      </c>
      <c r="D29" s="13">
        <f t="shared" ref="D29:H29" si="2">D9+D13+D15+D17+D19+D21+D23+D25+D27+D11</f>
        <v>291</v>
      </c>
      <c r="E29" s="13">
        <f t="shared" si="2"/>
        <v>470</v>
      </c>
      <c r="F29" s="13">
        <f t="shared" ref="F29" si="3">F9+F13+F15+F17+F19+F21+F23+F25+F27+F11</f>
        <v>406</v>
      </c>
      <c r="G29" s="38">
        <f t="shared" si="2"/>
        <v>410.75</v>
      </c>
      <c r="H29" s="13">
        <f t="shared" si="2"/>
        <v>390</v>
      </c>
      <c r="I29" s="39">
        <f t="shared" si="0"/>
        <v>1.6151202749140894</v>
      </c>
      <c r="J29" s="39">
        <f t="shared" si="1"/>
        <v>2.0346320346320348</v>
      </c>
    </row>
    <row r="30" spans="1:10" ht="15.75" x14ac:dyDescent="0.25">
      <c r="A30" s="30"/>
      <c r="B30" s="40" t="s">
        <v>27</v>
      </c>
      <c r="C30" s="13">
        <f>C13+C15+C23+C25+C27+C11</f>
        <v>0</v>
      </c>
      <c r="D30" s="13">
        <f t="shared" ref="D30:H30" si="4">D13+D15+D23+D25+D27+D11</f>
        <v>0</v>
      </c>
      <c r="E30" s="13">
        <f t="shared" si="4"/>
        <v>169</v>
      </c>
      <c r="F30" s="13">
        <f t="shared" ref="F30" si="5">F13+F15+F23+F25+F27+F11</f>
        <v>76</v>
      </c>
      <c r="G30" s="13">
        <f t="shared" si="4"/>
        <v>122.5</v>
      </c>
      <c r="H30" s="13">
        <f t="shared" si="4"/>
        <v>60</v>
      </c>
      <c r="I30" s="39">
        <v>0</v>
      </c>
      <c r="J30" s="39" t="s">
        <v>12</v>
      </c>
    </row>
    <row r="31" spans="1:10" ht="15.75" x14ac:dyDescent="0.25">
      <c r="A31" s="30"/>
      <c r="B31" s="41" t="s">
        <v>28</v>
      </c>
      <c r="C31" s="13">
        <f>C9+C17+C19+C21</f>
        <v>231</v>
      </c>
      <c r="D31" s="13">
        <f t="shared" ref="D31:E31" si="6">D9+D17+D19+D21</f>
        <v>291</v>
      </c>
      <c r="E31" s="13">
        <f t="shared" si="6"/>
        <v>301</v>
      </c>
      <c r="F31" s="13">
        <f t="shared" ref="F31" si="7">F9+F17+F19+F21</f>
        <v>330</v>
      </c>
      <c r="G31" s="38">
        <f t="shared" ref="G31:H31" si="8">G9+G17+G19+G21</f>
        <v>288.25</v>
      </c>
      <c r="H31" s="13">
        <f t="shared" si="8"/>
        <v>330</v>
      </c>
      <c r="I31" s="39">
        <f t="shared" si="0"/>
        <v>1.034364261168385</v>
      </c>
      <c r="J31" s="39">
        <f>E31/C31</f>
        <v>1.303030303030303</v>
      </c>
    </row>
    <row r="32" spans="1:10" s="176" customFormat="1" ht="15.75" x14ac:dyDescent="0.25">
      <c r="A32" s="181"/>
      <c r="B32" s="182"/>
      <c r="C32" s="183"/>
      <c r="D32" s="183"/>
      <c r="E32" s="183"/>
      <c r="F32" s="183"/>
      <c r="G32" s="184"/>
      <c r="H32" s="183"/>
      <c r="I32" s="185"/>
      <c r="J32" s="185"/>
    </row>
    <row r="33" spans="1:10" s="176" customFormat="1" ht="15.75" x14ac:dyDescent="0.25">
      <c r="A33" s="181"/>
      <c r="B33" s="236" t="s">
        <v>180</v>
      </c>
      <c r="C33" s="237"/>
      <c r="D33" s="237"/>
      <c r="E33" s="237"/>
      <c r="F33" s="237"/>
      <c r="G33" s="237"/>
      <c r="H33" s="237"/>
      <c r="I33" s="185"/>
      <c r="J33" s="185"/>
    </row>
    <row r="34" spans="1:10" ht="15.75" x14ac:dyDescent="0.25">
      <c r="A34" s="5"/>
      <c r="B34" s="5"/>
      <c r="C34" s="33"/>
      <c r="D34" s="33"/>
      <c r="E34" s="33"/>
      <c r="F34" s="93"/>
      <c r="G34" s="32"/>
      <c r="H34" s="33"/>
      <c r="I34" s="5"/>
      <c r="J34" s="5"/>
    </row>
    <row r="35" spans="1:10" ht="15.75" x14ac:dyDescent="0.25">
      <c r="B35" s="170" t="s">
        <v>169</v>
      </c>
      <c r="C35" s="170"/>
      <c r="D35" s="170"/>
      <c r="E35" s="170"/>
      <c r="F35" s="170"/>
      <c r="G35" s="170"/>
      <c r="H35" s="170"/>
      <c r="I35" s="170"/>
      <c r="J35" s="170" t="s">
        <v>170</v>
      </c>
    </row>
    <row r="36" spans="1:10" ht="15.75" x14ac:dyDescent="0.25">
      <c r="B36" s="170"/>
      <c r="C36" s="170"/>
      <c r="D36" s="170"/>
      <c r="E36" s="170"/>
      <c r="F36" s="170"/>
      <c r="G36" s="170"/>
      <c r="H36" s="170"/>
      <c r="I36" s="170"/>
      <c r="J36" s="170"/>
    </row>
    <row r="37" spans="1:10" ht="15.75" x14ac:dyDescent="0.25">
      <c r="B37" s="171" t="s">
        <v>213</v>
      </c>
      <c r="C37" s="171"/>
      <c r="D37" s="171"/>
      <c r="E37" s="170"/>
      <c r="F37" s="170"/>
      <c r="G37" s="170"/>
      <c r="H37" s="170"/>
      <c r="I37" s="170"/>
      <c r="J37" s="170"/>
    </row>
    <row r="38" spans="1:10" ht="15.75" x14ac:dyDescent="0.25">
      <c r="B38" s="171" t="s">
        <v>171</v>
      </c>
      <c r="C38" s="171"/>
      <c r="D38" s="171"/>
      <c r="E38" s="170"/>
      <c r="F38" s="170"/>
      <c r="G38" s="170"/>
      <c r="H38" s="170"/>
      <c r="I38" s="170"/>
      <c r="J38" s="170"/>
    </row>
    <row r="39" spans="1:10" ht="15.75" x14ac:dyDescent="0.25">
      <c r="B39" s="171" t="s">
        <v>172</v>
      </c>
      <c r="C39" s="171"/>
      <c r="D39" s="171"/>
      <c r="E39" s="170"/>
      <c r="F39" s="170"/>
      <c r="G39" s="170"/>
      <c r="H39" s="170"/>
      <c r="I39" s="170"/>
      <c r="J39" s="170"/>
    </row>
  </sheetData>
  <mergeCells count="11">
    <mergeCell ref="B33:H33"/>
    <mergeCell ref="I6:J6"/>
    <mergeCell ref="I1:J1"/>
    <mergeCell ref="A6:A7"/>
    <mergeCell ref="B6:B7"/>
    <mergeCell ref="A29:B29"/>
    <mergeCell ref="G6:G7"/>
    <mergeCell ref="H6:H7"/>
    <mergeCell ref="C6:F6"/>
    <mergeCell ref="G2:J2"/>
    <mergeCell ref="E3:J3"/>
  </mergeCells>
  <pageMargins left="0.70866141732283472" right="0.70866141732283472" top="0.74803149606299213" bottom="0.74803149606299213" header="0.31496062992125984" footer="0.31496062992125984"/>
  <pageSetup paperSize="9" scale="65" fitToHeight="0" orientation="portrait" r:id="rId1"/>
  <headerFooter>
    <oddFooter>&amp;CLMpielik_11_070815_LMZino</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topLeftCell="A19" zoomScaleNormal="100" workbookViewId="0">
      <selection activeCell="C40" sqref="C40"/>
    </sheetView>
  </sheetViews>
  <sheetFormatPr defaultRowHeight="15" x14ac:dyDescent="0.25"/>
  <cols>
    <col min="2" max="2" width="31.28515625" customWidth="1"/>
    <col min="3" max="3" width="11.140625" customWidth="1"/>
    <col min="4" max="4" width="10" bestFit="1" customWidth="1"/>
    <col min="5" max="5" width="10.5703125" customWidth="1"/>
    <col min="6" max="7" width="14.140625" hidden="1" customWidth="1"/>
    <col min="8" max="8" width="12.42578125" hidden="1" customWidth="1"/>
    <col min="9" max="9" width="12.42578125" customWidth="1"/>
  </cols>
  <sheetData>
    <row r="1" spans="1:9" ht="15.75" x14ac:dyDescent="0.25">
      <c r="H1" s="239" t="s">
        <v>164</v>
      </c>
      <c r="I1" s="239"/>
    </row>
    <row r="2" spans="1:9" ht="15.75" x14ac:dyDescent="0.25">
      <c r="D2" s="176"/>
      <c r="E2" s="254" t="s">
        <v>173</v>
      </c>
      <c r="F2" s="254"/>
      <c r="G2" s="254"/>
      <c r="H2" s="254"/>
      <c r="I2" s="254"/>
    </row>
    <row r="3" spans="1:9" ht="45.75" customHeight="1" x14ac:dyDescent="0.25">
      <c r="C3" s="235" t="s">
        <v>178</v>
      </c>
      <c r="D3" s="235"/>
      <c r="E3" s="235"/>
      <c r="F3" s="235"/>
      <c r="G3" s="235"/>
      <c r="H3" s="235"/>
      <c r="I3" s="235"/>
    </row>
    <row r="4" spans="1:9" ht="18.75" x14ac:dyDescent="0.3">
      <c r="A4" s="132" t="s">
        <v>161</v>
      </c>
      <c r="B4" s="132"/>
      <c r="C4" s="132"/>
      <c r="D4" s="132"/>
      <c r="E4" s="132"/>
      <c r="F4" s="132"/>
      <c r="G4" s="132"/>
      <c r="H4" s="132"/>
      <c r="I4" s="132"/>
    </row>
    <row r="6" spans="1:9" ht="15.75" customHeight="1" x14ac:dyDescent="0.25">
      <c r="A6" s="232" t="s">
        <v>14</v>
      </c>
      <c r="B6" s="220" t="s">
        <v>0</v>
      </c>
      <c r="C6" s="249" t="s">
        <v>30</v>
      </c>
      <c r="D6" s="250"/>
      <c r="E6" s="251"/>
      <c r="F6" s="242" t="s">
        <v>167</v>
      </c>
      <c r="G6" s="244" t="s">
        <v>48</v>
      </c>
      <c r="H6" s="252" t="s">
        <v>34</v>
      </c>
      <c r="I6" s="253"/>
    </row>
    <row r="7" spans="1:9" ht="47.25" x14ac:dyDescent="0.25">
      <c r="A7" s="232"/>
      <c r="B7" s="220"/>
      <c r="C7" s="20" t="s">
        <v>31</v>
      </c>
      <c r="D7" s="20" t="s">
        <v>32</v>
      </c>
      <c r="E7" s="20" t="s">
        <v>33</v>
      </c>
      <c r="F7" s="243"/>
      <c r="G7" s="245"/>
      <c r="H7" s="22" t="s">
        <v>35</v>
      </c>
      <c r="I7" s="22" t="s">
        <v>36</v>
      </c>
    </row>
    <row r="8" spans="1:9" ht="41.25" customHeight="1" x14ac:dyDescent="0.25">
      <c r="A8" s="119">
        <v>1</v>
      </c>
      <c r="B8" s="119">
        <v>2</v>
      </c>
      <c r="C8" s="119">
        <v>3</v>
      </c>
      <c r="D8" s="119">
        <v>4</v>
      </c>
      <c r="E8" s="119">
        <v>5</v>
      </c>
      <c r="F8" s="120" t="s">
        <v>119</v>
      </c>
      <c r="G8" s="121" t="s">
        <v>166</v>
      </c>
      <c r="H8" s="126" t="s">
        <v>120</v>
      </c>
      <c r="I8" s="126" t="s">
        <v>116</v>
      </c>
    </row>
    <row r="9" spans="1:9" ht="15.75" x14ac:dyDescent="0.25">
      <c r="A9" s="25">
        <v>1</v>
      </c>
      <c r="B9" s="26" t="s">
        <v>1</v>
      </c>
      <c r="C9" s="19">
        <v>236.81</v>
      </c>
      <c r="D9" s="46">
        <v>236.2</v>
      </c>
      <c r="E9" s="134">
        <v>236</v>
      </c>
      <c r="F9" s="47">
        <f>(C9+D9+E9)/3</f>
        <v>236.33666666666667</v>
      </c>
      <c r="G9" s="74">
        <f>ROUND(F9*F10,0)</f>
        <v>236</v>
      </c>
      <c r="H9" s="31">
        <f>E9/D9</f>
        <v>0.99915325994919568</v>
      </c>
      <c r="I9" s="31">
        <f>E9/C9</f>
        <v>0.99657953633714791</v>
      </c>
    </row>
    <row r="10" spans="1:9" ht="26.25" x14ac:dyDescent="0.25">
      <c r="A10" s="25"/>
      <c r="B10" s="27" t="s">
        <v>29</v>
      </c>
      <c r="C10" s="19"/>
      <c r="D10" s="35">
        <f>D9/C9</f>
        <v>0.99742409526624709</v>
      </c>
      <c r="E10" s="35">
        <f>E9/D9</f>
        <v>0.99915325994919568</v>
      </c>
      <c r="F10" s="35">
        <f>(D10+E10)/2</f>
        <v>0.99828867760772133</v>
      </c>
      <c r="G10" s="35"/>
      <c r="H10" s="31"/>
      <c r="I10" s="31"/>
    </row>
    <row r="11" spans="1:9" ht="31.5" x14ac:dyDescent="0.25">
      <c r="A11" s="25">
        <v>2</v>
      </c>
      <c r="B11" s="50" t="s">
        <v>19</v>
      </c>
      <c r="C11" s="19">
        <v>0</v>
      </c>
      <c r="D11" s="19">
        <v>0</v>
      </c>
      <c r="E11" s="43">
        <v>280</v>
      </c>
      <c r="F11" s="48">
        <f t="shared" ref="F11:G13" si="0">E11</f>
        <v>280</v>
      </c>
      <c r="G11" s="48">
        <f t="shared" si="0"/>
        <v>280</v>
      </c>
      <c r="H11" s="31">
        <v>0</v>
      </c>
      <c r="I11" s="31">
        <v>0</v>
      </c>
    </row>
    <row r="12" spans="1:9" ht="15.75" x14ac:dyDescent="0.25">
      <c r="A12" s="28">
        <v>3</v>
      </c>
      <c r="B12" s="29" t="s">
        <v>4</v>
      </c>
      <c r="C12" s="19">
        <v>0</v>
      </c>
      <c r="D12" s="19">
        <v>0</v>
      </c>
      <c r="E12" s="134">
        <v>486.6</v>
      </c>
      <c r="F12" s="47">
        <f t="shared" si="0"/>
        <v>486.6</v>
      </c>
      <c r="G12" s="48">
        <f t="shared" si="0"/>
        <v>486.6</v>
      </c>
      <c r="H12" s="31">
        <v>0</v>
      </c>
      <c r="I12" s="31">
        <v>0</v>
      </c>
    </row>
    <row r="13" spans="1:9" ht="31.5" x14ac:dyDescent="0.25">
      <c r="A13" s="28">
        <v>4</v>
      </c>
      <c r="B13" s="29" t="s">
        <v>6</v>
      </c>
      <c r="C13" s="19">
        <v>0</v>
      </c>
      <c r="D13" s="19">
        <v>0</v>
      </c>
      <c r="E13" s="150">
        <v>172.08</v>
      </c>
      <c r="F13" s="47">
        <f t="shared" si="0"/>
        <v>172.08</v>
      </c>
      <c r="G13" s="48">
        <f t="shared" si="0"/>
        <v>172.08</v>
      </c>
      <c r="H13" s="31">
        <v>0</v>
      </c>
      <c r="I13" s="31">
        <v>0</v>
      </c>
    </row>
    <row r="14" spans="1:9" ht="15.75" x14ac:dyDescent="0.25">
      <c r="A14" s="25">
        <v>5</v>
      </c>
      <c r="B14" s="26" t="s">
        <v>2</v>
      </c>
      <c r="C14" s="19">
        <v>39.409999999999997</v>
      </c>
      <c r="D14" s="19">
        <v>39.56</v>
      </c>
      <c r="E14" s="150">
        <v>46.94</v>
      </c>
      <c r="F14" s="47">
        <f>(C14+D14+E14)/3</f>
        <v>41.97</v>
      </c>
      <c r="G14" s="74">
        <f>ROUND(F14*F15,0)</f>
        <v>46</v>
      </c>
      <c r="H14" s="31">
        <f>E14/D14</f>
        <v>1.1865520728008088</v>
      </c>
      <c r="I14" s="31">
        <f>E14/C14</f>
        <v>1.1910682567876174</v>
      </c>
    </row>
    <row r="15" spans="1:9" ht="26.25" x14ac:dyDescent="0.25">
      <c r="A15" s="25"/>
      <c r="B15" s="27" t="s">
        <v>29</v>
      </c>
      <c r="C15" s="19"/>
      <c r="D15" s="35">
        <f>D14/C14</f>
        <v>1.0038061405734586</v>
      </c>
      <c r="E15" s="35">
        <f>E14/D14</f>
        <v>1.1865520728008088</v>
      </c>
      <c r="F15" s="35">
        <f>(D15+E15)/2</f>
        <v>1.0951791066871337</v>
      </c>
      <c r="G15" s="35"/>
      <c r="H15" s="31"/>
      <c r="I15" s="31"/>
    </row>
    <row r="16" spans="1:9" ht="47.25" x14ac:dyDescent="0.25">
      <c r="A16" s="25">
        <v>6</v>
      </c>
      <c r="B16" s="26" t="s">
        <v>25</v>
      </c>
      <c r="C16" s="19">
        <v>312.92</v>
      </c>
      <c r="D16" s="19">
        <v>313.02999999999997</v>
      </c>
      <c r="E16" s="150">
        <v>317.68</v>
      </c>
      <c r="F16" s="47">
        <f>(C16+D16+E16)/3</f>
        <v>314.54333333333335</v>
      </c>
      <c r="G16" s="47">
        <f>ROUND(F16*F17,0)</f>
        <v>317</v>
      </c>
      <c r="H16" s="31">
        <f>E16/D16</f>
        <v>1.0148548062486025</v>
      </c>
      <c r="I16" s="31">
        <f>E16/C16</f>
        <v>1.0152115556691805</v>
      </c>
    </row>
    <row r="17" spans="1:11" ht="26.25" x14ac:dyDescent="0.25">
      <c r="A17" s="25"/>
      <c r="B17" s="27" t="s">
        <v>29</v>
      </c>
      <c r="C17" s="19"/>
      <c r="D17" s="35">
        <f>D16/C16</f>
        <v>1.0003515275469768</v>
      </c>
      <c r="E17" s="35">
        <f>E16/D16</f>
        <v>1.0148548062486025</v>
      </c>
      <c r="F17" s="35">
        <f>(D17+E17)/2</f>
        <v>1.0076031668977896</v>
      </c>
      <c r="G17" s="35"/>
      <c r="H17" s="31"/>
      <c r="I17" s="31"/>
    </row>
    <row r="18" spans="1:11" ht="31.5" x14ac:dyDescent="0.25">
      <c r="A18" s="25">
        <v>7</v>
      </c>
      <c r="B18" s="26" t="s">
        <v>8</v>
      </c>
      <c r="C18" s="19">
        <v>149.12</v>
      </c>
      <c r="D18" s="46">
        <v>149.4</v>
      </c>
      <c r="E18" s="150">
        <v>266.16000000000003</v>
      </c>
      <c r="F18" s="47">
        <f>(C18+D18+E18)/3</f>
        <v>188.22666666666669</v>
      </c>
      <c r="G18" s="47">
        <f>ROUND(F18*F19,0)</f>
        <v>262</v>
      </c>
      <c r="H18" s="31">
        <f>E18/D18</f>
        <v>1.7815261044176707</v>
      </c>
      <c r="I18" s="31">
        <f>E18/C18</f>
        <v>1.7848712446351933</v>
      </c>
    </row>
    <row r="19" spans="1:11" ht="26.25" x14ac:dyDescent="0.25">
      <c r="A19" s="25"/>
      <c r="B19" s="27" t="s">
        <v>29</v>
      </c>
      <c r="C19" s="19"/>
      <c r="D19" s="35">
        <f>D18/C18</f>
        <v>1.0018776824034334</v>
      </c>
      <c r="E19" s="35">
        <f>E18/D18</f>
        <v>1.7815261044176707</v>
      </c>
      <c r="F19" s="35">
        <f>(D19+E19)/2</f>
        <v>1.3917018934105521</v>
      </c>
      <c r="G19" s="35"/>
      <c r="H19" s="31"/>
      <c r="I19" s="31"/>
    </row>
    <row r="20" spans="1:11" ht="31.5" x14ac:dyDescent="0.25">
      <c r="A20" s="28">
        <v>8</v>
      </c>
      <c r="B20" s="29" t="s">
        <v>5</v>
      </c>
      <c r="C20" s="19">
        <v>0</v>
      </c>
      <c r="D20" s="19">
        <v>0</v>
      </c>
      <c r="E20" s="134">
        <v>1335</v>
      </c>
      <c r="F20" s="46">
        <f>E20</f>
        <v>1335</v>
      </c>
      <c r="G20" s="46">
        <f>F20</f>
        <v>1335</v>
      </c>
      <c r="H20" s="31">
        <v>0</v>
      </c>
      <c r="I20" s="31">
        <v>0</v>
      </c>
    </row>
    <row r="21" spans="1:11" ht="31.5" x14ac:dyDescent="0.25">
      <c r="A21" s="28">
        <v>9</v>
      </c>
      <c r="B21" s="29" t="s">
        <v>7</v>
      </c>
      <c r="C21" s="19">
        <v>0</v>
      </c>
      <c r="D21" s="19">
        <v>0</v>
      </c>
      <c r="E21" s="150">
        <v>215.76</v>
      </c>
      <c r="F21" s="46">
        <f t="shared" ref="F21:F22" si="1">E21</f>
        <v>215.76</v>
      </c>
      <c r="G21" s="46">
        <f t="shared" ref="G21:G22" si="2">F21</f>
        <v>215.76</v>
      </c>
      <c r="H21" s="31">
        <v>0</v>
      </c>
      <c r="I21" s="31">
        <v>0</v>
      </c>
    </row>
    <row r="22" spans="1:11" ht="15.75" x14ac:dyDescent="0.25">
      <c r="A22" s="28">
        <v>10</v>
      </c>
      <c r="B22" s="29" t="s">
        <v>3</v>
      </c>
      <c r="C22" s="19">
        <v>0</v>
      </c>
      <c r="D22" s="19">
        <v>0</v>
      </c>
      <c r="E22" s="150">
        <v>135.41999999999999</v>
      </c>
      <c r="F22" s="46">
        <f t="shared" si="1"/>
        <v>135.41999999999999</v>
      </c>
      <c r="G22" s="46">
        <f t="shared" si="2"/>
        <v>135.41999999999999</v>
      </c>
      <c r="H22" s="31">
        <v>0</v>
      </c>
      <c r="I22" s="31">
        <v>0</v>
      </c>
    </row>
    <row r="23" spans="1:11" ht="15.75" x14ac:dyDescent="0.25">
      <c r="A23" s="240" t="s">
        <v>15</v>
      </c>
      <c r="B23" s="241"/>
      <c r="C23" s="49" t="s">
        <v>12</v>
      </c>
      <c r="D23" s="49" t="s">
        <v>12</v>
      </c>
      <c r="E23" s="49" t="s">
        <v>12</v>
      </c>
      <c r="F23" s="49" t="s">
        <v>12</v>
      </c>
      <c r="G23" s="49" t="s">
        <v>12</v>
      </c>
      <c r="H23" s="39" t="e">
        <f>E23/D23</f>
        <v>#VALUE!</v>
      </c>
      <c r="I23" s="39">
        <f>SUM(I9:I22)/4</f>
        <v>1.2469326483572849</v>
      </c>
      <c r="J23" s="164"/>
      <c r="K23" s="164"/>
    </row>
    <row r="24" spans="1:11" ht="15.75" x14ac:dyDescent="0.25">
      <c r="A24" s="30"/>
      <c r="B24" s="40" t="s">
        <v>27</v>
      </c>
      <c r="C24" s="49" t="s">
        <v>12</v>
      </c>
      <c r="D24" s="49" t="s">
        <v>12</v>
      </c>
      <c r="E24" s="49" t="s">
        <v>12</v>
      </c>
      <c r="F24" s="49" t="s">
        <v>12</v>
      </c>
      <c r="G24" s="49" t="s">
        <v>12</v>
      </c>
      <c r="H24" s="39">
        <v>0</v>
      </c>
      <c r="I24" s="39">
        <v>0</v>
      </c>
    </row>
    <row r="25" spans="1:11" ht="15.75" x14ac:dyDescent="0.25">
      <c r="A25" s="30"/>
      <c r="B25" s="41" t="s">
        <v>28</v>
      </c>
      <c r="C25" s="49" t="s">
        <v>12</v>
      </c>
      <c r="D25" s="49" t="s">
        <v>12</v>
      </c>
      <c r="E25" s="49" t="s">
        <v>12</v>
      </c>
      <c r="F25" s="49" t="s">
        <v>12</v>
      </c>
      <c r="G25" s="49" t="s">
        <v>12</v>
      </c>
      <c r="H25" s="39" t="e">
        <f>E25/D25</f>
        <v>#VALUE!</v>
      </c>
      <c r="I25" s="39">
        <f>SUM(I9:I22)/4</f>
        <v>1.2469326483572849</v>
      </c>
    </row>
    <row r="27" spans="1:11" ht="15.75" x14ac:dyDescent="0.25">
      <c r="A27" s="42" t="s">
        <v>121</v>
      </c>
      <c r="B27" s="42"/>
      <c r="C27" s="42"/>
      <c r="D27" s="42"/>
      <c r="E27" s="42"/>
    </row>
    <row r="28" spans="1:11" ht="15.75" x14ac:dyDescent="0.25">
      <c r="A28" s="42" t="s">
        <v>122</v>
      </c>
      <c r="B28" s="42"/>
      <c r="C28" s="42"/>
      <c r="D28" s="42"/>
      <c r="E28" s="42"/>
    </row>
    <row r="29" spans="1:11" ht="15.75" x14ac:dyDescent="0.25">
      <c r="A29" s="42" t="s">
        <v>123</v>
      </c>
      <c r="B29" s="42"/>
      <c r="C29" s="42"/>
      <c r="D29" s="42"/>
      <c r="E29" s="42"/>
    </row>
    <row r="31" spans="1:11" ht="15.75" x14ac:dyDescent="0.25">
      <c r="A31" s="172" t="s">
        <v>169</v>
      </c>
      <c r="B31" s="172"/>
      <c r="C31" s="172"/>
      <c r="D31" s="172"/>
      <c r="E31" s="172"/>
      <c r="F31" s="172"/>
      <c r="G31" s="172"/>
      <c r="H31" s="172"/>
      <c r="I31" s="172" t="s">
        <v>170</v>
      </c>
    </row>
    <row r="32" spans="1:11" ht="15.75" x14ac:dyDescent="0.25">
      <c r="A32" s="172"/>
      <c r="B32" s="172"/>
      <c r="C32" s="172"/>
      <c r="D32" s="172"/>
      <c r="E32" s="172"/>
      <c r="F32" s="172"/>
      <c r="G32" s="172"/>
      <c r="H32" s="172"/>
      <c r="I32" s="172"/>
    </row>
    <row r="33" spans="1:9" ht="15.75" x14ac:dyDescent="0.25">
      <c r="A33" s="173" t="s">
        <v>213</v>
      </c>
      <c r="B33" s="173"/>
      <c r="C33" s="173"/>
      <c r="D33" s="172"/>
      <c r="E33" s="172"/>
      <c r="F33" s="172"/>
      <c r="G33" s="172"/>
      <c r="H33" s="172"/>
      <c r="I33" s="172"/>
    </row>
    <row r="34" spans="1:9" ht="15.75" x14ac:dyDescent="0.25">
      <c r="A34" s="173" t="s">
        <v>171</v>
      </c>
      <c r="B34" s="173"/>
      <c r="C34" s="173"/>
      <c r="D34" s="172"/>
      <c r="E34" s="172"/>
      <c r="F34" s="172"/>
      <c r="G34" s="172"/>
      <c r="H34" s="172"/>
      <c r="I34" s="172"/>
    </row>
    <row r="35" spans="1:9" ht="15.75" x14ac:dyDescent="0.25">
      <c r="A35" s="173" t="s">
        <v>172</v>
      </c>
      <c r="B35" s="173"/>
      <c r="C35" s="173"/>
      <c r="D35" s="172"/>
      <c r="E35" s="172"/>
      <c r="F35" s="172"/>
      <c r="G35" s="172"/>
      <c r="H35" s="172"/>
      <c r="I35" s="172"/>
    </row>
  </sheetData>
  <mergeCells count="10">
    <mergeCell ref="A23:B23"/>
    <mergeCell ref="C6:E6"/>
    <mergeCell ref="F6:F7"/>
    <mergeCell ref="G6:G7"/>
    <mergeCell ref="H1:I1"/>
    <mergeCell ref="H6:I6"/>
    <mergeCell ref="A6:A7"/>
    <mergeCell ref="B6:B7"/>
    <mergeCell ref="E2:I2"/>
    <mergeCell ref="C3:I3"/>
  </mergeCells>
  <pageMargins left="0.70866141732283472" right="0.70866141732283472" top="0.74803149606299213" bottom="0.74803149606299213" header="0.31496062992125984" footer="0.31496062992125984"/>
  <pageSetup paperSize="9" scale="80" orientation="portrait" r:id="rId1"/>
  <headerFooter>
    <oddFooter>&amp;CLMpielik_12_070815_LMZino</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topLeftCell="A30" zoomScaleNormal="100" workbookViewId="0">
      <selection activeCell="B38" sqref="B38"/>
    </sheetView>
  </sheetViews>
  <sheetFormatPr defaultRowHeight="15" x14ac:dyDescent="0.25"/>
  <cols>
    <col min="1" max="1" width="7.140625" customWidth="1"/>
    <col min="2" max="2" width="32.5703125" customWidth="1"/>
    <col min="3" max="3" width="10.7109375" customWidth="1"/>
    <col min="4" max="4" width="11.42578125" customWidth="1"/>
    <col min="5" max="7" width="12.42578125" customWidth="1"/>
    <col min="8" max="8" width="70.5703125" customWidth="1"/>
    <col min="9" max="10" width="11.7109375" customWidth="1"/>
    <col min="11" max="13" width="15" customWidth="1"/>
    <col min="14" max="14" width="14.42578125" customWidth="1"/>
  </cols>
  <sheetData>
    <row r="1" spans="1:14" ht="15.75" x14ac:dyDescent="0.25">
      <c r="H1" s="70"/>
      <c r="L1" s="231" t="s">
        <v>168</v>
      </c>
      <c r="M1" s="231"/>
      <c r="N1" s="231"/>
    </row>
    <row r="2" spans="1:14" ht="15.75" x14ac:dyDescent="0.25">
      <c r="H2" s="165"/>
      <c r="I2" s="176"/>
      <c r="J2" s="176"/>
      <c r="K2" s="234" t="s">
        <v>173</v>
      </c>
      <c r="L2" s="234"/>
      <c r="M2" s="234"/>
      <c r="N2" s="234"/>
    </row>
    <row r="3" spans="1:14" ht="39" customHeight="1" x14ac:dyDescent="0.25">
      <c r="H3" s="165"/>
      <c r="I3" s="235" t="s">
        <v>178</v>
      </c>
      <c r="J3" s="235"/>
      <c r="K3" s="235"/>
      <c r="L3" s="235"/>
      <c r="M3" s="235"/>
      <c r="N3" s="235"/>
    </row>
    <row r="4" spans="1:14" ht="18.75" x14ac:dyDescent="0.3">
      <c r="E4" s="233" t="s">
        <v>165</v>
      </c>
      <c r="F4" s="233"/>
      <c r="G4" s="233"/>
    </row>
    <row r="5" spans="1:14" ht="42.75" customHeight="1" x14ac:dyDescent="0.3">
      <c r="B5" s="262" t="s">
        <v>163</v>
      </c>
      <c r="C5" s="262"/>
      <c r="D5" s="262"/>
      <c r="E5" s="262"/>
      <c r="F5" s="262"/>
      <c r="G5" s="262"/>
      <c r="H5" s="262"/>
    </row>
    <row r="7" spans="1:14" ht="31.5" customHeight="1" x14ac:dyDescent="0.25">
      <c r="A7" s="255" t="s">
        <v>14</v>
      </c>
      <c r="B7" s="264" t="s">
        <v>49</v>
      </c>
      <c r="C7" s="257" t="s">
        <v>50</v>
      </c>
      <c r="D7" s="257"/>
      <c r="E7" s="217" t="s">
        <v>51</v>
      </c>
      <c r="F7" s="217" t="s">
        <v>150</v>
      </c>
      <c r="G7" s="217" t="s">
        <v>151</v>
      </c>
      <c r="H7" s="264" t="s">
        <v>52</v>
      </c>
      <c r="I7" s="263" t="s">
        <v>141</v>
      </c>
      <c r="J7" s="263"/>
      <c r="K7" s="263"/>
      <c r="L7" s="263"/>
      <c r="M7" s="263"/>
      <c r="N7" s="263"/>
    </row>
    <row r="8" spans="1:14" ht="66.75" customHeight="1" x14ac:dyDescent="0.25">
      <c r="A8" s="256"/>
      <c r="B8" s="265"/>
      <c r="C8" s="23" t="s">
        <v>53</v>
      </c>
      <c r="D8" s="23" t="s">
        <v>54</v>
      </c>
      <c r="E8" s="218"/>
      <c r="F8" s="218"/>
      <c r="G8" s="218"/>
      <c r="H8" s="265"/>
      <c r="I8" s="149" t="s">
        <v>146</v>
      </c>
      <c r="J8" s="156" t="s">
        <v>147</v>
      </c>
      <c r="K8" s="148" t="s">
        <v>142</v>
      </c>
      <c r="L8" s="148" t="s">
        <v>143</v>
      </c>
      <c r="M8" s="148" t="s">
        <v>144</v>
      </c>
      <c r="N8" s="149" t="s">
        <v>145</v>
      </c>
    </row>
    <row r="9" spans="1:14" ht="15.75" x14ac:dyDescent="0.25">
      <c r="A9" s="75">
        <v>1</v>
      </c>
      <c r="B9" s="76" t="s">
        <v>55</v>
      </c>
      <c r="C9" s="76"/>
      <c r="D9" s="23"/>
      <c r="E9" s="24"/>
      <c r="F9" s="6">
        <f>SUM(F10:F16)</f>
        <v>34035.096599999997</v>
      </c>
      <c r="G9" s="6">
        <f>SUM(G10:G16)</f>
        <v>34035.096599999997</v>
      </c>
      <c r="H9" s="258" t="s">
        <v>212</v>
      </c>
      <c r="I9" s="147"/>
      <c r="J9" s="155"/>
      <c r="K9" s="147"/>
      <c r="L9" s="147"/>
      <c r="M9" s="46">
        <f>K9+L9</f>
        <v>0</v>
      </c>
      <c r="N9" s="147"/>
    </row>
    <row r="10" spans="1:14" ht="15.75" x14ac:dyDescent="0.25">
      <c r="A10" s="71" t="s">
        <v>56</v>
      </c>
      <c r="B10" s="77" t="s">
        <v>57</v>
      </c>
      <c r="C10" s="78" t="s">
        <v>58</v>
      </c>
      <c r="D10" s="23">
        <v>1</v>
      </c>
      <c r="E10" s="46">
        <v>570</v>
      </c>
      <c r="F10" s="64">
        <f>E10*12</f>
        <v>6840</v>
      </c>
      <c r="G10" s="64">
        <f t="shared" ref="G10:G16" si="0">F10</f>
        <v>6840</v>
      </c>
      <c r="H10" s="258"/>
      <c r="I10" s="147">
        <v>0</v>
      </c>
      <c r="J10" s="155">
        <v>0</v>
      </c>
      <c r="K10" s="147">
        <f>ROUND(E10*10.5%,2)</f>
        <v>59.85</v>
      </c>
      <c r="L10" s="147">
        <f>ROUND(E10*23.59%,2)</f>
        <v>134.46</v>
      </c>
      <c r="M10" s="46">
        <f>K10+L10</f>
        <v>194.31</v>
      </c>
      <c r="N10" s="46">
        <f>ROUND((E10-K10)*22%,2)</f>
        <v>112.23</v>
      </c>
    </row>
    <row r="11" spans="1:14" ht="15.75" x14ac:dyDescent="0.25">
      <c r="A11" s="71" t="s">
        <v>59</v>
      </c>
      <c r="B11" s="77" t="s">
        <v>60</v>
      </c>
      <c r="C11" s="78" t="s">
        <v>58</v>
      </c>
      <c r="D11" s="23">
        <v>0.75</v>
      </c>
      <c r="E11" s="46">
        <v>570</v>
      </c>
      <c r="F11" s="64">
        <f>E11*0.75*12</f>
        <v>5130</v>
      </c>
      <c r="G11" s="64">
        <f t="shared" si="0"/>
        <v>5130</v>
      </c>
      <c r="H11" s="258"/>
      <c r="I11" s="155">
        <v>0</v>
      </c>
      <c r="J11" s="155">
        <v>0</v>
      </c>
      <c r="K11" s="147">
        <f t="shared" ref="K11:K13" si="1">ROUND(E11*10.5%,2)</f>
        <v>59.85</v>
      </c>
      <c r="L11" s="147">
        <f t="shared" ref="L11:L13" si="2">ROUND(E11*23.59%,2)</f>
        <v>134.46</v>
      </c>
      <c r="M11" s="46">
        <f t="shared" ref="M11:M32" si="3">K11+L11</f>
        <v>194.31</v>
      </c>
      <c r="N11" s="46">
        <f t="shared" ref="N11:N13" si="4">ROUND((E11-K11)*22%,2)</f>
        <v>112.23</v>
      </c>
    </row>
    <row r="12" spans="1:14" ht="15.75" x14ac:dyDescent="0.25">
      <c r="A12" s="71" t="s">
        <v>61</v>
      </c>
      <c r="B12" s="77" t="s">
        <v>62</v>
      </c>
      <c r="C12" s="78" t="s">
        <v>58</v>
      </c>
      <c r="D12" s="23">
        <v>1</v>
      </c>
      <c r="E12" s="46">
        <v>670</v>
      </c>
      <c r="F12" s="64">
        <f>E12*12</f>
        <v>8040</v>
      </c>
      <c r="G12" s="64">
        <f t="shared" si="0"/>
        <v>8040</v>
      </c>
      <c r="H12" s="258"/>
      <c r="I12" s="155">
        <v>0</v>
      </c>
      <c r="J12" s="155">
        <v>0</v>
      </c>
      <c r="K12" s="147">
        <f t="shared" si="1"/>
        <v>70.349999999999994</v>
      </c>
      <c r="L12" s="147">
        <f t="shared" si="2"/>
        <v>158.05000000000001</v>
      </c>
      <c r="M12" s="46">
        <f t="shared" si="3"/>
        <v>228.4</v>
      </c>
      <c r="N12" s="46">
        <f t="shared" si="4"/>
        <v>131.91999999999999</v>
      </c>
    </row>
    <row r="13" spans="1:14" ht="372.75" customHeight="1" x14ac:dyDescent="0.25">
      <c r="A13" s="71" t="s">
        <v>63</v>
      </c>
      <c r="B13" s="77" t="s">
        <v>97</v>
      </c>
      <c r="C13" s="78" t="s">
        <v>58</v>
      </c>
      <c r="D13" s="23">
        <v>0.5</v>
      </c>
      <c r="E13" s="46">
        <v>994</v>
      </c>
      <c r="F13" s="64">
        <f>E13*12*0.5</f>
        <v>5964</v>
      </c>
      <c r="G13" s="64">
        <f t="shared" si="0"/>
        <v>5964</v>
      </c>
      <c r="H13" s="258"/>
      <c r="I13" s="155">
        <v>0</v>
      </c>
      <c r="J13" s="155">
        <v>0</v>
      </c>
      <c r="K13" s="147">
        <f t="shared" si="1"/>
        <v>104.37</v>
      </c>
      <c r="L13" s="147">
        <f t="shared" si="2"/>
        <v>234.48</v>
      </c>
      <c r="M13" s="46">
        <f t="shared" si="3"/>
        <v>338.85</v>
      </c>
      <c r="N13" s="46">
        <f t="shared" si="4"/>
        <v>195.72</v>
      </c>
    </row>
    <row r="14" spans="1:14" ht="14.25" customHeight="1" x14ac:dyDescent="0.25">
      <c r="A14" s="71" t="s">
        <v>64</v>
      </c>
      <c r="B14" s="77" t="s">
        <v>98</v>
      </c>
      <c r="C14" s="78"/>
      <c r="D14" s="99"/>
      <c r="E14" s="46"/>
      <c r="F14" s="64">
        <f>LMpielik_14_LMZino!E9</f>
        <v>1920.8700000000001</v>
      </c>
      <c r="G14" s="64">
        <f t="shared" si="0"/>
        <v>1920.8700000000001</v>
      </c>
      <c r="H14" s="100" t="s">
        <v>181</v>
      </c>
      <c r="I14" s="155">
        <v>0</v>
      </c>
      <c r="J14" s="155">
        <v>0</v>
      </c>
      <c r="K14" s="46">
        <f>LMpielik_14_LMZino!G9</f>
        <v>0</v>
      </c>
      <c r="L14" s="46">
        <f>LMpielik_14_LMZino!H9</f>
        <v>0</v>
      </c>
      <c r="M14" s="46">
        <f t="shared" si="3"/>
        <v>0</v>
      </c>
      <c r="N14" s="46">
        <f>LMpielik_14_LMZino!I9</f>
        <v>0</v>
      </c>
    </row>
    <row r="15" spans="1:14" ht="15.75" x14ac:dyDescent="0.25">
      <c r="A15" s="71" t="s">
        <v>67</v>
      </c>
      <c r="B15" s="77" t="s">
        <v>65</v>
      </c>
      <c r="C15" s="78" t="s">
        <v>66</v>
      </c>
      <c r="D15" s="23" t="s">
        <v>66</v>
      </c>
      <c r="E15" s="23">
        <v>23.59</v>
      </c>
      <c r="F15" s="64">
        <f>SUM(F10:F13)*23.59%</f>
        <v>6127.2665999999999</v>
      </c>
      <c r="G15" s="64">
        <f t="shared" si="0"/>
        <v>6127.2665999999999</v>
      </c>
      <c r="H15" s="21"/>
      <c r="I15" s="155">
        <v>0</v>
      </c>
      <c r="J15" s="155">
        <v>0</v>
      </c>
      <c r="K15" s="147"/>
      <c r="L15" s="147"/>
      <c r="M15" s="46">
        <f t="shared" si="3"/>
        <v>0</v>
      </c>
      <c r="N15" s="147"/>
    </row>
    <row r="16" spans="1:14" ht="90" x14ac:dyDescent="0.25">
      <c r="A16" s="116" t="s">
        <v>114</v>
      </c>
      <c r="B16" s="79" t="s">
        <v>68</v>
      </c>
      <c r="C16" s="80" t="s">
        <v>69</v>
      </c>
      <c r="D16" s="52">
        <v>3</v>
      </c>
      <c r="E16" s="52">
        <v>0.36</v>
      </c>
      <c r="F16" s="69">
        <f>D16*E16*12</f>
        <v>12.96</v>
      </c>
      <c r="G16" s="69">
        <f t="shared" si="0"/>
        <v>12.96</v>
      </c>
      <c r="H16" s="81" t="s">
        <v>99</v>
      </c>
      <c r="I16" s="155">
        <v>0</v>
      </c>
      <c r="J16" s="155">
        <v>0</v>
      </c>
      <c r="K16" s="147"/>
      <c r="L16" s="147"/>
      <c r="M16" s="46">
        <f t="shared" si="3"/>
        <v>0</v>
      </c>
      <c r="N16" s="147"/>
    </row>
    <row r="17" spans="1:14" ht="47.25" x14ac:dyDescent="0.25">
      <c r="A17" s="75">
        <v>2</v>
      </c>
      <c r="B17" s="82" t="s">
        <v>106</v>
      </c>
      <c r="C17" s="82"/>
      <c r="D17" s="23"/>
      <c r="E17" s="23"/>
      <c r="F17" s="49">
        <f>SUM(F18:F22)+F23+F28</f>
        <v>9788</v>
      </c>
      <c r="G17" s="49">
        <f>SUM(G18:G22)+G23+G28</f>
        <v>7196</v>
      </c>
      <c r="H17" s="21"/>
      <c r="I17" s="147"/>
      <c r="J17" s="155"/>
      <c r="K17" s="147"/>
      <c r="L17" s="147"/>
      <c r="M17" s="46">
        <f t="shared" si="3"/>
        <v>0</v>
      </c>
      <c r="N17" s="147"/>
    </row>
    <row r="18" spans="1:14" ht="15.75" x14ac:dyDescent="0.25">
      <c r="A18" s="71" t="s">
        <v>70</v>
      </c>
      <c r="B18" s="77" t="s">
        <v>71</v>
      </c>
      <c r="C18" s="77" t="s">
        <v>100</v>
      </c>
      <c r="D18" s="23">
        <v>1385</v>
      </c>
      <c r="E18" s="46">
        <v>2</v>
      </c>
      <c r="F18" s="64">
        <f>E18*D18</f>
        <v>2770</v>
      </c>
      <c r="G18" s="64">
        <f>F18</f>
        <v>2770</v>
      </c>
      <c r="H18" s="21" t="s">
        <v>103</v>
      </c>
      <c r="I18" s="147">
        <f t="shared" ref="I18:I23" si="5">ROUND(F18-F18/1.21,2)</f>
        <v>480.74</v>
      </c>
      <c r="J18" s="155">
        <f>I18</f>
        <v>480.74</v>
      </c>
      <c r="K18" s="147"/>
      <c r="L18" s="147"/>
      <c r="M18" s="46">
        <f t="shared" si="3"/>
        <v>0</v>
      </c>
      <c r="N18" s="147"/>
    </row>
    <row r="19" spans="1:14" ht="15.75" x14ac:dyDescent="0.25">
      <c r="A19" s="71" t="s">
        <v>72</v>
      </c>
      <c r="B19" s="83" t="s">
        <v>73</v>
      </c>
      <c r="C19" s="83" t="s">
        <v>100</v>
      </c>
      <c r="D19" s="23">
        <f>D18</f>
        <v>1385</v>
      </c>
      <c r="E19" s="46">
        <v>2</v>
      </c>
      <c r="F19" s="64">
        <f t="shared" ref="F19:F20" si="6">E19*D19</f>
        <v>2770</v>
      </c>
      <c r="G19" s="64">
        <f t="shared" ref="G19:G22" si="7">F19</f>
        <v>2770</v>
      </c>
      <c r="H19" s="21" t="s">
        <v>103</v>
      </c>
      <c r="I19" s="147">
        <f t="shared" si="5"/>
        <v>480.74</v>
      </c>
      <c r="J19" s="155">
        <f t="shared" ref="J19:J22" si="8">I19</f>
        <v>480.74</v>
      </c>
      <c r="K19" s="147"/>
      <c r="L19" s="147"/>
      <c r="M19" s="46">
        <f t="shared" si="3"/>
        <v>0</v>
      </c>
      <c r="N19" s="147"/>
    </row>
    <row r="20" spans="1:14" ht="15.75" x14ac:dyDescent="0.25">
      <c r="A20" s="71" t="s">
        <v>74</v>
      </c>
      <c r="B20" s="83" t="s">
        <v>75</v>
      </c>
      <c r="C20" s="83" t="s">
        <v>101</v>
      </c>
      <c r="D20" s="23">
        <v>12</v>
      </c>
      <c r="E20" s="46">
        <v>50</v>
      </c>
      <c r="F20" s="64">
        <f t="shared" si="6"/>
        <v>600</v>
      </c>
      <c r="G20" s="64">
        <f t="shared" si="7"/>
        <v>600</v>
      </c>
      <c r="H20" s="21" t="s">
        <v>113</v>
      </c>
      <c r="I20" s="147">
        <f t="shared" si="5"/>
        <v>104.13</v>
      </c>
      <c r="J20" s="155">
        <f t="shared" si="8"/>
        <v>104.13</v>
      </c>
      <c r="K20" s="147"/>
      <c r="L20" s="147"/>
      <c r="M20" s="46">
        <f t="shared" si="3"/>
        <v>0</v>
      </c>
      <c r="N20" s="147"/>
    </row>
    <row r="21" spans="1:14" ht="15.75" x14ac:dyDescent="0.25">
      <c r="A21" s="71" t="s">
        <v>76</v>
      </c>
      <c r="B21" s="83" t="s">
        <v>77</v>
      </c>
      <c r="C21" s="83" t="s">
        <v>101</v>
      </c>
      <c r="D21" s="23">
        <v>12</v>
      </c>
      <c r="E21" s="46">
        <v>11</v>
      </c>
      <c r="F21" s="64">
        <f>E21*D21*3</f>
        <v>396</v>
      </c>
      <c r="G21" s="64">
        <f t="shared" si="7"/>
        <v>396</v>
      </c>
      <c r="H21" s="21" t="s">
        <v>102</v>
      </c>
      <c r="I21" s="147">
        <f t="shared" si="5"/>
        <v>68.73</v>
      </c>
      <c r="J21" s="155">
        <f t="shared" si="8"/>
        <v>68.73</v>
      </c>
      <c r="K21" s="147"/>
      <c r="L21" s="147"/>
      <c r="M21" s="46">
        <f t="shared" si="3"/>
        <v>0</v>
      </c>
      <c r="N21" s="147"/>
    </row>
    <row r="22" spans="1:14" ht="48" customHeight="1" x14ac:dyDescent="0.25">
      <c r="A22" s="71" t="s">
        <v>78</v>
      </c>
      <c r="B22" s="83" t="s">
        <v>79</v>
      </c>
      <c r="C22" s="83"/>
      <c r="D22" s="23">
        <v>2</v>
      </c>
      <c r="E22" s="46">
        <v>330</v>
      </c>
      <c r="F22" s="64">
        <f>E22*D22</f>
        <v>660</v>
      </c>
      <c r="G22" s="64">
        <f t="shared" si="7"/>
        <v>660</v>
      </c>
      <c r="H22" s="21" t="s">
        <v>104</v>
      </c>
      <c r="I22" s="147">
        <f t="shared" si="5"/>
        <v>114.55</v>
      </c>
      <c r="J22" s="155">
        <f t="shared" si="8"/>
        <v>114.55</v>
      </c>
      <c r="K22" s="147"/>
      <c r="L22" s="147"/>
      <c r="M22" s="46">
        <f t="shared" si="3"/>
        <v>0</v>
      </c>
      <c r="N22" s="147"/>
    </row>
    <row r="23" spans="1:14" ht="15.75" x14ac:dyDescent="0.25">
      <c r="A23" s="71" t="s">
        <v>80</v>
      </c>
      <c r="B23" s="83" t="s">
        <v>81</v>
      </c>
      <c r="C23" s="83"/>
      <c r="D23" s="23"/>
      <c r="E23" s="23"/>
      <c r="F23" s="64">
        <f>SUM(F24:F27)</f>
        <v>2392</v>
      </c>
      <c r="G23" s="64">
        <v>0</v>
      </c>
      <c r="H23" s="21"/>
      <c r="I23" s="147">
        <f t="shared" si="5"/>
        <v>415.14</v>
      </c>
      <c r="J23" s="155">
        <v>0</v>
      </c>
      <c r="K23" s="147"/>
      <c r="L23" s="147"/>
      <c r="M23" s="46">
        <f t="shared" si="3"/>
        <v>0</v>
      </c>
      <c r="N23" s="147"/>
    </row>
    <row r="24" spans="1:14" ht="15.75" x14ac:dyDescent="0.25">
      <c r="A24" s="71" t="s">
        <v>82</v>
      </c>
      <c r="B24" s="84" t="s">
        <v>83</v>
      </c>
      <c r="C24" s="84"/>
      <c r="D24" s="23">
        <v>2</v>
      </c>
      <c r="E24" s="67">
        <v>386</v>
      </c>
      <c r="F24" s="85">
        <f>E24*D24</f>
        <v>772</v>
      </c>
      <c r="G24" s="85"/>
      <c r="H24" s="259" t="s">
        <v>105</v>
      </c>
      <c r="I24" s="147">
        <v>0</v>
      </c>
      <c r="J24" s="155"/>
      <c r="K24" s="147"/>
      <c r="L24" s="147"/>
      <c r="M24" s="46">
        <f t="shared" si="3"/>
        <v>0</v>
      </c>
      <c r="N24" s="147"/>
    </row>
    <row r="25" spans="1:14" ht="15.75" x14ac:dyDescent="0.25">
      <c r="A25" s="71" t="s">
        <v>84</v>
      </c>
      <c r="B25" s="84" t="s">
        <v>85</v>
      </c>
      <c r="C25" s="84"/>
      <c r="D25" s="23">
        <v>2</v>
      </c>
      <c r="E25" s="67">
        <v>130</v>
      </c>
      <c r="F25" s="85">
        <f t="shared" ref="F25:F28" si="9">E25*D25</f>
        <v>260</v>
      </c>
      <c r="G25" s="85"/>
      <c r="H25" s="260"/>
      <c r="I25" s="155">
        <v>0</v>
      </c>
      <c r="J25" s="155"/>
      <c r="K25" s="147"/>
      <c r="L25" s="147"/>
      <c r="M25" s="46">
        <f t="shared" si="3"/>
        <v>0</v>
      </c>
      <c r="N25" s="147"/>
    </row>
    <row r="26" spans="1:14" ht="31.5" x14ac:dyDescent="0.25">
      <c r="A26" s="86" t="s">
        <v>86</v>
      </c>
      <c r="B26" s="84" t="s">
        <v>87</v>
      </c>
      <c r="C26" s="84"/>
      <c r="D26" s="87">
        <v>1</v>
      </c>
      <c r="E26" s="88">
        <v>500</v>
      </c>
      <c r="F26" s="89">
        <f t="shared" si="9"/>
        <v>500</v>
      </c>
      <c r="G26" s="89"/>
      <c r="H26" s="260"/>
      <c r="I26" s="155">
        <v>0</v>
      </c>
      <c r="J26" s="155"/>
      <c r="K26" s="147"/>
      <c r="L26" s="147"/>
      <c r="M26" s="46">
        <f t="shared" si="3"/>
        <v>0</v>
      </c>
      <c r="N26" s="147"/>
    </row>
    <row r="27" spans="1:14" ht="15.75" x14ac:dyDescent="0.25">
      <c r="A27" s="90" t="s">
        <v>88</v>
      </c>
      <c r="B27" s="84" t="s">
        <v>89</v>
      </c>
      <c r="C27" s="84"/>
      <c r="D27" s="23">
        <v>2</v>
      </c>
      <c r="E27" s="67">
        <v>430</v>
      </c>
      <c r="F27" s="85">
        <f t="shared" si="9"/>
        <v>860</v>
      </c>
      <c r="G27" s="85"/>
      <c r="H27" s="260"/>
      <c r="I27" s="155">
        <v>0</v>
      </c>
      <c r="J27" s="155"/>
      <c r="K27" s="147"/>
      <c r="L27" s="147"/>
      <c r="M27" s="46">
        <f t="shared" si="3"/>
        <v>0</v>
      </c>
      <c r="N27" s="147"/>
    </row>
    <row r="28" spans="1:14" ht="50.25" customHeight="1" x14ac:dyDescent="0.25">
      <c r="A28" s="71" t="s">
        <v>90</v>
      </c>
      <c r="B28" s="83" t="s">
        <v>91</v>
      </c>
      <c r="C28" s="83"/>
      <c r="D28" s="23">
        <v>2</v>
      </c>
      <c r="E28" s="67">
        <v>100</v>
      </c>
      <c r="F28" s="64">
        <f t="shared" si="9"/>
        <v>200</v>
      </c>
      <c r="G28" s="64"/>
      <c r="H28" s="261"/>
      <c r="I28" s="147">
        <f>ROUND(F28-F28/1.21,2)</f>
        <v>34.71</v>
      </c>
      <c r="J28" s="155">
        <v>0</v>
      </c>
      <c r="K28" s="147"/>
      <c r="L28" s="147"/>
      <c r="M28" s="46">
        <f t="shared" si="3"/>
        <v>0</v>
      </c>
      <c r="N28" s="147"/>
    </row>
    <row r="29" spans="1:14" ht="66.75" customHeight="1" x14ac:dyDescent="0.25">
      <c r="A29" s="101" t="s">
        <v>110</v>
      </c>
      <c r="B29" s="82" t="s">
        <v>107</v>
      </c>
      <c r="C29" s="82"/>
      <c r="D29" s="13"/>
      <c r="E29" s="115"/>
      <c r="F29" s="49">
        <v>1500</v>
      </c>
      <c r="G29" s="158">
        <f>F29</f>
        <v>1500</v>
      </c>
      <c r="H29" s="157" t="s">
        <v>148</v>
      </c>
      <c r="I29" s="147">
        <f>ROUND(F29-F29/1.21,2)</f>
        <v>260.33</v>
      </c>
      <c r="J29" s="155">
        <f>I29</f>
        <v>260.33</v>
      </c>
      <c r="K29" s="147"/>
      <c r="L29" s="147"/>
      <c r="M29" s="46">
        <f t="shared" si="3"/>
        <v>0</v>
      </c>
      <c r="N29" s="147"/>
    </row>
    <row r="30" spans="1:14" ht="84.75" customHeight="1" x14ac:dyDescent="0.25">
      <c r="A30" s="101" t="s">
        <v>109</v>
      </c>
      <c r="B30" s="82" t="s">
        <v>108</v>
      </c>
      <c r="C30" s="83"/>
      <c r="D30" s="99"/>
      <c r="E30" s="67"/>
      <c r="F30" s="49">
        <v>1500</v>
      </c>
      <c r="G30" s="158">
        <f>F30</f>
        <v>1500</v>
      </c>
      <c r="H30" s="157" t="s">
        <v>149</v>
      </c>
      <c r="I30" s="147">
        <f>ROUND(F30-F30/1.21,2)</f>
        <v>260.33</v>
      </c>
      <c r="J30" s="155">
        <f>I30</f>
        <v>260.33</v>
      </c>
      <c r="K30" s="147"/>
      <c r="L30" s="147"/>
      <c r="M30" s="46">
        <f t="shared" si="3"/>
        <v>0</v>
      </c>
      <c r="N30" s="147"/>
    </row>
    <row r="31" spans="1:14" ht="15.75" x14ac:dyDescent="0.25">
      <c r="A31" s="101" t="s">
        <v>111</v>
      </c>
      <c r="B31" s="91" t="s">
        <v>92</v>
      </c>
      <c r="C31" s="91"/>
      <c r="D31" s="23"/>
      <c r="E31" s="67"/>
      <c r="F31" s="49">
        <f>SUM(F32:F32)</f>
        <v>2292</v>
      </c>
      <c r="G31" s="49">
        <f>SUM(G32:G32)</f>
        <v>2292</v>
      </c>
      <c r="H31" s="21"/>
      <c r="I31" s="147"/>
      <c r="J31" s="155"/>
      <c r="K31" s="147"/>
      <c r="L31" s="147"/>
      <c r="M31" s="46">
        <f t="shared" si="3"/>
        <v>0</v>
      </c>
      <c r="N31" s="147"/>
    </row>
    <row r="32" spans="1:14" ht="47.25" x14ac:dyDescent="0.25">
      <c r="A32" s="71" t="s">
        <v>112</v>
      </c>
      <c r="B32" s="92" t="s">
        <v>93</v>
      </c>
      <c r="C32" s="2"/>
      <c r="D32" s="23" t="s">
        <v>94</v>
      </c>
      <c r="E32" s="46">
        <v>9.5500000000000007</v>
      </c>
      <c r="F32" s="64">
        <f>E32*20*12</f>
        <v>2292</v>
      </c>
      <c r="G32" s="64">
        <f>F32</f>
        <v>2292</v>
      </c>
      <c r="H32" s="21" t="s">
        <v>95</v>
      </c>
      <c r="I32" s="147">
        <f>ROUND(F32-F32/1.21,2)</f>
        <v>397.79</v>
      </c>
      <c r="J32" s="155">
        <f>I32</f>
        <v>397.79</v>
      </c>
      <c r="K32" s="147"/>
      <c r="L32" s="147"/>
      <c r="M32" s="46">
        <f t="shared" si="3"/>
        <v>0</v>
      </c>
      <c r="N32" s="147"/>
    </row>
    <row r="33" spans="1:14" ht="15.75" x14ac:dyDescent="0.25">
      <c r="A33" s="75"/>
      <c r="B33" s="73" t="s">
        <v>15</v>
      </c>
      <c r="C33" s="73"/>
      <c r="D33" s="13" t="s">
        <v>12</v>
      </c>
      <c r="E33" s="13" t="s">
        <v>12</v>
      </c>
      <c r="F33" s="49">
        <f>F9+F14+F15+F16+F17+F29+F30+F31</f>
        <v>57176.193200000002</v>
      </c>
      <c r="G33" s="49">
        <f>G9+G14+G15+G16+G17+G29+G30+G31</f>
        <v>54584.193200000002</v>
      </c>
      <c r="H33" s="75"/>
      <c r="I33" s="49">
        <f>SUM(I9:I32)</f>
        <v>2617.19</v>
      </c>
      <c r="J33" s="49">
        <f>SUM(J9:J32)</f>
        <v>2167.34</v>
      </c>
      <c r="K33" s="49">
        <f t="shared" ref="K33:N33" si="10">SUM(K9:K32)</f>
        <v>294.42</v>
      </c>
      <c r="L33" s="49">
        <f t="shared" si="10"/>
        <v>661.45</v>
      </c>
      <c r="M33" s="49">
        <f t="shared" si="10"/>
        <v>955.87</v>
      </c>
      <c r="N33" s="49">
        <f t="shared" si="10"/>
        <v>552.1</v>
      </c>
    </row>
    <row r="34" spans="1:14" x14ac:dyDescent="0.25">
      <c r="F34" s="18"/>
      <c r="G34" s="18"/>
    </row>
    <row r="35" spans="1:14" x14ac:dyDescent="0.25">
      <c r="F35" s="18"/>
      <c r="G35" s="18"/>
    </row>
    <row r="36" spans="1:14" ht="15.75" x14ac:dyDescent="0.25">
      <c r="B36" s="174" t="s">
        <v>169</v>
      </c>
      <c r="C36" s="174"/>
      <c r="D36" s="174"/>
      <c r="E36" s="174"/>
      <c r="F36" s="174"/>
      <c r="G36" s="174"/>
      <c r="H36" s="174"/>
      <c r="I36" s="174"/>
      <c r="J36" s="174" t="s">
        <v>170</v>
      </c>
    </row>
    <row r="37" spans="1:14" ht="15.75" x14ac:dyDescent="0.25">
      <c r="B37" s="174"/>
      <c r="C37" s="174"/>
      <c r="D37" s="174"/>
      <c r="E37" s="174"/>
      <c r="F37" s="174"/>
      <c r="G37" s="174"/>
      <c r="H37" s="174"/>
      <c r="I37" s="174"/>
      <c r="J37" s="174"/>
    </row>
    <row r="38" spans="1:14" ht="15.75" x14ac:dyDescent="0.25">
      <c r="B38" s="175" t="s">
        <v>213</v>
      </c>
      <c r="C38" s="175"/>
      <c r="D38" s="175"/>
      <c r="E38" s="174"/>
      <c r="F38" s="174"/>
      <c r="G38" s="174"/>
      <c r="H38" s="174"/>
      <c r="I38" s="174"/>
      <c r="J38" s="174"/>
    </row>
    <row r="39" spans="1:14" ht="15.75" x14ac:dyDescent="0.25">
      <c r="B39" s="175" t="s">
        <v>171</v>
      </c>
      <c r="C39" s="175"/>
      <c r="D39" s="175"/>
      <c r="E39" s="174"/>
      <c r="F39" s="174"/>
      <c r="G39" s="174"/>
      <c r="H39" s="174"/>
      <c r="I39" s="174"/>
      <c r="J39" s="174"/>
    </row>
    <row r="40" spans="1:14" ht="15.75" x14ac:dyDescent="0.25">
      <c r="B40" s="175" t="s">
        <v>172</v>
      </c>
      <c r="C40" s="175"/>
      <c r="D40" s="175"/>
      <c r="E40" s="174"/>
      <c r="F40" s="174"/>
      <c r="G40" s="174"/>
      <c r="H40" s="174"/>
      <c r="I40" s="174"/>
      <c r="J40" s="174"/>
    </row>
  </sheetData>
  <mergeCells count="15">
    <mergeCell ref="H24:H28"/>
    <mergeCell ref="B5:H5"/>
    <mergeCell ref="I7:N7"/>
    <mergeCell ref="H7:H8"/>
    <mergeCell ref="F7:F8"/>
    <mergeCell ref="E7:E8"/>
    <mergeCell ref="B7:B8"/>
    <mergeCell ref="G7:G8"/>
    <mergeCell ref="I3:N3"/>
    <mergeCell ref="L1:N1"/>
    <mergeCell ref="A7:A8"/>
    <mergeCell ref="C7:D7"/>
    <mergeCell ref="H9:H13"/>
    <mergeCell ref="E4:G4"/>
    <mergeCell ref="K2:N2"/>
  </mergeCells>
  <pageMargins left="0.70866141732283472" right="0.70866141732283472" top="0.74803149606299213" bottom="0.74803149606299213" header="0.31496062992125984" footer="0.31496062992125984"/>
  <pageSetup paperSize="9" scale="51" fitToHeight="0" orientation="landscape" r:id="rId1"/>
  <headerFooter>
    <oddFooter>&amp;CLMpielik_13_070815_LMZino</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zoomScaleNormal="100" workbookViewId="0">
      <selection activeCell="A12" sqref="A12"/>
    </sheetView>
  </sheetViews>
  <sheetFormatPr defaultRowHeight="12.75" x14ac:dyDescent="0.2"/>
  <cols>
    <col min="1" max="1" width="6.5703125" style="135" customWidth="1"/>
    <col min="2" max="4" width="12.42578125" style="135" customWidth="1"/>
    <col min="5" max="5" width="9.140625" style="135"/>
    <col min="6" max="6" width="69.5703125" style="135" customWidth="1"/>
    <col min="7" max="8" width="15" style="135" customWidth="1"/>
    <col min="9" max="9" width="13.140625" style="135" customWidth="1"/>
    <col min="10" max="256" width="9.140625" style="135"/>
    <col min="257" max="257" width="6.5703125" style="135" customWidth="1"/>
    <col min="258" max="258" width="15.85546875" style="135" customWidth="1"/>
    <col min="259" max="259" width="10.140625" style="135" customWidth="1"/>
    <col min="260" max="260" width="11.28515625" style="135" customWidth="1"/>
    <col min="261" max="261" width="9.140625" style="135"/>
    <col min="262" max="262" width="69.5703125" style="135" customWidth="1"/>
    <col min="263" max="512" width="9.140625" style="135"/>
    <col min="513" max="513" width="6.5703125" style="135" customWidth="1"/>
    <col min="514" max="514" width="15.85546875" style="135" customWidth="1"/>
    <col min="515" max="515" width="10.140625" style="135" customWidth="1"/>
    <col min="516" max="516" width="11.28515625" style="135" customWidth="1"/>
    <col min="517" max="517" width="9.140625" style="135"/>
    <col min="518" max="518" width="69.5703125" style="135" customWidth="1"/>
    <col min="519" max="768" width="9.140625" style="135"/>
    <col min="769" max="769" width="6.5703125" style="135" customWidth="1"/>
    <col min="770" max="770" width="15.85546875" style="135" customWidth="1"/>
    <col min="771" max="771" width="10.140625" style="135" customWidth="1"/>
    <col min="772" max="772" width="11.28515625" style="135" customWidth="1"/>
    <col min="773" max="773" width="9.140625" style="135"/>
    <col min="774" max="774" width="69.5703125" style="135" customWidth="1"/>
    <col min="775" max="1024" width="9.140625" style="135"/>
    <col min="1025" max="1025" width="6.5703125" style="135" customWidth="1"/>
    <col min="1026" max="1026" width="15.85546875" style="135" customWidth="1"/>
    <col min="1027" max="1027" width="10.140625" style="135" customWidth="1"/>
    <col min="1028" max="1028" width="11.28515625" style="135" customWidth="1"/>
    <col min="1029" max="1029" width="9.140625" style="135"/>
    <col min="1030" max="1030" width="69.5703125" style="135" customWidth="1"/>
    <col min="1031" max="1280" width="9.140625" style="135"/>
    <col min="1281" max="1281" width="6.5703125" style="135" customWidth="1"/>
    <col min="1282" max="1282" width="15.85546875" style="135" customWidth="1"/>
    <col min="1283" max="1283" width="10.140625" style="135" customWidth="1"/>
    <col min="1284" max="1284" width="11.28515625" style="135" customWidth="1"/>
    <col min="1285" max="1285" width="9.140625" style="135"/>
    <col min="1286" max="1286" width="69.5703125" style="135" customWidth="1"/>
    <col min="1287" max="1536" width="9.140625" style="135"/>
    <col min="1537" max="1537" width="6.5703125" style="135" customWidth="1"/>
    <col min="1538" max="1538" width="15.85546875" style="135" customWidth="1"/>
    <col min="1539" max="1539" width="10.140625" style="135" customWidth="1"/>
    <col min="1540" max="1540" width="11.28515625" style="135" customWidth="1"/>
    <col min="1541" max="1541" width="9.140625" style="135"/>
    <col min="1542" max="1542" width="69.5703125" style="135" customWidth="1"/>
    <col min="1543" max="1792" width="9.140625" style="135"/>
    <col min="1793" max="1793" width="6.5703125" style="135" customWidth="1"/>
    <col min="1794" max="1794" width="15.85546875" style="135" customWidth="1"/>
    <col min="1795" max="1795" width="10.140625" style="135" customWidth="1"/>
    <col min="1796" max="1796" width="11.28515625" style="135" customWidth="1"/>
    <col min="1797" max="1797" width="9.140625" style="135"/>
    <col min="1798" max="1798" width="69.5703125" style="135" customWidth="1"/>
    <col min="1799" max="2048" width="9.140625" style="135"/>
    <col min="2049" max="2049" width="6.5703125" style="135" customWidth="1"/>
    <col min="2050" max="2050" width="15.85546875" style="135" customWidth="1"/>
    <col min="2051" max="2051" width="10.140625" style="135" customWidth="1"/>
    <col min="2052" max="2052" width="11.28515625" style="135" customWidth="1"/>
    <col min="2053" max="2053" width="9.140625" style="135"/>
    <col min="2054" max="2054" width="69.5703125" style="135" customWidth="1"/>
    <col min="2055" max="2304" width="9.140625" style="135"/>
    <col min="2305" max="2305" width="6.5703125" style="135" customWidth="1"/>
    <col min="2306" max="2306" width="15.85546875" style="135" customWidth="1"/>
    <col min="2307" max="2307" width="10.140625" style="135" customWidth="1"/>
    <col min="2308" max="2308" width="11.28515625" style="135" customWidth="1"/>
    <col min="2309" max="2309" width="9.140625" style="135"/>
    <col min="2310" max="2310" width="69.5703125" style="135" customWidth="1"/>
    <col min="2311" max="2560" width="9.140625" style="135"/>
    <col min="2561" max="2561" width="6.5703125" style="135" customWidth="1"/>
    <col min="2562" max="2562" width="15.85546875" style="135" customWidth="1"/>
    <col min="2563" max="2563" width="10.140625" style="135" customWidth="1"/>
    <col min="2564" max="2564" width="11.28515625" style="135" customWidth="1"/>
    <col min="2565" max="2565" width="9.140625" style="135"/>
    <col min="2566" max="2566" width="69.5703125" style="135" customWidth="1"/>
    <col min="2567" max="2816" width="9.140625" style="135"/>
    <col min="2817" max="2817" width="6.5703125" style="135" customWidth="1"/>
    <col min="2818" max="2818" width="15.85546875" style="135" customWidth="1"/>
    <col min="2819" max="2819" width="10.140625" style="135" customWidth="1"/>
    <col min="2820" max="2820" width="11.28515625" style="135" customWidth="1"/>
    <col min="2821" max="2821" width="9.140625" style="135"/>
    <col min="2822" max="2822" width="69.5703125" style="135" customWidth="1"/>
    <col min="2823" max="3072" width="9.140625" style="135"/>
    <col min="3073" max="3073" width="6.5703125" style="135" customWidth="1"/>
    <col min="3074" max="3074" width="15.85546875" style="135" customWidth="1"/>
    <col min="3075" max="3075" width="10.140625" style="135" customWidth="1"/>
    <col min="3076" max="3076" width="11.28515625" style="135" customWidth="1"/>
    <col min="3077" max="3077" width="9.140625" style="135"/>
    <col min="3078" max="3078" width="69.5703125" style="135" customWidth="1"/>
    <col min="3079" max="3328" width="9.140625" style="135"/>
    <col min="3329" max="3329" width="6.5703125" style="135" customWidth="1"/>
    <col min="3330" max="3330" width="15.85546875" style="135" customWidth="1"/>
    <col min="3331" max="3331" width="10.140625" style="135" customWidth="1"/>
    <col min="3332" max="3332" width="11.28515625" style="135" customWidth="1"/>
    <col min="3333" max="3333" width="9.140625" style="135"/>
    <col min="3334" max="3334" width="69.5703125" style="135" customWidth="1"/>
    <col min="3335" max="3584" width="9.140625" style="135"/>
    <col min="3585" max="3585" width="6.5703125" style="135" customWidth="1"/>
    <col min="3586" max="3586" width="15.85546875" style="135" customWidth="1"/>
    <col min="3587" max="3587" width="10.140625" style="135" customWidth="1"/>
    <col min="3588" max="3588" width="11.28515625" style="135" customWidth="1"/>
    <col min="3589" max="3589" width="9.140625" style="135"/>
    <col min="3590" max="3590" width="69.5703125" style="135" customWidth="1"/>
    <col min="3591" max="3840" width="9.140625" style="135"/>
    <col min="3841" max="3841" width="6.5703125" style="135" customWidth="1"/>
    <col min="3842" max="3842" width="15.85546875" style="135" customWidth="1"/>
    <col min="3843" max="3843" width="10.140625" style="135" customWidth="1"/>
    <col min="3844" max="3844" width="11.28515625" style="135" customWidth="1"/>
    <col min="3845" max="3845" width="9.140625" style="135"/>
    <col min="3846" max="3846" width="69.5703125" style="135" customWidth="1"/>
    <col min="3847" max="4096" width="9.140625" style="135"/>
    <col min="4097" max="4097" width="6.5703125" style="135" customWidth="1"/>
    <col min="4098" max="4098" width="15.85546875" style="135" customWidth="1"/>
    <col min="4099" max="4099" width="10.140625" style="135" customWidth="1"/>
    <col min="4100" max="4100" width="11.28515625" style="135" customWidth="1"/>
    <col min="4101" max="4101" width="9.140625" style="135"/>
    <col min="4102" max="4102" width="69.5703125" style="135" customWidth="1"/>
    <col min="4103" max="4352" width="9.140625" style="135"/>
    <col min="4353" max="4353" width="6.5703125" style="135" customWidth="1"/>
    <col min="4354" max="4354" width="15.85546875" style="135" customWidth="1"/>
    <col min="4355" max="4355" width="10.140625" style="135" customWidth="1"/>
    <col min="4356" max="4356" width="11.28515625" style="135" customWidth="1"/>
    <col min="4357" max="4357" width="9.140625" style="135"/>
    <col min="4358" max="4358" width="69.5703125" style="135" customWidth="1"/>
    <col min="4359" max="4608" width="9.140625" style="135"/>
    <col min="4609" max="4609" width="6.5703125" style="135" customWidth="1"/>
    <col min="4610" max="4610" width="15.85546875" style="135" customWidth="1"/>
    <col min="4611" max="4611" width="10.140625" style="135" customWidth="1"/>
    <col min="4612" max="4612" width="11.28515625" style="135" customWidth="1"/>
    <col min="4613" max="4613" width="9.140625" style="135"/>
    <col min="4614" max="4614" width="69.5703125" style="135" customWidth="1"/>
    <col min="4615" max="4864" width="9.140625" style="135"/>
    <col min="4865" max="4865" width="6.5703125" style="135" customWidth="1"/>
    <col min="4866" max="4866" width="15.85546875" style="135" customWidth="1"/>
    <col min="4867" max="4867" width="10.140625" style="135" customWidth="1"/>
    <col min="4868" max="4868" width="11.28515625" style="135" customWidth="1"/>
    <col min="4869" max="4869" width="9.140625" style="135"/>
    <col min="4870" max="4870" width="69.5703125" style="135" customWidth="1"/>
    <col min="4871" max="5120" width="9.140625" style="135"/>
    <col min="5121" max="5121" width="6.5703125" style="135" customWidth="1"/>
    <col min="5122" max="5122" width="15.85546875" style="135" customWidth="1"/>
    <col min="5123" max="5123" width="10.140625" style="135" customWidth="1"/>
    <col min="5124" max="5124" width="11.28515625" style="135" customWidth="1"/>
    <col min="5125" max="5125" width="9.140625" style="135"/>
    <col min="5126" max="5126" width="69.5703125" style="135" customWidth="1"/>
    <col min="5127" max="5376" width="9.140625" style="135"/>
    <col min="5377" max="5377" width="6.5703125" style="135" customWidth="1"/>
    <col min="5378" max="5378" width="15.85546875" style="135" customWidth="1"/>
    <col min="5379" max="5379" width="10.140625" style="135" customWidth="1"/>
    <col min="5380" max="5380" width="11.28515625" style="135" customWidth="1"/>
    <col min="5381" max="5381" width="9.140625" style="135"/>
    <col min="5382" max="5382" width="69.5703125" style="135" customWidth="1"/>
    <col min="5383" max="5632" width="9.140625" style="135"/>
    <col min="5633" max="5633" width="6.5703125" style="135" customWidth="1"/>
    <col min="5634" max="5634" width="15.85546875" style="135" customWidth="1"/>
    <col min="5635" max="5635" width="10.140625" style="135" customWidth="1"/>
    <col min="5636" max="5636" width="11.28515625" style="135" customWidth="1"/>
    <col min="5637" max="5637" width="9.140625" style="135"/>
    <col min="5638" max="5638" width="69.5703125" style="135" customWidth="1"/>
    <col min="5639" max="5888" width="9.140625" style="135"/>
    <col min="5889" max="5889" width="6.5703125" style="135" customWidth="1"/>
    <col min="5890" max="5890" width="15.85546875" style="135" customWidth="1"/>
    <col min="5891" max="5891" width="10.140625" style="135" customWidth="1"/>
    <col min="5892" max="5892" width="11.28515625" style="135" customWidth="1"/>
    <col min="5893" max="5893" width="9.140625" style="135"/>
    <col min="5894" max="5894" width="69.5703125" style="135" customWidth="1"/>
    <col min="5895" max="6144" width="9.140625" style="135"/>
    <col min="6145" max="6145" width="6.5703125" style="135" customWidth="1"/>
    <col min="6146" max="6146" width="15.85546875" style="135" customWidth="1"/>
    <col min="6147" max="6147" width="10.140625" style="135" customWidth="1"/>
    <col min="6148" max="6148" width="11.28515625" style="135" customWidth="1"/>
    <col min="6149" max="6149" width="9.140625" style="135"/>
    <col min="6150" max="6150" width="69.5703125" style="135" customWidth="1"/>
    <col min="6151" max="6400" width="9.140625" style="135"/>
    <col min="6401" max="6401" width="6.5703125" style="135" customWidth="1"/>
    <col min="6402" max="6402" width="15.85546875" style="135" customWidth="1"/>
    <col min="6403" max="6403" width="10.140625" style="135" customWidth="1"/>
    <col min="6404" max="6404" width="11.28515625" style="135" customWidth="1"/>
    <col min="6405" max="6405" width="9.140625" style="135"/>
    <col min="6406" max="6406" width="69.5703125" style="135" customWidth="1"/>
    <col min="6407" max="6656" width="9.140625" style="135"/>
    <col min="6657" max="6657" width="6.5703125" style="135" customWidth="1"/>
    <col min="6658" max="6658" width="15.85546875" style="135" customWidth="1"/>
    <col min="6659" max="6659" width="10.140625" style="135" customWidth="1"/>
    <col min="6660" max="6660" width="11.28515625" style="135" customWidth="1"/>
    <col min="6661" max="6661" width="9.140625" style="135"/>
    <col min="6662" max="6662" width="69.5703125" style="135" customWidth="1"/>
    <col min="6663" max="6912" width="9.140625" style="135"/>
    <col min="6913" max="6913" width="6.5703125" style="135" customWidth="1"/>
    <col min="6914" max="6914" width="15.85546875" style="135" customWidth="1"/>
    <col min="6915" max="6915" width="10.140625" style="135" customWidth="1"/>
    <col min="6916" max="6916" width="11.28515625" style="135" customWidth="1"/>
    <col min="6917" max="6917" width="9.140625" style="135"/>
    <col min="6918" max="6918" width="69.5703125" style="135" customWidth="1"/>
    <col min="6919" max="7168" width="9.140625" style="135"/>
    <col min="7169" max="7169" width="6.5703125" style="135" customWidth="1"/>
    <col min="7170" max="7170" width="15.85546875" style="135" customWidth="1"/>
    <col min="7171" max="7171" width="10.140625" style="135" customWidth="1"/>
    <col min="7172" max="7172" width="11.28515625" style="135" customWidth="1"/>
    <col min="7173" max="7173" width="9.140625" style="135"/>
    <col min="7174" max="7174" width="69.5703125" style="135" customWidth="1"/>
    <col min="7175" max="7424" width="9.140625" style="135"/>
    <col min="7425" max="7425" width="6.5703125" style="135" customWidth="1"/>
    <col min="7426" max="7426" width="15.85546875" style="135" customWidth="1"/>
    <col min="7427" max="7427" width="10.140625" style="135" customWidth="1"/>
    <col min="7428" max="7428" width="11.28515625" style="135" customWidth="1"/>
    <col min="7429" max="7429" width="9.140625" style="135"/>
    <col min="7430" max="7430" width="69.5703125" style="135" customWidth="1"/>
    <col min="7431" max="7680" width="9.140625" style="135"/>
    <col min="7681" max="7681" width="6.5703125" style="135" customWidth="1"/>
    <col min="7682" max="7682" width="15.85546875" style="135" customWidth="1"/>
    <col min="7683" max="7683" width="10.140625" style="135" customWidth="1"/>
    <col min="7684" max="7684" width="11.28515625" style="135" customWidth="1"/>
    <col min="7685" max="7685" width="9.140625" style="135"/>
    <col min="7686" max="7686" width="69.5703125" style="135" customWidth="1"/>
    <col min="7687" max="7936" width="9.140625" style="135"/>
    <col min="7937" max="7937" width="6.5703125" style="135" customWidth="1"/>
    <col min="7938" max="7938" width="15.85546875" style="135" customWidth="1"/>
    <col min="7939" max="7939" width="10.140625" style="135" customWidth="1"/>
    <col min="7940" max="7940" width="11.28515625" style="135" customWidth="1"/>
    <col min="7941" max="7941" width="9.140625" style="135"/>
    <col min="7942" max="7942" width="69.5703125" style="135" customWidth="1"/>
    <col min="7943" max="8192" width="9.140625" style="135"/>
    <col min="8193" max="8193" width="6.5703125" style="135" customWidth="1"/>
    <col min="8194" max="8194" width="15.85546875" style="135" customWidth="1"/>
    <col min="8195" max="8195" width="10.140625" style="135" customWidth="1"/>
    <col min="8196" max="8196" width="11.28515625" style="135" customWidth="1"/>
    <col min="8197" max="8197" width="9.140625" style="135"/>
    <col min="8198" max="8198" width="69.5703125" style="135" customWidth="1"/>
    <col min="8199" max="8448" width="9.140625" style="135"/>
    <col min="8449" max="8449" width="6.5703125" style="135" customWidth="1"/>
    <col min="8450" max="8450" width="15.85546875" style="135" customWidth="1"/>
    <col min="8451" max="8451" width="10.140625" style="135" customWidth="1"/>
    <col min="8452" max="8452" width="11.28515625" style="135" customWidth="1"/>
    <col min="8453" max="8453" width="9.140625" style="135"/>
    <col min="8454" max="8454" width="69.5703125" style="135" customWidth="1"/>
    <col min="8455" max="8704" width="9.140625" style="135"/>
    <col min="8705" max="8705" width="6.5703125" style="135" customWidth="1"/>
    <col min="8706" max="8706" width="15.85546875" style="135" customWidth="1"/>
    <col min="8707" max="8707" width="10.140625" style="135" customWidth="1"/>
    <col min="8708" max="8708" width="11.28515625" style="135" customWidth="1"/>
    <col min="8709" max="8709" width="9.140625" style="135"/>
    <col min="8710" max="8710" width="69.5703125" style="135" customWidth="1"/>
    <col min="8711" max="8960" width="9.140625" style="135"/>
    <col min="8961" max="8961" width="6.5703125" style="135" customWidth="1"/>
    <col min="8962" max="8962" width="15.85546875" style="135" customWidth="1"/>
    <col min="8963" max="8963" width="10.140625" style="135" customWidth="1"/>
    <col min="8964" max="8964" width="11.28515625" style="135" customWidth="1"/>
    <col min="8965" max="8965" width="9.140625" style="135"/>
    <col min="8966" max="8966" width="69.5703125" style="135" customWidth="1"/>
    <col min="8967" max="9216" width="9.140625" style="135"/>
    <col min="9217" max="9217" width="6.5703125" style="135" customWidth="1"/>
    <col min="9218" max="9218" width="15.85546875" style="135" customWidth="1"/>
    <col min="9219" max="9219" width="10.140625" style="135" customWidth="1"/>
    <col min="9220" max="9220" width="11.28515625" style="135" customWidth="1"/>
    <col min="9221" max="9221" width="9.140625" style="135"/>
    <col min="9222" max="9222" width="69.5703125" style="135" customWidth="1"/>
    <col min="9223" max="9472" width="9.140625" style="135"/>
    <col min="9473" max="9473" width="6.5703125" style="135" customWidth="1"/>
    <col min="9474" max="9474" width="15.85546875" style="135" customWidth="1"/>
    <col min="9475" max="9475" width="10.140625" style="135" customWidth="1"/>
    <col min="9476" max="9476" width="11.28515625" style="135" customWidth="1"/>
    <col min="9477" max="9477" width="9.140625" style="135"/>
    <col min="9478" max="9478" width="69.5703125" style="135" customWidth="1"/>
    <col min="9479" max="9728" width="9.140625" style="135"/>
    <col min="9729" max="9729" width="6.5703125" style="135" customWidth="1"/>
    <col min="9730" max="9730" width="15.85546875" style="135" customWidth="1"/>
    <col min="9731" max="9731" width="10.140625" style="135" customWidth="1"/>
    <col min="9732" max="9732" width="11.28515625" style="135" customWidth="1"/>
    <col min="9733" max="9733" width="9.140625" style="135"/>
    <col min="9734" max="9734" width="69.5703125" style="135" customWidth="1"/>
    <col min="9735" max="9984" width="9.140625" style="135"/>
    <col min="9985" max="9985" width="6.5703125" style="135" customWidth="1"/>
    <col min="9986" max="9986" width="15.85546875" style="135" customWidth="1"/>
    <col min="9987" max="9987" width="10.140625" style="135" customWidth="1"/>
    <col min="9988" max="9988" width="11.28515625" style="135" customWidth="1"/>
    <col min="9989" max="9989" width="9.140625" style="135"/>
    <col min="9990" max="9990" width="69.5703125" style="135" customWidth="1"/>
    <col min="9991" max="10240" width="9.140625" style="135"/>
    <col min="10241" max="10241" width="6.5703125" style="135" customWidth="1"/>
    <col min="10242" max="10242" width="15.85546875" style="135" customWidth="1"/>
    <col min="10243" max="10243" width="10.140625" style="135" customWidth="1"/>
    <col min="10244" max="10244" width="11.28515625" style="135" customWidth="1"/>
    <col min="10245" max="10245" width="9.140625" style="135"/>
    <col min="10246" max="10246" width="69.5703125" style="135" customWidth="1"/>
    <col min="10247" max="10496" width="9.140625" style="135"/>
    <col min="10497" max="10497" width="6.5703125" style="135" customWidth="1"/>
    <col min="10498" max="10498" width="15.85546875" style="135" customWidth="1"/>
    <col min="10499" max="10499" width="10.140625" style="135" customWidth="1"/>
    <col min="10500" max="10500" width="11.28515625" style="135" customWidth="1"/>
    <col min="10501" max="10501" width="9.140625" style="135"/>
    <col min="10502" max="10502" width="69.5703125" style="135" customWidth="1"/>
    <col min="10503" max="10752" width="9.140625" style="135"/>
    <col min="10753" max="10753" width="6.5703125" style="135" customWidth="1"/>
    <col min="10754" max="10754" width="15.85546875" style="135" customWidth="1"/>
    <col min="10755" max="10755" width="10.140625" style="135" customWidth="1"/>
    <col min="10756" max="10756" width="11.28515625" style="135" customWidth="1"/>
    <col min="10757" max="10757" width="9.140625" style="135"/>
    <col min="10758" max="10758" width="69.5703125" style="135" customWidth="1"/>
    <col min="10759" max="11008" width="9.140625" style="135"/>
    <col min="11009" max="11009" width="6.5703125" style="135" customWidth="1"/>
    <col min="11010" max="11010" width="15.85546875" style="135" customWidth="1"/>
    <col min="11011" max="11011" width="10.140625" style="135" customWidth="1"/>
    <col min="11012" max="11012" width="11.28515625" style="135" customWidth="1"/>
    <col min="11013" max="11013" width="9.140625" style="135"/>
    <col min="11014" max="11014" width="69.5703125" style="135" customWidth="1"/>
    <col min="11015" max="11264" width="9.140625" style="135"/>
    <col min="11265" max="11265" width="6.5703125" style="135" customWidth="1"/>
    <col min="11266" max="11266" width="15.85546875" style="135" customWidth="1"/>
    <col min="11267" max="11267" width="10.140625" style="135" customWidth="1"/>
    <col min="11268" max="11268" width="11.28515625" style="135" customWidth="1"/>
    <col min="11269" max="11269" width="9.140625" style="135"/>
    <col min="11270" max="11270" width="69.5703125" style="135" customWidth="1"/>
    <col min="11271" max="11520" width="9.140625" style="135"/>
    <col min="11521" max="11521" width="6.5703125" style="135" customWidth="1"/>
    <col min="11522" max="11522" width="15.85546875" style="135" customWidth="1"/>
    <col min="11523" max="11523" width="10.140625" style="135" customWidth="1"/>
    <col min="11524" max="11524" width="11.28515625" style="135" customWidth="1"/>
    <col min="11525" max="11525" width="9.140625" style="135"/>
    <col min="11526" max="11526" width="69.5703125" style="135" customWidth="1"/>
    <col min="11527" max="11776" width="9.140625" style="135"/>
    <col min="11777" max="11777" width="6.5703125" style="135" customWidth="1"/>
    <col min="11778" max="11778" width="15.85546875" style="135" customWidth="1"/>
    <col min="11779" max="11779" width="10.140625" style="135" customWidth="1"/>
    <col min="11780" max="11780" width="11.28515625" style="135" customWidth="1"/>
    <col min="11781" max="11781" width="9.140625" style="135"/>
    <col min="11782" max="11782" width="69.5703125" style="135" customWidth="1"/>
    <col min="11783" max="12032" width="9.140625" style="135"/>
    <col min="12033" max="12033" width="6.5703125" style="135" customWidth="1"/>
    <col min="12034" max="12034" width="15.85546875" style="135" customWidth="1"/>
    <col min="12035" max="12035" width="10.140625" style="135" customWidth="1"/>
    <col min="12036" max="12036" width="11.28515625" style="135" customWidth="1"/>
    <col min="12037" max="12037" width="9.140625" style="135"/>
    <col min="12038" max="12038" width="69.5703125" style="135" customWidth="1"/>
    <col min="12039" max="12288" width="9.140625" style="135"/>
    <col min="12289" max="12289" width="6.5703125" style="135" customWidth="1"/>
    <col min="12290" max="12290" width="15.85546875" style="135" customWidth="1"/>
    <col min="12291" max="12291" width="10.140625" style="135" customWidth="1"/>
    <col min="12292" max="12292" width="11.28515625" style="135" customWidth="1"/>
    <col min="12293" max="12293" width="9.140625" style="135"/>
    <col min="12294" max="12294" width="69.5703125" style="135" customWidth="1"/>
    <col min="12295" max="12544" width="9.140625" style="135"/>
    <col min="12545" max="12545" width="6.5703125" style="135" customWidth="1"/>
    <col min="12546" max="12546" width="15.85546875" style="135" customWidth="1"/>
    <col min="12547" max="12547" width="10.140625" style="135" customWidth="1"/>
    <col min="12548" max="12548" width="11.28515625" style="135" customWidth="1"/>
    <col min="12549" max="12549" width="9.140625" style="135"/>
    <col min="12550" max="12550" width="69.5703125" style="135" customWidth="1"/>
    <col min="12551" max="12800" width="9.140625" style="135"/>
    <col min="12801" max="12801" width="6.5703125" style="135" customWidth="1"/>
    <col min="12802" max="12802" width="15.85546875" style="135" customWidth="1"/>
    <col min="12803" max="12803" width="10.140625" style="135" customWidth="1"/>
    <col min="12804" max="12804" width="11.28515625" style="135" customWidth="1"/>
    <col min="12805" max="12805" width="9.140625" style="135"/>
    <col min="12806" max="12806" width="69.5703125" style="135" customWidth="1"/>
    <col min="12807" max="13056" width="9.140625" style="135"/>
    <col min="13057" max="13057" width="6.5703125" style="135" customWidth="1"/>
    <col min="13058" max="13058" width="15.85546875" style="135" customWidth="1"/>
    <col min="13059" max="13059" width="10.140625" style="135" customWidth="1"/>
    <col min="13060" max="13060" width="11.28515625" style="135" customWidth="1"/>
    <col min="13061" max="13061" width="9.140625" style="135"/>
    <col min="13062" max="13062" width="69.5703125" style="135" customWidth="1"/>
    <col min="13063" max="13312" width="9.140625" style="135"/>
    <col min="13313" max="13313" width="6.5703125" style="135" customWidth="1"/>
    <col min="13314" max="13314" width="15.85546875" style="135" customWidth="1"/>
    <col min="13315" max="13315" width="10.140625" style="135" customWidth="1"/>
    <col min="13316" max="13316" width="11.28515625" style="135" customWidth="1"/>
    <col min="13317" max="13317" width="9.140625" style="135"/>
    <col min="13318" max="13318" width="69.5703125" style="135" customWidth="1"/>
    <col min="13319" max="13568" width="9.140625" style="135"/>
    <col min="13569" max="13569" width="6.5703125" style="135" customWidth="1"/>
    <col min="13570" max="13570" width="15.85546875" style="135" customWidth="1"/>
    <col min="13571" max="13571" width="10.140625" style="135" customWidth="1"/>
    <col min="13572" max="13572" width="11.28515625" style="135" customWidth="1"/>
    <col min="13573" max="13573" width="9.140625" style="135"/>
    <col min="13574" max="13574" width="69.5703125" style="135" customWidth="1"/>
    <col min="13575" max="13824" width="9.140625" style="135"/>
    <col min="13825" max="13825" width="6.5703125" style="135" customWidth="1"/>
    <col min="13826" max="13826" width="15.85546875" style="135" customWidth="1"/>
    <col min="13827" max="13827" width="10.140625" style="135" customWidth="1"/>
    <col min="13828" max="13828" width="11.28515625" style="135" customWidth="1"/>
    <col min="13829" max="13829" width="9.140625" style="135"/>
    <col min="13830" max="13830" width="69.5703125" style="135" customWidth="1"/>
    <col min="13831" max="14080" width="9.140625" style="135"/>
    <col min="14081" max="14081" width="6.5703125" style="135" customWidth="1"/>
    <col min="14082" max="14082" width="15.85546875" style="135" customWidth="1"/>
    <col min="14083" max="14083" width="10.140625" style="135" customWidth="1"/>
    <col min="14084" max="14084" width="11.28515625" style="135" customWidth="1"/>
    <col min="14085" max="14085" width="9.140625" style="135"/>
    <col min="14086" max="14086" width="69.5703125" style="135" customWidth="1"/>
    <col min="14087" max="14336" width="9.140625" style="135"/>
    <col min="14337" max="14337" width="6.5703125" style="135" customWidth="1"/>
    <col min="14338" max="14338" width="15.85546875" style="135" customWidth="1"/>
    <col min="14339" max="14339" width="10.140625" style="135" customWidth="1"/>
    <col min="14340" max="14340" width="11.28515625" style="135" customWidth="1"/>
    <col min="14341" max="14341" width="9.140625" style="135"/>
    <col min="14342" max="14342" width="69.5703125" style="135" customWidth="1"/>
    <col min="14343" max="14592" width="9.140625" style="135"/>
    <col min="14593" max="14593" width="6.5703125" style="135" customWidth="1"/>
    <col min="14594" max="14594" width="15.85546875" style="135" customWidth="1"/>
    <col min="14595" max="14595" width="10.140625" style="135" customWidth="1"/>
    <col min="14596" max="14596" width="11.28515625" style="135" customWidth="1"/>
    <col min="14597" max="14597" width="9.140625" style="135"/>
    <col min="14598" max="14598" width="69.5703125" style="135" customWidth="1"/>
    <col min="14599" max="14848" width="9.140625" style="135"/>
    <col min="14849" max="14849" width="6.5703125" style="135" customWidth="1"/>
    <col min="14850" max="14850" width="15.85546875" style="135" customWidth="1"/>
    <col min="14851" max="14851" width="10.140625" style="135" customWidth="1"/>
    <col min="14852" max="14852" width="11.28515625" style="135" customWidth="1"/>
    <col min="14853" max="14853" width="9.140625" style="135"/>
    <col min="14854" max="14854" width="69.5703125" style="135" customWidth="1"/>
    <col min="14855" max="15104" width="9.140625" style="135"/>
    <col min="15105" max="15105" width="6.5703125" style="135" customWidth="1"/>
    <col min="15106" max="15106" width="15.85546875" style="135" customWidth="1"/>
    <col min="15107" max="15107" width="10.140625" style="135" customWidth="1"/>
    <col min="15108" max="15108" width="11.28515625" style="135" customWidth="1"/>
    <col min="15109" max="15109" width="9.140625" style="135"/>
    <col min="15110" max="15110" width="69.5703125" style="135" customWidth="1"/>
    <col min="15111" max="15360" width="9.140625" style="135"/>
    <col min="15361" max="15361" width="6.5703125" style="135" customWidth="1"/>
    <col min="15362" max="15362" width="15.85546875" style="135" customWidth="1"/>
    <col min="15363" max="15363" width="10.140625" style="135" customWidth="1"/>
    <col min="15364" max="15364" width="11.28515625" style="135" customWidth="1"/>
    <col min="15365" max="15365" width="9.140625" style="135"/>
    <col min="15366" max="15366" width="69.5703125" style="135" customWidth="1"/>
    <col min="15367" max="15616" width="9.140625" style="135"/>
    <col min="15617" max="15617" width="6.5703125" style="135" customWidth="1"/>
    <col min="15618" max="15618" width="15.85546875" style="135" customWidth="1"/>
    <col min="15619" max="15619" width="10.140625" style="135" customWidth="1"/>
    <col min="15620" max="15620" width="11.28515625" style="135" customWidth="1"/>
    <col min="15621" max="15621" width="9.140625" style="135"/>
    <col min="15622" max="15622" width="69.5703125" style="135" customWidth="1"/>
    <col min="15623" max="15872" width="9.140625" style="135"/>
    <col min="15873" max="15873" width="6.5703125" style="135" customWidth="1"/>
    <col min="15874" max="15874" width="15.85546875" style="135" customWidth="1"/>
    <col min="15875" max="15875" width="10.140625" style="135" customWidth="1"/>
    <col min="15876" max="15876" width="11.28515625" style="135" customWidth="1"/>
    <col min="15877" max="15877" width="9.140625" style="135"/>
    <col min="15878" max="15878" width="69.5703125" style="135" customWidth="1"/>
    <col min="15879" max="16128" width="9.140625" style="135"/>
    <col min="16129" max="16129" width="6.5703125" style="135" customWidth="1"/>
    <col min="16130" max="16130" width="15.85546875" style="135" customWidth="1"/>
    <col min="16131" max="16131" width="10.140625" style="135" customWidth="1"/>
    <col min="16132" max="16132" width="11.28515625" style="135" customWidth="1"/>
    <col min="16133" max="16133" width="9.140625" style="135"/>
    <col min="16134" max="16134" width="69.5703125" style="135" customWidth="1"/>
    <col min="16135" max="16384" width="9.140625" style="135"/>
  </cols>
  <sheetData>
    <row r="1" spans="1:11" ht="15.75" x14ac:dyDescent="0.25">
      <c r="H1" s="267" t="s">
        <v>182</v>
      </c>
      <c r="I1" s="267"/>
    </row>
    <row r="2" spans="1:11" ht="15.75" x14ac:dyDescent="0.25">
      <c r="F2" s="176"/>
      <c r="G2" s="234" t="s">
        <v>173</v>
      </c>
      <c r="H2" s="234"/>
      <c r="I2" s="234"/>
      <c r="J2" s="179"/>
      <c r="K2" s="179"/>
    </row>
    <row r="3" spans="1:11" ht="18" customHeight="1" x14ac:dyDescent="0.25">
      <c r="F3" s="235" t="s">
        <v>178</v>
      </c>
      <c r="G3" s="235"/>
      <c r="H3" s="235"/>
      <c r="I3" s="235"/>
      <c r="J3" s="180"/>
      <c r="K3" s="180"/>
    </row>
    <row r="4" spans="1:11" ht="18.75" x14ac:dyDescent="0.3">
      <c r="B4" s="233" t="s">
        <v>165</v>
      </c>
      <c r="C4" s="233"/>
      <c r="D4" s="233"/>
      <c r="E4" s="233"/>
      <c r="F4" s="233"/>
    </row>
    <row r="5" spans="1:11" ht="18.75" x14ac:dyDescent="0.3">
      <c r="A5" s="136"/>
      <c r="B5" s="266" t="s">
        <v>154</v>
      </c>
      <c r="C5" s="266"/>
      <c r="D5" s="266"/>
      <c r="E5" s="266"/>
      <c r="F5" s="266"/>
    </row>
    <row r="6" spans="1:11" ht="80.25" customHeight="1" x14ac:dyDescent="0.25">
      <c r="A6" s="137" t="s">
        <v>125</v>
      </c>
      <c r="B6" s="137" t="s">
        <v>126</v>
      </c>
      <c r="C6" s="138" t="s">
        <v>127</v>
      </c>
      <c r="D6" s="137" t="s">
        <v>128</v>
      </c>
      <c r="E6" s="137" t="s">
        <v>129</v>
      </c>
      <c r="F6" s="137" t="s">
        <v>130</v>
      </c>
      <c r="G6" s="148" t="s">
        <v>142</v>
      </c>
      <c r="H6" s="148" t="s">
        <v>143</v>
      </c>
      <c r="I6" s="149" t="s">
        <v>145</v>
      </c>
    </row>
    <row r="7" spans="1:11" ht="15.75" x14ac:dyDescent="0.25">
      <c r="A7" s="137">
        <v>1</v>
      </c>
      <c r="B7" s="137">
        <v>2</v>
      </c>
      <c r="C7" s="137">
        <v>3</v>
      </c>
      <c r="D7" s="137">
        <v>4</v>
      </c>
      <c r="E7" s="137">
        <v>5</v>
      </c>
      <c r="F7" s="137">
        <v>6</v>
      </c>
      <c r="G7" s="153"/>
      <c r="H7" s="153"/>
      <c r="I7" s="153"/>
    </row>
    <row r="8" spans="1:11" ht="204.75" x14ac:dyDescent="0.25">
      <c r="A8" s="139">
        <v>1</v>
      </c>
      <c r="B8" s="140" t="s">
        <v>131</v>
      </c>
      <c r="C8" s="139">
        <v>9</v>
      </c>
      <c r="D8" s="139">
        <v>213.43</v>
      </c>
      <c r="E8" s="139">
        <f>C8*D8</f>
        <v>1920.8700000000001</v>
      </c>
      <c r="F8" s="140" t="s">
        <v>132</v>
      </c>
      <c r="G8" s="153"/>
      <c r="H8" s="153"/>
      <c r="I8" s="153"/>
    </row>
    <row r="9" spans="1:11" ht="15.75" x14ac:dyDescent="0.25">
      <c r="A9" s="141"/>
      <c r="B9" s="142" t="s">
        <v>133</v>
      </c>
      <c r="C9" s="141"/>
      <c r="D9" s="141"/>
      <c r="E9" s="141">
        <f>SUM(E8:E8)</f>
        <v>1920.8700000000001</v>
      </c>
      <c r="F9" s="141"/>
      <c r="G9" s="154">
        <f>SUM(G8:G8)</f>
        <v>0</v>
      </c>
      <c r="H9" s="154">
        <f>SUM(H8:H8)</f>
        <v>0</v>
      </c>
      <c r="I9" s="154">
        <f>SUM(I8:I8)</f>
        <v>0</v>
      </c>
    </row>
    <row r="11" spans="1:11" ht="15.75" x14ac:dyDescent="0.25">
      <c r="A11" s="177" t="s">
        <v>169</v>
      </c>
      <c r="B11" s="177"/>
      <c r="C11" s="177"/>
      <c r="D11" s="177"/>
      <c r="E11" s="177"/>
      <c r="F11" s="177"/>
      <c r="G11" s="177"/>
      <c r="H11" s="177"/>
      <c r="I11" s="177" t="s">
        <v>170</v>
      </c>
    </row>
    <row r="12" spans="1:11" ht="15.75" x14ac:dyDescent="0.25">
      <c r="A12" s="178" t="s">
        <v>213</v>
      </c>
      <c r="B12" s="178"/>
      <c r="C12" s="178"/>
      <c r="D12" s="177"/>
      <c r="E12" s="177"/>
      <c r="F12" s="177"/>
      <c r="G12" s="177"/>
      <c r="H12" s="177"/>
      <c r="I12" s="177"/>
    </row>
    <row r="13" spans="1:11" ht="15.75" x14ac:dyDescent="0.25">
      <c r="A13" s="178" t="s">
        <v>171</v>
      </c>
      <c r="B13" s="178"/>
      <c r="C13" s="178"/>
      <c r="D13" s="177"/>
      <c r="E13" s="177"/>
      <c r="F13" s="177"/>
      <c r="G13" s="177"/>
      <c r="H13" s="177"/>
      <c r="I13" s="177"/>
    </row>
    <row r="14" spans="1:11" ht="15.75" x14ac:dyDescent="0.25">
      <c r="A14" s="178" t="s">
        <v>172</v>
      </c>
      <c r="B14" s="178"/>
      <c r="C14" s="178"/>
      <c r="D14" s="177"/>
      <c r="E14" s="177"/>
      <c r="F14" s="177"/>
      <c r="G14" s="177"/>
      <c r="H14" s="177"/>
      <c r="I14" s="177"/>
    </row>
  </sheetData>
  <mergeCells count="5">
    <mergeCell ref="B5:F5"/>
    <mergeCell ref="H1:I1"/>
    <mergeCell ref="B4:F4"/>
    <mergeCell ref="G2:I2"/>
    <mergeCell ref="F3:I3"/>
  </mergeCells>
  <pageMargins left="0.70866141732283472" right="0.70866141732283472" top="0.74803149606299213" bottom="0.74803149606299213" header="0.31496062992125984" footer="0.31496062992125984"/>
  <pageSetup paperSize="9" scale="75" orientation="landscape" r:id="rId1"/>
  <headerFooter>
    <oddFooter>&amp;CLMpielik_14_070815_LMZino</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workbookViewId="0">
      <selection activeCell="F25" sqref="F25"/>
    </sheetView>
  </sheetViews>
  <sheetFormatPr defaultRowHeight="15" x14ac:dyDescent="0.25"/>
  <cols>
    <col min="1" max="1" width="7.42578125" customWidth="1"/>
    <col min="2" max="2" width="35.42578125" customWidth="1"/>
    <col min="3" max="4" width="13.7109375" customWidth="1"/>
    <col min="5" max="5" width="15.140625" customWidth="1"/>
    <col min="6" max="6" width="10.85546875" customWidth="1"/>
    <col min="7" max="7" width="11.42578125" customWidth="1"/>
    <col min="8" max="9" width="15.140625" customWidth="1"/>
    <col min="10" max="10" width="11.42578125" customWidth="1"/>
    <col min="11" max="11" width="15.140625" customWidth="1"/>
  </cols>
  <sheetData>
    <row r="1" spans="1:11" ht="15.75" x14ac:dyDescent="0.25">
      <c r="H1" s="135"/>
      <c r="I1" s="135"/>
      <c r="J1" s="267" t="s">
        <v>211</v>
      </c>
      <c r="K1" s="267"/>
    </row>
    <row r="2" spans="1:11" ht="15.75" x14ac:dyDescent="0.25">
      <c r="H2" s="176"/>
      <c r="I2" s="234" t="s">
        <v>173</v>
      </c>
      <c r="J2" s="234"/>
      <c r="K2" s="234"/>
    </row>
    <row r="3" spans="1:11" ht="39.75" customHeight="1" x14ac:dyDescent="0.25">
      <c r="H3" s="235" t="s">
        <v>178</v>
      </c>
      <c r="I3" s="235"/>
      <c r="J3" s="235"/>
      <c r="K3" s="235"/>
    </row>
    <row r="4" spans="1:11" ht="18.75" x14ac:dyDescent="0.3">
      <c r="C4" s="233" t="s">
        <v>165</v>
      </c>
      <c r="D4" s="233"/>
      <c r="E4" s="233"/>
      <c r="F4" s="233"/>
      <c r="G4" s="233"/>
    </row>
    <row r="5" spans="1:11" ht="18.75" x14ac:dyDescent="0.3">
      <c r="A5" s="271" t="s">
        <v>183</v>
      </c>
      <c r="B5" s="271"/>
      <c r="C5" s="271"/>
      <c r="D5" s="271"/>
      <c r="E5" s="271"/>
      <c r="F5" s="271"/>
      <c r="G5" s="271"/>
      <c r="H5" s="271"/>
      <c r="I5" s="176"/>
      <c r="J5" s="176"/>
      <c r="K5" s="176"/>
    </row>
    <row r="6" spans="1:11" ht="15.75" x14ac:dyDescent="0.25">
      <c r="A6" s="272" t="s">
        <v>184</v>
      </c>
      <c r="B6" s="272" t="s">
        <v>185</v>
      </c>
      <c r="C6" s="273" t="s">
        <v>186</v>
      </c>
      <c r="D6" s="273" t="s">
        <v>187</v>
      </c>
      <c r="E6" s="275" t="s">
        <v>188</v>
      </c>
      <c r="F6" s="268" t="s">
        <v>189</v>
      </c>
      <c r="G6" s="269"/>
      <c r="H6" s="270"/>
      <c r="I6" s="268" t="s">
        <v>190</v>
      </c>
      <c r="J6" s="269"/>
      <c r="K6" s="270"/>
    </row>
    <row r="7" spans="1:11" ht="47.25" x14ac:dyDescent="0.25">
      <c r="A7" s="272"/>
      <c r="B7" s="272"/>
      <c r="C7" s="274"/>
      <c r="D7" s="274"/>
      <c r="E7" s="276"/>
      <c r="F7" s="186" t="s">
        <v>191</v>
      </c>
      <c r="G7" s="186" t="s">
        <v>192</v>
      </c>
      <c r="H7" s="187" t="s">
        <v>193</v>
      </c>
      <c r="I7" s="186" t="s">
        <v>191</v>
      </c>
      <c r="J7" s="186" t="s">
        <v>192</v>
      </c>
      <c r="K7" s="187" t="s">
        <v>193</v>
      </c>
    </row>
    <row r="8" spans="1:11" ht="16.5" thickBot="1" x14ac:dyDescent="0.3">
      <c r="A8" s="188">
        <v>1</v>
      </c>
      <c r="B8" s="188">
        <v>2</v>
      </c>
      <c r="C8" s="189">
        <v>6</v>
      </c>
      <c r="D8" s="189">
        <v>7</v>
      </c>
      <c r="E8" s="190" t="s">
        <v>194</v>
      </c>
      <c r="F8" s="190">
        <v>9</v>
      </c>
      <c r="G8" s="190">
        <v>10</v>
      </c>
      <c r="H8" s="190">
        <v>11</v>
      </c>
      <c r="I8" s="190">
        <v>12</v>
      </c>
      <c r="J8" s="190">
        <v>13</v>
      </c>
      <c r="K8" s="190">
        <v>14</v>
      </c>
    </row>
    <row r="9" spans="1:11" ht="16.5" thickBot="1" x14ac:dyDescent="0.3">
      <c r="A9" s="191" t="s">
        <v>195</v>
      </c>
      <c r="B9" s="192" t="s">
        <v>55</v>
      </c>
      <c r="C9" s="193" t="s">
        <v>12</v>
      </c>
      <c r="D9" s="193" t="s">
        <v>12</v>
      </c>
      <c r="E9" s="194">
        <f>SUM(E10:E16)+E18+E19</f>
        <v>55470.8658</v>
      </c>
      <c r="F9" s="193" t="s">
        <v>12</v>
      </c>
      <c r="G9" s="193" t="s">
        <v>12</v>
      </c>
      <c r="H9" s="194">
        <f>SUM(H10:H16)+H18+H19</f>
        <v>32114.226599999998</v>
      </c>
      <c r="I9" s="193" t="s">
        <v>12</v>
      </c>
      <c r="J9" s="193" t="s">
        <v>12</v>
      </c>
      <c r="K9" s="194">
        <f>SUM(K10:K16)+K18+K19</f>
        <v>87585.092400000009</v>
      </c>
    </row>
    <row r="10" spans="1:11" ht="31.5" x14ac:dyDescent="0.25">
      <c r="A10" s="77">
        <v>2</v>
      </c>
      <c r="B10" s="195" t="s">
        <v>196</v>
      </c>
      <c r="C10" s="196" t="s">
        <v>197</v>
      </c>
      <c r="D10" s="196">
        <v>1382</v>
      </c>
      <c r="E10" s="197">
        <f>D10*12</f>
        <v>16584</v>
      </c>
      <c r="F10" s="197"/>
      <c r="G10" s="197"/>
      <c r="H10" s="197"/>
      <c r="I10" s="196" t="s">
        <v>197</v>
      </c>
      <c r="J10" s="197">
        <f>D10</f>
        <v>1382</v>
      </c>
      <c r="K10" s="198">
        <f>ROUND(J10*12,2)</f>
        <v>16584</v>
      </c>
    </row>
    <row r="11" spans="1:11" ht="15.75" x14ac:dyDescent="0.25">
      <c r="A11" s="77">
        <v>3</v>
      </c>
      <c r="B11" s="83" t="s">
        <v>198</v>
      </c>
      <c r="C11" s="196" t="s">
        <v>199</v>
      </c>
      <c r="D11" s="196">
        <v>903</v>
      </c>
      <c r="E11" s="197">
        <f>D11*12</f>
        <v>10836</v>
      </c>
      <c r="F11" s="197"/>
      <c r="G11" s="197"/>
      <c r="H11" s="197"/>
      <c r="I11" s="196" t="s">
        <v>197</v>
      </c>
      <c r="J11" s="197">
        <f>D11</f>
        <v>903</v>
      </c>
      <c r="K11" s="198">
        <f>ROUND(J11*12,2)</f>
        <v>10836</v>
      </c>
    </row>
    <row r="12" spans="1:11" ht="15.75" x14ac:dyDescent="0.25">
      <c r="A12" s="199">
        <v>4</v>
      </c>
      <c r="B12" s="83" t="s">
        <v>62</v>
      </c>
      <c r="C12" s="196" t="s">
        <v>199</v>
      </c>
      <c r="D12" s="196">
        <v>670</v>
      </c>
      <c r="E12" s="197">
        <f>D12*12</f>
        <v>8040</v>
      </c>
      <c r="F12" s="197" t="s">
        <v>199</v>
      </c>
      <c r="G12" s="197">
        <v>670</v>
      </c>
      <c r="H12" s="197">
        <f>G12*12</f>
        <v>8040</v>
      </c>
      <c r="I12" s="197" t="s">
        <v>200</v>
      </c>
      <c r="J12" s="197">
        <v>670</v>
      </c>
      <c r="K12" s="198">
        <f>ROUND(J12*12*2,2)</f>
        <v>16080</v>
      </c>
    </row>
    <row r="13" spans="1:11" ht="15.75" x14ac:dyDescent="0.25">
      <c r="A13" s="77">
        <v>6</v>
      </c>
      <c r="B13" s="83" t="s">
        <v>57</v>
      </c>
      <c r="C13" s="196" t="s">
        <v>201</v>
      </c>
      <c r="D13" s="196">
        <v>570</v>
      </c>
      <c r="E13" s="200">
        <f>D13*12*0.5</f>
        <v>3420</v>
      </c>
      <c r="F13" s="197" t="s">
        <v>199</v>
      </c>
      <c r="G13" s="200">
        <v>570</v>
      </c>
      <c r="H13" s="197">
        <f>G13*12</f>
        <v>6840</v>
      </c>
      <c r="I13" s="197" t="s">
        <v>202</v>
      </c>
      <c r="J13" s="200">
        <v>570</v>
      </c>
      <c r="K13" s="198">
        <f>J13*12*1.5</f>
        <v>10260</v>
      </c>
    </row>
    <row r="14" spans="1:11" ht="15.75" x14ac:dyDescent="0.25">
      <c r="A14" s="199">
        <v>7</v>
      </c>
      <c r="B14" s="83" t="s">
        <v>203</v>
      </c>
      <c r="C14" s="196" t="s">
        <v>201</v>
      </c>
      <c r="D14" s="201">
        <v>712</v>
      </c>
      <c r="E14" s="200">
        <f>D14*12*0.5</f>
        <v>4272</v>
      </c>
      <c r="F14" s="200"/>
      <c r="G14" s="200"/>
      <c r="H14" s="200"/>
      <c r="I14" s="200" t="s">
        <v>204</v>
      </c>
      <c r="J14" s="200">
        <f>D14</f>
        <v>712</v>
      </c>
      <c r="K14" s="202">
        <f>J14*12*0.5</f>
        <v>4272</v>
      </c>
    </row>
    <row r="15" spans="1:11" ht="15.75" x14ac:dyDescent="0.25">
      <c r="A15" s="77">
        <v>8</v>
      </c>
      <c r="B15" s="83" t="s">
        <v>60</v>
      </c>
      <c r="C15" s="196" t="s">
        <v>205</v>
      </c>
      <c r="D15" s="196">
        <v>570</v>
      </c>
      <c r="E15" s="200">
        <f>D15*12*0.25</f>
        <v>1710</v>
      </c>
      <c r="F15" s="200" t="s">
        <v>206</v>
      </c>
      <c r="G15" s="200">
        <v>570</v>
      </c>
      <c r="H15" s="197">
        <f>G15*12*0.75</f>
        <v>5130</v>
      </c>
      <c r="I15" s="200" t="s">
        <v>207</v>
      </c>
      <c r="J15" s="200">
        <v>570</v>
      </c>
      <c r="K15" s="198">
        <f>J15*12*1</f>
        <v>6840</v>
      </c>
    </row>
    <row r="16" spans="1:11" ht="15.75" x14ac:dyDescent="0.25">
      <c r="A16" s="77">
        <v>9</v>
      </c>
      <c r="B16" s="203" t="s">
        <v>97</v>
      </c>
      <c r="C16" s="196">
        <v>0</v>
      </c>
      <c r="D16" s="201">
        <v>0</v>
      </c>
      <c r="E16" s="200">
        <v>0</v>
      </c>
      <c r="F16" s="200" t="s">
        <v>208</v>
      </c>
      <c r="G16" s="200">
        <v>994</v>
      </c>
      <c r="H16" s="197">
        <f>G16*12*0.5</f>
        <v>5964</v>
      </c>
      <c r="I16" s="200" t="s">
        <v>208</v>
      </c>
      <c r="J16" s="200">
        <v>994</v>
      </c>
      <c r="K16" s="198">
        <f>J16*12*0.5</f>
        <v>5964</v>
      </c>
    </row>
    <row r="17" spans="1:11" ht="15.75" x14ac:dyDescent="0.25">
      <c r="A17" s="204"/>
      <c r="B17" s="83" t="s">
        <v>98</v>
      </c>
      <c r="C17" s="196"/>
      <c r="D17" s="196">
        <v>0</v>
      </c>
      <c r="E17" s="200">
        <v>0</v>
      </c>
      <c r="F17" s="200"/>
      <c r="G17" s="200"/>
      <c r="H17" s="200"/>
      <c r="I17" s="200"/>
      <c r="J17" s="200"/>
      <c r="K17" s="202"/>
    </row>
    <row r="18" spans="1:11" ht="15.75" x14ac:dyDescent="0.25">
      <c r="A18" s="205"/>
      <c r="B18" s="79" t="s">
        <v>209</v>
      </c>
      <c r="C18" s="202"/>
      <c r="D18" s="200"/>
      <c r="E18" s="202">
        <f>SUM(E10:E16)*23.59%</f>
        <v>10582.9458</v>
      </c>
      <c r="F18" s="202"/>
      <c r="G18" s="202"/>
      <c r="H18" s="202">
        <f>SUM(H10:H16)*23.59%</f>
        <v>6127.2665999999999</v>
      </c>
      <c r="I18" s="202"/>
      <c r="J18" s="202"/>
      <c r="K18" s="202">
        <f>E18+H18</f>
        <v>16710.2124</v>
      </c>
    </row>
    <row r="19" spans="1:11" ht="15.75" x14ac:dyDescent="0.25">
      <c r="A19" s="206"/>
      <c r="B19" s="79" t="s">
        <v>210</v>
      </c>
      <c r="C19" s="202">
        <v>6</v>
      </c>
      <c r="D19" s="200">
        <v>0.36</v>
      </c>
      <c r="E19" s="200">
        <f>D19*C19*12</f>
        <v>25.92</v>
      </c>
      <c r="F19" s="200">
        <v>3</v>
      </c>
      <c r="G19" s="200">
        <v>0.36</v>
      </c>
      <c r="H19" s="200">
        <f>G19*F19*12</f>
        <v>12.96</v>
      </c>
      <c r="I19" s="207">
        <v>9</v>
      </c>
      <c r="J19" s="200">
        <v>0.36</v>
      </c>
      <c r="K19" s="202">
        <f>E19+H19</f>
        <v>38.880000000000003</v>
      </c>
    </row>
    <row r="20" spans="1:11" x14ac:dyDescent="0.25">
      <c r="A20" s="176"/>
      <c r="B20" s="208"/>
      <c r="C20" s="176"/>
      <c r="D20" s="176"/>
      <c r="E20" s="209"/>
      <c r="F20" s="209"/>
      <c r="G20" s="209"/>
      <c r="H20" s="209"/>
      <c r="I20" s="176"/>
      <c r="J20" s="176"/>
      <c r="K20" s="176"/>
    </row>
    <row r="21" spans="1:11" x14ac:dyDescent="0.25">
      <c r="A21" s="176"/>
      <c r="B21" s="208"/>
      <c r="C21" s="176"/>
      <c r="D21" s="176"/>
      <c r="E21" s="61"/>
      <c r="F21" s="61"/>
      <c r="G21" s="61"/>
      <c r="H21" s="61"/>
      <c r="I21" s="176"/>
      <c r="J21" s="176"/>
      <c r="K21" s="176"/>
    </row>
    <row r="22" spans="1:11" x14ac:dyDescent="0.25">
      <c r="A22" s="176"/>
      <c r="B22" s="176"/>
      <c r="C22" s="176"/>
      <c r="D22" s="176"/>
      <c r="E22" s="61"/>
      <c r="F22" s="61"/>
      <c r="G22" s="61"/>
      <c r="H22" s="61"/>
      <c r="I22" s="176"/>
      <c r="J22" s="176"/>
      <c r="K22" s="176"/>
    </row>
    <row r="23" spans="1:11" x14ac:dyDescent="0.25">
      <c r="A23" s="176"/>
      <c r="B23" s="176"/>
      <c r="C23" s="210"/>
      <c r="D23" s="210"/>
      <c r="E23" s="61"/>
      <c r="F23" s="61"/>
      <c r="G23" s="61"/>
      <c r="H23" s="61"/>
      <c r="I23" s="176"/>
      <c r="J23" s="176"/>
      <c r="K23" s="176"/>
    </row>
    <row r="24" spans="1:11" x14ac:dyDescent="0.25">
      <c r="A24" s="176"/>
      <c r="B24" s="176"/>
      <c r="C24" s="176"/>
      <c r="D24" s="176"/>
      <c r="E24" s="61"/>
      <c r="F24" s="61"/>
      <c r="G24" s="61"/>
      <c r="H24" s="61"/>
      <c r="I24" s="176"/>
      <c r="J24" s="176"/>
      <c r="K24" s="176"/>
    </row>
    <row r="25" spans="1:11" ht="15.75" x14ac:dyDescent="0.25">
      <c r="A25" s="178" t="s">
        <v>213</v>
      </c>
      <c r="B25" s="178"/>
      <c r="C25" s="178"/>
      <c r="D25" s="177"/>
      <c r="E25" s="61"/>
      <c r="F25" s="61"/>
      <c r="G25" s="61"/>
      <c r="H25" s="61"/>
      <c r="I25" s="176"/>
      <c r="J25" s="176"/>
      <c r="K25" s="176"/>
    </row>
    <row r="26" spans="1:11" ht="15.75" x14ac:dyDescent="0.25">
      <c r="A26" s="178" t="s">
        <v>171</v>
      </c>
      <c r="B26" s="178"/>
      <c r="C26" s="178"/>
      <c r="D26" s="177"/>
      <c r="E26" s="61"/>
      <c r="F26" s="61"/>
      <c r="G26" s="61"/>
      <c r="H26" s="61"/>
      <c r="I26" s="176"/>
      <c r="J26" s="176"/>
      <c r="K26" s="176"/>
    </row>
    <row r="27" spans="1:11" ht="15.75" x14ac:dyDescent="0.25">
      <c r="A27" s="178" t="s">
        <v>172</v>
      </c>
      <c r="B27" s="178"/>
      <c r="C27" s="178"/>
      <c r="D27" s="177"/>
      <c r="E27" s="61"/>
      <c r="F27" s="61"/>
      <c r="G27" s="61"/>
      <c r="H27" s="61"/>
      <c r="I27" s="176"/>
      <c r="J27" s="176"/>
      <c r="K27" s="176"/>
    </row>
  </sheetData>
  <mergeCells count="12">
    <mergeCell ref="I6:K6"/>
    <mergeCell ref="C4:G4"/>
    <mergeCell ref="J1:K1"/>
    <mergeCell ref="I2:K2"/>
    <mergeCell ref="H3:K3"/>
    <mergeCell ref="A5:H5"/>
    <mergeCell ref="A6:A7"/>
    <mergeCell ref="B6:B7"/>
    <mergeCell ref="C6:C7"/>
    <mergeCell ref="D6:D7"/>
    <mergeCell ref="E6:E7"/>
    <mergeCell ref="F6:H6"/>
  </mergeCells>
  <pageMargins left="0.70866141732283472" right="0.70866141732283472" top="0.74803149606299213" bottom="0.74803149606299213" header="0.31496062992125984" footer="0.31496062992125984"/>
  <pageSetup paperSize="9" scale="70" orientation="landscape" r:id="rId1"/>
  <headerFooter>
    <oddFooter>&amp;CLMpielik_15_070815_LMZino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LMpielik_9_LMZino</vt:lpstr>
      <vt:lpstr>LMpielik_10_LMZino</vt:lpstr>
      <vt:lpstr>LMpielik_11_LMZino</vt:lpstr>
      <vt:lpstr>LMpielik_12_LMZino</vt:lpstr>
      <vt:lpstr>LMpielik_13_LMZino</vt:lpstr>
      <vt:lpstr>LMpielik_14_LMZino</vt:lpstr>
      <vt:lpstr>LMpielik_15_LMZino</vt:lpstr>
      <vt:lpstr>LMpielik_11_LMZino!Print_Titles</vt:lpstr>
      <vt:lpstr>LMpielik_12_LMZino!Print_Titles</vt:lpstr>
      <vt:lpstr>LMpielik_13_LMZino!Print_Titles</vt:lpstr>
      <vt:lpstr>LMpielik_9_LMZino!Print_Titles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 papildus nepieciešamo finansējumu valsts nodrošināto tehnisko palīglīdzekļu pakalpojuma ieviešanā”</dc:title>
  <dc:creator>Lilita Cirule</dc:creator>
  <cp:keywords>Variants Nr.1, pielikumi no 8_13</cp:keywords>
  <cp:lastModifiedBy>Lilita Cirule</cp:lastModifiedBy>
  <cp:lastPrinted>2015-08-07T07:05:36Z</cp:lastPrinted>
  <dcterms:created xsi:type="dcterms:W3CDTF">2014-03-24T09:34:22Z</dcterms:created>
  <dcterms:modified xsi:type="dcterms:W3CDTF">2015-08-07T07:11:51Z</dcterms:modified>
  <cp:category>tālr. 67021647, Lilita.Cirule@lm.gov.lv	, fax 67276445		</cp:category>
</cp:coreProperties>
</file>