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60" activeTab="0"/>
  </bookViews>
  <sheets>
    <sheet name="3.pielikums" sheetId="1" r:id="rId1"/>
  </sheets>
  <definedNames/>
  <calcPr fullCalcOnLoad="1"/>
</workbook>
</file>

<file path=xl/sharedStrings.xml><?xml version="1.0" encoding="utf-8"?>
<sst xmlns="http://schemas.openxmlformats.org/spreadsheetml/2006/main" count="57" uniqueCount="54">
  <si>
    <t>papildus nepieciešamais</t>
  </si>
  <si>
    <t>1.1. sezonas darbinieki</t>
  </si>
  <si>
    <t>1.2. mežziņi</t>
  </si>
  <si>
    <t>1.4. virsmežniecības inženieri</t>
  </si>
  <si>
    <t>1.3. vecākie mežziņi</t>
  </si>
  <si>
    <t>1.6. vecākie inspektori</t>
  </si>
  <si>
    <t>1.7. virsmežziņu vietnieki</t>
  </si>
  <si>
    <t>1.8. virsmežziņi</t>
  </si>
  <si>
    <t>1.9. Meža un vides aizsardzības daļa (centrālā administrācija)</t>
  </si>
  <si>
    <t>2010*</t>
  </si>
  <si>
    <t>2011*</t>
  </si>
  <si>
    <t>1.5. MUS** vadītāji</t>
  </si>
  <si>
    <t>**MUS - meža ugunsdzēsības stacijas</t>
  </si>
  <si>
    <t>1. Atlīdzība t.sk. sociālās iemaksas un veselības apdrošināšana gadam:</t>
  </si>
  <si>
    <t>2. Preces un pakalpojumi kopā (bez  degvielas l) periodam</t>
  </si>
  <si>
    <t>spectērpi (atjaunojami ik gadu)</t>
  </si>
  <si>
    <t>specializēto transportlīdzekļu uzturēšana (ik gadu)</t>
  </si>
  <si>
    <t>torņu un MUS uzturēšana (ik gadu)</t>
  </si>
  <si>
    <t>3. Pamatkapitāla veidošana kopā periodam</t>
  </si>
  <si>
    <t>Specializētie vieglie transportlīdzekļi</t>
  </si>
  <si>
    <t>Pamatlīdzekļi (motorzāģi, krūmgrieži, ūdenssūkņi, ugunsdzēsīsbas iekārtas u.c.)</t>
  </si>
  <si>
    <t>Ēku ugunsapsardzības nodrošināšanai kapitālais remonts un rekonstrukcija (t.sk. MUS - 24, garāžas 51)</t>
  </si>
  <si>
    <t>EUR</t>
  </si>
  <si>
    <t>*Atlīdzības 2010. un 2011. gads nav salīdzināms ar 2012. gadu, jo ir cits cilvēku skaits, cita noslodze un cita darba organizācija. ilgāks laika resurss.</t>
  </si>
  <si>
    <t xml:space="preserve">*** Finansējums par torņu rekonstrukciju I un II kārtā. 2013. gadā III projekta kārta apturēta nepietiekama finansējuma dēļ, ko radījis straujšs būvniecības cenu kāpums </t>
  </si>
  <si>
    <t>Globālās navigācijas satelītu uztvērēji (GNS)</t>
  </si>
  <si>
    <t>Globālās navigācijas satelītu uztvērēji (GNS)****</t>
  </si>
  <si>
    <t>****Finansējums no ELFLA līdzekļiem</t>
  </si>
  <si>
    <t>Darba aizsardzības pasākumi un apmācības(reizi 2 gados)</t>
  </si>
  <si>
    <t>Autocisternas, skaiti</t>
  </si>
  <si>
    <t>Specializētie vieglie transportlīdzekļi, skaiti</t>
  </si>
  <si>
    <t>inventārs (atjaunojams ik gadu)*****</t>
  </si>
  <si>
    <t>riepas (komplekti)******</t>
  </si>
  <si>
    <t>2015.g.plāns(aktuālais kopā paredzētais finansējums)</t>
  </si>
  <si>
    <t xml:space="preserve">                             Faktiskais finansējums/izdevumi</t>
  </si>
  <si>
    <t>Sakarā ar to, ka iepriekšējos gados pieejamā finansējuma apjoms riepu iegādei ir bijis ļoti atšķirīgs pa gadiem, turklāt jaunu automobiļu piegādē tikuši piegādāti gan automobiļi ar vienu riepu komplektu, gan automobiļi ar diviem riepu komplektiem, minētās iegādes iepriekš tikušas veiktas dažādā apjomā. Tā rezultātā 2015.un 2016. gadā riepu iegādes nav nepieciešamas, savukārt  2017., 2018.gadā plānots iegādāties nepieciešamo riepu komplektu skaitu, lai nomainītu tobrīd nolietotās riepas. Patlaban izdevumi pa gadiem tiek plānoti vadoties no reālās nepieciešamības, taču nākotnē tos plānots izlīdzināt pa gadiem.</t>
  </si>
  <si>
    <t>degviela (l) gadā ugunsapsardzībai******</t>
  </si>
  <si>
    <t>****** Sakarā ar to, ka salīdzinājumā ar 2013.gadu 2014.gadā ir samazinājušās degvielas cenas,  2016. un turpmākajos gados samazinās papildus nepieciešamais finansējums, salīdzinot ar iepriekšējo Ziņojumu</t>
  </si>
  <si>
    <t xml:space="preserve"> ***** Sakarā ar to, ka iepriekšējos gados pieejamā finansējuma apjoms ugunsdzēsības inventāra atjaunošanai/iegādei ir bijis ļoti atšķirīgs pa gadiem, minētās iegādes iepriekš tikušas veiktas dažādā apjomā. Tā rezultātā 2016. gadā nepieciešams atjaunot/iegādāties tikai pārnēsājamos smidzinātājus, jo lietošanai derīgā pārējā inventāra apjoms ir  pietiekams,  savukārt  2017.gadā plānots turpināt iegādāties pārnēsājamos smidzinātājus un uzsākt šļūteņu, storbru, savienojumu, pāreju un sūcvadu nomaiņu:2017.gadā nepieciešams ugunsdzēsības inventārs (pārnēsājamie smidzinātāji 94 vienības* 146.81 EUR plānotā vienas vienības cena = 13 800 EUR; ugunsdzēsības šļūtenes, stobri, šļūteņu savienojumi, pārejas utml. 150 vienības*41.26 EUR plānotā vienības cena = 6 189 EUR; sūcvadi - 3 vienības*331.53 EUR = 995 EUR) kopsummā  gadā 20984 EUR; Patlaban izdevumi pa gadiem tiek plānoti vadoties no reālās nepieciešamības, taču nākotnē tos plānots izlīdzināt pa gadiem. 2018. gadā plānoto iegāžu atšifrējums: 2018.gadā nepieciešams ugunsdzēsības inventārs (pārnēsājamie smidzinātāji 167 vienības* 146.5 EUR plānotā vienas vienības cena = 24 465 EUR; ugunsdzēsības šļūtenes, stobri, šļūteņu savienojumi, pārejas utml. 150 vienības*41.26 EUR plānotā vienības cena = 6 189 EUR;  kopsummā  gadā 30654 EUR;</t>
  </si>
  <si>
    <t>Optimāli nepieciešamais apjoms funkcijas nodrošināšanai  vidēji gadā</t>
  </si>
  <si>
    <t xml:space="preserve">Bāzē paredzētais  vienību skaits </t>
  </si>
  <si>
    <t>Autocisternas jaunākas par 2005.gadu</t>
  </si>
  <si>
    <t>Ugunsnovērošanas torņu būvniecība un rekonstrukcija***</t>
  </si>
  <si>
    <t>darbinieki/vienību skaits *******</t>
  </si>
  <si>
    <t>******* Precizēts saskaņā ar Finanšu ministrijas 10.04.2015 vēstules Nr.A-ZM/2/1985 3.1. un 3.2.punktu</t>
  </si>
  <si>
    <t>Bāzē paredzētais        ********</t>
  </si>
  <si>
    <t>Bāzē paredzētais           *********</t>
  </si>
  <si>
    <t>Bāzē paredzētais     ********</t>
  </si>
  <si>
    <t>******* Precizēts saskaņā ar Finanšu ministrijas 10.04.2015 vēstules Nr.A-ZM/2/1985 3.4.</t>
  </si>
  <si>
    <t xml:space="preserve">3.pielikums </t>
  </si>
  <si>
    <t>Valsts meža dienesta operatīvie dati par finansējumu ugunsdzēsībai</t>
  </si>
  <si>
    <t>6.tabula</t>
  </si>
  <si>
    <t>V.Freimane</t>
  </si>
  <si>
    <t>67027253, vija.freimane@zm.gov.lv</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</si>
</sst>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 numFmtId="181" formatCode="&quot;Jā&quot;;&quot;Jā&quot;;&quot;Nē&quot;"/>
    <numFmt numFmtId="182" formatCode="&quot;Patiess&quot;;&quot;Patiess&quot;;&quot;Aplams&quot;"/>
    <numFmt numFmtId="183" formatCode="&quot;Ieslēgts&quot;;&quot;Ieslēgts&quot;;&quot;Izslēgts&quot;"/>
    <numFmt numFmtId="184" formatCode="[$€-2]\ #\ ##,000_);[Red]\([$€-2]\ #\ ##,000\)"/>
  </numFmts>
  <fonts count="54">
    <font>
      <sz val="11"/>
      <color theme="1"/>
      <name val="Calibri"/>
      <family val="2"/>
    </font>
    <font>
      <sz val="11"/>
      <color indexed="8"/>
      <name val="Calibri"/>
      <family val="2"/>
    </font>
    <font>
      <sz val="8"/>
      <name val="Times New Roman"/>
      <family val="1"/>
    </font>
    <font>
      <sz val="11"/>
      <name val="Times New Roman"/>
      <family val="1"/>
    </font>
    <font>
      <b/>
      <sz val="8"/>
      <name val="Times New Roman"/>
      <family val="1"/>
    </font>
    <font>
      <sz val="11"/>
      <color indexed="9"/>
      <name val="Calibri"/>
      <family val="2"/>
    </font>
    <font>
      <b/>
      <sz val="11"/>
      <color indexed="52"/>
      <name val="Calibri"/>
      <family val="2"/>
    </font>
    <font>
      <sz val="11"/>
      <color indexed="10"/>
      <name val="Calibri"/>
      <family val="2"/>
    </font>
    <font>
      <u val="single"/>
      <sz val="11"/>
      <color indexed="12"/>
      <name val="Calibri"/>
      <family val="2"/>
    </font>
    <font>
      <sz val="11"/>
      <color indexed="62"/>
      <name val="Calibri"/>
      <family val="2"/>
    </font>
    <font>
      <u val="single"/>
      <sz val="11"/>
      <color indexed="20"/>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b/>
      <sz val="11"/>
      <color indexed="9"/>
      <name val="Calibri"/>
      <family val="2"/>
    </font>
    <font>
      <i/>
      <sz val="11"/>
      <color indexed="23"/>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8"/>
      <color indexed="8"/>
      <name val="Times New Roman"/>
      <family val="1"/>
    </font>
    <font>
      <sz val="11"/>
      <color indexed="8"/>
      <name val="Times New Roman"/>
      <family val="1"/>
    </font>
    <font>
      <sz val="8"/>
      <color indexed="10"/>
      <name val="Times New Roman"/>
      <family val="1"/>
    </font>
    <font>
      <b/>
      <sz val="11"/>
      <color indexed="10"/>
      <name val="Times New Roman"/>
      <family val="1"/>
    </font>
    <font>
      <b/>
      <sz val="8"/>
      <color indexed="8"/>
      <name val="Times New Roman"/>
      <family val="1"/>
    </font>
    <font>
      <sz val="10"/>
      <color indexed="8"/>
      <name val="Times New Roman"/>
      <family val="1"/>
    </font>
    <font>
      <sz val="11"/>
      <color theme="0"/>
      <name val="Calibri"/>
      <family val="2"/>
    </font>
    <font>
      <b/>
      <sz val="11"/>
      <color rgb="FFFA7D00"/>
      <name val="Calibri"/>
      <family val="2"/>
    </font>
    <font>
      <sz val="11"/>
      <color rgb="FFFF0000"/>
      <name val="Calibri"/>
      <family val="2"/>
    </font>
    <font>
      <u val="single"/>
      <sz val="11"/>
      <color theme="10"/>
      <name val="Calibri"/>
      <family val="2"/>
    </font>
    <font>
      <sz val="11"/>
      <color rgb="FF3F3F76"/>
      <name val="Calibri"/>
      <family val="2"/>
    </font>
    <font>
      <u val="single"/>
      <sz val="11"/>
      <color theme="11"/>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rgb="FF000000"/>
      <name val="Times New Roman"/>
      <family val="1"/>
    </font>
    <font>
      <sz val="11"/>
      <color theme="1"/>
      <name val="Times New Roman"/>
      <family val="1"/>
    </font>
    <font>
      <sz val="8"/>
      <color rgb="FFFF0000"/>
      <name val="Times New Roman"/>
      <family val="1"/>
    </font>
    <font>
      <sz val="8"/>
      <color theme="1"/>
      <name val="Times New Roman"/>
      <family val="1"/>
    </font>
    <font>
      <b/>
      <sz val="11"/>
      <color rgb="FFFF0000"/>
      <name val="Times New Roman"/>
      <family val="1"/>
    </font>
    <font>
      <b/>
      <sz val="8"/>
      <color rgb="FF000000"/>
      <name val="Times New Roman"/>
      <family val="1"/>
    </font>
    <font>
      <sz val="10"/>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top>
        <color indexed="63"/>
      </top>
      <bottom style="thin"/>
    </border>
    <border>
      <left>
        <color indexed="63"/>
      </left>
      <right style="thin"/>
      <top style="thin"/>
      <bottom style="medium"/>
    </border>
    <border>
      <left style="thin"/>
      <right style="thin"/>
      <top/>
      <bottom/>
    </border>
    <border>
      <left/>
      <right/>
      <top style="thin"/>
      <bottom style="thin"/>
    </border>
    <border>
      <left style="thin"/>
      <right style="thin"/>
      <top>
        <color indexed="63"/>
      </top>
      <bottom style="thin"/>
    </border>
    <border>
      <left>
        <color indexed="63"/>
      </left>
      <right style="thin"/>
      <top style="medium"/>
      <bottom style="thin"/>
    </border>
    <border>
      <left style="thin"/>
      <right/>
      <top style="medium"/>
      <bottom style="thin"/>
    </border>
    <border>
      <left style="medium"/>
      <right style="thin"/>
      <top style="medium"/>
      <bottom style="thin"/>
    </border>
    <border>
      <left style="thin"/>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7" borderId="1" applyNumberFormat="0" applyAlignment="0" applyProtection="0"/>
    <xf numFmtId="0" fontId="34" fillId="0" borderId="0" applyNumberFormat="0" applyFill="0" applyBorder="0" applyAlignment="0" applyProtection="0"/>
    <xf numFmtId="0" fontId="3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87">
    <xf numFmtId="0" fontId="0" fillId="0" borderId="0" xfId="0" applyFont="1" applyAlignment="1">
      <alignment/>
    </xf>
    <xf numFmtId="0" fontId="47" fillId="0" borderId="10" xfId="0" applyFont="1" applyBorder="1" applyAlignment="1">
      <alignment wrapText="1"/>
    </xf>
    <xf numFmtId="3" fontId="47" fillId="0" borderId="10" xfId="0" applyNumberFormat="1" applyFont="1" applyBorder="1" applyAlignment="1">
      <alignment wrapText="1"/>
    </xf>
    <xf numFmtId="3" fontId="2" fillId="0" borderId="10" xfId="0" applyNumberFormat="1" applyFont="1" applyBorder="1" applyAlignment="1">
      <alignment wrapText="1"/>
    </xf>
    <xf numFmtId="0" fontId="48" fillId="0" borderId="0" xfId="50" applyFont="1">
      <alignment/>
      <protection/>
    </xf>
    <xf numFmtId="3" fontId="48" fillId="0" borderId="0" xfId="50" applyNumberFormat="1" applyFont="1">
      <alignment/>
      <protection/>
    </xf>
    <xf numFmtId="0" fontId="49" fillId="0" borderId="10" xfId="50" applyFont="1" applyBorder="1" applyAlignment="1">
      <alignment wrapText="1"/>
      <protection/>
    </xf>
    <xf numFmtId="0" fontId="47" fillId="0" borderId="10" xfId="50" applyFont="1" applyBorder="1">
      <alignment/>
      <protection/>
    </xf>
    <xf numFmtId="3" fontId="47" fillId="0" borderId="10" xfId="50" applyNumberFormat="1" applyFont="1" applyBorder="1" applyAlignment="1">
      <alignment wrapText="1"/>
      <protection/>
    </xf>
    <xf numFmtId="0" fontId="2" fillId="0" borderId="10" xfId="50" applyFont="1" applyBorder="1" applyAlignment="1">
      <alignment wrapText="1"/>
      <protection/>
    </xf>
    <xf numFmtId="3" fontId="2" fillId="0" borderId="10" xfId="50" applyNumberFormat="1" applyFont="1" applyBorder="1" applyAlignment="1">
      <alignment wrapText="1"/>
      <protection/>
    </xf>
    <xf numFmtId="0" fontId="3" fillId="0" borderId="10" xfId="50" applyFont="1" applyBorder="1">
      <alignment/>
      <protection/>
    </xf>
    <xf numFmtId="3" fontId="4" fillId="0" borderId="10" xfId="50" applyNumberFormat="1" applyFont="1" applyBorder="1" applyAlignment="1">
      <alignment wrapText="1"/>
      <protection/>
    </xf>
    <xf numFmtId="1" fontId="4" fillId="0" borderId="10" xfId="50" applyNumberFormat="1" applyFont="1" applyBorder="1" applyAlignment="1">
      <alignment wrapText="1"/>
      <protection/>
    </xf>
    <xf numFmtId="3" fontId="4" fillId="6" borderId="10" xfId="50" applyNumberFormat="1" applyFont="1" applyFill="1" applyBorder="1" applyAlignment="1">
      <alignment wrapText="1"/>
      <protection/>
    </xf>
    <xf numFmtId="3" fontId="2" fillId="33" borderId="10" xfId="50" applyNumberFormat="1" applyFont="1" applyFill="1" applyBorder="1" applyAlignment="1">
      <alignment wrapText="1"/>
      <protection/>
    </xf>
    <xf numFmtId="3" fontId="4" fillId="0" borderId="10" xfId="0" applyNumberFormat="1" applyFont="1" applyBorder="1" applyAlignment="1">
      <alignment wrapText="1"/>
    </xf>
    <xf numFmtId="3" fontId="4" fillId="6" borderId="10" xfId="0" applyNumberFormat="1" applyFont="1" applyFill="1" applyBorder="1" applyAlignment="1">
      <alignment/>
    </xf>
    <xf numFmtId="0" fontId="50" fillId="0" borderId="0" xfId="50" applyFont="1">
      <alignment/>
      <protection/>
    </xf>
    <xf numFmtId="0" fontId="51" fillId="0" borderId="0" xfId="50" applyFont="1">
      <alignment/>
      <protection/>
    </xf>
    <xf numFmtId="1" fontId="48" fillId="0" borderId="0" xfId="50" applyNumberFormat="1" applyFont="1">
      <alignment/>
      <protection/>
    </xf>
    <xf numFmtId="1" fontId="2" fillId="33" borderId="10" xfId="50" applyNumberFormat="1" applyFont="1" applyFill="1" applyBorder="1" applyAlignment="1">
      <alignment wrapText="1"/>
      <protection/>
    </xf>
    <xf numFmtId="3" fontId="2" fillId="6" borderId="10" xfId="50" applyNumberFormat="1" applyFont="1" applyFill="1" applyBorder="1" applyAlignment="1">
      <alignment wrapText="1"/>
      <protection/>
    </xf>
    <xf numFmtId="0" fontId="50" fillId="0" borderId="0" xfId="50" applyFont="1" applyFill="1" applyBorder="1">
      <alignment/>
      <protection/>
    </xf>
    <xf numFmtId="3" fontId="52" fillId="0" borderId="10" xfId="0" applyNumberFormat="1" applyFont="1" applyBorder="1" applyAlignment="1">
      <alignment wrapText="1"/>
    </xf>
    <xf numFmtId="0" fontId="2" fillId="0" borderId="10" xfId="50" applyFont="1" applyBorder="1">
      <alignment/>
      <protection/>
    </xf>
    <xf numFmtId="3" fontId="47" fillId="6" borderId="10" xfId="0" applyNumberFormat="1" applyFont="1" applyFill="1" applyBorder="1" applyAlignment="1">
      <alignment/>
    </xf>
    <xf numFmtId="0" fontId="48" fillId="0" borderId="10" xfId="0" applyFont="1" applyBorder="1" applyAlignment="1">
      <alignment/>
    </xf>
    <xf numFmtId="3" fontId="47" fillId="33" borderId="10" xfId="0" applyNumberFormat="1" applyFont="1" applyFill="1" applyBorder="1" applyAlignment="1">
      <alignment wrapText="1"/>
    </xf>
    <xf numFmtId="3" fontId="47" fillId="34" borderId="10" xfId="0" applyNumberFormat="1" applyFont="1" applyFill="1" applyBorder="1" applyAlignment="1">
      <alignment/>
    </xf>
    <xf numFmtId="3" fontId="2" fillId="33" borderId="10" xfId="0" applyNumberFormat="1" applyFont="1" applyFill="1" applyBorder="1" applyAlignment="1">
      <alignment wrapText="1"/>
    </xf>
    <xf numFmtId="0" fontId="2" fillId="33" borderId="10" xfId="50" applyFont="1" applyFill="1" applyBorder="1" applyAlignment="1">
      <alignment wrapText="1"/>
      <protection/>
    </xf>
    <xf numFmtId="0" fontId="47" fillId="0" borderId="10" xfId="50" applyFont="1" applyBorder="1" applyAlignment="1">
      <alignment horizontal="center" wrapText="1"/>
      <protection/>
    </xf>
    <xf numFmtId="0" fontId="47" fillId="0" borderId="11" xfId="50" applyFont="1" applyBorder="1" applyAlignment="1">
      <alignment horizontal="center" wrapText="1"/>
      <protection/>
    </xf>
    <xf numFmtId="3" fontId="4" fillId="6" borderId="10" xfId="50" applyNumberFormat="1" applyFont="1" applyFill="1" applyBorder="1" applyAlignment="1">
      <alignment horizontal="center" wrapText="1"/>
      <protection/>
    </xf>
    <xf numFmtId="0" fontId="47" fillId="0" borderId="10" xfId="50" applyFont="1" applyBorder="1" applyAlignment="1">
      <alignment horizontal="center" wrapText="1"/>
      <protection/>
    </xf>
    <xf numFmtId="3" fontId="52" fillId="0" borderId="12" xfId="0" applyNumberFormat="1" applyFont="1" applyBorder="1" applyAlignment="1">
      <alignment wrapText="1"/>
    </xf>
    <xf numFmtId="3" fontId="47" fillId="0" borderId="12" xfId="0" applyNumberFormat="1" applyFont="1" applyBorder="1" applyAlignment="1">
      <alignment wrapText="1"/>
    </xf>
    <xf numFmtId="3" fontId="2" fillId="0" borderId="12" xfId="0" applyNumberFormat="1" applyFont="1" applyBorder="1" applyAlignment="1">
      <alignment wrapText="1"/>
    </xf>
    <xf numFmtId="3" fontId="4" fillId="0" borderId="12" xfId="50" applyNumberFormat="1" applyFont="1" applyBorder="1" applyAlignment="1">
      <alignment wrapText="1"/>
      <protection/>
    </xf>
    <xf numFmtId="3" fontId="2" fillId="33" borderId="12" xfId="50" applyNumberFormat="1" applyFont="1" applyFill="1" applyBorder="1" applyAlignment="1">
      <alignment wrapText="1"/>
      <protection/>
    </xf>
    <xf numFmtId="0" fontId="47" fillId="0" borderId="13" xfId="50" applyFont="1" applyBorder="1" applyAlignment="1">
      <alignment horizontal="center" wrapText="1"/>
      <protection/>
    </xf>
    <xf numFmtId="0" fontId="47" fillId="0" borderId="14" xfId="50" applyFont="1" applyBorder="1" applyAlignment="1">
      <alignment horizontal="center" wrapText="1"/>
      <protection/>
    </xf>
    <xf numFmtId="3" fontId="47" fillId="0" borderId="13" xfId="0" applyNumberFormat="1" applyFont="1" applyBorder="1" applyAlignment="1">
      <alignment wrapText="1"/>
    </xf>
    <xf numFmtId="3" fontId="2" fillId="0" borderId="13" xfId="50" applyNumberFormat="1" applyFont="1" applyBorder="1" applyAlignment="1">
      <alignment wrapText="1"/>
      <protection/>
    </xf>
    <xf numFmtId="3" fontId="2" fillId="33" borderId="13" xfId="50" applyNumberFormat="1" applyFont="1" applyFill="1" applyBorder="1" applyAlignment="1">
      <alignment wrapText="1"/>
      <protection/>
    </xf>
    <xf numFmtId="3" fontId="4" fillId="0" borderId="13" xfId="50" applyNumberFormat="1" applyFont="1" applyBorder="1" applyAlignment="1">
      <alignment wrapText="1"/>
      <protection/>
    </xf>
    <xf numFmtId="3" fontId="2" fillId="6" borderId="15" xfId="50" applyNumberFormat="1" applyFont="1" applyFill="1" applyBorder="1" applyAlignment="1">
      <alignment wrapText="1"/>
      <protection/>
    </xf>
    <xf numFmtId="3" fontId="2" fillId="0" borderId="16" xfId="50" applyNumberFormat="1" applyFont="1" applyBorder="1" applyAlignment="1">
      <alignment wrapText="1"/>
      <protection/>
    </xf>
    <xf numFmtId="3" fontId="4" fillId="6" borderId="14" xfId="0" applyNumberFormat="1" applyFont="1" applyFill="1" applyBorder="1" applyAlignment="1">
      <alignment/>
    </xf>
    <xf numFmtId="3" fontId="47" fillId="6" borderId="14" xfId="0" applyNumberFormat="1" applyFont="1" applyFill="1" applyBorder="1" applyAlignment="1">
      <alignment/>
    </xf>
    <xf numFmtId="3" fontId="4" fillId="6" borderId="14" xfId="50" applyNumberFormat="1" applyFont="1" applyFill="1" applyBorder="1" applyAlignment="1">
      <alignment horizontal="center" wrapText="1"/>
      <protection/>
    </xf>
    <xf numFmtId="3" fontId="2" fillId="6" borderId="14" xfId="50" applyNumberFormat="1" applyFont="1" applyFill="1" applyBorder="1" applyAlignment="1">
      <alignment wrapText="1"/>
      <protection/>
    </xf>
    <xf numFmtId="3" fontId="4" fillId="6" borderId="14" xfId="50" applyNumberFormat="1" applyFont="1" applyFill="1" applyBorder="1" applyAlignment="1">
      <alignment wrapText="1"/>
      <protection/>
    </xf>
    <xf numFmtId="3" fontId="2" fillId="6" borderId="17" xfId="50" applyNumberFormat="1" applyFont="1" applyFill="1" applyBorder="1" applyAlignment="1">
      <alignment wrapText="1"/>
      <protection/>
    </xf>
    <xf numFmtId="0" fontId="2" fillId="0" borderId="10" xfId="50" applyFont="1" applyFill="1" applyBorder="1">
      <alignment/>
      <protection/>
    </xf>
    <xf numFmtId="3" fontId="2" fillId="0" borderId="10" xfId="50" applyNumberFormat="1" applyFont="1" applyFill="1" applyBorder="1" applyAlignment="1">
      <alignment wrapText="1"/>
      <protection/>
    </xf>
    <xf numFmtId="0" fontId="0" fillId="0" borderId="0" xfId="0" applyFont="1" applyAlignment="1">
      <alignment/>
    </xf>
    <xf numFmtId="0" fontId="2" fillId="0" borderId="10" xfId="50" applyFont="1" applyFill="1" applyBorder="1" applyAlignment="1">
      <alignment wrapText="1"/>
      <protection/>
    </xf>
    <xf numFmtId="0" fontId="47" fillId="0" borderId="18" xfId="50" applyFont="1" applyBorder="1" applyAlignment="1">
      <alignment horizontal="center" wrapText="1"/>
      <protection/>
    </xf>
    <xf numFmtId="3" fontId="47" fillId="0" borderId="11" xfId="0" applyNumberFormat="1" applyFont="1" applyBorder="1" applyAlignment="1">
      <alignment wrapText="1"/>
    </xf>
    <xf numFmtId="3" fontId="2" fillId="0" borderId="11" xfId="0" applyNumberFormat="1" applyFont="1" applyBorder="1" applyAlignment="1">
      <alignment wrapText="1"/>
    </xf>
    <xf numFmtId="3" fontId="2" fillId="0" borderId="11" xfId="50" applyNumberFormat="1" applyFont="1" applyBorder="1" applyAlignment="1">
      <alignment wrapText="1"/>
      <protection/>
    </xf>
    <xf numFmtId="3" fontId="2" fillId="33" borderId="11" xfId="50" applyNumberFormat="1" applyFont="1" applyFill="1" applyBorder="1" applyAlignment="1">
      <alignment wrapText="1"/>
      <protection/>
    </xf>
    <xf numFmtId="3" fontId="4" fillId="0" borderId="11" xfId="50" applyNumberFormat="1" applyFont="1" applyBorder="1" applyAlignment="1">
      <alignment wrapText="1"/>
      <protection/>
    </xf>
    <xf numFmtId="3" fontId="2" fillId="33" borderId="19" xfId="50" applyNumberFormat="1" applyFont="1" applyFill="1" applyBorder="1" applyAlignment="1">
      <alignment wrapText="1"/>
      <protection/>
    </xf>
    <xf numFmtId="0" fontId="47" fillId="0" borderId="20" xfId="50" applyFont="1" applyBorder="1" applyAlignment="1">
      <alignment horizontal="center" wrapText="1"/>
      <protection/>
    </xf>
    <xf numFmtId="0" fontId="50" fillId="0" borderId="0" xfId="50" applyFont="1" applyAlignment="1">
      <alignment vertical="top"/>
      <protection/>
    </xf>
    <xf numFmtId="3" fontId="2" fillId="33" borderId="10" xfId="50" applyNumberFormat="1" applyFont="1" applyFill="1" applyBorder="1" applyAlignment="1" quotePrefix="1">
      <alignment horizontal="right" wrapText="1"/>
      <protection/>
    </xf>
    <xf numFmtId="0" fontId="47" fillId="0" borderId="21" xfId="50" applyFont="1" applyBorder="1" applyAlignment="1">
      <alignment horizontal="center" wrapText="1"/>
      <protection/>
    </xf>
    <xf numFmtId="0" fontId="47" fillId="0" borderId="12" xfId="50" applyFont="1" applyBorder="1" applyAlignment="1">
      <alignment horizontal="center" wrapText="1"/>
      <protection/>
    </xf>
    <xf numFmtId="0" fontId="47" fillId="0" borderId="21" xfId="50" applyFont="1" applyBorder="1" applyAlignment="1">
      <alignment horizontal="center" wrapText="1"/>
      <protection/>
    </xf>
    <xf numFmtId="0" fontId="47" fillId="0" borderId="22" xfId="50" applyFont="1" applyBorder="1" applyAlignment="1">
      <alignment horizontal="center" wrapText="1"/>
      <protection/>
    </xf>
    <xf numFmtId="0" fontId="50" fillId="0" borderId="0" xfId="0" applyFont="1" applyAlignment="1">
      <alignment/>
    </xf>
    <xf numFmtId="0" fontId="48" fillId="0" borderId="0" xfId="50" applyFont="1" applyAlignment="1">
      <alignment/>
      <protection/>
    </xf>
    <xf numFmtId="0" fontId="48" fillId="0" borderId="0" xfId="50" applyFont="1" applyAlignment="1">
      <alignment horizontal="center"/>
      <protection/>
    </xf>
    <xf numFmtId="0" fontId="50" fillId="0" borderId="0" xfId="50" applyNumberFormat="1" applyFont="1" applyFill="1" applyBorder="1" applyAlignment="1">
      <alignment horizontal="left" wrapText="1"/>
      <protection/>
    </xf>
    <xf numFmtId="0" fontId="50" fillId="0" borderId="0" xfId="0" applyFont="1" applyAlignment="1">
      <alignment horizontal="left" vertical="top" wrapText="1"/>
    </xf>
    <xf numFmtId="0" fontId="47" fillId="0" borderId="10" xfId="50" applyFont="1" applyBorder="1" applyAlignment="1">
      <alignment horizontal="center" wrapText="1"/>
      <protection/>
    </xf>
    <xf numFmtId="0" fontId="47" fillId="0" borderId="12" xfId="50" applyFont="1" applyBorder="1" applyAlignment="1">
      <alignment horizontal="center" wrapText="1"/>
      <protection/>
    </xf>
    <xf numFmtId="0" fontId="47" fillId="0" borderId="21" xfId="50" applyFont="1" applyBorder="1" applyAlignment="1">
      <alignment horizontal="center" wrapText="1"/>
      <protection/>
    </xf>
    <xf numFmtId="0" fontId="47" fillId="0" borderId="23" xfId="50" applyFont="1" applyBorder="1" applyAlignment="1">
      <alignment horizontal="center" wrapText="1"/>
      <protection/>
    </xf>
    <xf numFmtId="0" fontId="47" fillId="0" borderId="24" xfId="50" applyFont="1" applyBorder="1" applyAlignment="1">
      <alignment horizontal="center" wrapText="1"/>
      <protection/>
    </xf>
    <xf numFmtId="0" fontId="47" fillId="0" borderId="25" xfId="50" applyFont="1" applyBorder="1" applyAlignment="1">
      <alignment horizontal="center" wrapText="1"/>
      <protection/>
    </xf>
    <xf numFmtId="0" fontId="47" fillId="0" borderId="26" xfId="50" applyFont="1" applyBorder="1" applyAlignment="1">
      <alignment horizontal="center" wrapText="1"/>
      <protection/>
    </xf>
    <xf numFmtId="0" fontId="53" fillId="0" borderId="0" xfId="0" applyFont="1" applyAlignment="1">
      <alignment horizontal="justify" vertical="center"/>
    </xf>
    <xf numFmtId="0" fontId="53" fillId="0" borderId="0" xfId="0" applyFont="1" applyAlignment="1">
      <alignment vertical="center"/>
    </xf>
  </cellXfs>
  <cellStyles count="50">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Hyperlink" xfId="41"/>
    <cellStyle name="Ievade"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skaidrojošs teksts" xfId="52"/>
    <cellStyle name="Pārbaudes šūna"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workbookViewId="0" topLeftCell="A31">
      <selection activeCell="D51" sqref="D51"/>
    </sheetView>
  </sheetViews>
  <sheetFormatPr defaultColWidth="9.140625" defaultRowHeight="15"/>
  <cols>
    <col min="1" max="1" width="15.421875" style="0" customWidth="1"/>
  </cols>
  <sheetData>
    <row r="1" spans="13:17" ht="15">
      <c r="M1" s="74"/>
      <c r="N1" s="75" t="s">
        <v>49</v>
      </c>
      <c r="O1" s="75"/>
      <c r="P1" s="75"/>
      <c r="Q1" s="75"/>
    </row>
    <row r="2" spans="2:17" ht="15">
      <c r="B2" s="4"/>
      <c r="C2" s="4"/>
      <c r="D2" s="4"/>
      <c r="E2" s="4"/>
      <c r="F2" s="4"/>
      <c r="G2" s="4"/>
      <c r="H2" s="4"/>
      <c r="I2" s="74"/>
      <c r="J2" s="74"/>
      <c r="K2" s="74"/>
      <c r="L2" s="74"/>
      <c r="M2" s="74"/>
      <c r="N2" s="74"/>
      <c r="O2" s="74"/>
      <c r="P2" s="74" t="s">
        <v>51</v>
      </c>
      <c r="Q2" s="4"/>
    </row>
    <row r="3" spans="1:17" ht="15.75" thickBot="1">
      <c r="A3" s="75" t="s">
        <v>50</v>
      </c>
      <c r="B3" s="75"/>
      <c r="C3" s="75"/>
      <c r="D3" s="75"/>
      <c r="E3" s="75"/>
      <c r="F3" s="75"/>
      <c r="G3" s="75"/>
      <c r="H3" s="75"/>
      <c r="I3" s="75"/>
      <c r="J3" s="75"/>
      <c r="K3" s="75"/>
      <c r="L3" s="75"/>
      <c r="M3" s="75"/>
      <c r="N3" s="75"/>
      <c r="O3" s="75"/>
      <c r="P3" s="75"/>
      <c r="Q3" s="75"/>
    </row>
    <row r="4" spans="1:17" ht="54.75" customHeight="1">
      <c r="A4" s="6"/>
      <c r="B4" s="78" t="s">
        <v>39</v>
      </c>
      <c r="C4" s="78"/>
      <c r="D4" s="79" t="s">
        <v>34</v>
      </c>
      <c r="E4" s="80"/>
      <c r="F4" s="80"/>
      <c r="G4" s="80"/>
      <c r="H4" s="69"/>
      <c r="I4" s="71"/>
      <c r="J4" s="70">
        <v>2015</v>
      </c>
      <c r="K4" s="33"/>
      <c r="L4" s="81">
        <v>2016</v>
      </c>
      <c r="M4" s="82"/>
      <c r="N4" s="83">
        <v>2017</v>
      </c>
      <c r="O4" s="82"/>
      <c r="P4" s="83">
        <v>2018</v>
      </c>
      <c r="Q4" s="84"/>
    </row>
    <row r="5" spans="1:17" ht="68.25">
      <c r="A5" s="7"/>
      <c r="B5" s="32" t="s">
        <v>43</v>
      </c>
      <c r="C5" s="32" t="s">
        <v>22</v>
      </c>
      <c r="D5" s="8" t="s">
        <v>40</v>
      </c>
      <c r="E5" s="32" t="s">
        <v>9</v>
      </c>
      <c r="F5" s="32" t="s">
        <v>10</v>
      </c>
      <c r="G5" s="32">
        <v>2012</v>
      </c>
      <c r="H5" s="32">
        <v>2013</v>
      </c>
      <c r="I5" s="59">
        <v>2014</v>
      </c>
      <c r="J5" s="72" t="s">
        <v>43</v>
      </c>
      <c r="K5" s="66" t="s">
        <v>33</v>
      </c>
      <c r="L5" s="33" t="s">
        <v>45</v>
      </c>
      <c r="M5" s="35" t="s">
        <v>0</v>
      </c>
      <c r="N5" s="41" t="s">
        <v>46</v>
      </c>
      <c r="O5" s="35" t="s">
        <v>0</v>
      </c>
      <c r="P5" s="41" t="s">
        <v>47</v>
      </c>
      <c r="Q5" s="42" t="s">
        <v>0</v>
      </c>
    </row>
    <row r="6" spans="1:17" ht="45.75">
      <c r="A6" s="9" t="s">
        <v>13</v>
      </c>
      <c r="B6" s="9">
        <f>B7+B8+B9+B10+B11+B12+B13+B14+B15</f>
        <v>1099</v>
      </c>
      <c r="C6" s="3">
        <f>C7+C8+C9+C10+C11+C12+C13+C14+C15-1</f>
        <v>4910952.903566719</v>
      </c>
      <c r="D6" s="11"/>
      <c r="E6" s="9"/>
      <c r="F6" s="9"/>
      <c r="G6" s="16">
        <f aca="true" t="shared" si="0" ref="G6:L6">G7+G8+G9+G10+G11+G12+G13+G14+G15</f>
        <v>1886103.1355541516</v>
      </c>
      <c r="H6" s="24">
        <f t="shared" si="0"/>
        <v>1819911.2513076195</v>
      </c>
      <c r="I6" s="36">
        <f t="shared" si="0"/>
        <v>1966852.1526399998</v>
      </c>
      <c r="J6" s="9">
        <f t="shared" si="0"/>
        <v>771</v>
      </c>
      <c r="K6" s="24">
        <f t="shared" si="0"/>
        <v>2107870</v>
      </c>
      <c r="L6" s="60">
        <f t="shared" si="0"/>
        <v>2107870</v>
      </c>
      <c r="M6" s="17">
        <f>M7+M8+M9+M10+M11+M12+M13+M14-1</f>
        <v>2803082.885326721</v>
      </c>
      <c r="N6" s="43">
        <f>N7+N8+N9+N10+N11+N12+N13+N14+N15</f>
        <v>2107870</v>
      </c>
      <c r="O6" s="17">
        <f aca="true" t="shared" si="1" ref="O6:O15">C6-N6</f>
        <v>2803082.903566719</v>
      </c>
      <c r="P6" s="43">
        <f>P7+P8+P9+P10+P11+P12+P13+P14+P15</f>
        <v>2107870</v>
      </c>
      <c r="Q6" s="49">
        <f aca="true" t="shared" si="2" ref="Q6:Q15">C6-P6</f>
        <v>2803082.903566719</v>
      </c>
    </row>
    <row r="7" spans="1:17" ht="15">
      <c r="A7" s="25" t="s">
        <v>1</v>
      </c>
      <c r="B7" s="9">
        <v>648</v>
      </c>
      <c r="C7" s="3">
        <f>648*748.3266*1.2359*6+22912</f>
        <v>3618755.41312672</v>
      </c>
      <c r="D7" s="10"/>
      <c r="E7" s="2">
        <v>706334</v>
      </c>
      <c r="F7" s="2">
        <v>714207</v>
      </c>
      <c r="G7" s="2">
        <f>(347402*1.2409+320*10.7*6)/0.702804</f>
        <v>642618.9119583839</v>
      </c>
      <c r="H7" s="2">
        <v>657996</v>
      </c>
      <c r="I7" s="37">
        <v>803885</v>
      </c>
      <c r="J7" s="37">
        <v>320</v>
      </c>
      <c r="K7" s="2">
        <v>933884</v>
      </c>
      <c r="L7" s="60">
        <v>933884</v>
      </c>
      <c r="M7" s="26">
        <f aca="true" t="shared" si="3" ref="M7:M15">C7-L7</f>
        <v>2684871.41312672</v>
      </c>
      <c r="N7" s="60">
        <v>933884</v>
      </c>
      <c r="O7" s="26">
        <f t="shared" si="1"/>
        <v>2684871.41312672</v>
      </c>
      <c r="P7" s="60">
        <v>933884</v>
      </c>
      <c r="Q7" s="50">
        <f t="shared" si="2"/>
        <v>2684871.41312672</v>
      </c>
    </row>
    <row r="8" spans="1:17" ht="15">
      <c r="A8" s="25" t="s">
        <v>2</v>
      </c>
      <c r="B8" s="9">
        <v>300</v>
      </c>
      <c r="C8" s="3">
        <f>(300*660*6*0.4+59400)*1.2359+34329</f>
        <v>695041.14</v>
      </c>
      <c r="D8" s="10"/>
      <c r="E8" s="27"/>
      <c r="F8" s="27"/>
      <c r="G8" s="28">
        <f>(300*460*6*0.4*1.2409+300*10.7*6+30117)/0.702804</f>
        <v>655037.6491881093</v>
      </c>
      <c r="H8" s="2">
        <f>(300*460*6*0.4*1.2409+300*10.7*6)/0.702804</f>
        <v>612185.0188672802</v>
      </c>
      <c r="I8" s="37">
        <f>(300*655*6*0.4*1.2359+300*15.22*6)</f>
        <v>610246.44</v>
      </c>
      <c r="J8" s="37">
        <v>300</v>
      </c>
      <c r="K8" s="2">
        <v>621629</v>
      </c>
      <c r="L8" s="60">
        <v>621629</v>
      </c>
      <c r="M8" s="26">
        <f t="shared" si="3"/>
        <v>73412.14000000001</v>
      </c>
      <c r="N8" s="60">
        <v>621629</v>
      </c>
      <c r="O8" s="26">
        <f t="shared" si="1"/>
        <v>73412.14000000001</v>
      </c>
      <c r="P8" s="60">
        <v>621629</v>
      </c>
      <c r="Q8" s="50">
        <f t="shared" si="2"/>
        <v>73412.14000000001</v>
      </c>
    </row>
    <row r="9" spans="1:17" ht="17.25" customHeight="1">
      <c r="A9" s="25" t="s">
        <v>4</v>
      </c>
      <c r="B9" s="9">
        <v>60</v>
      </c>
      <c r="C9" s="3">
        <f>(60*740*6*0.4+13320)*1.2359+5155</f>
        <v>153314.692</v>
      </c>
      <c r="D9" s="10"/>
      <c r="E9" s="1"/>
      <c r="F9" s="1"/>
      <c r="G9" s="28">
        <f>(60*520*6*0.4*1.2409+60*10.7*6+6774)/0.702804</f>
        <v>147330.6811002783</v>
      </c>
      <c r="H9" s="2">
        <f>(60*520*6*0.4*1.2409+60*10.7*6)/0.702804</f>
        <v>137692.14745505145</v>
      </c>
      <c r="I9" s="37">
        <f>(60*740*6*0.4*1.2359+60*15.22*6)</f>
        <v>137176.704</v>
      </c>
      <c r="J9" s="37">
        <v>60</v>
      </c>
      <c r="K9" s="2">
        <v>136853</v>
      </c>
      <c r="L9" s="60">
        <v>136853</v>
      </c>
      <c r="M9" s="26">
        <f t="shared" si="3"/>
        <v>16461.69200000001</v>
      </c>
      <c r="N9" s="60">
        <v>136853</v>
      </c>
      <c r="O9" s="26">
        <f t="shared" si="1"/>
        <v>16461.69200000001</v>
      </c>
      <c r="P9" s="60">
        <v>136853</v>
      </c>
      <c r="Q9" s="50">
        <f t="shared" si="2"/>
        <v>16461.69200000001</v>
      </c>
    </row>
    <row r="10" spans="1:17" ht="15">
      <c r="A10" s="25" t="s">
        <v>3</v>
      </c>
      <c r="B10" s="9">
        <v>44</v>
      </c>
      <c r="C10" s="3">
        <f>(34*755*6*0.05+10*760*12*0.8+9981)*1.2359+4639+2</f>
        <v>116665.4478</v>
      </c>
      <c r="D10" s="10"/>
      <c r="E10" s="1"/>
      <c r="F10" s="1"/>
      <c r="G10" s="28">
        <f>(44*530*6*0.4*1.2409+44*10.7*6+5059)/0.702804</f>
        <v>110037.06751811317</v>
      </c>
      <c r="H10" s="2">
        <f>(44*530*6*0.4*1.2409+44*10.7*6)/0.702804</f>
        <v>102838.75902812164</v>
      </c>
      <c r="I10" s="37">
        <f>(44*755*6*0.4*1.2359+44*15.22*8.2)</f>
        <v>104027.2112</v>
      </c>
      <c r="J10" s="37">
        <v>44</v>
      </c>
      <c r="K10" s="2">
        <v>104329</v>
      </c>
      <c r="L10" s="60">
        <v>104329</v>
      </c>
      <c r="M10" s="26">
        <f t="shared" si="3"/>
        <v>12336.447799999994</v>
      </c>
      <c r="N10" s="60">
        <v>104329</v>
      </c>
      <c r="O10" s="26">
        <f t="shared" si="1"/>
        <v>12336.447799999994</v>
      </c>
      <c r="P10" s="60">
        <v>104329</v>
      </c>
      <c r="Q10" s="50">
        <f t="shared" si="2"/>
        <v>12336.447799999994</v>
      </c>
    </row>
    <row r="11" spans="1:17" ht="15">
      <c r="A11" s="25" t="s">
        <v>11</v>
      </c>
      <c r="B11" s="9">
        <v>15</v>
      </c>
      <c r="C11" s="3">
        <f>(15*570*12*1+2565)*1.2359+2578</f>
        <v>132551.4235</v>
      </c>
      <c r="D11" s="10"/>
      <c r="E11" s="1"/>
      <c r="F11" s="1"/>
      <c r="G11" s="28">
        <f>(15*400*12*1*1.2409+15*10.7*12+6389)/0.702804</f>
        <v>138957.37645204065</v>
      </c>
      <c r="H11" s="2">
        <f>(15*400*12*1*1.2409+15*10.7*12)/0.702804</f>
        <v>129866.64845390747</v>
      </c>
      <c r="I11" s="37">
        <f>(15*570*12*1*1.2359+15*15.22*12)</f>
        <v>129542.94</v>
      </c>
      <c r="J11" s="37">
        <v>15</v>
      </c>
      <c r="K11" s="2">
        <v>129381</v>
      </c>
      <c r="L11" s="60">
        <v>129381</v>
      </c>
      <c r="M11" s="26">
        <f t="shared" si="3"/>
        <v>3170.4235000000044</v>
      </c>
      <c r="N11" s="60">
        <v>129381</v>
      </c>
      <c r="O11" s="26">
        <f t="shared" si="1"/>
        <v>3170.4235000000044</v>
      </c>
      <c r="P11" s="60">
        <v>129381</v>
      </c>
      <c r="Q11" s="50">
        <f t="shared" si="2"/>
        <v>3170.4235000000044</v>
      </c>
    </row>
    <row r="12" spans="1:17" ht="15">
      <c r="A12" s="25" t="s">
        <v>5</v>
      </c>
      <c r="B12" s="9">
        <v>10</v>
      </c>
      <c r="C12" s="3">
        <f>(10*755*6*0.4+2265)*1.2359+859</f>
        <v>26052.8215</v>
      </c>
      <c r="D12" s="10"/>
      <c r="E12" s="1"/>
      <c r="F12" s="1"/>
      <c r="G12" s="28">
        <f>(10*530*0.4*6*1.2409+10*10.7*6+1150)/0.702804</f>
        <v>25008.74781589177</v>
      </c>
      <c r="H12" s="2">
        <f>(10*530*0.4*6*1.2409+10*10.7*6)/0.702804</f>
        <v>23372.44523366401</v>
      </c>
      <c r="I12" s="37">
        <f>(10*755*0.4*6*1.2359+10*15.22*6)</f>
        <v>23307.708000000002</v>
      </c>
      <c r="J12" s="37">
        <v>10</v>
      </c>
      <c r="K12" s="2">
        <v>23254</v>
      </c>
      <c r="L12" s="60">
        <v>23254</v>
      </c>
      <c r="M12" s="29">
        <f t="shared" si="3"/>
        <v>2798.821499999998</v>
      </c>
      <c r="N12" s="60">
        <v>23254</v>
      </c>
      <c r="O12" s="26">
        <f t="shared" si="1"/>
        <v>2798.821499999998</v>
      </c>
      <c r="P12" s="60">
        <v>23254</v>
      </c>
      <c r="Q12" s="50">
        <f t="shared" si="2"/>
        <v>2798.821499999998</v>
      </c>
    </row>
    <row r="13" spans="1:17" ht="15">
      <c r="A13" s="25" t="s">
        <v>6</v>
      </c>
      <c r="B13" s="9">
        <v>10</v>
      </c>
      <c r="C13" s="3">
        <f>(10*1140*6*0.5+3420)*1.2359+859</f>
        <v>47353.558</v>
      </c>
      <c r="D13" s="10"/>
      <c r="E13" s="1"/>
      <c r="F13" s="1"/>
      <c r="G13" s="28">
        <f>(10*800*6*0.5*1.2409+10*10.7*6+2130)/0.702804</f>
        <v>46319.599774617105</v>
      </c>
      <c r="H13" s="2">
        <f>(10*800*6*0.5*1.2409+10*10.7*6)/0.702804</f>
        <v>43288.88281796916</v>
      </c>
      <c r="I13" s="37">
        <f>(10*1140*6*0.5*1.2359+15.22*10*6)</f>
        <v>43180.979999999996</v>
      </c>
      <c r="J13" s="37">
        <v>10</v>
      </c>
      <c r="K13" s="2">
        <v>43127</v>
      </c>
      <c r="L13" s="60">
        <v>43127</v>
      </c>
      <c r="M13" s="26">
        <f t="shared" si="3"/>
        <v>4226.557999999997</v>
      </c>
      <c r="N13" s="60">
        <v>43127</v>
      </c>
      <c r="O13" s="26">
        <f t="shared" si="1"/>
        <v>4226.557999999997</v>
      </c>
      <c r="P13" s="60">
        <v>43127</v>
      </c>
      <c r="Q13" s="50">
        <f t="shared" si="2"/>
        <v>4226.557999999997</v>
      </c>
    </row>
    <row r="14" spans="1:17" ht="15">
      <c r="A14" s="25" t="s">
        <v>7</v>
      </c>
      <c r="B14" s="9">
        <v>10</v>
      </c>
      <c r="C14" s="3">
        <f>(10*1566*6*0.8+4698)*1.2359+859</f>
        <v>99565.3894</v>
      </c>
      <c r="D14" s="10"/>
      <c r="E14" s="1"/>
      <c r="F14" s="1"/>
      <c r="G14" s="28">
        <f>(10*1100*0.8*6*1.2409+10*10.7*6+5708)/0.702804</f>
        <v>102261.11405171284</v>
      </c>
      <c r="H14" s="2">
        <f>(10*1100*0.8*6*1.2409+10*10.7*6)/0.702804</f>
        <v>94139.36175662061</v>
      </c>
      <c r="I14" s="37">
        <f>(10*1566*0.8*6*1.2359+10*15.22*6)</f>
        <v>93813.3312</v>
      </c>
      <c r="J14" s="37">
        <v>10</v>
      </c>
      <c r="K14" s="2">
        <v>93759</v>
      </c>
      <c r="L14" s="60">
        <v>93759</v>
      </c>
      <c r="M14" s="26">
        <f t="shared" si="3"/>
        <v>5806.3894</v>
      </c>
      <c r="N14" s="60">
        <v>93759</v>
      </c>
      <c r="O14" s="26">
        <f t="shared" si="1"/>
        <v>5806.3894</v>
      </c>
      <c r="P14" s="60">
        <v>93759</v>
      </c>
      <c r="Q14" s="50">
        <f t="shared" si="2"/>
        <v>5806.3894</v>
      </c>
    </row>
    <row r="15" spans="1:17" ht="44.25" customHeight="1">
      <c r="A15" s="9" t="s">
        <v>8</v>
      </c>
      <c r="B15" s="9">
        <v>2</v>
      </c>
      <c r="C15" s="3">
        <f>((1*1244*6*0.4)+(1*1194*12))*1.2359+(14.23*18)</f>
        <v>21654.018239999998</v>
      </c>
      <c r="D15" s="10"/>
      <c r="E15" s="1"/>
      <c r="F15" s="1"/>
      <c r="G15" s="30">
        <f>(((1*874*6*0.3)+(1*764*12))*1.2409-497+(10.7*18))/0.702804</f>
        <v>18531.98769500458</v>
      </c>
      <c r="H15" s="3">
        <f>(((1*874*6*0.3)+(1*764*12))*1.2409-497+(10.7*18))/0.702804</f>
        <v>18531.98769500458</v>
      </c>
      <c r="I15" s="38">
        <f>((1*1244*6*0.4)+(1*1194*12))*1.2359+(15.22*18)</f>
        <v>21671.838239999997</v>
      </c>
      <c r="J15" s="38">
        <v>2</v>
      </c>
      <c r="K15" s="3">
        <v>21654</v>
      </c>
      <c r="L15" s="61">
        <v>21654</v>
      </c>
      <c r="M15" s="26">
        <f t="shared" si="3"/>
        <v>0.018239999997604173</v>
      </c>
      <c r="N15" s="61">
        <v>21654</v>
      </c>
      <c r="O15" s="26">
        <f t="shared" si="1"/>
        <v>0.018239999997604173</v>
      </c>
      <c r="P15" s="61">
        <v>21654</v>
      </c>
      <c r="Q15" s="50">
        <f t="shared" si="2"/>
        <v>0.018239999997604173</v>
      </c>
    </row>
    <row r="16" spans="1:17" ht="38.25" customHeight="1">
      <c r="A16" s="9" t="s">
        <v>14</v>
      </c>
      <c r="B16" s="10">
        <f>B17+B18+B19+B20+B21+B22+B23</f>
        <v>1667</v>
      </c>
      <c r="C16" s="10">
        <f>(C17+C18+C19+C20+C21+C22+C23)</f>
        <v>361630</v>
      </c>
      <c r="D16" s="13"/>
      <c r="E16" s="12">
        <f>(E17+E18+E19+E20+E21+E22+E23)</f>
        <v>382041</v>
      </c>
      <c r="F16" s="10">
        <f>(F17+F18+F19+F20+F21+F22+F23)</f>
        <v>0</v>
      </c>
      <c r="G16" s="12">
        <f>(G17+G18+G19+G20+G21+G22+G23)</f>
        <v>99601</v>
      </c>
      <c r="H16" s="12">
        <f>(H17+H18+H19+H20+H21+H22+H23)</f>
        <v>199202</v>
      </c>
      <c r="I16" s="39">
        <f>(I17+I18+I19+I20+I21+I22+I23)</f>
        <v>178482</v>
      </c>
      <c r="J16" s="39"/>
      <c r="K16" s="12">
        <f aca="true" t="shared" si="4" ref="K16:Q16">(K17+K18+K19+K20+K21+K22+K23)</f>
        <v>250053</v>
      </c>
      <c r="L16" s="12">
        <f t="shared" si="4"/>
        <v>279707</v>
      </c>
      <c r="M16" s="34">
        <f t="shared" si="4"/>
        <v>34463</v>
      </c>
      <c r="N16" s="12">
        <f t="shared" si="4"/>
        <v>289383</v>
      </c>
      <c r="O16" s="34">
        <f t="shared" si="4"/>
        <v>161897</v>
      </c>
      <c r="P16" s="12">
        <f t="shared" si="4"/>
        <v>245353</v>
      </c>
      <c r="Q16" s="51">
        <f t="shared" si="4"/>
        <v>131874</v>
      </c>
    </row>
    <row r="17" spans="1:17" ht="45.75" customHeight="1">
      <c r="A17" s="10" t="s">
        <v>28</v>
      </c>
      <c r="B17" s="15"/>
      <c r="C17" s="15"/>
      <c r="D17" s="21">
        <v>1</v>
      </c>
      <c r="E17" s="2">
        <v>0</v>
      </c>
      <c r="F17" s="15">
        <v>0</v>
      </c>
      <c r="G17" s="3">
        <v>14229</v>
      </c>
      <c r="H17" s="2">
        <v>0</v>
      </c>
      <c r="I17" s="40"/>
      <c r="J17" s="40">
        <v>1</v>
      </c>
      <c r="K17" s="15">
        <v>14229</v>
      </c>
      <c r="L17" s="62"/>
      <c r="M17" s="22">
        <v>0</v>
      </c>
      <c r="N17" s="44">
        <v>14229</v>
      </c>
      <c r="O17" s="22">
        <v>0</v>
      </c>
      <c r="P17" s="44"/>
      <c r="Q17" s="52">
        <v>0</v>
      </c>
    </row>
    <row r="18" spans="1:17" ht="34.5">
      <c r="A18" s="58" t="s">
        <v>31</v>
      </c>
      <c r="B18" s="68">
        <v>344</v>
      </c>
      <c r="C18" s="15">
        <v>34645</v>
      </c>
      <c r="D18" s="21">
        <v>100</v>
      </c>
      <c r="E18" s="3">
        <v>143989</v>
      </c>
      <c r="F18" s="15">
        <v>0</v>
      </c>
      <c r="G18" s="3">
        <v>34149</v>
      </c>
      <c r="H18" s="3">
        <v>3587</v>
      </c>
      <c r="I18" s="40"/>
      <c r="J18" s="40">
        <v>100</v>
      </c>
      <c r="K18" s="15">
        <v>14656</v>
      </c>
      <c r="L18" s="62">
        <v>14656</v>
      </c>
      <c r="M18" s="22">
        <v>13800</v>
      </c>
      <c r="N18" s="44">
        <v>14656</v>
      </c>
      <c r="O18" s="52">
        <v>20984</v>
      </c>
      <c r="P18" s="44">
        <v>14656</v>
      </c>
      <c r="Q18" s="52">
        <v>30654</v>
      </c>
    </row>
    <row r="19" spans="1:17" ht="15">
      <c r="A19" s="25" t="s">
        <v>15</v>
      </c>
      <c r="B19" s="15">
        <v>150</v>
      </c>
      <c r="C19" s="15">
        <f>L19+M19</f>
        <v>42686</v>
      </c>
      <c r="D19" s="21">
        <v>150</v>
      </c>
      <c r="E19" s="3">
        <v>222373</v>
      </c>
      <c r="F19" s="15">
        <v>0</v>
      </c>
      <c r="G19" s="2">
        <v>51223</v>
      </c>
      <c r="H19" s="2">
        <v>63531</v>
      </c>
      <c r="I19" s="40"/>
      <c r="J19" s="40">
        <v>150</v>
      </c>
      <c r="K19" s="15">
        <v>42686</v>
      </c>
      <c r="L19" s="63">
        <v>42686</v>
      </c>
      <c r="M19" s="22"/>
      <c r="N19" s="45">
        <v>42686</v>
      </c>
      <c r="O19" s="22"/>
      <c r="P19" s="45"/>
      <c r="Q19" s="52">
        <v>42690</v>
      </c>
    </row>
    <row r="20" spans="1:17" ht="34.5">
      <c r="A20" s="10" t="s">
        <v>16</v>
      </c>
      <c r="B20" s="15">
        <v>433</v>
      </c>
      <c r="C20" s="15">
        <f>(L20+M20+N20+O20+P20+Q20)/3</f>
        <v>226512</v>
      </c>
      <c r="D20" s="21">
        <f>(L20+N20+P20)/3</f>
        <v>203704.66666666666</v>
      </c>
      <c r="E20" s="3">
        <v>0</v>
      </c>
      <c r="F20" s="15">
        <v>0</v>
      </c>
      <c r="G20" s="2">
        <v>0</v>
      </c>
      <c r="H20" s="2">
        <v>90990</v>
      </c>
      <c r="I20" s="40">
        <v>158562</v>
      </c>
      <c r="J20" s="40">
        <v>411</v>
      </c>
      <c r="K20" s="15">
        <v>158562</v>
      </c>
      <c r="L20" s="63">
        <f>158562+32130+11753</f>
        <v>202445</v>
      </c>
      <c r="M20" s="22">
        <v>20663</v>
      </c>
      <c r="N20" s="45">
        <f>158562+32130+7200</f>
        <v>197892</v>
      </c>
      <c r="O20" s="22">
        <v>27096</v>
      </c>
      <c r="P20" s="45">
        <f>158562+32130+20085</f>
        <v>210777</v>
      </c>
      <c r="Q20" s="52">
        <f>14230+6433</f>
        <v>20663</v>
      </c>
    </row>
    <row r="21" spans="1:17" ht="15">
      <c r="A21" s="55" t="s">
        <v>32</v>
      </c>
      <c r="B21" s="15">
        <v>37</v>
      </c>
      <c r="C21" s="15">
        <v>37867</v>
      </c>
      <c r="D21" s="21"/>
      <c r="E21" s="3">
        <v>15679</v>
      </c>
      <c r="F21" s="15">
        <v>0</v>
      </c>
      <c r="G21" s="3">
        <v>0</v>
      </c>
      <c r="H21" s="3">
        <v>41094</v>
      </c>
      <c r="I21" s="40"/>
      <c r="J21" s="40"/>
      <c r="K21" s="15"/>
      <c r="L21" s="63">
        <v>0</v>
      </c>
      <c r="M21" s="22"/>
      <c r="N21" s="45">
        <v>0</v>
      </c>
      <c r="O21" s="52">
        <v>37867</v>
      </c>
      <c r="P21" s="45">
        <v>0</v>
      </c>
      <c r="Q21" s="52">
        <v>37867</v>
      </c>
    </row>
    <row r="22" spans="1:17" ht="15">
      <c r="A22" s="25" t="s">
        <v>17</v>
      </c>
      <c r="B22" s="15">
        <v>184</v>
      </c>
      <c r="C22" s="15">
        <f>L22+M22</f>
        <v>19920</v>
      </c>
      <c r="D22" s="21">
        <v>184</v>
      </c>
      <c r="E22" s="3">
        <v>0</v>
      </c>
      <c r="F22" s="15">
        <v>0</v>
      </c>
      <c r="G22" s="2">
        <v>0</v>
      </c>
      <c r="H22" s="2">
        <v>0</v>
      </c>
      <c r="I22" s="40">
        <v>19920</v>
      </c>
      <c r="J22" s="40">
        <v>184</v>
      </c>
      <c r="K22" s="15">
        <v>19920</v>
      </c>
      <c r="L22" s="63">
        <v>19920</v>
      </c>
      <c r="M22" s="22">
        <v>0</v>
      </c>
      <c r="N22" s="45">
        <v>19920</v>
      </c>
      <c r="O22" s="22">
        <v>0</v>
      </c>
      <c r="P22" s="45">
        <v>19920</v>
      </c>
      <c r="Q22" s="52">
        <v>0</v>
      </c>
    </row>
    <row r="23" spans="1:17" ht="34.5">
      <c r="A23" s="9" t="s">
        <v>25</v>
      </c>
      <c r="B23" s="15">
        <v>519</v>
      </c>
      <c r="C23" s="15">
        <f>L23+M23</f>
        <v>0</v>
      </c>
      <c r="D23" s="21"/>
      <c r="E23" s="3"/>
      <c r="F23" s="15"/>
      <c r="G23" s="2"/>
      <c r="H23" s="2"/>
      <c r="I23" s="40"/>
      <c r="J23" s="40"/>
      <c r="K23" s="15"/>
      <c r="L23" s="63"/>
      <c r="M23" s="22"/>
      <c r="N23" s="45"/>
      <c r="O23" s="22">
        <v>75950</v>
      </c>
      <c r="P23" s="45"/>
      <c r="Q23" s="52"/>
    </row>
    <row r="24" spans="1:17" ht="34.5">
      <c r="A24" s="9" t="s">
        <v>36</v>
      </c>
      <c r="B24" s="15">
        <v>783320</v>
      </c>
      <c r="C24" s="15">
        <v>916484</v>
      </c>
      <c r="D24" s="15">
        <v>558320</v>
      </c>
      <c r="E24" s="3">
        <v>0</v>
      </c>
      <c r="F24" s="15">
        <v>0</v>
      </c>
      <c r="G24" s="2">
        <v>0</v>
      </c>
      <c r="H24" s="3">
        <v>640292</v>
      </c>
      <c r="I24" s="40">
        <v>592578</v>
      </c>
      <c r="J24" s="40">
        <v>558320</v>
      </c>
      <c r="K24" s="15">
        <v>653234</v>
      </c>
      <c r="L24" s="63">
        <v>653234</v>
      </c>
      <c r="M24" s="22">
        <v>263250</v>
      </c>
      <c r="N24" s="45">
        <v>653234</v>
      </c>
      <c r="O24" s="22">
        <v>263250</v>
      </c>
      <c r="P24" s="45">
        <v>653234</v>
      </c>
      <c r="Q24" s="52">
        <v>263250</v>
      </c>
    </row>
    <row r="25" spans="1:17" ht="34.5">
      <c r="A25" s="9" t="s">
        <v>18</v>
      </c>
      <c r="B25" s="15">
        <f>B26+B28+B30+B31+B32</f>
        <v>670</v>
      </c>
      <c r="C25" s="15">
        <f>L25+M25</f>
        <v>1463810</v>
      </c>
      <c r="D25" s="15">
        <f>D26+D28+D30+D31+D32</f>
        <v>396</v>
      </c>
      <c r="E25" s="12">
        <f>E26+E28+E30+E31+E32</f>
        <v>728435</v>
      </c>
      <c r="F25" s="12">
        <f>F26+F28+F30+F31+F32+F33</f>
        <v>6597350</v>
      </c>
      <c r="G25" s="12">
        <f>G26+G28+G30+G31+G32</f>
        <v>2883456</v>
      </c>
      <c r="H25" s="12">
        <f>H26+H28+H30+H31+H32</f>
        <v>1202353</v>
      </c>
      <c r="I25" s="39">
        <f>I26+I28+I30+I31+I32</f>
        <v>2224378</v>
      </c>
      <c r="J25" s="39">
        <v>3</v>
      </c>
      <c r="K25" s="12">
        <f aca="true" t="shared" si="5" ref="K25:Q25">K26+K28+K30+K31+K32</f>
        <v>365728</v>
      </c>
      <c r="L25" s="64">
        <f t="shared" si="5"/>
        <v>363810</v>
      </c>
      <c r="M25" s="14">
        <f t="shared" si="5"/>
        <v>1100000</v>
      </c>
      <c r="N25" s="64">
        <f t="shared" si="5"/>
        <v>296336</v>
      </c>
      <c r="O25" s="14">
        <f t="shared" si="5"/>
        <v>1823000</v>
      </c>
      <c r="P25" s="46">
        <f t="shared" si="5"/>
        <v>0</v>
      </c>
      <c r="Q25" s="53">
        <f t="shared" si="5"/>
        <v>2241000</v>
      </c>
    </row>
    <row r="26" spans="1:17" ht="34.5">
      <c r="A26" s="58" t="s">
        <v>41</v>
      </c>
      <c r="B26" s="15"/>
      <c r="C26" s="15">
        <f>L26+M26</f>
        <v>1455585</v>
      </c>
      <c r="D26" s="21"/>
      <c r="E26" s="3"/>
      <c r="F26" s="3">
        <v>2091622</v>
      </c>
      <c r="G26" s="3">
        <v>76835</v>
      </c>
      <c r="H26" s="3">
        <v>112731</v>
      </c>
      <c r="I26" s="38">
        <v>663514</v>
      </c>
      <c r="J26" s="38"/>
      <c r="K26" s="3">
        <v>206726</v>
      </c>
      <c r="L26" s="63">
        <v>355585</v>
      </c>
      <c r="M26" s="22">
        <v>1100000</v>
      </c>
      <c r="N26" s="44">
        <v>288111</v>
      </c>
      <c r="O26" s="22">
        <v>1100000</v>
      </c>
      <c r="P26" s="44">
        <v>0</v>
      </c>
      <c r="Q26" s="52">
        <v>1540000</v>
      </c>
    </row>
    <row r="27" spans="1:17" ht="15">
      <c r="A27" s="55" t="s">
        <v>29</v>
      </c>
      <c r="B27" s="15">
        <v>35</v>
      </c>
      <c r="C27" s="15"/>
      <c r="D27" s="21">
        <v>14</v>
      </c>
      <c r="E27" s="3"/>
      <c r="F27" s="3">
        <v>10</v>
      </c>
      <c r="G27" s="3"/>
      <c r="H27" s="3">
        <v>1</v>
      </c>
      <c r="I27" s="38">
        <v>3</v>
      </c>
      <c r="J27" s="38">
        <v>1</v>
      </c>
      <c r="K27" s="3">
        <v>1</v>
      </c>
      <c r="L27" s="63">
        <v>2</v>
      </c>
      <c r="M27" s="22">
        <v>5</v>
      </c>
      <c r="N27" s="44">
        <v>1</v>
      </c>
      <c r="O27" s="22">
        <v>5</v>
      </c>
      <c r="P27" s="44"/>
      <c r="Q27" s="52">
        <v>7</v>
      </c>
    </row>
    <row r="28" spans="1:17" ht="23.25">
      <c r="A28" s="56" t="s">
        <v>19</v>
      </c>
      <c r="B28" s="15"/>
      <c r="C28" s="15">
        <f>L28+M28</f>
        <v>0</v>
      </c>
      <c r="D28" s="21"/>
      <c r="E28" s="3"/>
      <c r="F28" s="3">
        <v>3649666</v>
      </c>
      <c r="G28" s="3">
        <v>2080239</v>
      </c>
      <c r="H28" s="3">
        <v>441610</v>
      </c>
      <c r="I28" s="38"/>
      <c r="J28" s="38"/>
      <c r="K28" s="3"/>
      <c r="L28" s="63">
        <v>0</v>
      </c>
      <c r="M28" s="22"/>
      <c r="N28" s="44">
        <v>0</v>
      </c>
      <c r="O28" s="22">
        <v>638000</v>
      </c>
      <c r="P28" s="44">
        <v>0</v>
      </c>
      <c r="Q28" s="52">
        <v>616000</v>
      </c>
    </row>
    <row r="29" spans="1:17" ht="34.5">
      <c r="A29" s="56" t="s">
        <v>30</v>
      </c>
      <c r="B29" s="15">
        <v>398</v>
      </c>
      <c r="C29" s="15"/>
      <c r="D29" s="21">
        <v>340</v>
      </c>
      <c r="E29" s="3"/>
      <c r="F29" s="3">
        <v>173</v>
      </c>
      <c r="G29" s="3">
        <v>140</v>
      </c>
      <c r="H29" s="3">
        <v>27</v>
      </c>
      <c r="I29" s="38"/>
      <c r="J29" s="38"/>
      <c r="K29" s="3"/>
      <c r="L29" s="63"/>
      <c r="M29" s="22"/>
      <c r="N29" s="44"/>
      <c r="O29" s="22">
        <v>29</v>
      </c>
      <c r="P29" s="44"/>
      <c r="Q29" s="52">
        <v>398</v>
      </c>
    </row>
    <row r="30" spans="1:17" ht="68.25">
      <c r="A30" s="15" t="s">
        <v>20</v>
      </c>
      <c r="B30" s="15">
        <v>414</v>
      </c>
      <c r="C30" s="15">
        <f>L30+M30</f>
        <v>0</v>
      </c>
      <c r="D30" s="21">
        <v>274</v>
      </c>
      <c r="E30" s="2">
        <v>125924</v>
      </c>
      <c r="F30" s="2">
        <v>48378</v>
      </c>
      <c r="G30" s="2">
        <v>0</v>
      </c>
      <c r="H30" s="2">
        <v>44607</v>
      </c>
      <c r="I30" s="37"/>
      <c r="J30" s="37"/>
      <c r="K30" s="2"/>
      <c r="L30" s="63">
        <v>0</v>
      </c>
      <c r="M30" s="22">
        <v>0</v>
      </c>
      <c r="N30" s="45">
        <v>0</v>
      </c>
      <c r="O30" s="22">
        <v>0</v>
      </c>
      <c r="P30" s="45">
        <v>0</v>
      </c>
      <c r="Q30" s="52"/>
    </row>
    <row r="31" spans="1:17" ht="64.5" customHeight="1">
      <c r="A31" s="31" t="s">
        <v>21</v>
      </c>
      <c r="B31" s="15">
        <v>75</v>
      </c>
      <c r="C31" s="15">
        <f>L31+M31</f>
        <v>8225</v>
      </c>
      <c r="D31" s="21">
        <v>15</v>
      </c>
      <c r="E31" s="2"/>
      <c r="F31" s="2">
        <v>123790</v>
      </c>
      <c r="G31" s="2">
        <v>589069</v>
      </c>
      <c r="H31" s="2">
        <v>29037</v>
      </c>
      <c r="I31" s="37">
        <v>8225</v>
      </c>
      <c r="J31" s="37">
        <v>1</v>
      </c>
      <c r="K31" s="2">
        <v>8225</v>
      </c>
      <c r="L31" s="63">
        <v>8225</v>
      </c>
      <c r="M31" s="22"/>
      <c r="N31" s="44">
        <v>8225</v>
      </c>
      <c r="O31" s="22">
        <v>85000</v>
      </c>
      <c r="P31" s="44">
        <v>0</v>
      </c>
      <c r="Q31" s="52">
        <v>85000</v>
      </c>
    </row>
    <row r="32" spans="1:17" ht="34.5">
      <c r="A32" s="9" t="s">
        <v>42</v>
      </c>
      <c r="B32" s="15">
        <v>181</v>
      </c>
      <c r="C32" s="15">
        <f>L32+M32</f>
        <v>0</v>
      </c>
      <c r="D32" s="21">
        <v>107</v>
      </c>
      <c r="E32" s="15">
        <v>602511</v>
      </c>
      <c r="F32" s="15">
        <v>188200</v>
      </c>
      <c r="G32" s="15">
        <v>137313</v>
      </c>
      <c r="H32" s="15">
        <v>574368</v>
      </c>
      <c r="I32" s="40">
        <v>1552639</v>
      </c>
      <c r="J32" s="40">
        <v>1</v>
      </c>
      <c r="K32" s="15">
        <v>150777</v>
      </c>
      <c r="L32" s="63"/>
      <c r="M32" s="22"/>
      <c r="N32" s="44"/>
      <c r="O32" s="22"/>
      <c r="P32" s="44"/>
      <c r="Q32" s="52"/>
    </row>
    <row r="33" spans="1:17" ht="35.25" thickBot="1">
      <c r="A33" s="9" t="s">
        <v>26</v>
      </c>
      <c r="B33" s="15"/>
      <c r="C33" s="15"/>
      <c r="D33" s="21"/>
      <c r="E33" s="15"/>
      <c r="F33" s="15">
        <v>495694</v>
      </c>
      <c r="G33" s="15"/>
      <c r="H33" s="15"/>
      <c r="I33" s="40"/>
      <c r="J33" s="40"/>
      <c r="K33" s="15"/>
      <c r="L33" s="65"/>
      <c r="M33" s="47"/>
      <c r="N33" s="48"/>
      <c r="O33" s="47"/>
      <c r="P33" s="48"/>
      <c r="Q33" s="54"/>
    </row>
    <row r="34" spans="1:12" ht="15">
      <c r="A34" s="18" t="s">
        <v>23</v>
      </c>
      <c r="B34" s="19"/>
      <c r="C34" s="19"/>
      <c r="D34" s="19"/>
      <c r="E34" s="4"/>
      <c r="F34" s="4"/>
      <c r="G34" s="4"/>
      <c r="H34" s="4"/>
      <c r="I34" s="4"/>
      <c r="J34" s="4"/>
      <c r="K34" s="4"/>
      <c r="L34" s="4"/>
    </row>
    <row r="35" spans="1:12" ht="15">
      <c r="A35" s="18" t="s">
        <v>12</v>
      </c>
      <c r="B35" s="4"/>
      <c r="C35" s="4"/>
      <c r="D35" s="4"/>
      <c r="E35" s="4"/>
      <c r="F35" s="4"/>
      <c r="G35" s="4"/>
      <c r="H35" s="4"/>
      <c r="I35" s="4"/>
      <c r="J35" s="4"/>
      <c r="K35" s="4"/>
      <c r="L35" s="5"/>
    </row>
    <row r="36" spans="1:12" ht="15">
      <c r="A36" s="18" t="s">
        <v>24</v>
      </c>
      <c r="B36" s="4"/>
      <c r="C36" s="4"/>
      <c r="D36" s="4"/>
      <c r="E36" s="20"/>
      <c r="F36" s="20"/>
      <c r="G36" s="20"/>
      <c r="H36" s="4"/>
      <c r="I36" s="4"/>
      <c r="J36" s="4"/>
      <c r="K36" s="4"/>
      <c r="L36" s="4"/>
    </row>
    <row r="37" ht="15">
      <c r="A37" s="23" t="s">
        <v>27</v>
      </c>
    </row>
    <row r="38" spans="1:17" ht="75.75" customHeight="1">
      <c r="A38" s="76" t="s">
        <v>38</v>
      </c>
      <c r="B38" s="76"/>
      <c r="C38" s="76"/>
      <c r="D38" s="76"/>
      <c r="E38" s="76"/>
      <c r="F38" s="76"/>
      <c r="G38" s="76"/>
      <c r="H38" s="76"/>
      <c r="I38" s="76"/>
      <c r="J38" s="76"/>
      <c r="K38" s="76"/>
      <c r="L38" s="76"/>
      <c r="M38" s="76"/>
      <c r="N38" s="76"/>
      <c r="O38" s="76"/>
      <c r="P38" s="76"/>
      <c r="Q38" s="57"/>
    </row>
    <row r="39" spans="1:17" ht="42.75" customHeight="1">
      <c r="A39" s="77" t="s">
        <v>35</v>
      </c>
      <c r="B39" s="77"/>
      <c r="C39" s="77"/>
      <c r="D39" s="77"/>
      <c r="E39" s="77"/>
      <c r="F39" s="77"/>
      <c r="G39" s="77"/>
      <c r="H39" s="77"/>
      <c r="I39" s="77"/>
      <c r="J39" s="77"/>
      <c r="K39" s="77"/>
      <c r="L39" s="77"/>
      <c r="M39" s="77"/>
      <c r="N39" s="77"/>
      <c r="O39" s="77"/>
      <c r="P39" s="77"/>
      <c r="Q39" s="77"/>
    </row>
    <row r="40" ht="15">
      <c r="A40" s="67" t="s">
        <v>37</v>
      </c>
    </row>
    <row r="41" ht="15">
      <c r="A41" s="73" t="s">
        <v>44</v>
      </c>
    </row>
    <row r="42" ht="15">
      <c r="A42" s="73" t="s">
        <v>48</v>
      </c>
    </row>
    <row r="45" ht="15">
      <c r="A45" s="85" t="s">
        <v>52</v>
      </c>
    </row>
    <row r="46" spans="1:2" ht="15">
      <c r="A46" s="86" t="s">
        <v>53</v>
      </c>
      <c r="B46" s="86"/>
    </row>
  </sheetData>
  <sheetProtection/>
  <mergeCells count="9">
    <mergeCell ref="N1:Q1"/>
    <mergeCell ref="A38:P38"/>
    <mergeCell ref="A39:Q39"/>
    <mergeCell ref="B4:C4"/>
    <mergeCell ref="D4:G4"/>
    <mergeCell ref="L4:M4"/>
    <mergeCell ref="N4:O4"/>
    <mergeCell ref="P4:Q4"/>
    <mergeCell ref="A3:Q3"/>
  </mergeCells>
  <printOptions/>
  <pageMargins left="0.7" right="0.7" top="0.75" bottom="0.75" header="0.3" footer="0.3"/>
  <pageSetup horizontalDpi="600" verticalDpi="600" orientation="landscape" paperSize="9" scale="80" r:id="rId1"/>
  <headerFooter>
    <oddFooter>&amp;CLapa &amp;P&amp;RZMZino_pielik3_280414_15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2015-07-23T12:45:34Z</dcterms:modified>
  <cp:category/>
  <cp:version/>
  <cp:contentType/>
  <cp:contentStatus/>
</cp:coreProperties>
</file>