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vnozare.pri\vm\Redirect_profiles\lzandberga\Desktop\VADC maksas pakalpojuma cenradis\otreizejai saskanosanai150517\"/>
    </mc:Choice>
  </mc:AlternateContent>
  <bookViews>
    <workbookView xWindow="0" yWindow="0" windowWidth="28800" windowHeight="12210" firstSheet="49" activeTab="63"/>
  </bookViews>
  <sheets>
    <sheet name="Saturs" sheetId="1" r:id="rId1"/>
    <sheet name="1.1." sheetId="2" r:id="rId2"/>
    <sheet name="1.2." sheetId="3" r:id="rId3"/>
    <sheet name="1.3." sheetId="4" r:id="rId4"/>
    <sheet name="1.4." sheetId="5" r:id="rId5"/>
    <sheet name="1.5." sheetId="6" r:id="rId6"/>
    <sheet name="1.6." sheetId="7" r:id="rId7"/>
    <sheet name="1.7." sheetId="8" r:id="rId8"/>
    <sheet name="1.8." sheetId="9" r:id="rId9"/>
    <sheet name="1.9." sheetId="10" r:id="rId10"/>
    <sheet name="1.10." sheetId="11" r:id="rId11"/>
    <sheet name="1.11." sheetId="12" r:id="rId12"/>
    <sheet name="1.12." sheetId="13" r:id="rId13"/>
    <sheet name="1.13." sheetId="14" r:id="rId14"/>
    <sheet name="1.14." sheetId="15" r:id="rId15"/>
    <sheet name="2.1." sheetId="16" r:id="rId16"/>
    <sheet name="2.2." sheetId="18" r:id="rId17"/>
    <sheet name="2.3." sheetId="19" r:id="rId18"/>
    <sheet name="2.4." sheetId="20" r:id="rId19"/>
    <sheet name="2.5." sheetId="21" r:id="rId20"/>
    <sheet name="2.6." sheetId="22" r:id="rId21"/>
    <sheet name="2.7." sheetId="23" r:id="rId22"/>
    <sheet name="2.8." sheetId="24" r:id="rId23"/>
    <sheet name="2.9." sheetId="25" r:id="rId24"/>
    <sheet name="2.10." sheetId="26" r:id="rId25"/>
    <sheet name="2.11." sheetId="27" r:id="rId26"/>
    <sheet name="2.12." sheetId="28" r:id="rId27"/>
    <sheet name="2.13." sheetId="29" r:id="rId28"/>
    <sheet name="2.14." sheetId="30" r:id="rId29"/>
    <sheet name="2.15." sheetId="31" r:id="rId30"/>
    <sheet name="2.16." sheetId="32" r:id="rId31"/>
    <sheet name="2.17." sheetId="33" r:id="rId32"/>
    <sheet name="2.18." sheetId="34" r:id="rId33"/>
    <sheet name="2.19." sheetId="35" r:id="rId34"/>
    <sheet name="2.20." sheetId="36" r:id="rId35"/>
    <sheet name="2.21." sheetId="37" r:id="rId36"/>
    <sheet name="2.22." sheetId="38" r:id="rId37"/>
    <sheet name="2.23." sheetId="39" r:id="rId38"/>
    <sheet name="2.24." sheetId="40" r:id="rId39"/>
    <sheet name="2.25." sheetId="41" r:id="rId40"/>
    <sheet name="2.26." sheetId="42" r:id="rId41"/>
    <sheet name="2.27." sheetId="43" r:id="rId42"/>
    <sheet name="2.28." sheetId="44" r:id="rId43"/>
    <sheet name="2.29." sheetId="45" r:id="rId44"/>
    <sheet name="2.30." sheetId="46" r:id="rId45"/>
    <sheet name="2.31." sheetId="47" r:id="rId46"/>
    <sheet name="2.32." sheetId="48" r:id="rId47"/>
    <sheet name="2.33." sheetId="49" r:id="rId48"/>
    <sheet name="2.34." sheetId="50" r:id="rId49"/>
    <sheet name="2.35." sheetId="51" r:id="rId50"/>
    <sheet name="2.36." sheetId="52" r:id="rId51"/>
    <sheet name="2.37." sheetId="53" r:id="rId52"/>
    <sheet name="2.38." sheetId="54" r:id="rId53"/>
    <sheet name="2.39." sheetId="55" r:id="rId54"/>
    <sheet name="2.40." sheetId="56" r:id="rId55"/>
    <sheet name="2.41." sheetId="57" r:id="rId56"/>
    <sheet name="2.42." sheetId="58" r:id="rId57"/>
    <sheet name="2.43." sheetId="59" r:id="rId58"/>
    <sheet name="2.44." sheetId="60" r:id="rId59"/>
    <sheet name="2.45." sheetId="61" r:id="rId60"/>
    <sheet name="2.46." sheetId="62" r:id="rId61"/>
    <sheet name="2.47." sheetId="63" r:id="rId62"/>
    <sheet name="2.48." sheetId="64" r:id="rId63"/>
    <sheet name="2.49." sheetId="65" r:id="rId64"/>
    <sheet name="Sheet1" sheetId="66" state="hidden" r:id="rId65"/>
    <sheet name="Sheet2" sheetId="17" state="hidden" r:id="rId66"/>
  </sheets>
  <definedNames>
    <definedName name="_xlnm.Print_Area" localSheetId="1">'1.1.'!$A$1:$D$43</definedName>
    <definedName name="_xlnm.Print_Area" localSheetId="10">'1.10.'!$A$1:$D$28</definedName>
    <definedName name="_xlnm.Print_Area" localSheetId="11">'1.11.'!$A$1:$D$30</definedName>
    <definedName name="_xlnm.Print_Area" localSheetId="12">'1.12.'!$A$1:$D$42</definedName>
    <definedName name="_xlnm.Print_Area" localSheetId="13">'1.13.'!$A$1:$D$42</definedName>
    <definedName name="_xlnm.Print_Area" localSheetId="14">'1.14.'!$A$1:$D$42</definedName>
    <definedName name="_xlnm.Print_Area" localSheetId="2">'1.2.'!$A$1:$D$41</definedName>
    <definedName name="_xlnm.Print_Area" localSheetId="3">'1.3.'!$A$1:$D$31</definedName>
    <definedName name="_xlnm.Print_Area" localSheetId="4">'1.4.'!$A$1:$D$42</definedName>
    <definedName name="_xlnm.Print_Area" localSheetId="5">'1.5.'!$A$1:$D$44</definedName>
    <definedName name="_xlnm.Print_Area" localSheetId="6">'1.6.'!$A$1:$D$44</definedName>
    <definedName name="_xlnm.Print_Area" localSheetId="7">'1.7.'!$A$1:$D$44</definedName>
    <definedName name="_xlnm.Print_Area" localSheetId="8">'1.8.'!$A$1:$D$44</definedName>
    <definedName name="_xlnm.Print_Area" localSheetId="9">'1.9.'!$A$1:$D$44</definedName>
    <definedName name="_xlnm.Print_Area" localSheetId="15">'2.1.'!$A$1:$G$54</definedName>
    <definedName name="_xlnm.Print_Area" localSheetId="24">'2.10.'!$A$1:$D$55</definedName>
    <definedName name="_xlnm.Print_Area" localSheetId="25">'2.11.'!$A$1:$D$55</definedName>
    <definedName name="_xlnm.Print_Area" localSheetId="26">'2.12.'!$A$1:$D$56</definedName>
    <definedName name="_xlnm.Print_Area" localSheetId="27">'2.13.'!$A$1:$D$56</definedName>
    <definedName name="_xlnm.Print_Area" localSheetId="28">'2.14.'!$A$4:$D$61</definedName>
    <definedName name="_xlnm.Print_Area" localSheetId="29">'2.15.'!$A$1:$D$56</definedName>
    <definedName name="_xlnm.Print_Area" localSheetId="30">'2.16.'!$A$1:$D$55</definedName>
    <definedName name="_xlnm.Print_Area" localSheetId="31">'2.17.'!$A$1:$D$55</definedName>
    <definedName name="_xlnm.Print_Area" localSheetId="32">'2.18.'!$A$1:$D$59</definedName>
    <definedName name="_xlnm.Print_Area" localSheetId="33">'2.19.'!$A$1:$D$57</definedName>
    <definedName name="_xlnm.Print_Area" localSheetId="16">'2.2.'!$A$1:$D$54</definedName>
    <definedName name="_xlnm.Print_Area" localSheetId="34">'2.20.'!$A$4:$D$61</definedName>
    <definedName name="_xlnm.Print_Area" localSheetId="35">'2.21.'!$A$1:$D$55</definedName>
    <definedName name="_xlnm.Print_Area" localSheetId="36">'2.22.'!$A$1:$D$56</definedName>
    <definedName name="_xlnm.Print_Area" localSheetId="37">'2.23.'!$A$1:$D$57</definedName>
    <definedName name="_xlnm.Print_Area" localSheetId="38">'2.24.'!$A$1:$D$56</definedName>
    <definedName name="_xlnm.Print_Area" localSheetId="39">'2.25.'!$A$1:$E$57</definedName>
    <definedName name="_xlnm.Print_Area" localSheetId="40">'2.26.'!$A$1:$D$55</definedName>
    <definedName name="_xlnm.Print_Area" localSheetId="41">'2.27.'!$A$1:$D$55</definedName>
    <definedName name="_xlnm.Print_Area" localSheetId="42">'2.28.'!$A$1:$D$56</definedName>
    <definedName name="_xlnm.Print_Area" localSheetId="43">'2.29.'!$A$1:$D$56</definedName>
    <definedName name="_xlnm.Print_Area" localSheetId="17">'2.3.'!$A$1:$D$54</definedName>
    <definedName name="_xlnm.Print_Area" localSheetId="44">'2.30.'!$A$1:$D$56</definedName>
    <definedName name="_xlnm.Print_Area" localSheetId="45">'2.31.'!$A$1:$D$57</definedName>
    <definedName name="_xlnm.Print_Area" localSheetId="46">'2.32.'!$A$1:$D$56</definedName>
    <definedName name="_xlnm.Print_Area" localSheetId="47">'2.33.'!$A$1:$D$56</definedName>
    <definedName name="_xlnm.Print_Area" localSheetId="48">'2.34.'!$A$1:$D$56</definedName>
    <definedName name="_xlnm.Print_Area" localSheetId="49">'2.35.'!$A$1:$D$56</definedName>
    <definedName name="_xlnm.Print_Area" localSheetId="50">'2.36.'!$A$1:$D$58</definedName>
    <definedName name="_xlnm.Print_Area" localSheetId="51">'2.37.'!$A$1:$D$56</definedName>
    <definedName name="_xlnm.Print_Area" localSheetId="52">'2.38.'!$A$1:$D$59</definedName>
    <definedName name="_xlnm.Print_Area" localSheetId="53">'2.39.'!$A$1:$D$55</definedName>
    <definedName name="_xlnm.Print_Area" localSheetId="18">'2.4.'!$A$1:$D$55</definedName>
    <definedName name="_xlnm.Print_Area" localSheetId="54">'2.40.'!$A$1:$D$55</definedName>
    <definedName name="_xlnm.Print_Area" localSheetId="55">'2.41.'!$A$1:$D$57</definedName>
    <definedName name="_xlnm.Print_Area" localSheetId="56">'2.42.'!$A$1:$D$55</definedName>
    <definedName name="_xlnm.Print_Area" localSheetId="57">'2.43.'!$A$1:$D$55</definedName>
    <definedName name="_xlnm.Print_Area" localSheetId="58">'2.44.'!$A$1:$D$55</definedName>
    <definedName name="_xlnm.Print_Area" localSheetId="59">'2.45.'!$A$1:$D$55</definedName>
    <definedName name="_xlnm.Print_Area" localSheetId="60">'2.46.'!$A$1:$D$55</definedName>
    <definedName name="_xlnm.Print_Area" localSheetId="61">'2.47.'!$A$1:$D$55</definedName>
    <definedName name="_xlnm.Print_Area" localSheetId="62">'2.48.'!$A$1:$D$55</definedName>
    <definedName name="_xlnm.Print_Area" localSheetId="19">'2.5.'!$A$1:$D$56</definedName>
    <definedName name="_xlnm.Print_Area" localSheetId="20">'2.6.'!$A$1:$D$56</definedName>
    <definedName name="_xlnm.Print_Area" localSheetId="21">'2.7.'!$A$1:$D$57</definedName>
    <definedName name="_xlnm.Print_Area" localSheetId="22">'2.8.'!$A$1:$D$56</definedName>
    <definedName name="_xlnm.Print_Area" localSheetId="23">'2.9.'!$A$1:$D$55</definedName>
    <definedName name="_xlnm.Print_Area" localSheetId="0">Saturs!$A$1:$I$73</definedName>
    <definedName name="_xlnm.Print_Area" localSheetId="65">Sheet2!#REF!</definedName>
    <definedName name="_xlnm.Print_Titles" localSheetId="55">'2.41.'!$13:$13</definedName>
    <definedName name="Z_2CF5EF93_C226_48EA_959E_36D142677DAA_.wvu.Cols" localSheetId="15" hidden="1">'2.1.'!$E:$G</definedName>
    <definedName name="Z_2CF5EF93_C226_48EA_959E_36D142677DAA_.wvu.Cols" localSheetId="39" hidden="1">'2.25.'!$D:$D</definedName>
    <definedName name="Z_2CF5EF93_C226_48EA_959E_36D142677DAA_.wvu.PrintArea" localSheetId="1" hidden="1">'1.1.'!$A$1:$D$43</definedName>
    <definedName name="Z_2CF5EF93_C226_48EA_959E_36D142677DAA_.wvu.PrintArea" localSheetId="10" hidden="1">'1.10.'!$A$1:$D$28</definedName>
    <definedName name="Z_2CF5EF93_C226_48EA_959E_36D142677DAA_.wvu.PrintArea" localSheetId="11" hidden="1">'1.11.'!$A$1:$D$30</definedName>
    <definedName name="Z_2CF5EF93_C226_48EA_959E_36D142677DAA_.wvu.PrintArea" localSheetId="12" hidden="1">'1.12.'!$A$1:$D$42</definedName>
    <definedName name="Z_2CF5EF93_C226_48EA_959E_36D142677DAA_.wvu.PrintArea" localSheetId="13" hidden="1">'1.13.'!$A$1:$D$42</definedName>
    <definedName name="Z_2CF5EF93_C226_48EA_959E_36D142677DAA_.wvu.PrintArea" localSheetId="14" hidden="1">'1.14.'!$A$1:$D$42</definedName>
    <definedName name="Z_2CF5EF93_C226_48EA_959E_36D142677DAA_.wvu.PrintArea" localSheetId="2" hidden="1">'1.2.'!$A$1:$D$41</definedName>
    <definedName name="Z_2CF5EF93_C226_48EA_959E_36D142677DAA_.wvu.PrintArea" localSheetId="3" hidden="1">'1.3.'!$A$1:$D$31</definedName>
    <definedName name="Z_2CF5EF93_C226_48EA_959E_36D142677DAA_.wvu.PrintArea" localSheetId="4" hidden="1">'1.4.'!$A$1:$D$42</definedName>
    <definedName name="Z_2CF5EF93_C226_48EA_959E_36D142677DAA_.wvu.PrintArea" localSheetId="5" hidden="1">'1.5.'!$A$1:$D$44</definedName>
    <definedName name="Z_2CF5EF93_C226_48EA_959E_36D142677DAA_.wvu.PrintArea" localSheetId="6" hidden="1">'1.6.'!$A$1:$D$44</definedName>
    <definedName name="Z_2CF5EF93_C226_48EA_959E_36D142677DAA_.wvu.PrintArea" localSheetId="7" hidden="1">'1.7.'!$A$1:$D$44</definedName>
    <definedName name="Z_2CF5EF93_C226_48EA_959E_36D142677DAA_.wvu.PrintArea" localSheetId="8" hidden="1">'1.8.'!$A$1:$D$44</definedName>
    <definedName name="Z_2CF5EF93_C226_48EA_959E_36D142677DAA_.wvu.PrintArea" localSheetId="9" hidden="1">'1.9.'!$A$1:$D$44</definedName>
    <definedName name="Z_2CF5EF93_C226_48EA_959E_36D142677DAA_.wvu.PrintArea" localSheetId="15" hidden="1">'2.1.'!$A$1:$G$54</definedName>
    <definedName name="Z_2CF5EF93_C226_48EA_959E_36D142677DAA_.wvu.PrintArea" localSheetId="24" hidden="1">'2.10.'!$A$1:$D$55</definedName>
    <definedName name="Z_2CF5EF93_C226_48EA_959E_36D142677DAA_.wvu.PrintArea" localSheetId="25" hidden="1">'2.11.'!$A$1:$D$55</definedName>
    <definedName name="Z_2CF5EF93_C226_48EA_959E_36D142677DAA_.wvu.PrintArea" localSheetId="26" hidden="1">'2.12.'!$A$1:$D$56</definedName>
    <definedName name="Z_2CF5EF93_C226_48EA_959E_36D142677DAA_.wvu.PrintArea" localSheetId="27" hidden="1">'2.13.'!$A$1:$D$56</definedName>
    <definedName name="Z_2CF5EF93_C226_48EA_959E_36D142677DAA_.wvu.PrintArea" localSheetId="28" hidden="1">'2.14.'!$A$4:$D$61</definedName>
    <definedName name="Z_2CF5EF93_C226_48EA_959E_36D142677DAA_.wvu.PrintArea" localSheetId="29" hidden="1">'2.15.'!$A$1:$D$56</definedName>
    <definedName name="Z_2CF5EF93_C226_48EA_959E_36D142677DAA_.wvu.PrintArea" localSheetId="30" hidden="1">'2.16.'!$A$1:$D$55</definedName>
    <definedName name="Z_2CF5EF93_C226_48EA_959E_36D142677DAA_.wvu.PrintArea" localSheetId="31" hidden="1">'2.17.'!$A$1:$D$55</definedName>
    <definedName name="Z_2CF5EF93_C226_48EA_959E_36D142677DAA_.wvu.PrintArea" localSheetId="32" hidden="1">'2.18.'!$A$1:$D$59</definedName>
    <definedName name="Z_2CF5EF93_C226_48EA_959E_36D142677DAA_.wvu.PrintArea" localSheetId="33" hidden="1">'2.19.'!$A$1:$D$57</definedName>
    <definedName name="Z_2CF5EF93_C226_48EA_959E_36D142677DAA_.wvu.PrintArea" localSheetId="16" hidden="1">'2.2.'!$A$1:$D$54</definedName>
    <definedName name="Z_2CF5EF93_C226_48EA_959E_36D142677DAA_.wvu.PrintArea" localSheetId="34" hidden="1">'2.20.'!$A$4:$D$61</definedName>
    <definedName name="Z_2CF5EF93_C226_48EA_959E_36D142677DAA_.wvu.PrintArea" localSheetId="35" hidden="1">'2.21.'!$A$1:$D$55</definedName>
    <definedName name="Z_2CF5EF93_C226_48EA_959E_36D142677DAA_.wvu.PrintArea" localSheetId="36" hidden="1">'2.22.'!$A$1:$D$56</definedName>
    <definedName name="Z_2CF5EF93_C226_48EA_959E_36D142677DAA_.wvu.PrintArea" localSheetId="37" hidden="1">'2.23.'!$A$1:$D$57</definedName>
    <definedName name="Z_2CF5EF93_C226_48EA_959E_36D142677DAA_.wvu.PrintArea" localSheetId="38" hidden="1">'2.24.'!$A$1:$D$56</definedName>
    <definedName name="Z_2CF5EF93_C226_48EA_959E_36D142677DAA_.wvu.PrintArea" localSheetId="39" hidden="1">'2.25.'!$A$1:$E$57</definedName>
    <definedName name="Z_2CF5EF93_C226_48EA_959E_36D142677DAA_.wvu.PrintArea" localSheetId="40" hidden="1">'2.26.'!$A$1:$D$55</definedName>
    <definedName name="Z_2CF5EF93_C226_48EA_959E_36D142677DAA_.wvu.PrintArea" localSheetId="41" hidden="1">'2.27.'!$A$1:$D$55</definedName>
    <definedName name="Z_2CF5EF93_C226_48EA_959E_36D142677DAA_.wvu.PrintArea" localSheetId="42" hidden="1">'2.28.'!$A$1:$D$56</definedName>
    <definedName name="Z_2CF5EF93_C226_48EA_959E_36D142677DAA_.wvu.PrintArea" localSheetId="43" hidden="1">'2.29.'!$A$1:$D$56</definedName>
    <definedName name="Z_2CF5EF93_C226_48EA_959E_36D142677DAA_.wvu.PrintArea" localSheetId="17" hidden="1">'2.3.'!$A$1:$D$54</definedName>
    <definedName name="Z_2CF5EF93_C226_48EA_959E_36D142677DAA_.wvu.PrintArea" localSheetId="44" hidden="1">'2.30.'!$A$1:$D$56</definedName>
    <definedName name="Z_2CF5EF93_C226_48EA_959E_36D142677DAA_.wvu.PrintArea" localSheetId="45" hidden="1">'2.31.'!$A$1:$D$57</definedName>
    <definedName name="Z_2CF5EF93_C226_48EA_959E_36D142677DAA_.wvu.PrintArea" localSheetId="46" hidden="1">'2.32.'!$A$1:$D$56</definedName>
    <definedName name="Z_2CF5EF93_C226_48EA_959E_36D142677DAA_.wvu.PrintArea" localSheetId="47" hidden="1">'2.33.'!$A$1:$D$56</definedName>
    <definedName name="Z_2CF5EF93_C226_48EA_959E_36D142677DAA_.wvu.PrintArea" localSheetId="48" hidden="1">'2.34.'!$A$1:$D$56</definedName>
    <definedName name="Z_2CF5EF93_C226_48EA_959E_36D142677DAA_.wvu.PrintArea" localSheetId="49" hidden="1">'2.35.'!$A$1:$D$56</definedName>
    <definedName name="Z_2CF5EF93_C226_48EA_959E_36D142677DAA_.wvu.PrintArea" localSheetId="50" hidden="1">'2.36.'!$A$1:$D$58</definedName>
    <definedName name="Z_2CF5EF93_C226_48EA_959E_36D142677DAA_.wvu.PrintArea" localSheetId="51" hidden="1">'2.37.'!$A$1:$D$56</definedName>
    <definedName name="Z_2CF5EF93_C226_48EA_959E_36D142677DAA_.wvu.PrintArea" localSheetId="52" hidden="1">'2.38.'!$A$1:$D$59</definedName>
    <definedName name="Z_2CF5EF93_C226_48EA_959E_36D142677DAA_.wvu.PrintArea" localSheetId="53" hidden="1">'2.39.'!$A$1:$D$55</definedName>
    <definedName name="Z_2CF5EF93_C226_48EA_959E_36D142677DAA_.wvu.PrintArea" localSheetId="18" hidden="1">'2.4.'!$A$1:$D$55</definedName>
    <definedName name="Z_2CF5EF93_C226_48EA_959E_36D142677DAA_.wvu.PrintArea" localSheetId="54" hidden="1">'2.40.'!$A$1:$D$55</definedName>
    <definedName name="Z_2CF5EF93_C226_48EA_959E_36D142677DAA_.wvu.PrintArea" localSheetId="55" hidden="1">'2.41.'!$A$1:$D$57</definedName>
    <definedName name="Z_2CF5EF93_C226_48EA_959E_36D142677DAA_.wvu.PrintArea" localSheetId="56" hidden="1">'2.42.'!$A$1:$D$55</definedName>
    <definedName name="Z_2CF5EF93_C226_48EA_959E_36D142677DAA_.wvu.PrintArea" localSheetId="57" hidden="1">'2.43.'!$A$1:$D$55</definedName>
    <definedName name="Z_2CF5EF93_C226_48EA_959E_36D142677DAA_.wvu.PrintArea" localSheetId="58" hidden="1">'2.44.'!$A$1:$D$55</definedName>
    <definedName name="Z_2CF5EF93_C226_48EA_959E_36D142677DAA_.wvu.PrintArea" localSheetId="59" hidden="1">'2.45.'!$A$1:$D$55</definedName>
    <definedName name="Z_2CF5EF93_C226_48EA_959E_36D142677DAA_.wvu.PrintArea" localSheetId="60" hidden="1">'2.46.'!$A$1:$D$55</definedName>
    <definedName name="Z_2CF5EF93_C226_48EA_959E_36D142677DAA_.wvu.PrintArea" localSheetId="61" hidden="1">'2.47.'!$A$1:$D$55</definedName>
    <definedName name="Z_2CF5EF93_C226_48EA_959E_36D142677DAA_.wvu.PrintArea" localSheetId="62" hidden="1">'2.48.'!$A$1:$D$55</definedName>
    <definedName name="Z_2CF5EF93_C226_48EA_959E_36D142677DAA_.wvu.PrintArea" localSheetId="19" hidden="1">'2.5.'!$A$1:$D$56</definedName>
    <definedName name="Z_2CF5EF93_C226_48EA_959E_36D142677DAA_.wvu.PrintArea" localSheetId="20" hidden="1">'2.6.'!$A$1:$D$56</definedName>
    <definedName name="Z_2CF5EF93_C226_48EA_959E_36D142677DAA_.wvu.PrintArea" localSheetId="21" hidden="1">'2.7.'!$A$1:$D$57</definedName>
    <definedName name="Z_2CF5EF93_C226_48EA_959E_36D142677DAA_.wvu.PrintArea" localSheetId="22" hidden="1">'2.8.'!$A$1:$D$56</definedName>
    <definedName name="Z_2CF5EF93_C226_48EA_959E_36D142677DAA_.wvu.PrintArea" localSheetId="23" hidden="1">'2.9.'!$A$1:$D$55</definedName>
    <definedName name="Z_2CF5EF93_C226_48EA_959E_36D142677DAA_.wvu.PrintArea" localSheetId="0" hidden="1">Saturs!$A$1:$I$73</definedName>
    <definedName name="Z_2CF5EF93_C226_48EA_959E_36D142677DAA_.wvu.PrintTitles" localSheetId="55" hidden="1">'2.41.'!$13:$13</definedName>
    <definedName name="Z_2CF5EF93_C226_48EA_959E_36D142677DAA_.wvu.Rows" localSheetId="26" hidden="1">'2.12.'!$19:$19</definedName>
    <definedName name="Z_2CF5EF93_C226_48EA_959E_36D142677DAA_.wvu.Rows" localSheetId="27" hidden="1">'2.13.'!$19:$19</definedName>
    <definedName name="Z_2CF5EF93_C226_48EA_959E_36D142677DAA_.wvu.Rows" localSheetId="28" hidden="1">'2.14.'!$1:$3,'2.14.'!$14:$14,'2.14.'!$23:$24</definedName>
    <definedName name="Z_2CF5EF93_C226_48EA_959E_36D142677DAA_.wvu.Rows" localSheetId="29" hidden="1">'2.15.'!$10:$10</definedName>
    <definedName name="Z_2CF5EF93_C226_48EA_959E_36D142677DAA_.wvu.Rows" localSheetId="32" hidden="1">'2.18.'!$1:$3,'2.18.'!$14:$14</definedName>
    <definedName name="Z_2CF5EF93_C226_48EA_959E_36D142677DAA_.wvu.Rows" localSheetId="33" hidden="1">'2.19.'!$11:$11,'2.19.'!$20:$20</definedName>
    <definedName name="Z_2CF5EF93_C226_48EA_959E_36D142677DAA_.wvu.Rows" localSheetId="34" hidden="1">'2.20.'!$1:$3,'2.20.'!$14:$14,'2.20.'!$23:$24</definedName>
    <definedName name="Z_2CF5EF93_C226_48EA_959E_36D142677DAA_.wvu.Rows" localSheetId="36" hidden="1">'2.22.'!$19:$19</definedName>
    <definedName name="Z_2CF5EF93_C226_48EA_959E_36D142677DAA_.wvu.Rows" localSheetId="37" hidden="1">'2.23.'!$19:$20</definedName>
    <definedName name="Z_2CF5EF93_C226_48EA_959E_36D142677DAA_.wvu.Rows" localSheetId="39" hidden="1">'2.25.'!$19:$20</definedName>
    <definedName name="Z_2CF5EF93_C226_48EA_959E_36D142677DAA_.wvu.Rows" localSheetId="42" hidden="1">'2.28.'!$10:$10</definedName>
    <definedName name="Z_2CF5EF93_C226_48EA_959E_36D142677DAA_.wvu.Rows" localSheetId="43" hidden="1">'2.29.'!$10:$10</definedName>
    <definedName name="Z_2CF5EF93_C226_48EA_959E_36D142677DAA_.wvu.Rows" localSheetId="44" hidden="1">'2.30.'!$19:$19</definedName>
    <definedName name="Z_2CF5EF93_C226_48EA_959E_36D142677DAA_.wvu.Rows" localSheetId="45" hidden="1">'2.31.'!$19:$20</definedName>
    <definedName name="Z_2CF5EF93_C226_48EA_959E_36D142677DAA_.wvu.Rows" localSheetId="46" hidden="1">'2.32.'!$19:$19</definedName>
    <definedName name="Z_2CF5EF93_C226_48EA_959E_36D142677DAA_.wvu.Rows" localSheetId="47" hidden="1">'2.33.'!$19:$19</definedName>
    <definedName name="Z_2CF5EF93_C226_48EA_959E_36D142677DAA_.wvu.Rows" localSheetId="48" hidden="1">'2.34.'!$10:$10</definedName>
    <definedName name="Z_2CF5EF93_C226_48EA_959E_36D142677DAA_.wvu.Rows" localSheetId="49" hidden="1">'2.35.'!$19:$19</definedName>
    <definedName name="Z_2CF5EF93_C226_48EA_959E_36D142677DAA_.wvu.Rows" localSheetId="50" hidden="1">'2.36.'!$10:$10,'2.36.'!$20:$21</definedName>
    <definedName name="Z_2CF5EF93_C226_48EA_959E_36D142677DAA_.wvu.Rows" localSheetId="51" hidden="1">'2.37.'!$19:$19</definedName>
    <definedName name="Z_2CF5EF93_C226_48EA_959E_36D142677DAA_.wvu.Rows" localSheetId="52" hidden="1">'2.38.'!$11:$12,'2.38.'!$21:$21,'2.38.'!$55:$55</definedName>
    <definedName name="Z_2CF5EF93_C226_48EA_959E_36D142677DAA_.wvu.Rows" localSheetId="18" hidden="1">'2.4.'!$19:$19</definedName>
    <definedName name="Z_2CF5EF93_C226_48EA_959E_36D142677DAA_.wvu.Rows" localSheetId="55" hidden="1">'2.41.'!$11:$12</definedName>
    <definedName name="Z_2CF5EF93_C226_48EA_959E_36D142677DAA_.wvu.Rows" localSheetId="19" hidden="1">'2.5.'!$19:$20</definedName>
    <definedName name="Z_2CF5EF93_C226_48EA_959E_36D142677DAA_.wvu.Rows" localSheetId="20" hidden="1">'2.6.'!$19:$19</definedName>
    <definedName name="Z_2CF5EF93_C226_48EA_959E_36D142677DAA_.wvu.Rows" localSheetId="21" hidden="1">'2.7.'!$11:$11,'2.7.'!$20:$20</definedName>
    <definedName name="Z_2CF5EF93_C226_48EA_959E_36D142677DAA_.wvu.Rows" localSheetId="22" hidden="1">'2.8.'!$19:$19</definedName>
    <definedName name="Z_3046F990_4623_45D5_BDDC_01BD5999DDBC_.wvu.Cols" localSheetId="15" hidden="1">'2.1.'!$E:$G</definedName>
    <definedName name="Z_3046F990_4623_45D5_BDDC_01BD5999DDBC_.wvu.Cols" localSheetId="39" hidden="1">'2.25.'!$D:$D</definedName>
    <definedName name="Z_3046F990_4623_45D5_BDDC_01BD5999DDBC_.wvu.PrintArea" localSheetId="1" hidden="1">'1.1.'!$A$1:$D$43</definedName>
    <definedName name="Z_3046F990_4623_45D5_BDDC_01BD5999DDBC_.wvu.PrintArea" localSheetId="10" hidden="1">'1.10.'!$A$1:$D$28</definedName>
    <definedName name="Z_3046F990_4623_45D5_BDDC_01BD5999DDBC_.wvu.PrintArea" localSheetId="11" hidden="1">'1.11.'!$A$1:$D$30</definedName>
    <definedName name="Z_3046F990_4623_45D5_BDDC_01BD5999DDBC_.wvu.PrintArea" localSheetId="12" hidden="1">'1.12.'!$A$1:$D$42</definedName>
    <definedName name="Z_3046F990_4623_45D5_BDDC_01BD5999DDBC_.wvu.PrintArea" localSheetId="13" hidden="1">'1.13.'!$A$1:$D$42</definedName>
    <definedName name="Z_3046F990_4623_45D5_BDDC_01BD5999DDBC_.wvu.PrintArea" localSheetId="14" hidden="1">'1.14.'!$A$1:$D$42</definedName>
    <definedName name="Z_3046F990_4623_45D5_BDDC_01BD5999DDBC_.wvu.PrintArea" localSheetId="2" hidden="1">'1.2.'!$A$1:$D$41</definedName>
    <definedName name="Z_3046F990_4623_45D5_BDDC_01BD5999DDBC_.wvu.PrintArea" localSheetId="3" hidden="1">'1.3.'!$A$1:$D$31</definedName>
    <definedName name="Z_3046F990_4623_45D5_BDDC_01BD5999DDBC_.wvu.PrintArea" localSheetId="4" hidden="1">'1.4.'!$A$1:$D$42</definedName>
    <definedName name="Z_3046F990_4623_45D5_BDDC_01BD5999DDBC_.wvu.PrintArea" localSheetId="5" hidden="1">'1.5.'!$A$1:$D$44</definedName>
    <definedName name="Z_3046F990_4623_45D5_BDDC_01BD5999DDBC_.wvu.PrintArea" localSheetId="6" hidden="1">'1.6.'!$A$1:$D$44</definedName>
    <definedName name="Z_3046F990_4623_45D5_BDDC_01BD5999DDBC_.wvu.PrintArea" localSheetId="7" hidden="1">'1.7.'!$A$1:$D$44</definedName>
    <definedName name="Z_3046F990_4623_45D5_BDDC_01BD5999DDBC_.wvu.PrintArea" localSheetId="8" hidden="1">'1.8.'!$A$1:$D$44</definedName>
    <definedName name="Z_3046F990_4623_45D5_BDDC_01BD5999DDBC_.wvu.PrintArea" localSheetId="9" hidden="1">'1.9.'!$A$1:$D$44</definedName>
    <definedName name="Z_3046F990_4623_45D5_BDDC_01BD5999DDBC_.wvu.PrintArea" localSheetId="15" hidden="1">'2.1.'!$A$1:$G$54</definedName>
    <definedName name="Z_3046F990_4623_45D5_BDDC_01BD5999DDBC_.wvu.PrintArea" localSheetId="24" hidden="1">'2.10.'!$A$1:$D$55</definedName>
    <definedName name="Z_3046F990_4623_45D5_BDDC_01BD5999DDBC_.wvu.PrintArea" localSheetId="25" hidden="1">'2.11.'!$A$1:$D$55</definedName>
    <definedName name="Z_3046F990_4623_45D5_BDDC_01BD5999DDBC_.wvu.PrintArea" localSheetId="26" hidden="1">'2.12.'!$A$1:$D$56</definedName>
    <definedName name="Z_3046F990_4623_45D5_BDDC_01BD5999DDBC_.wvu.PrintArea" localSheetId="27" hidden="1">'2.13.'!$A$1:$D$56</definedName>
    <definedName name="Z_3046F990_4623_45D5_BDDC_01BD5999DDBC_.wvu.PrintArea" localSheetId="28" hidden="1">'2.14.'!$A$4:$D$61</definedName>
    <definedName name="Z_3046F990_4623_45D5_BDDC_01BD5999DDBC_.wvu.PrintArea" localSheetId="29" hidden="1">'2.15.'!$A$1:$D$56</definedName>
    <definedName name="Z_3046F990_4623_45D5_BDDC_01BD5999DDBC_.wvu.PrintArea" localSheetId="30" hidden="1">'2.16.'!$A$1:$D$55</definedName>
    <definedName name="Z_3046F990_4623_45D5_BDDC_01BD5999DDBC_.wvu.PrintArea" localSheetId="31" hidden="1">'2.17.'!$A$1:$D$55</definedName>
    <definedName name="Z_3046F990_4623_45D5_BDDC_01BD5999DDBC_.wvu.PrintArea" localSheetId="32" hidden="1">'2.18.'!$A$1:$D$59</definedName>
    <definedName name="Z_3046F990_4623_45D5_BDDC_01BD5999DDBC_.wvu.PrintArea" localSheetId="33" hidden="1">'2.19.'!$A$1:$D$57</definedName>
    <definedName name="Z_3046F990_4623_45D5_BDDC_01BD5999DDBC_.wvu.PrintArea" localSheetId="16" hidden="1">'2.2.'!$A$1:$D$54</definedName>
    <definedName name="Z_3046F990_4623_45D5_BDDC_01BD5999DDBC_.wvu.PrintArea" localSheetId="34" hidden="1">'2.20.'!$A$4:$D$61</definedName>
    <definedName name="Z_3046F990_4623_45D5_BDDC_01BD5999DDBC_.wvu.PrintArea" localSheetId="35" hidden="1">'2.21.'!$A$1:$D$55</definedName>
    <definedName name="Z_3046F990_4623_45D5_BDDC_01BD5999DDBC_.wvu.PrintArea" localSheetId="36" hidden="1">'2.22.'!$A$1:$D$56</definedName>
    <definedName name="Z_3046F990_4623_45D5_BDDC_01BD5999DDBC_.wvu.PrintArea" localSheetId="37" hidden="1">'2.23.'!$A$1:$D$57</definedName>
    <definedName name="Z_3046F990_4623_45D5_BDDC_01BD5999DDBC_.wvu.PrintArea" localSheetId="38" hidden="1">'2.24.'!$A$1:$D$56</definedName>
    <definedName name="Z_3046F990_4623_45D5_BDDC_01BD5999DDBC_.wvu.PrintArea" localSheetId="39" hidden="1">'2.25.'!$A$1:$E$57</definedName>
    <definedName name="Z_3046F990_4623_45D5_BDDC_01BD5999DDBC_.wvu.PrintArea" localSheetId="40" hidden="1">'2.26.'!$A$1:$D$55</definedName>
    <definedName name="Z_3046F990_4623_45D5_BDDC_01BD5999DDBC_.wvu.PrintArea" localSheetId="41" hidden="1">'2.27.'!$A$1:$D$55</definedName>
    <definedName name="Z_3046F990_4623_45D5_BDDC_01BD5999DDBC_.wvu.PrintArea" localSheetId="42" hidden="1">'2.28.'!$A$1:$D$56</definedName>
    <definedName name="Z_3046F990_4623_45D5_BDDC_01BD5999DDBC_.wvu.PrintArea" localSheetId="43" hidden="1">'2.29.'!$A$1:$D$56</definedName>
    <definedName name="Z_3046F990_4623_45D5_BDDC_01BD5999DDBC_.wvu.PrintArea" localSheetId="17" hidden="1">'2.3.'!$A$1:$D$54</definedName>
    <definedName name="Z_3046F990_4623_45D5_BDDC_01BD5999DDBC_.wvu.PrintArea" localSheetId="44" hidden="1">'2.30.'!$A$1:$D$56</definedName>
    <definedName name="Z_3046F990_4623_45D5_BDDC_01BD5999DDBC_.wvu.PrintArea" localSheetId="45" hidden="1">'2.31.'!$A$1:$D$57</definedName>
    <definedName name="Z_3046F990_4623_45D5_BDDC_01BD5999DDBC_.wvu.PrintArea" localSheetId="46" hidden="1">'2.32.'!$A$1:$D$56</definedName>
    <definedName name="Z_3046F990_4623_45D5_BDDC_01BD5999DDBC_.wvu.PrintArea" localSheetId="47" hidden="1">'2.33.'!$A$1:$D$56</definedName>
    <definedName name="Z_3046F990_4623_45D5_BDDC_01BD5999DDBC_.wvu.PrintArea" localSheetId="48" hidden="1">'2.34.'!$A$1:$D$56</definedName>
    <definedName name="Z_3046F990_4623_45D5_BDDC_01BD5999DDBC_.wvu.PrintArea" localSheetId="49" hidden="1">'2.35.'!$A$1:$D$56</definedName>
    <definedName name="Z_3046F990_4623_45D5_BDDC_01BD5999DDBC_.wvu.PrintArea" localSheetId="50" hidden="1">'2.36.'!$A$1:$D$58</definedName>
    <definedName name="Z_3046F990_4623_45D5_BDDC_01BD5999DDBC_.wvu.PrintArea" localSheetId="51" hidden="1">'2.37.'!$A$1:$D$56</definedName>
    <definedName name="Z_3046F990_4623_45D5_BDDC_01BD5999DDBC_.wvu.PrintArea" localSheetId="52" hidden="1">'2.38.'!$A$1:$D$59</definedName>
    <definedName name="Z_3046F990_4623_45D5_BDDC_01BD5999DDBC_.wvu.PrintArea" localSheetId="53" hidden="1">'2.39.'!$A$1:$D$55</definedName>
    <definedName name="Z_3046F990_4623_45D5_BDDC_01BD5999DDBC_.wvu.PrintArea" localSheetId="18" hidden="1">'2.4.'!$A$1:$D$55</definedName>
    <definedName name="Z_3046F990_4623_45D5_BDDC_01BD5999DDBC_.wvu.PrintArea" localSheetId="54" hidden="1">'2.40.'!$A$1:$D$55</definedName>
    <definedName name="Z_3046F990_4623_45D5_BDDC_01BD5999DDBC_.wvu.PrintArea" localSheetId="55" hidden="1">'2.41.'!$A$1:$D$57</definedName>
    <definedName name="Z_3046F990_4623_45D5_BDDC_01BD5999DDBC_.wvu.PrintArea" localSheetId="56" hidden="1">'2.42.'!$A$1:$D$55</definedName>
    <definedName name="Z_3046F990_4623_45D5_BDDC_01BD5999DDBC_.wvu.PrintArea" localSheetId="57" hidden="1">'2.43.'!$A$1:$D$55</definedName>
    <definedName name="Z_3046F990_4623_45D5_BDDC_01BD5999DDBC_.wvu.PrintArea" localSheetId="58" hidden="1">'2.44.'!$A$1:$D$55</definedName>
    <definedName name="Z_3046F990_4623_45D5_BDDC_01BD5999DDBC_.wvu.PrintArea" localSheetId="59" hidden="1">'2.45.'!$A$1:$D$55</definedName>
    <definedName name="Z_3046F990_4623_45D5_BDDC_01BD5999DDBC_.wvu.PrintArea" localSheetId="60" hidden="1">'2.46.'!$A$1:$D$55</definedName>
    <definedName name="Z_3046F990_4623_45D5_BDDC_01BD5999DDBC_.wvu.PrintArea" localSheetId="61" hidden="1">'2.47.'!$A$1:$D$55</definedName>
    <definedName name="Z_3046F990_4623_45D5_BDDC_01BD5999DDBC_.wvu.PrintArea" localSheetId="62" hidden="1">'2.48.'!$A$1:$D$55</definedName>
    <definedName name="Z_3046F990_4623_45D5_BDDC_01BD5999DDBC_.wvu.PrintArea" localSheetId="19" hidden="1">'2.5.'!$A$1:$D$56</definedName>
    <definedName name="Z_3046F990_4623_45D5_BDDC_01BD5999DDBC_.wvu.PrintArea" localSheetId="20" hidden="1">'2.6.'!$A$1:$D$56</definedName>
    <definedName name="Z_3046F990_4623_45D5_BDDC_01BD5999DDBC_.wvu.PrintArea" localSheetId="21" hidden="1">'2.7.'!$A$1:$D$57</definedName>
    <definedName name="Z_3046F990_4623_45D5_BDDC_01BD5999DDBC_.wvu.PrintArea" localSheetId="22" hidden="1">'2.8.'!$A$1:$D$56</definedName>
    <definedName name="Z_3046F990_4623_45D5_BDDC_01BD5999DDBC_.wvu.PrintArea" localSheetId="23" hidden="1">'2.9.'!$A$1:$D$55</definedName>
    <definedName name="Z_3046F990_4623_45D5_BDDC_01BD5999DDBC_.wvu.PrintArea" localSheetId="0" hidden="1">Saturs!$A$1:$I$73</definedName>
    <definedName name="Z_3046F990_4623_45D5_BDDC_01BD5999DDBC_.wvu.PrintTitles" localSheetId="55" hidden="1">'2.41.'!$13:$13</definedName>
    <definedName name="Z_3046F990_4623_45D5_BDDC_01BD5999DDBC_.wvu.Rows" localSheetId="26" hidden="1">'2.12.'!$19:$19</definedName>
    <definedName name="Z_3046F990_4623_45D5_BDDC_01BD5999DDBC_.wvu.Rows" localSheetId="27" hidden="1">'2.13.'!$19:$19</definedName>
    <definedName name="Z_3046F990_4623_45D5_BDDC_01BD5999DDBC_.wvu.Rows" localSheetId="28" hidden="1">'2.14.'!$1:$3,'2.14.'!$14:$14,'2.14.'!$23:$24</definedName>
    <definedName name="Z_3046F990_4623_45D5_BDDC_01BD5999DDBC_.wvu.Rows" localSheetId="29" hidden="1">'2.15.'!$10:$10</definedName>
    <definedName name="Z_3046F990_4623_45D5_BDDC_01BD5999DDBC_.wvu.Rows" localSheetId="32" hidden="1">'2.18.'!$1:$3,'2.18.'!$14:$14</definedName>
    <definedName name="Z_3046F990_4623_45D5_BDDC_01BD5999DDBC_.wvu.Rows" localSheetId="33" hidden="1">'2.19.'!$11:$11,'2.19.'!$20:$20</definedName>
    <definedName name="Z_3046F990_4623_45D5_BDDC_01BD5999DDBC_.wvu.Rows" localSheetId="34" hidden="1">'2.20.'!$1:$3,'2.20.'!$14:$14,'2.20.'!$23:$24</definedName>
    <definedName name="Z_3046F990_4623_45D5_BDDC_01BD5999DDBC_.wvu.Rows" localSheetId="36" hidden="1">'2.22.'!$19:$19</definedName>
    <definedName name="Z_3046F990_4623_45D5_BDDC_01BD5999DDBC_.wvu.Rows" localSheetId="37" hidden="1">'2.23.'!$19:$20</definedName>
    <definedName name="Z_3046F990_4623_45D5_BDDC_01BD5999DDBC_.wvu.Rows" localSheetId="39" hidden="1">'2.25.'!$19:$20</definedName>
    <definedName name="Z_3046F990_4623_45D5_BDDC_01BD5999DDBC_.wvu.Rows" localSheetId="42" hidden="1">'2.28.'!$10:$10</definedName>
    <definedName name="Z_3046F990_4623_45D5_BDDC_01BD5999DDBC_.wvu.Rows" localSheetId="43" hidden="1">'2.29.'!$10:$10</definedName>
    <definedName name="Z_3046F990_4623_45D5_BDDC_01BD5999DDBC_.wvu.Rows" localSheetId="44" hidden="1">'2.30.'!$19:$19</definedName>
    <definedName name="Z_3046F990_4623_45D5_BDDC_01BD5999DDBC_.wvu.Rows" localSheetId="45" hidden="1">'2.31.'!$19:$20</definedName>
    <definedName name="Z_3046F990_4623_45D5_BDDC_01BD5999DDBC_.wvu.Rows" localSheetId="46" hidden="1">'2.32.'!$19:$19</definedName>
    <definedName name="Z_3046F990_4623_45D5_BDDC_01BD5999DDBC_.wvu.Rows" localSheetId="47" hidden="1">'2.33.'!$19:$19</definedName>
    <definedName name="Z_3046F990_4623_45D5_BDDC_01BD5999DDBC_.wvu.Rows" localSheetId="48" hidden="1">'2.34.'!$10:$10</definedName>
    <definedName name="Z_3046F990_4623_45D5_BDDC_01BD5999DDBC_.wvu.Rows" localSheetId="49" hidden="1">'2.35.'!$19:$19</definedName>
    <definedName name="Z_3046F990_4623_45D5_BDDC_01BD5999DDBC_.wvu.Rows" localSheetId="50" hidden="1">'2.36.'!$10:$10,'2.36.'!$20:$21</definedName>
    <definedName name="Z_3046F990_4623_45D5_BDDC_01BD5999DDBC_.wvu.Rows" localSheetId="51" hidden="1">'2.37.'!$19:$19</definedName>
    <definedName name="Z_3046F990_4623_45D5_BDDC_01BD5999DDBC_.wvu.Rows" localSheetId="52" hidden="1">'2.38.'!$11:$12,'2.38.'!$21:$21,'2.38.'!$55:$55</definedName>
    <definedName name="Z_3046F990_4623_45D5_BDDC_01BD5999DDBC_.wvu.Rows" localSheetId="18" hidden="1">'2.4.'!$19:$19</definedName>
    <definedName name="Z_3046F990_4623_45D5_BDDC_01BD5999DDBC_.wvu.Rows" localSheetId="55" hidden="1">'2.41.'!$11:$12</definedName>
    <definedName name="Z_3046F990_4623_45D5_BDDC_01BD5999DDBC_.wvu.Rows" localSheetId="19" hidden="1">'2.5.'!$19:$20</definedName>
    <definedName name="Z_3046F990_4623_45D5_BDDC_01BD5999DDBC_.wvu.Rows" localSheetId="20" hidden="1">'2.6.'!$19:$19</definedName>
    <definedName name="Z_3046F990_4623_45D5_BDDC_01BD5999DDBC_.wvu.Rows" localSheetId="21" hidden="1">'2.7.'!$11:$11,'2.7.'!$20:$20</definedName>
    <definedName name="Z_3046F990_4623_45D5_BDDC_01BD5999DDBC_.wvu.Rows" localSheetId="22" hidden="1">'2.8.'!$19:$19</definedName>
    <definedName name="Z_FC502735_BE91_49EC_9614_36ECAE88D000_.wvu.Cols" localSheetId="15" hidden="1">'2.1.'!$E:$G</definedName>
    <definedName name="Z_FC502735_BE91_49EC_9614_36ECAE88D000_.wvu.Cols" localSheetId="39" hidden="1">'2.25.'!$D:$D</definedName>
    <definedName name="Z_FC502735_BE91_49EC_9614_36ECAE88D000_.wvu.PrintArea" localSheetId="1" hidden="1">'1.1.'!$A$1:$D$43</definedName>
    <definedName name="Z_FC502735_BE91_49EC_9614_36ECAE88D000_.wvu.PrintArea" localSheetId="10" hidden="1">'1.10.'!$A$1:$D$28</definedName>
    <definedName name="Z_FC502735_BE91_49EC_9614_36ECAE88D000_.wvu.PrintArea" localSheetId="11" hidden="1">'1.11.'!$A$1:$D$30</definedName>
    <definedName name="Z_FC502735_BE91_49EC_9614_36ECAE88D000_.wvu.PrintArea" localSheetId="12" hidden="1">'1.12.'!$A$1:$D$42</definedName>
    <definedName name="Z_FC502735_BE91_49EC_9614_36ECAE88D000_.wvu.PrintArea" localSheetId="13" hidden="1">'1.13.'!$A$1:$D$42</definedName>
    <definedName name="Z_FC502735_BE91_49EC_9614_36ECAE88D000_.wvu.PrintArea" localSheetId="14" hidden="1">'1.14.'!$A$1:$D$42</definedName>
    <definedName name="Z_FC502735_BE91_49EC_9614_36ECAE88D000_.wvu.PrintArea" localSheetId="2" hidden="1">'1.2.'!$A$1:$D$41</definedName>
    <definedName name="Z_FC502735_BE91_49EC_9614_36ECAE88D000_.wvu.PrintArea" localSheetId="3" hidden="1">'1.3.'!$A$1:$D$31</definedName>
    <definedName name="Z_FC502735_BE91_49EC_9614_36ECAE88D000_.wvu.PrintArea" localSheetId="4" hidden="1">'1.4.'!$A$1:$D$42</definedName>
    <definedName name="Z_FC502735_BE91_49EC_9614_36ECAE88D000_.wvu.PrintArea" localSheetId="5" hidden="1">'1.5.'!$A$1:$D$44</definedName>
    <definedName name="Z_FC502735_BE91_49EC_9614_36ECAE88D000_.wvu.PrintArea" localSheetId="6" hidden="1">'1.6.'!$A$1:$D$44</definedName>
    <definedName name="Z_FC502735_BE91_49EC_9614_36ECAE88D000_.wvu.PrintArea" localSheetId="7" hidden="1">'1.7.'!$A$1:$D$44</definedName>
    <definedName name="Z_FC502735_BE91_49EC_9614_36ECAE88D000_.wvu.PrintArea" localSheetId="8" hidden="1">'1.8.'!$A$1:$D$44</definedName>
    <definedName name="Z_FC502735_BE91_49EC_9614_36ECAE88D000_.wvu.PrintArea" localSheetId="9" hidden="1">'1.9.'!$A$1:$D$44</definedName>
    <definedName name="Z_FC502735_BE91_49EC_9614_36ECAE88D000_.wvu.PrintArea" localSheetId="15" hidden="1">'2.1.'!$A$1:$G$54</definedName>
    <definedName name="Z_FC502735_BE91_49EC_9614_36ECAE88D000_.wvu.PrintArea" localSheetId="24" hidden="1">'2.10.'!$A$1:$D$55</definedName>
    <definedName name="Z_FC502735_BE91_49EC_9614_36ECAE88D000_.wvu.PrintArea" localSheetId="25" hidden="1">'2.11.'!$A$1:$D$55</definedName>
    <definedName name="Z_FC502735_BE91_49EC_9614_36ECAE88D000_.wvu.PrintArea" localSheetId="26" hidden="1">'2.12.'!$A$1:$D$56</definedName>
    <definedName name="Z_FC502735_BE91_49EC_9614_36ECAE88D000_.wvu.PrintArea" localSheetId="27" hidden="1">'2.13.'!$A$1:$D$56</definedName>
    <definedName name="Z_FC502735_BE91_49EC_9614_36ECAE88D000_.wvu.PrintArea" localSheetId="28" hidden="1">'2.14.'!$A$4:$D$61</definedName>
    <definedName name="Z_FC502735_BE91_49EC_9614_36ECAE88D000_.wvu.PrintArea" localSheetId="29" hidden="1">'2.15.'!$A$1:$D$56</definedName>
    <definedName name="Z_FC502735_BE91_49EC_9614_36ECAE88D000_.wvu.PrintArea" localSheetId="30" hidden="1">'2.16.'!$A$1:$D$55</definedName>
    <definedName name="Z_FC502735_BE91_49EC_9614_36ECAE88D000_.wvu.PrintArea" localSheetId="31" hidden="1">'2.17.'!$A$1:$D$55</definedName>
    <definedName name="Z_FC502735_BE91_49EC_9614_36ECAE88D000_.wvu.PrintArea" localSheetId="32" hidden="1">'2.18.'!$A$1:$D$59</definedName>
    <definedName name="Z_FC502735_BE91_49EC_9614_36ECAE88D000_.wvu.PrintArea" localSheetId="33" hidden="1">'2.19.'!$A$1:$D$57</definedName>
    <definedName name="Z_FC502735_BE91_49EC_9614_36ECAE88D000_.wvu.PrintArea" localSheetId="16" hidden="1">'2.2.'!$A$1:$D$54</definedName>
    <definedName name="Z_FC502735_BE91_49EC_9614_36ECAE88D000_.wvu.PrintArea" localSheetId="34" hidden="1">'2.20.'!$A$4:$D$61</definedName>
    <definedName name="Z_FC502735_BE91_49EC_9614_36ECAE88D000_.wvu.PrintArea" localSheetId="35" hidden="1">'2.21.'!$A$1:$D$55</definedName>
    <definedName name="Z_FC502735_BE91_49EC_9614_36ECAE88D000_.wvu.PrintArea" localSheetId="36" hidden="1">'2.22.'!$A$1:$D$56</definedName>
    <definedName name="Z_FC502735_BE91_49EC_9614_36ECAE88D000_.wvu.PrintArea" localSheetId="37" hidden="1">'2.23.'!$A$1:$D$57</definedName>
    <definedName name="Z_FC502735_BE91_49EC_9614_36ECAE88D000_.wvu.PrintArea" localSheetId="38" hidden="1">'2.24.'!$A$1:$D$56</definedName>
    <definedName name="Z_FC502735_BE91_49EC_9614_36ECAE88D000_.wvu.PrintArea" localSheetId="39" hidden="1">'2.25.'!$A$1:$E$57</definedName>
    <definedName name="Z_FC502735_BE91_49EC_9614_36ECAE88D000_.wvu.PrintArea" localSheetId="40" hidden="1">'2.26.'!$A$1:$D$55</definedName>
    <definedName name="Z_FC502735_BE91_49EC_9614_36ECAE88D000_.wvu.PrintArea" localSheetId="41" hidden="1">'2.27.'!$A$1:$D$55</definedName>
    <definedName name="Z_FC502735_BE91_49EC_9614_36ECAE88D000_.wvu.PrintArea" localSheetId="42" hidden="1">'2.28.'!$A$1:$D$56</definedName>
    <definedName name="Z_FC502735_BE91_49EC_9614_36ECAE88D000_.wvu.PrintArea" localSheetId="43" hidden="1">'2.29.'!$A$1:$D$56</definedName>
    <definedName name="Z_FC502735_BE91_49EC_9614_36ECAE88D000_.wvu.PrintArea" localSheetId="17" hidden="1">'2.3.'!$A$1:$D$54</definedName>
    <definedName name="Z_FC502735_BE91_49EC_9614_36ECAE88D000_.wvu.PrintArea" localSheetId="44" hidden="1">'2.30.'!$A$1:$D$56</definedName>
    <definedName name="Z_FC502735_BE91_49EC_9614_36ECAE88D000_.wvu.PrintArea" localSheetId="45" hidden="1">'2.31.'!$A$1:$D$57</definedName>
    <definedName name="Z_FC502735_BE91_49EC_9614_36ECAE88D000_.wvu.PrintArea" localSheetId="46" hidden="1">'2.32.'!$A$1:$D$56</definedName>
    <definedName name="Z_FC502735_BE91_49EC_9614_36ECAE88D000_.wvu.PrintArea" localSheetId="47" hidden="1">'2.33.'!$A$1:$D$56</definedName>
    <definedName name="Z_FC502735_BE91_49EC_9614_36ECAE88D000_.wvu.PrintArea" localSheetId="48" hidden="1">'2.34.'!$A$1:$D$56</definedName>
    <definedName name="Z_FC502735_BE91_49EC_9614_36ECAE88D000_.wvu.PrintArea" localSheetId="49" hidden="1">'2.35.'!$A$1:$D$56</definedName>
    <definedName name="Z_FC502735_BE91_49EC_9614_36ECAE88D000_.wvu.PrintArea" localSheetId="50" hidden="1">'2.36.'!$A$1:$D$58</definedName>
    <definedName name="Z_FC502735_BE91_49EC_9614_36ECAE88D000_.wvu.PrintArea" localSheetId="51" hidden="1">'2.37.'!$A$1:$D$56</definedName>
    <definedName name="Z_FC502735_BE91_49EC_9614_36ECAE88D000_.wvu.PrintArea" localSheetId="52" hidden="1">'2.38.'!$A$1:$D$59</definedName>
    <definedName name="Z_FC502735_BE91_49EC_9614_36ECAE88D000_.wvu.PrintArea" localSheetId="53" hidden="1">'2.39.'!$A$1:$D$55</definedName>
    <definedName name="Z_FC502735_BE91_49EC_9614_36ECAE88D000_.wvu.PrintArea" localSheetId="18" hidden="1">'2.4.'!$A$1:$D$55</definedName>
    <definedName name="Z_FC502735_BE91_49EC_9614_36ECAE88D000_.wvu.PrintArea" localSheetId="54" hidden="1">'2.40.'!$A$1:$D$55</definedName>
    <definedName name="Z_FC502735_BE91_49EC_9614_36ECAE88D000_.wvu.PrintArea" localSheetId="55" hidden="1">'2.41.'!$A$1:$D$57</definedName>
    <definedName name="Z_FC502735_BE91_49EC_9614_36ECAE88D000_.wvu.PrintArea" localSheetId="56" hidden="1">'2.42.'!$A$1:$D$55</definedName>
    <definedName name="Z_FC502735_BE91_49EC_9614_36ECAE88D000_.wvu.PrintArea" localSheetId="57" hidden="1">'2.43.'!$A$1:$D$55</definedName>
    <definedName name="Z_FC502735_BE91_49EC_9614_36ECAE88D000_.wvu.PrintArea" localSheetId="58" hidden="1">'2.44.'!$A$1:$D$55</definedName>
    <definedName name="Z_FC502735_BE91_49EC_9614_36ECAE88D000_.wvu.PrintArea" localSheetId="59" hidden="1">'2.45.'!$A$1:$D$55</definedName>
    <definedName name="Z_FC502735_BE91_49EC_9614_36ECAE88D000_.wvu.PrintArea" localSheetId="60" hidden="1">'2.46.'!$A$1:$D$55</definedName>
    <definedName name="Z_FC502735_BE91_49EC_9614_36ECAE88D000_.wvu.PrintArea" localSheetId="61" hidden="1">'2.47.'!$A$1:$D$55</definedName>
    <definedName name="Z_FC502735_BE91_49EC_9614_36ECAE88D000_.wvu.PrintArea" localSheetId="62" hidden="1">'2.48.'!$A$1:$D$55</definedName>
    <definedName name="Z_FC502735_BE91_49EC_9614_36ECAE88D000_.wvu.PrintArea" localSheetId="19" hidden="1">'2.5.'!$A$1:$D$56</definedName>
    <definedName name="Z_FC502735_BE91_49EC_9614_36ECAE88D000_.wvu.PrintArea" localSheetId="20" hidden="1">'2.6.'!$A$1:$D$56</definedName>
    <definedName name="Z_FC502735_BE91_49EC_9614_36ECAE88D000_.wvu.PrintArea" localSheetId="21" hidden="1">'2.7.'!$A$1:$D$57</definedName>
    <definedName name="Z_FC502735_BE91_49EC_9614_36ECAE88D000_.wvu.PrintArea" localSheetId="22" hidden="1">'2.8.'!$A$1:$D$56</definedName>
    <definedName name="Z_FC502735_BE91_49EC_9614_36ECAE88D000_.wvu.PrintArea" localSheetId="23" hidden="1">'2.9.'!$A$1:$D$55</definedName>
    <definedName name="Z_FC502735_BE91_49EC_9614_36ECAE88D000_.wvu.PrintArea" localSheetId="0" hidden="1">Saturs!$A$1:$I$73</definedName>
    <definedName name="Z_FC502735_BE91_49EC_9614_36ECAE88D000_.wvu.PrintTitles" localSheetId="55" hidden="1">'2.41.'!$13:$13</definedName>
    <definedName name="Z_FC502735_BE91_49EC_9614_36ECAE88D000_.wvu.Rows" localSheetId="26" hidden="1">'2.12.'!$19:$19</definedName>
    <definedName name="Z_FC502735_BE91_49EC_9614_36ECAE88D000_.wvu.Rows" localSheetId="27" hidden="1">'2.13.'!$19:$19</definedName>
    <definedName name="Z_FC502735_BE91_49EC_9614_36ECAE88D000_.wvu.Rows" localSheetId="28" hidden="1">'2.14.'!$1:$3,'2.14.'!$14:$14,'2.14.'!$23:$24</definedName>
    <definedName name="Z_FC502735_BE91_49EC_9614_36ECAE88D000_.wvu.Rows" localSheetId="29" hidden="1">'2.15.'!$10:$10</definedName>
    <definedName name="Z_FC502735_BE91_49EC_9614_36ECAE88D000_.wvu.Rows" localSheetId="32" hidden="1">'2.18.'!$1:$3,'2.18.'!$14:$14</definedName>
    <definedName name="Z_FC502735_BE91_49EC_9614_36ECAE88D000_.wvu.Rows" localSheetId="33" hidden="1">'2.19.'!$11:$11,'2.19.'!$20:$20</definedName>
    <definedName name="Z_FC502735_BE91_49EC_9614_36ECAE88D000_.wvu.Rows" localSheetId="34" hidden="1">'2.20.'!$1:$3,'2.20.'!$14:$14,'2.20.'!$23:$24</definedName>
    <definedName name="Z_FC502735_BE91_49EC_9614_36ECAE88D000_.wvu.Rows" localSheetId="36" hidden="1">'2.22.'!$19:$19</definedName>
    <definedName name="Z_FC502735_BE91_49EC_9614_36ECAE88D000_.wvu.Rows" localSheetId="37" hidden="1">'2.23.'!$19:$20</definedName>
    <definedName name="Z_FC502735_BE91_49EC_9614_36ECAE88D000_.wvu.Rows" localSheetId="39" hidden="1">'2.25.'!$19:$20</definedName>
    <definedName name="Z_FC502735_BE91_49EC_9614_36ECAE88D000_.wvu.Rows" localSheetId="42" hidden="1">'2.28.'!$10:$10</definedName>
    <definedName name="Z_FC502735_BE91_49EC_9614_36ECAE88D000_.wvu.Rows" localSheetId="43" hidden="1">'2.29.'!$10:$10</definedName>
    <definedName name="Z_FC502735_BE91_49EC_9614_36ECAE88D000_.wvu.Rows" localSheetId="44" hidden="1">'2.30.'!$19:$19</definedName>
    <definedName name="Z_FC502735_BE91_49EC_9614_36ECAE88D000_.wvu.Rows" localSheetId="45" hidden="1">'2.31.'!$19:$20</definedName>
    <definedName name="Z_FC502735_BE91_49EC_9614_36ECAE88D000_.wvu.Rows" localSheetId="46" hidden="1">'2.32.'!$19:$19</definedName>
    <definedName name="Z_FC502735_BE91_49EC_9614_36ECAE88D000_.wvu.Rows" localSheetId="47" hidden="1">'2.33.'!$19:$19</definedName>
    <definedName name="Z_FC502735_BE91_49EC_9614_36ECAE88D000_.wvu.Rows" localSheetId="48" hidden="1">'2.34.'!$10:$10</definedName>
    <definedName name="Z_FC502735_BE91_49EC_9614_36ECAE88D000_.wvu.Rows" localSheetId="49" hidden="1">'2.35.'!$19:$19</definedName>
    <definedName name="Z_FC502735_BE91_49EC_9614_36ECAE88D000_.wvu.Rows" localSheetId="50" hidden="1">'2.36.'!$10:$10,'2.36.'!$20:$21</definedName>
    <definedName name="Z_FC502735_BE91_49EC_9614_36ECAE88D000_.wvu.Rows" localSheetId="51" hidden="1">'2.37.'!$19:$19</definedName>
    <definedName name="Z_FC502735_BE91_49EC_9614_36ECAE88D000_.wvu.Rows" localSheetId="52" hidden="1">'2.38.'!$11:$12,'2.38.'!$21:$21,'2.38.'!$55:$55</definedName>
    <definedName name="Z_FC502735_BE91_49EC_9614_36ECAE88D000_.wvu.Rows" localSheetId="18" hidden="1">'2.4.'!$19:$19</definedName>
    <definedName name="Z_FC502735_BE91_49EC_9614_36ECAE88D000_.wvu.Rows" localSheetId="55" hidden="1">'2.41.'!$11:$12</definedName>
    <definedName name="Z_FC502735_BE91_49EC_9614_36ECAE88D000_.wvu.Rows" localSheetId="19" hidden="1">'2.5.'!$19:$20</definedName>
    <definedName name="Z_FC502735_BE91_49EC_9614_36ECAE88D000_.wvu.Rows" localSheetId="20" hidden="1">'2.6.'!$19:$19</definedName>
    <definedName name="Z_FC502735_BE91_49EC_9614_36ECAE88D000_.wvu.Rows" localSheetId="21" hidden="1">'2.7.'!$11:$11,'2.7.'!$20:$20</definedName>
    <definedName name="Z_FC502735_BE91_49EC_9614_36ECAE88D000_.wvu.Rows" localSheetId="22" hidden="1">'2.8.'!$19:$19</definedName>
  </definedNames>
  <calcPr calcId="171027"/>
  <customWorkbookViews>
    <customWorkbookView name="Zaiga Lange - Personal View" guid="{3046F990-4623-45D5-BDDC-01BD5999DDBC}" mergeInterval="0" personalView="1" maximized="1" windowWidth="1916" windowHeight="775" activeSheetId="18"/>
    <customWorkbookView name="Regina Filipova - Personal View" guid="{FC502735-BE91-49EC-9614-36ECAE88D000}" mergeInterval="0" personalView="1" maximized="1" windowWidth="1904" windowHeight="823" activeSheetId="13"/>
    <customWorkbookView name="lzandberga - Personal View" guid="{2CF5EF93-C226-48EA-959E-36D142677DAA}" mergeInterval="0" personalView="1" maximized="1" xWindow="1672" yWindow="-8" windowWidth="1936" windowHeight="1056" activeSheetId="65"/>
  </customWorkbookViews>
</workbook>
</file>

<file path=xl/calcChain.xml><?xml version="1.0" encoding="utf-8"?>
<calcChain xmlns="http://schemas.openxmlformats.org/spreadsheetml/2006/main">
  <c r="D22" i="15" l="1"/>
  <c r="D37" i="15"/>
  <c r="D36" i="15"/>
  <c r="D35" i="15"/>
  <c r="C37" i="15"/>
  <c r="D24" i="15"/>
  <c r="D20" i="15"/>
  <c r="C15" i="15"/>
  <c r="D32" i="15"/>
  <c r="D34" i="15"/>
  <c r="D30" i="15"/>
  <c r="D28" i="15"/>
  <c r="D26" i="15"/>
  <c r="C35" i="15"/>
  <c r="C34" i="15"/>
  <c r="D38" i="15" l="1"/>
  <c r="C16" i="12"/>
  <c r="C15" i="12"/>
  <c r="C16" i="11"/>
  <c r="C15" i="11"/>
  <c r="C15" i="10"/>
  <c r="C15" i="8"/>
  <c r="C15" i="7"/>
  <c r="C15" i="6"/>
  <c r="C15" i="5"/>
  <c r="C15" i="3"/>
  <c r="D46" i="18" l="1"/>
  <c r="D18" i="18"/>
  <c r="D16" i="18"/>
  <c r="C18" i="18" l="1"/>
  <c r="C28" i="15" l="1"/>
  <c r="C32" i="13"/>
  <c r="C41" i="65"/>
  <c r="C36" i="65"/>
  <c r="C34" i="65"/>
  <c r="C32" i="65"/>
  <c r="C30" i="65"/>
  <c r="C22" i="65"/>
  <c r="C41" i="64"/>
  <c r="C36" i="64"/>
  <c r="C34" i="64"/>
  <c r="C32" i="64"/>
  <c r="C30" i="64"/>
  <c r="C22" i="64"/>
  <c r="C41" i="63"/>
  <c r="C36" i="63"/>
  <c r="C34" i="63"/>
  <c r="C32" i="63"/>
  <c r="C30" i="63"/>
  <c r="C22" i="63"/>
  <c r="C39" i="62"/>
  <c r="C43" i="62"/>
  <c r="C49" i="62"/>
  <c r="C30" i="62"/>
  <c r="C34" i="62"/>
  <c r="C41" i="62"/>
  <c r="C36" i="62"/>
  <c r="C32" i="62"/>
  <c r="C26" i="62"/>
  <c r="C22" i="62"/>
  <c r="C45" i="16"/>
  <c r="C47" i="60"/>
  <c r="C45" i="60"/>
  <c r="C41" i="60"/>
  <c r="C34" i="60"/>
  <c r="C24" i="60"/>
  <c r="C47" i="59"/>
  <c r="C45" i="59"/>
  <c r="C43" i="59"/>
  <c r="C41" i="59"/>
  <c r="C34" i="59"/>
  <c r="C18" i="58"/>
  <c r="C22" i="58"/>
  <c r="C47" i="58"/>
  <c r="C34" i="58"/>
  <c r="C24" i="58"/>
  <c r="C26" i="56"/>
  <c r="C36" i="55"/>
  <c r="C45" i="55"/>
  <c r="C39" i="55"/>
  <c r="C48" i="28" l="1"/>
  <c r="C47" i="27"/>
  <c r="C34" i="13"/>
  <c r="C24" i="13"/>
  <c r="C26" i="14"/>
  <c r="C24" i="14"/>
  <c r="C32" i="15"/>
  <c r="C39" i="16"/>
  <c r="C36" i="16"/>
  <c r="C34" i="16"/>
  <c r="C24" i="16"/>
  <c r="C48" i="19"/>
  <c r="C39" i="19"/>
  <c r="C34" i="19"/>
  <c r="C36" i="19"/>
  <c r="D36" i="19" s="1"/>
  <c r="C28" i="14" l="1"/>
  <c r="C28" i="13"/>
  <c r="C49" i="65" l="1"/>
  <c r="C45" i="65"/>
  <c r="C43" i="65"/>
  <c r="C39" i="65"/>
  <c r="C37" i="65"/>
  <c r="C28" i="65"/>
  <c r="C26" i="65"/>
  <c r="C24" i="65"/>
  <c r="C49" i="64"/>
  <c r="C45" i="64"/>
  <c r="C43" i="64"/>
  <c r="C39" i="64"/>
  <c r="C37" i="64"/>
  <c r="C28" i="64"/>
  <c r="C26" i="64"/>
  <c r="C24" i="64"/>
  <c r="C49" i="63"/>
  <c r="C45" i="63"/>
  <c r="C43" i="63"/>
  <c r="C39" i="63"/>
  <c r="C37" i="63"/>
  <c r="C28" i="63"/>
  <c r="C26" i="63"/>
  <c r="C24" i="63"/>
  <c r="C45" i="62"/>
  <c r="C28" i="62"/>
  <c r="C24" i="62"/>
  <c r="C49" i="61"/>
  <c r="C47" i="61"/>
  <c r="C45" i="61"/>
  <c r="C43" i="61"/>
  <c r="C41" i="61"/>
  <c r="C39" i="61"/>
  <c r="C37" i="61"/>
  <c r="C36" i="61"/>
  <c r="C34" i="61"/>
  <c r="C32" i="61"/>
  <c r="C30" i="61"/>
  <c r="C28" i="61"/>
  <c r="C26" i="61"/>
  <c r="C24" i="61"/>
  <c r="C22" i="61"/>
  <c r="C49" i="60"/>
  <c r="C43" i="60"/>
  <c r="C39" i="60"/>
  <c r="C37" i="60"/>
  <c r="C36" i="60"/>
  <c r="C32" i="60"/>
  <c r="C30" i="60"/>
  <c r="C28" i="60"/>
  <c r="C26" i="60"/>
  <c r="C22" i="60"/>
  <c r="C49" i="59"/>
  <c r="C39" i="59"/>
  <c r="C37" i="59"/>
  <c r="C36" i="59"/>
  <c r="C32" i="59"/>
  <c r="C30" i="59"/>
  <c r="C28" i="59"/>
  <c r="C26" i="59"/>
  <c r="C24" i="59"/>
  <c r="C22" i="59"/>
  <c r="C49" i="58"/>
  <c r="C45" i="58"/>
  <c r="C43" i="58"/>
  <c r="C41" i="58"/>
  <c r="C39" i="58"/>
  <c r="C37" i="58"/>
  <c r="C36" i="58"/>
  <c r="C32" i="58"/>
  <c r="C30" i="58"/>
  <c r="C28" i="58"/>
  <c r="C26" i="58"/>
  <c r="C51" i="57"/>
  <c r="C49" i="57"/>
  <c r="C47" i="57"/>
  <c r="C45" i="57"/>
  <c r="C43" i="57"/>
  <c r="C41" i="57"/>
  <c r="C39" i="57"/>
  <c r="C38" i="57"/>
  <c r="C36" i="57"/>
  <c r="C34" i="57"/>
  <c r="C32" i="57"/>
  <c r="C30" i="57"/>
  <c r="C28" i="57"/>
  <c r="C26" i="57"/>
  <c r="C24" i="57"/>
  <c r="C28" i="56"/>
  <c r="C30" i="56"/>
  <c r="C36" i="56"/>
  <c r="C43" i="56"/>
  <c r="C45" i="56"/>
  <c r="C47" i="56"/>
  <c r="C41" i="56"/>
  <c r="C39" i="56"/>
  <c r="C37" i="56"/>
  <c r="C34" i="56"/>
  <c r="C32" i="56"/>
  <c r="C24" i="56"/>
  <c r="C22" i="56"/>
  <c r="C49" i="55"/>
  <c r="D49" i="55" s="1"/>
  <c r="C47" i="55"/>
  <c r="D47" i="55" s="1"/>
  <c r="D45" i="55"/>
  <c r="C43" i="55"/>
  <c r="D43" i="55" s="1"/>
  <c r="C41" i="55"/>
  <c r="D41" i="55" s="1"/>
  <c r="D39" i="55"/>
  <c r="C37" i="55"/>
  <c r="D37" i="55" s="1"/>
  <c r="D36" i="55"/>
  <c r="C34" i="55"/>
  <c r="D34" i="55" s="1"/>
  <c r="C32" i="55"/>
  <c r="D32" i="55" s="1"/>
  <c r="C30" i="55"/>
  <c r="D30" i="55" s="1"/>
  <c r="C28" i="55"/>
  <c r="D28" i="55" s="1"/>
  <c r="C26" i="55"/>
  <c r="D26" i="55" s="1"/>
  <c r="C24" i="55"/>
  <c r="D24" i="55" s="1"/>
  <c r="C22" i="55"/>
  <c r="D22" i="55" s="1"/>
  <c r="C52" i="54"/>
  <c r="C50" i="54"/>
  <c r="C48" i="54"/>
  <c r="C46" i="54"/>
  <c r="C44" i="54"/>
  <c r="C42" i="54"/>
  <c r="C40" i="54"/>
  <c r="C39" i="54"/>
  <c r="C37" i="54"/>
  <c r="C35" i="54"/>
  <c r="C33" i="54"/>
  <c r="C31" i="54"/>
  <c r="C29" i="54"/>
  <c r="C27" i="54"/>
  <c r="C25" i="54"/>
  <c r="C50" i="53"/>
  <c r="C48" i="53"/>
  <c r="C46" i="53"/>
  <c r="C44" i="53"/>
  <c r="C42" i="53"/>
  <c r="C40" i="53"/>
  <c r="C38" i="53"/>
  <c r="C37" i="53"/>
  <c r="C35" i="53"/>
  <c r="C33" i="53"/>
  <c r="C31" i="53"/>
  <c r="C29" i="53"/>
  <c r="C27" i="53"/>
  <c r="C25" i="53"/>
  <c r="C23" i="53"/>
  <c r="C52" i="52"/>
  <c r="C50" i="52"/>
  <c r="C48" i="52"/>
  <c r="C46" i="52"/>
  <c r="C44" i="52"/>
  <c r="C42" i="52"/>
  <c r="C40" i="52"/>
  <c r="C39" i="52"/>
  <c r="C37" i="52"/>
  <c r="C35" i="52"/>
  <c r="C33" i="52"/>
  <c r="C31" i="52"/>
  <c r="C29" i="52"/>
  <c r="C27" i="52"/>
  <c r="C25" i="52"/>
  <c r="C50" i="51"/>
  <c r="C48" i="51"/>
  <c r="D48" i="51" s="1"/>
  <c r="C46" i="51"/>
  <c r="C44" i="51"/>
  <c r="C42" i="51"/>
  <c r="C40" i="51"/>
  <c r="C38" i="51"/>
  <c r="C37" i="51"/>
  <c r="C35" i="51"/>
  <c r="C33" i="51"/>
  <c r="C31" i="51"/>
  <c r="C29" i="51"/>
  <c r="C27" i="51"/>
  <c r="C25" i="51"/>
  <c r="C23" i="51"/>
  <c r="C50" i="50"/>
  <c r="C48" i="50"/>
  <c r="C46" i="50"/>
  <c r="C44" i="50"/>
  <c r="C42" i="50"/>
  <c r="C40" i="50"/>
  <c r="C38" i="50"/>
  <c r="C37" i="50"/>
  <c r="C35" i="50"/>
  <c r="C33" i="50"/>
  <c r="C31" i="50"/>
  <c r="C29" i="50"/>
  <c r="C27" i="50"/>
  <c r="C25" i="50"/>
  <c r="C23" i="50"/>
  <c r="C50" i="49"/>
  <c r="C48" i="49"/>
  <c r="C46" i="49"/>
  <c r="C44" i="49"/>
  <c r="C42" i="49"/>
  <c r="C40" i="49"/>
  <c r="C38" i="49"/>
  <c r="C37" i="49"/>
  <c r="C35" i="49"/>
  <c r="C33" i="49"/>
  <c r="C31" i="49"/>
  <c r="C29" i="49"/>
  <c r="C27" i="49"/>
  <c r="C25" i="49"/>
  <c r="C23" i="49"/>
  <c r="C50" i="48"/>
  <c r="C48" i="48"/>
  <c r="C46" i="48"/>
  <c r="C44" i="48"/>
  <c r="C42" i="48"/>
  <c r="C40" i="48"/>
  <c r="C38" i="48"/>
  <c r="C37" i="48"/>
  <c r="C35" i="48"/>
  <c r="C33" i="48"/>
  <c r="C31" i="48"/>
  <c r="C29" i="48"/>
  <c r="C27" i="48"/>
  <c r="C25" i="48"/>
  <c r="C23" i="48"/>
  <c r="C51" i="47"/>
  <c r="C49" i="47"/>
  <c r="C47" i="47"/>
  <c r="C45" i="47"/>
  <c r="C43" i="47"/>
  <c r="C41" i="47"/>
  <c r="C39" i="47"/>
  <c r="C38" i="47"/>
  <c r="C36" i="47"/>
  <c r="C34" i="47"/>
  <c r="C32" i="47"/>
  <c r="C30" i="47"/>
  <c r="C28" i="47"/>
  <c r="C26" i="47"/>
  <c r="C24" i="47"/>
  <c r="C50" i="46"/>
  <c r="C48" i="46"/>
  <c r="C46" i="46"/>
  <c r="C44" i="46"/>
  <c r="C42" i="46"/>
  <c r="C40" i="46"/>
  <c r="C38" i="46"/>
  <c r="C37" i="46"/>
  <c r="C35" i="46"/>
  <c r="C33" i="46"/>
  <c r="C31" i="46"/>
  <c r="C29" i="46"/>
  <c r="C27" i="46"/>
  <c r="C25" i="46"/>
  <c r="C23" i="46"/>
  <c r="C50" i="45"/>
  <c r="C48" i="45"/>
  <c r="C46" i="45"/>
  <c r="C44" i="45"/>
  <c r="C42" i="45"/>
  <c r="C40" i="45"/>
  <c r="C38" i="45"/>
  <c r="C37" i="45"/>
  <c r="C35" i="45"/>
  <c r="C33" i="45"/>
  <c r="C31" i="45"/>
  <c r="C29" i="45"/>
  <c r="C27" i="45"/>
  <c r="C25" i="45"/>
  <c r="C23" i="45"/>
  <c r="C50" i="44"/>
  <c r="C48" i="44"/>
  <c r="C46" i="44"/>
  <c r="C44" i="44"/>
  <c r="C42" i="44"/>
  <c r="C40" i="44"/>
  <c r="C38" i="44"/>
  <c r="C37" i="44"/>
  <c r="C35" i="44"/>
  <c r="C33" i="44"/>
  <c r="C31" i="44"/>
  <c r="C29" i="44"/>
  <c r="C27" i="44"/>
  <c r="C25" i="44"/>
  <c r="C23" i="44"/>
  <c r="C49" i="43"/>
  <c r="C47" i="43"/>
  <c r="C45" i="43"/>
  <c r="C43" i="43"/>
  <c r="C41" i="43"/>
  <c r="C39" i="43"/>
  <c r="C37" i="43"/>
  <c r="C36" i="43"/>
  <c r="C34" i="43"/>
  <c r="C32" i="43"/>
  <c r="C30" i="43"/>
  <c r="C28" i="43"/>
  <c r="C26" i="43"/>
  <c r="C24" i="43"/>
  <c r="C22" i="43"/>
  <c r="C49" i="42"/>
  <c r="C47" i="42"/>
  <c r="C45" i="42"/>
  <c r="C43" i="42"/>
  <c r="C41" i="42"/>
  <c r="C39" i="42"/>
  <c r="C37" i="42"/>
  <c r="C36" i="42"/>
  <c r="C34" i="42"/>
  <c r="C32" i="42"/>
  <c r="C30" i="42"/>
  <c r="C28" i="42"/>
  <c r="C26" i="42"/>
  <c r="C24" i="42"/>
  <c r="C22" i="42"/>
  <c r="C51" i="41"/>
  <c r="C49" i="41"/>
  <c r="C47" i="41"/>
  <c r="C45" i="41"/>
  <c r="C43" i="41"/>
  <c r="C41" i="41"/>
  <c r="C39" i="41"/>
  <c r="C38" i="41"/>
  <c r="C36" i="41"/>
  <c r="C34" i="41"/>
  <c r="C32" i="41"/>
  <c r="C30" i="41"/>
  <c r="C28" i="41"/>
  <c r="C26" i="41"/>
  <c r="C24" i="41"/>
  <c r="C50" i="40"/>
  <c r="C48" i="40"/>
  <c r="C46" i="40"/>
  <c r="C44" i="40"/>
  <c r="C42" i="40"/>
  <c r="C40" i="40"/>
  <c r="C38" i="40"/>
  <c r="C37" i="40"/>
  <c r="C35" i="40"/>
  <c r="C33" i="40"/>
  <c r="C31" i="40"/>
  <c r="C29" i="40"/>
  <c r="C27" i="40"/>
  <c r="C25" i="40"/>
  <c r="C23" i="40"/>
  <c r="C51" i="39"/>
  <c r="C49" i="39"/>
  <c r="D49" i="39" s="1"/>
  <c r="C47" i="39"/>
  <c r="D47" i="39" s="1"/>
  <c r="C45" i="39"/>
  <c r="D45" i="39" s="1"/>
  <c r="C43" i="39"/>
  <c r="D43" i="39" s="1"/>
  <c r="C41" i="39"/>
  <c r="D41" i="39" s="1"/>
  <c r="C39" i="39"/>
  <c r="D39" i="39" s="1"/>
  <c r="C38" i="39"/>
  <c r="D38" i="39" s="1"/>
  <c r="C36" i="39"/>
  <c r="D36" i="39" s="1"/>
  <c r="C34" i="39"/>
  <c r="D34" i="39" s="1"/>
  <c r="C32" i="39"/>
  <c r="D32" i="39" s="1"/>
  <c r="C30" i="39"/>
  <c r="D30" i="39" s="1"/>
  <c r="C28" i="39"/>
  <c r="D28" i="39" s="1"/>
  <c r="C26" i="39"/>
  <c r="D26" i="39" s="1"/>
  <c r="C24" i="39"/>
  <c r="D24" i="39" s="1"/>
  <c r="C50" i="38"/>
  <c r="C48" i="38"/>
  <c r="C46" i="38"/>
  <c r="C44" i="38"/>
  <c r="C42" i="38"/>
  <c r="C40" i="38"/>
  <c r="C38" i="38"/>
  <c r="C37" i="38"/>
  <c r="C35" i="38"/>
  <c r="C33" i="38"/>
  <c r="C31" i="38"/>
  <c r="C29" i="38"/>
  <c r="C27" i="38"/>
  <c r="C25" i="38"/>
  <c r="C23" i="38"/>
  <c r="C49" i="37"/>
  <c r="C47" i="37"/>
  <c r="C45" i="37"/>
  <c r="C43" i="37"/>
  <c r="C41" i="37"/>
  <c r="C39" i="37"/>
  <c r="C37" i="37"/>
  <c r="C36" i="37"/>
  <c r="C34" i="37"/>
  <c r="C32" i="37"/>
  <c r="C30" i="37"/>
  <c r="C28" i="37"/>
  <c r="C26" i="37"/>
  <c r="C24" i="37"/>
  <c r="C22" i="37"/>
  <c r="C55" i="36"/>
  <c r="C53" i="36"/>
  <c r="C51" i="36"/>
  <c r="C49" i="36"/>
  <c r="C47" i="36"/>
  <c r="C45" i="36"/>
  <c r="C43" i="36"/>
  <c r="C42" i="36"/>
  <c r="C40" i="36"/>
  <c r="C38" i="36"/>
  <c r="C36" i="36"/>
  <c r="C34" i="36"/>
  <c r="C32" i="36"/>
  <c r="C30" i="36"/>
  <c r="C28" i="36"/>
  <c r="C51" i="35"/>
  <c r="C49" i="35"/>
  <c r="C47" i="35"/>
  <c r="C38" i="35"/>
  <c r="C36" i="35"/>
  <c r="C32" i="35"/>
  <c r="C30" i="35"/>
  <c r="C28" i="35"/>
  <c r="C26" i="35"/>
  <c r="C24" i="35"/>
  <c r="C39" i="35"/>
  <c r="C34" i="35"/>
  <c r="D34" i="35" s="1"/>
  <c r="C45" i="35"/>
  <c r="C43" i="35"/>
  <c r="C41" i="35"/>
  <c r="C53" i="34"/>
  <c r="C51" i="34"/>
  <c r="C49" i="34"/>
  <c r="C47" i="34"/>
  <c r="C45" i="34"/>
  <c r="C43" i="34"/>
  <c r="C41" i="34"/>
  <c r="C40" i="34"/>
  <c r="C38" i="34"/>
  <c r="C36" i="34"/>
  <c r="C34" i="34"/>
  <c r="C32" i="34"/>
  <c r="C30" i="34"/>
  <c r="C28" i="34"/>
  <c r="C26" i="34"/>
  <c r="C45" i="33"/>
  <c r="C43" i="33"/>
  <c r="C41" i="33"/>
  <c r="C39" i="33"/>
  <c r="C37" i="33"/>
  <c r="C36" i="33"/>
  <c r="C34" i="33"/>
  <c r="C32" i="33"/>
  <c r="C30" i="33"/>
  <c r="C28" i="33"/>
  <c r="C26" i="33"/>
  <c r="C24" i="33"/>
  <c r="C22" i="33"/>
  <c r="C49" i="32"/>
  <c r="C47" i="32"/>
  <c r="C45" i="32"/>
  <c r="C43" i="32"/>
  <c r="C41" i="32"/>
  <c r="C39" i="32"/>
  <c r="C37" i="32"/>
  <c r="C36" i="32"/>
  <c r="C34" i="32"/>
  <c r="C32" i="32"/>
  <c r="C30" i="32"/>
  <c r="C28" i="32"/>
  <c r="C26" i="32"/>
  <c r="C24" i="32"/>
  <c r="C22" i="32"/>
  <c r="C50" i="31"/>
  <c r="C48" i="31"/>
  <c r="C46" i="31"/>
  <c r="C44" i="31"/>
  <c r="C42" i="31"/>
  <c r="C40" i="31"/>
  <c r="C38" i="31"/>
  <c r="C37" i="31"/>
  <c r="C35" i="31"/>
  <c r="C33" i="31"/>
  <c r="C31" i="31"/>
  <c r="C29" i="31"/>
  <c r="C27" i="31"/>
  <c r="C25" i="31"/>
  <c r="C23" i="31"/>
  <c r="C55" i="30"/>
  <c r="C53" i="30"/>
  <c r="C51" i="30"/>
  <c r="C49" i="30"/>
  <c r="C47" i="30"/>
  <c r="C45" i="30"/>
  <c r="C43" i="30"/>
  <c r="C42" i="30"/>
  <c r="C40" i="30"/>
  <c r="C38" i="30"/>
  <c r="C36" i="30"/>
  <c r="C34" i="30"/>
  <c r="C32" i="30"/>
  <c r="C30" i="30"/>
  <c r="C28" i="30"/>
  <c r="C50" i="29"/>
  <c r="C48" i="29"/>
  <c r="C46" i="29"/>
  <c r="C44" i="29"/>
  <c r="C42" i="29"/>
  <c r="C40" i="29"/>
  <c r="C38" i="29"/>
  <c r="C37" i="29"/>
  <c r="C35" i="29"/>
  <c r="C33" i="29"/>
  <c r="C31" i="29"/>
  <c r="C29" i="29"/>
  <c r="C27" i="29"/>
  <c r="C25" i="29"/>
  <c r="C23" i="29"/>
  <c r="C50" i="28"/>
  <c r="C46" i="28"/>
  <c r="C44" i="28"/>
  <c r="C42" i="28"/>
  <c r="C40" i="28"/>
  <c r="C38" i="28"/>
  <c r="C37" i="28"/>
  <c r="C35" i="28"/>
  <c r="C33" i="28"/>
  <c r="C31" i="28"/>
  <c r="C29" i="28"/>
  <c r="C27" i="28"/>
  <c r="C25" i="28"/>
  <c r="C23" i="28"/>
  <c r="C49" i="27"/>
  <c r="C45" i="27"/>
  <c r="C43" i="27"/>
  <c r="C41" i="27"/>
  <c r="C39" i="27"/>
  <c r="C37" i="27"/>
  <c r="C36" i="27"/>
  <c r="C34" i="27"/>
  <c r="C32" i="27"/>
  <c r="C30" i="27"/>
  <c r="C28" i="27"/>
  <c r="C26" i="27"/>
  <c r="C24" i="27"/>
  <c r="C22" i="27"/>
  <c r="C49" i="26"/>
  <c r="C47" i="26"/>
  <c r="C45" i="26"/>
  <c r="C43" i="26"/>
  <c r="C41" i="26"/>
  <c r="C39" i="26"/>
  <c r="C37" i="26"/>
  <c r="C36" i="26"/>
  <c r="C34" i="26"/>
  <c r="C32" i="26"/>
  <c r="C30" i="26"/>
  <c r="C28" i="26"/>
  <c r="C26" i="26"/>
  <c r="C24" i="26"/>
  <c r="C22" i="26"/>
  <c r="C49" i="25"/>
  <c r="C47" i="25"/>
  <c r="C45" i="25"/>
  <c r="C43" i="25"/>
  <c r="C41" i="25"/>
  <c r="C39" i="25"/>
  <c r="C37" i="25"/>
  <c r="C36" i="25"/>
  <c r="C34" i="25"/>
  <c r="C32" i="25"/>
  <c r="C30" i="25"/>
  <c r="C28" i="25"/>
  <c r="C26" i="25"/>
  <c r="C24" i="25"/>
  <c r="C22" i="25"/>
  <c r="C50" i="24"/>
  <c r="C48" i="24"/>
  <c r="C46" i="24"/>
  <c r="C44" i="24"/>
  <c r="C42" i="24"/>
  <c r="C40" i="24"/>
  <c r="C38" i="24"/>
  <c r="C37" i="24"/>
  <c r="C35" i="24"/>
  <c r="C33" i="24"/>
  <c r="C31" i="24"/>
  <c r="C29" i="24"/>
  <c r="C27" i="24"/>
  <c r="C25" i="24"/>
  <c r="C23" i="24"/>
  <c r="C26" i="23"/>
  <c r="C28" i="23"/>
  <c r="C30" i="23"/>
  <c r="C34" i="23"/>
  <c r="C43" i="23"/>
  <c r="C47" i="23"/>
  <c r="C45" i="23"/>
  <c r="C41" i="23"/>
  <c r="C39" i="23"/>
  <c r="C38" i="23"/>
  <c r="C36" i="23"/>
  <c r="C32" i="23"/>
  <c r="C24" i="23"/>
  <c r="C31" i="22"/>
  <c r="C25" i="22"/>
  <c r="C23" i="22"/>
  <c r="C50" i="22"/>
  <c r="C48" i="22"/>
  <c r="C46" i="22"/>
  <c r="C44" i="22"/>
  <c r="C42" i="22"/>
  <c r="C40" i="22"/>
  <c r="C38" i="22"/>
  <c r="C37" i="22"/>
  <c r="C35" i="22"/>
  <c r="C33" i="22"/>
  <c r="C29" i="22"/>
  <c r="C27" i="22"/>
  <c r="C50" i="21"/>
  <c r="C47" i="21"/>
  <c r="C45" i="21"/>
  <c r="C43" i="21"/>
  <c r="C41" i="21"/>
  <c r="C39" i="21"/>
  <c r="C38" i="21"/>
  <c r="C36" i="21"/>
  <c r="C34" i="21"/>
  <c r="C32" i="21"/>
  <c r="C30" i="21"/>
  <c r="C28" i="21"/>
  <c r="C26" i="21"/>
  <c r="C24" i="21"/>
  <c r="C49" i="20"/>
  <c r="C46" i="20"/>
  <c r="C44" i="20"/>
  <c r="C42" i="20"/>
  <c r="C40" i="20"/>
  <c r="C38" i="20"/>
  <c r="C37" i="20"/>
  <c r="C35" i="20"/>
  <c r="C33" i="20"/>
  <c r="C31" i="20"/>
  <c r="C29" i="20"/>
  <c r="C27" i="20"/>
  <c r="C25" i="20"/>
  <c r="C23" i="20"/>
  <c r="C45" i="19"/>
  <c r="C43" i="19"/>
  <c r="C41" i="19"/>
  <c r="C37" i="19"/>
  <c r="C32" i="19"/>
  <c r="C30" i="19"/>
  <c r="C28" i="19"/>
  <c r="C26" i="19"/>
  <c r="C24" i="19"/>
  <c r="C22" i="19"/>
  <c r="C48" i="18"/>
  <c r="D48" i="18" s="1"/>
  <c r="C45" i="18"/>
  <c r="D45" i="18" s="1"/>
  <c r="C43" i="18"/>
  <c r="D43" i="18" s="1"/>
  <c r="C41" i="18"/>
  <c r="D41" i="18" s="1"/>
  <c r="C39" i="18"/>
  <c r="D39" i="18" s="1"/>
  <c r="C37" i="18"/>
  <c r="D37" i="18" s="1"/>
  <c r="C36" i="18"/>
  <c r="D36" i="18" s="1"/>
  <c r="C34" i="18"/>
  <c r="D34" i="18" s="1"/>
  <c r="C32" i="18"/>
  <c r="D32" i="18" s="1"/>
  <c r="C30" i="18"/>
  <c r="D30" i="18" s="1"/>
  <c r="C28" i="18"/>
  <c r="D28" i="18" s="1"/>
  <c r="C26" i="18"/>
  <c r="D26" i="18" s="1"/>
  <c r="C24" i="18"/>
  <c r="D24" i="18" s="1"/>
  <c r="C22" i="18"/>
  <c r="D22" i="18" s="1"/>
  <c r="C37" i="16"/>
  <c r="D37" i="16" s="1"/>
  <c r="C30" i="16"/>
  <c r="D30" i="16" s="1"/>
  <c r="C28" i="16"/>
  <c r="C26" i="16"/>
  <c r="D26" i="16" s="1"/>
  <c r="D45" i="16"/>
  <c r="C32" i="16"/>
  <c r="D32" i="16" s="1"/>
  <c r="C22" i="16"/>
  <c r="C41" i="16"/>
  <c r="C48" i="16"/>
  <c r="D48" i="16" s="1"/>
  <c r="C43" i="16"/>
  <c r="D43" i="16" s="1"/>
  <c r="C18" i="65"/>
  <c r="C18" i="64"/>
  <c r="C18" i="63"/>
  <c r="C37" i="62"/>
  <c r="C18" i="62"/>
  <c r="C49" i="56"/>
  <c r="C47" i="33"/>
  <c r="C49" i="33"/>
  <c r="C18" i="27"/>
  <c r="C51" i="23"/>
  <c r="C49" i="23"/>
  <c r="C18" i="19"/>
  <c r="C50" i="61" l="1"/>
  <c r="C50" i="63"/>
  <c r="D22" i="16"/>
  <c r="C49" i="16"/>
  <c r="C50" i="65"/>
  <c r="C50" i="64"/>
  <c r="C50" i="62"/>
  <c r="C50" i="60"/>
  <c r="C50" i="58"/>
  <c r="C49" i="19"/>
  <c r="C51" i="51"/>
  <c r="C50" i="32"/>
  <c r="C50" i="26"/>
  <c r="C51" i="24"/>
  <c r="C51" i="28"/>
  <c r="C49" i="18"/>
  <c r="C51" i="21"/>
  <c r="C54" i="34"/>
  <c r="C51" i="49"/>
  <c r="C56" i="36"/>
  <c r="C51" i="38"/>
  <c r="C51" i="40"/>
  <c r="C50" i="42"/>
  <c r="C51" i="44"/>
  <c r="C51" i="46"/>
  <c r="C53" i="54"/>
  <c r="C51" i="53"/>
  <c r="C50" i="20"/>
  <c r="C50" i="37"/>
  <c r="C52" i="39"/>
  <c r="C52" i="41"/>
  <c r="C50" i="43"/>
  <c r="C51" i="45"/>
  <c r="C52" i="47"/>
  <c r="C51" i="50"/>
  <c r="C50" i="56"/>
  <c r="C52" i="57"/>
  <c r="C50" i="59"/>
  <c r="C56" i="30"/>
  <c r="C51" i="48"/>
  <c r="C50" i="25"/>
  <c r="C50" i="27"/>
  <c r="C51" i="29"/>
  <c r="C51" i="31"/>
  <c r="C53" i="52"/>
  <c r="C50" i="55"/>
  <c r="D51" i="39"/>
  <c r="C52" i="35"/>
  <c r="C50" i="33"/>
  <c r="C51" i="22"/>
  <c r="C52" i="23"/>
  <c r="C18" i="16"/>
  <c r="C15" i="16"/>
  <c r="C16" i="16" s="1"/>
  <c r="D16" i="16" s="1"/>
  <c r="C24" i="15"/>
  <c r="C20" i="15"/>
  <c r="C30" i="15"/>
  <c r="C26" i="15"/>
  <c r="C22" i="15"/>
  <c r="D15" i="15"/>
  <c r="C34" i="14"/>
  <c r="C32" i="14"/>
  <c r="C30" i="14"/>
  <c r="C22" i="14"/>
  <c r="C20" i="14"/>
  <c r="C32" i="5"/>
  <c r="C30" i="5"/>
  <c r="C34" i="5"/>
  <c r="C28" i="5"/>
  <c r="C26" i="5"/>
  <c r="C16" i="14"/>
  <c r="C15" i="14"/>
  <c r="D15" i="14" s="1"/>
  <c r="C30" i="13"/>
  <c r="C26" i="13"/>
  <c r="C22" i="13"/>
  <c r="C20" i="13"/>
  <c r="C16" i="13"/>
  <c r="C15" i="13"/>
  <c r="D15" i="13" s="1"/>
  <c r="C25" i="12"/>
  <c r="C22" i="12"/>
  <c r="C20" i="12"/>
  <c r="D15" i="12"/>
  <c r="C20" i="11"/>
  <c r="D15" i="11"/>
  <c r="C24" i="10"/>
  <c r="C36" i="10"/>
  <c r="C34" i="10"/>
  <c r="C32" i="10"/>
  <c r="C30" i="10"/>
  <c r="C28" i="10"/>
  <c r="C26" i="10"/>
  <c r="C22" i="10"/>
  <c r="C16" i="10"/>
  <c r="D15" i="10"/>
  <c r="C36" i="9"/>
  <c r="C34" i="9"/>
  <c r="C32" i="9"/>
  <c r="C30" i="9"/>
  <c r="C28" i="9"/>
  <c r="C26" i="9"/>
  <c r="C24" i="9"/>
  <c r="C22" i="9"/>
  <c r="C16" i="9"/>
  <c r="C15" i="9"/>
  <c r="D15" i="9" s="1"/>
  <c r="C36" i="8"/>
  <c r="C34" i="8"/>
  <c r="C32" i="8"/>
  <c r="C30" i="8"/>
  <c r="C28" i="8"/>
  <c r="C26" i="8"/>
  <c r="C24" i="8"/>
  <c r="C22" i="8"/>
  <c r="C16" i="8"/>
  <c r="C26" i="7"/>
  <c r="C36" i="7"/>
  <c r="C34" i="7"/>
  <c r="C32" i="7"/>
  <c r="C30" i="7"/>
  <c r="C28" i="7"/>
  <c r="C24" i="7"/>
  <c r="C22" i="7"/>
  <c r="C16" i="7"/>
  <c r="C36" i="6"/>
  <c r="C34" i="6"/>
  <c r="C32" i="6"/>
  <c r="C30" i="6"/>
  <c r="C28" i="6"/>
  <c r="C26" i="6"/>
  <c r="C24" i="6"/>
  <c r="C22" i="6"/>
  <c r="C16" i="6"/>
  <c r="C24" i="5"/>
  <c r="C22" i="5"/>
  <c r="C20" i="5"/>
  <c r="C16" i="5"/>
  <c r="C24" i="4"/>
  <c r="C22" i="4"/>
  <c r="C20" i="4"/>
  <c r="C15" i="4"/>
  <c r="C16" i="4" s="1"/>
  <c r="C34" i="3"/>
  <c r="C32" i="3"/>
  <c r="C30" i="3"/>
  <c r="C28" i="3"/>
  <c r="C26" i="3"/>
  <c r="C24" i="3"/>
  <c r="C22" i="3"/>
  <c r="C20" i="3"/>
  <c r="C16" i="3"/>
  <c r="C24" i="2"/>
  <c r="C36" i="2"/>
  <c r="C34" i="2"/>
  <c r="C32" i="2"/>
  <c r="C30" i="2"/>
  <c r="C28" i="2"/>
  <c r="C26" i="2"/>
  <c r="C22" i="2"/>
  <c r="C35" i="13" l="1"/>
  <c r="D15" i="8"/>
  <c r="C37" i="7"/>
  <c r="C37" i="10"/>
  <c r="D15" i="4"/>
  <c r="D15" i="2"/>
  <c r="D15" i="3"/>
  <c r="C16" i="2"/>
  <c r="C19" i="2" s="1"/>
  <c r="D15" i="5"/>
  <c r="D15" i="6"/>
  <c r="D15" i="7"/>
  <c r="C16" i="15"/>
  <c r="C37" i="2"/>
  <c r="D22" i="63"/>
  <c r="D22" i="62"/>
  <c r="C15" i="65" l="1"/>
  <c r="C15" i="64"/>
  <c r="D15" i="64" l="1"/>
  <c r="C16" i="64"/>
  <c r="D15" i="65"/>
  <c r="C16" i="65"/>
  <c r="D49" i="63"/>
  <c r="D45" i="63"/>
  <c r="D43" i="63"/>
  <c r="D41" i="63"/>
  <c r="D39" i="63"/>
  <c r="D37" i="63"/>
  <c r="D36" i="63"/>
  <c r="D34" i="63"/>
  <c r="D32" i="63"/>
  <c r="D30" i="63"/>
  <c r="D28" i="63"/>
  <c r="D26" i="63"/>
  <c r="D24" i="63"/>
  <c r="D18" i="63"/>
  <c r="C15" i="63"/>
  <c r="D50" i="63" l="1"/>
  <c r="D15" i="63"/>
  <c r="C16" i="63"/>
  <c r="C15" i="62"/>
  <c r="C16" i="62" s="1"/>
  <c r="D15" i="62" l="1"/>
  <c r="C18" i="61"/>
  <c r="C15" i="61"/>
  <c r="C18" i="60"/>
  <c r="C15" i="60"/>
  <c r="C18" i="59"/>
  <c r="C15" i="59"/>
  <c r="D15" i="61" l="1"/>
  <c r="C16" i="61"/>
  <c r="D15" i="59"/>
  <c r="C16" i="59"/>
  <c r="D15" i="60"/>
  <c r="C16" i="60"/>
  <c r="C15" i="58"/>
  <c r="D15" i="58" l="1"/>
  <c r="C16" i="58"/>
  <c r="C18" i="56"/>
  <c r="C15" i="56"/>
  <c r="C16" i="56" s="1"/>
  <c r="C18" i="55"/>
  <c r="D18" i="55" s="1"/>
  <c r="C15" i="55"/>
  <c r="C20" i="54"/>
  <c r="C17" i="54"/>
  <c r="C18" i="54" s="1"/>
  <c r="C18" i="53"/>
  <c r="C15" i="53"/>
  <c r="C16" i="53" s="1"/>
  <c r="C19" i="52"/>
  <c r="C16" i="52"/>
  <c r="C17" i="52" s="1"/>
  <c r="C18" i="51"/>
  <c r="D15" i="51"/>
  <c r="C15" i="51"/>
  <c r="C16" i="51" s="1"/>
  <c r="C19" i="50"/>
  <c r="C16" i="50"/>
  <c r="C17" i="50" s="1"/>
  <c r="C18" i="49"/>
  <c r="C15" i="49"/>
  <c r="C16" i="49" s="1"/>
  <c r="C18" i="48"/>
  <c r="C15" i="48"/>
  <c r="C16" i="48" s="1"/>
  <c r="C18" i="47"/>
  <c r="C15" i="47"/>
  <c r="C16" i="47" s="1"/>
  <c r="C18" i="46"/>
  <c r="C15" i="46"/>
  <c r="C16" i="46" s="1"/>
  <c r="C19" i="45"/>
  <c r="C16" i="45"/>
  <c r="C17" i="45" s="1"/>
  <c r="C19" i="44"/>
  <c r="C16" i="44"/>
  <c r="C17" i="44" s="1"/>
  <c r="C18" i="43"/>
  <c r="C15" i="43"/>
  <c r="C16" i="43" s="1"/>
  <c r="C18" i="42"/>
  <c r="C15" i="42"/>
  <c r="C16" i="42" s="1"/>
  <c r="C18" i="41"/>
  <c r="C15" i="41"/>
  <c r="C16" i="41" s="1"/>
  <c r="C18" i="40"/>
  <c r="C15" i="40"/>
  <c r="C16" i="40" s="1"/>
  <c r="C18" i="39"/>
  <c r="D18" i="39" s="1"/>
  <c r="C15" i="39"/>
  <c r="C18" i="38"/>
  <c r="C15" i="38"/>
  <c r="C16" i="38" s="1"/>
  <c r="C18" i="37"/>
  <c r="C15" i="37"/>
  <c r="C16" i="37" s="1"/>
  <c r="D16" i="45" l="1"/>
  <c r="D15" i="53"/>
  <c r="D15" i="43"/>
  <c r="E15" i="41"/>
  <c r="C20" i="53"/>
  <c r="C52" i="53" s="1"/>
  <c r="D15" i="49"/>
  <c r="D15" i="47"/>
  <c r="C16" i="39"/>
  <c r="D16" i="39" s="1"/>
  <c r="D15" i="39"/>
  <c r="D15" i="56"/>
  <c r="D15" i="42"/>
  <c r="D15" i="46"/>
  <c r="D15" i="48"/>
  <c r="D16" i="50"/>
  <c r="D16" i="52"/>
  <c r="D17" i="54"/>
  <c r="D15" i="37"/>
  <c r="D15" i="40"/>
  <c r="D16" i="44"/>
  <c r="D15" i="38"/>
  <c r="D15" i="55"/>
  <c r="C16" i="55"/>
  <c r="D16" i="55" s="1"/>
  <c r="C22" i="36"/>
  <c r="C19" i="36"/>
  <c r="D19" i="36" l="1"/>
  <c r="C20" i="36"/>
  <c r="C19" i="35"/>
  <c r="C16" i="35"/>
  <c r="C22" i="34"/>
  <c r="C19" i="34"/>
  <c r="C18" i="33"/>
  <c r="C15" i="33"/>
  <c r="C16" i="33" s="1"/>
  <c r="D39" i="32"/>
  <c r="C18" i="32"/>
  <c r="C15" i="32"/>
  <c r="C16" i="32" s="1"/>
  <c r="C19" i="31"/>
  <c r="C16" i="31"/>
  <c r="C22" i="30"/>
  <c r="C19" i="30"/>
  <c r="C20" i="30" s="1"/>
  <c r="D15" i="32" l="1"/>
  <c r="D16" i="35"/>
  <c r="C17" i="35"/>
  <c r="D19" i="34"/>
  <c r="C20" i="34"/>
  <c r="D16" i="31"/>
  <c r="C17" i="31"/>
  <c r="D15" i="33"/>
  <c r="D19" i="30"/>
  <c r="C18" i="29"/>
  <c r="C15" i="29"/>
  <c r="C16" i="29" s="1"/>
  <c r="C18" i="28"/>
  <c r="C15" i="28"/>
  <c r="C16" i="28" s="1"/>
  <c r="C15" i="27"/>
  <c r="C18" i="26"/>
  <c r="C15" i="26"/>
  <c r="C18" i="25"/>
  <c r="C15" i="25"/>
  <c r="C18" i="24"/>
  <c r="C15" i="24"/>
  <c r="C19" i="23"/>
  <c r="C16" i="23"/>
  <c r="C18" i="22"/>
  <c r="C15" i="22"/>
  <c r="C18" i="21"/>
  <c r="C15" i="21"/>
  <c r="C18" i="20"/>
  <c r="C15" i="20"/>
  <c r="C15" i="19"/>
  <c r="C16" i="19" s="1"/>
  <c r="D15" i="24" l="1"/>
  <c r="C16" i="24"/>
  <c r="D15" i="27"/>
  <c r="C16" i="27"/>
  <c r="D15" i="20"/>
  <c r="C16" i="20"/>
  <c r="D15" i="26"/>
  <c r="C16" i="26"/>
  <c r="D15" i="29"/>
  <c r="D16" i="23"/>
  <c r="C17" i="23"/>
  <c r="D15" i="21"/>
  <c r="C16" i="21"/>
  <c r="D15" i="19"/>
  <c r="D15" i="22"/>
  <c r="C16" i="22"/>
  <c r="D15" i="25"/>
  <c r="C16" i="25"/>
  <c r="D15" i="28"/>
  <c r="D49" i="18"/>
  <c r="C15" i="18"/>
  <c r="D15" i="18" s="1"/>
  <c r="C19" i="16"/>
  <c r="C50" i="16" s="1"/>
  <c r="D19" i="18" l="1"/>
  <c r="D50" i="18" s="1"/>
  <c r="C54" i="18" s="1"/>
  <c r="C16" i="18"/>
  <c r="C19" i="18" s="1"/>
  <c r="C50" i="18" s="1"/>
  <c r="D15" i="16"/>
  <c r="D49" i="56"/>
  <c r="D47" i="56"/>
  <c r="D45" i="56"/>
  <c r="D43" i="56"/>
  <c r="D41" i="56"/>
  <c r="D39" i="56"/>
  <c r="D37" i="56"/>
  <c r="D36" i="56"/>
  <c r="D34" i="56"/>
  <c r="D32" i="56"/>
  <c r="D30" i="56"/>
  <c r="D28" i="56"/>
  <c r="D26" i="56"/>
  <c r="D24" i="56"/>
  <c r="D22" i="56"/>
  <c r="C19" i="56"/>
  <c r="C51" i="56" s="1"/>
  <c r="D18" i="56"/>
  <c r="D16" i="56"/>
  <c r="D19" i="56" s="1"/>
  <c r="D50" i="56" l="1"/>
  <c r="D51" i="56" s="1"/>
  <c r="C55" i="56" s="1"/>
  <c r="C20" i="57"/>
  <c r="C17" i="57"/>
  <c r="C18" i="57" s="1"/>
  <c r="D18" i="57" s="1"/>
  <c r="D51" i="23"/>
  <c r="D49" i="23"/>
  <c r="D47" i="23"/>
  <c r="D45" i="23"/>
  <c r="D43" i="23"/>
  <c r="D41" i="23"/>
  <c r="D39" i="23"/>
  <c r="D38" i="23"/>
  <c r="D36" i="23"/>
  <c r="D34" i="23"/>
  <c r="D32" i="23"/>
  <c r="D30" i="23"/>
  <c r="D28" i="23"/>
  <c r="D26" i="23"/>
  <c r="D24" i="23"/>
  <c r="D19" i="23"/>
  <c r="D17" i="23"/>
  <c r="D52" i="23" l="1"/>
  <c r="D17" i="57"/>
  <c r="C17" i="15"/>
  <c r="C36" i="15" s="1"/>
  <c r="D16" i="15"/>
  <c r="C35" i="14"/>
  <c r="D34" i="14"/>
  <c r="D32" i="14"/>
  <c r="D30" i="14"/>
  <c r="D28" i="14"/>
  <c r="D26" i="14"/>
  <c r="D24" i="14"/>
  <c r="D22" i="14"/>
  <c r="D20" i="14"/>
  <c r="C17" i="14"/>
  <c r="D16" i="14"/>
  <c r="D17" i="14" s="1"/>
  <c r="D34" i="13"/>
  <c r="D32" i="13"/>
  <c r="D30" i="13"/>
  <c r="D28" i="13"/>
  <c r="D26" i="13"/>
  <c r="D24" i="13"/>
  <c r="D22" i="13"/>
  <c r="D20" i="13"/>
  <c r="C17" i="13"/>
  <c r="D16" i="13"/>
  <c r="D17" i="13" s="1"/>
  <c r="C23" i="12"/>
  <c r="D22" i="12"/>
  <c r="D20" i="12"/>
  <c r="C17" i="12"/>
  <c r="D16" i="12"/>
  <c r="C21" i="11"/>
  <c r="D20" i="11"/>
  <c r="C17" i="11"/>
  <c r="D16" i="11"/>
  <c r="D17" i="11" s="1"/>
  <c r="D36" i="10"/>
  <c r="D34" i="10"/>
  <c r="D32" i="10"/>
  <c r="D30" i="10"/>
  <c r="D28" i="10"/>
  <c r="D26" i="10"/>
  <c r="D24" i="10"/>
  <c r="D22" i="10"/>
  <c r="C19" i="10"/>
  <c r="C38" i="10" s="1"/>
  <c r="C39" i="10" s="1"/>
  <c r="D39" i="10" s="1"/>
  <c r="D18" i="10"/>
  <c r="D16" i="10"/>
  <c r="C37" i="9"/>
  <c r="D36" i="9"/>
  <c r="D34" i="9"/>
  <c r="D32" i="9"/>
  <c r="D30" i="9"/>
  <c r="D28" i="9"/>
  <c r="D26" i="9"/>
  <c r="D24" i="9"/>
  <c r="D22" i="9"/>
  <c r="C19" i="9"/>
  <c r="D18" i="9"/>
  <c r="D16" i="9"/>
  <c r="C37" i="8"/>
  <c r="D36" i="8"/>
  <c r="D34" i="8"/>
  <c r="D32" i="8"/>
  <c r="D30" i="8"/>
  <c r="D28" i="8"/>
  <c r="D26" i="8"/>
  <c r="D24" i="8"/>
  <c r="D22" i="8"/>
  <c r="C19" i="8"/>
  <c r="D18" i="8"/>
  <c r="D16" i="8"/>
  <c r="D36" i="7"/>
  <c r="D34" i="7"/>
  <c r="D32" i="7"/>
  <c r="D30" i="7"/>
  <c r="D28" i="7"/>
  <c r="D26" i="7"/>
  <c r="D24" i="7"/>
  <c r="D22" i="7"/>
  <c r="C19" i="7"/>
  <c r="D18" i="7"/>
  <c r="D16" i="7"/>
  <c r="C37" i="6"/>
  <c r="D36" i="6"/>
  <c r="D34" i="6"/>
  <c r="D32" i="6"/>
  <c r="D30" i="6"/>
  <c r="D28" i="6"/>
  <c r="D26" i="6"/>
  <c r="D24" i="6"/>
  <c r="D22" i="6"/>
  <c r="C19" i="6"/>
  <c r="D18" i="6"/>
  <c r="D16" i="6"/>
  <c r="C35" i="5"/>
  <c r="D34" i="5"/>
  <c r="D32" i="5"/>
  <c r="D30" i="5"/>
  <c r="D28" i="5"/>
  <c r="D26" i="5"/>
  <c r="D24" i="5"/>
  <c r="D22" i="5"/>
  <c r="D20" i="5"/>
  <c r="C17" i="5"/>
  <c r="D16" i="5"/>
  <c r="C25" i="4"/>
  <c r="D24" i="4"/>
  <c r="D22" i="4"/>
  <c r="D20" i="4"/>
  <c r="C17" i="4"/>
  <c r="D16" i="4"/>
  <c r="D17" i="4" s="1"/>
  <c r="C35" i="3"/>
  <c r="D34" i="3"/>
  <c r="D32" i="3"/>
  <c r="D30" i="3"/>
  <c r="D28" i="3"/>
  <c r="D26" i="3"/>
  <c r="D24" i="3"/>
  <c r="D22" i="3"/>
  <c r="D20" i="3"/>
  <c r="C17" i="3"/>
  <c r="D16" i="3"/>
  <c r="D17" i="3" s="1"/>
  <c r="D36" i="2"/>
  <c r="D34" i="2"/>
  <c r="D32" i="2"/>
  <c r="D30" i="2"/>
  <c r="D28" i="2"/>
  <c r="D26" i="2"/>
  <c r="D24" i="2"/>
  <c r="D22" i="2"/>
  <c r="D18" i="2"/>
  <c r="D16" i="2"/>
  <c r="C38" i="15" l="1"/>
  <c r="D38" i="10"/>
  <c r="D40" i="10" s="1"/>
  <c r="C44" i="10" s="1"/>
  <c r="D37" i="2"/>
  <c r="D19" i="7"/>
  <c r="D23" i="12"/>
  <c r="D19" i="9"/>
  <c r="D37" i="8"/>
  <c r="D37" i="6"/>
  <c r="D17" i="5"/>
  <c r="D25" i="4"/>
  <c r="D26" i="4" s="1"/>
  <c r="C26" i="4"/>
  <c r="C36" i="3"/>
  <c r="C37" i="3" s="1"/>
  <c r="D19" i="2"/>
  <c r="C36" i="14"/>
  <c r="C38" i="2"/>
  <c r="D35" i="5"/>
  <c r="C36" i="5"/>
  <c r="C37" i="5" s="1"/>
  <c r="C38" i="7"/>
  <c r="C38" i="9"/>
  <c r="C22" i="11"/>
  <c r="D37" i="10"/>
  <c r="C38" i="6"/>
  <c r="C38" i="8"/>
  <c r="D19" i="10"/>
  <c r="C24" i="12"/>
  <c r="D25" i="12" s="1"/>
  <c r="C36" i="13"/>
  <c r="D35" i="14"/>
  <c r="D36" i="14" s="1"/>
  <c r="D17" i="15"/>
  <c r="D17" i="12"/>
  <c r="D35" i="13"/>
  <c r="D36" i="13" s="1"/>
  <c r="D35" i="3"/>
  <c r="D19" i="6"/>
  <c r="D37" i="7"/>
  <c r="D19" i="8"/>
  <c r="D37" i="9"/>
  <c r="D21" i="11"/>
  <c r="D22" i="11" s="1"/>
  <c r="C40" i="10"/>
  <c r="C37" i="13" l="1"/>
  <c r="D37" i="13" s="1"/>
  <c r="D38" i="13" s="1"/>
  <c r="C42" i="13" s="1"/>
  <c r="C23" i="11"/>
  <c r="D23" i="11" s="1"/>
  <c r="D24" i="11" s="1"/>
  <c r="C28" i="11" s="1"/>
  <c r="C39" i="8"/>
  <c r="C40" i="8" s="1"/>
  <c r="C39" i="7"/>
  <c r="C40" i="7" s="1"/>
  <c r="C37" i="14"/>
  <c r="D37" i="14" s="1"/>
  <c r="D38" i="14" s="1"/>
  <c r="C42" i="14" s="1"/>
  <c r="C39" i="6"/>
  <c r="C40" i="6" s="1"/>
  <c r="C27" i="4"/>
  <c r="C28" i="4" s="1"/>
  <c r="C39" i="9"/>
  <c r="D39" i="9" s="1"/>
  <c r="D38" i="7"/>
  <c r="C38" i="5"/>
  <c r="D24" i="12"/>
  <c r="D26" i="12" s="1"/>
  <c r="C30" i="12" s="1"/>
  <c r="D38" i="9"/>
  <c r="D38" i="8"/>
  <c r="D38" i="6"/>
  <c r="D36" i="5"/>
  <c r="D37" i="3"/>
  <c r="C38" i="3"/>
  <c r="D36" i="3"/>
  <c r="D38" i="2"/>
  <c r="C39" i="2"/>
  <c r="C26" i="12"/>
  <c r="C42" i="15" l="1"/>
  <c r="C38" i="13"/>
  <c r="C24" i="11"/>
  <c r="D39" i="6"/>
  <c r="D40" i="6" s="1"/>
  <c r="C44" i="6" s="1"/>
  <c r="C40" i="2"/>
  <c r="D39" i="2"/>
  <c r="D40" i="2" s="1"/>
  <c r="C43" i="2" s="1"/>
  <c r="D39" i="8"/>
  <c r="D40" i="8" s="1"/>
  <c r="C44" i="8" s="1"/>
  <c r="C38" i="14"/>
  <c r="C40" i="9"/>
  <c r="D27" i="4"/>
  <c r="D28" i="4" s="1"/>
  <c r="C31" i="4" s="1"/>
  <c r="D39" i="7"/>
  <c r="D40" i="7" s="1"/>
  <c r="C44" i="7" s="1"/>
  <c r="D40" i="9"/>
  <c r="C44" i="9" s="1"/>
  <c r="D37" i="5"/>
  <c r="D38" i="5" s="1"/>
  <c r="C42" i="5" s="1"/>
  <c r="D38" i="3"/>
  <c r="C41" i="3" s="1"/>
  <c r="D49" i="65"/>
  <c r="D45" i="65"/>
  <c r="D34" i="65"/>
  <c r="D49" i="64"/>
  <c r="D45" i="64"/>
  <c r="D34" i="64"/>
  <c r="D49" i="62"/>
  <c r="D45" i="62"/>
  <c r="D34" i="62"/>
  <c r="D49" i="61"/>
  <c r="D47" i="61"/>
  <c r="D45" i="61"/>
  <c r="D34" i="61"/>
  <c r="D49" i="60"/>
  <c r="D47" i="60"/>
  <c r="D45" i="60"/>
  <c r="D34" i="60"/>
  <c r="D49" i="59"/>
  <c r="D47" i="59"/>
  <c r="D45" i="59"/>
  <c r="D34" i="59"/>
  <c r="D49" i="58"/>
  <c r="D47" i="58"/>
  <c r="D45" i="58"/>
  <c r="D34" i="58"/>
  <c r="D51" i="57"/>
  <c r="D49" i="57"/>
  <c r="D47" i="57"/>
  <c r="D36" i="57"/>
  <c r="D52" i="54"/>
  <c r="D50" i="54"/>
  <c r="D48" i="54"/>
  <c r="D37" i="54"/>
  <c r="D50" i="53"/>
  <c r="D48" i="53"/>
  <c r="D46" i="53"/>
  <c r="D35" i="53"/>
  <c r="D52" i="52"/>
  <c r="D50" i="52"/>
  <c r="D48" i="52"/>
  <c r="D37" i="52"/>
  <c r="D50" i="51"/>
  <c r="D46" i="51"/>
  <c r="D35" i="51"/>
  <c r="D50" i="50"/>
  <c r="D48" i="50"/>
  <c r="D46" i="50"/>
  <c r="D35" i="50"/>
  <c r="D50" i="49"/>
  <c r="D48" i="49"/>
  <c r="D46" i="49"/>
  <c r="D35" i="49"/>
  <c r="D50" i="48"/>
  <c r="D48" i="48"/>
  <c r="D46" i="48"/>
  <c r="D35" i="48"/>
  <c r="D51" i="47"/>
  <c r="D49" i="47"/>
  <c r="D47" i="47"/>
  <c r="D36" i="47"/>
  <c r="D50" i="46"/>
  <c r="D48" i="46"/>
  <c r="D46" i="46"/>
  <c r="D35" i="46"/>
  <c r="D50" i="45"/>
  <c r="D48" i="45"/>
  <c r="D46" i="45"/>
  <c r="D35" i="45"/>
  <c r="D50" i="44" l="1"/>
  <c r="D48" i="44"/>
  <c r="D46" i="44"/>
  <c r="D35" i="44"/>
  <c r="D49" i="43"/>
  <c r="D47" i="43"/>
  <c r="D45" i="43"/>
  <c r="D34" i="43"/>
  <c r="D49" i="42"/>
  <c r="D47" i="42"/>
  <c r="D45" i="42"/>
  <c r="D34" i="42"/>
  <c r="E51" i="41" l="1"/>
  <c r="E49" i="41"/>
  <c r="E47" i="41"/>
  <c r="D51" i="41"/>
  <c r="D49" i="41"/>
  <c r="D47" i="41"/>
  <c r="E36" i="41"/>
  <c r="D36" i="41"/>
  <c r="D50" i="40"/>
  <c r="D48" i="40"/>
  <c r="D46" i="40"/>
  <c r="D33" i="40"/>
  <c r="D50" i="38"/>
  <c r="D48" i="38"/>
  <c r="D46" i="38"/>
  <c r="D35" i="38"/>
  <c r="D49" i="37"/>
  <c r="D47" i="37"/>
  <c r="D45" i="37"/>
  <c r="D34" i="37"/>
  <c r="D55" i="36"/>
  <c r="D53" i="36"/>
  <c r="D51" i="36"/>
  <c r="D40" i="36"/>
  <c r="D51" i="35"/>
  <c r="D49" i="35"/>
  <c r="D47" i="35"/>
  <c r="D36" i="35"/>
  <c r="D53" i="34"/>
  <c r="D51" i="34"/>
  <c r="D49" i="34"/>
  <c r="D38" i="34"/>
  <c r="D49" i="33"/>
  <c r="D47" i="33"/>
  <c r="D45" i="33"/>
  <c r="D34" i="33"/>
  <c r="D52" i="41" l="1"/>
  <c r="D49" i="32"/>
  <c r="D47" i="32"/>
  <c r="D45" i="32"/>
  <c r="D34" i="32"/>
  <c r="D50" i="31"/>
  <c r="D48" i="31"/>
  <c r="D46" i="31"/>
  <c r="D35" i="31"/>
  <c r="D55" i="30"/>
  <c r="D53" i="30"/>
  <c r="D51" i="30"/>
  <c r="D40" i="30"/>
  <c r="D50" i="29"/>
  <c r="D48" i="29"/>
  <c r="D46" i="29"/>
  <c r="D35" i="29"/>
  <c r="D50" i="28"/>
  <c r="D48" i="28"/>
  <c r="D46" i="28"/>
  <c r="D35" i="28"/>
  <c r="D49" i="27"/>
  <c r="D47" i="27"/>
  <c r="D45" i="27"/>
  <c r="D34" i="27"/>
  <c r="D49" i="26"/>
  <c r="D47" i="26"/>
  <c r="D45" i="26"/>
  <c r="D34" i="26"/>
  <c r="D49" i="25"/>
  <c r="D47" i="25"/>
  <c r="D45" i="25"/>
  <c r="D43" i="25"/>
  <c r="D41" i="25"/>
  <c r="D39" i="25"/>
  <c r="D37" i="25"/>
  <c r="D36" i="25"/>
  <c r="D34" i="25"/>
  <c r="D32" i="25"/>
  <c r="D30" i="25"/>
  <c r="D28" i="25"/>
  <c r="D26" i="25"/>
  <c r="D24" i="25"/>
  <c r="D22" i="25"/>
  <c r="D50" i="24"/>
  <c r="D48" i="24"/>
  <c r="D46" i="24"/>
  <c r="D35" i="24"/>
  <c r="D50" i="22"/>
  <c r="D48" i="22"/>
  <c r="D46" i="22"/>
  <c r="D35" i="22"/>
  <c r="D50" i="21"/>
  <c r="D47" i="21"/>
  <c r="D36" i="21"/>
  <c r="D49" i="20"/>
  <c r="D46" i="20"/>
  <c r="D35" i="20"/>
  <c r="D48" i="19"/>
  <c r="D45" i="19"/>
  <c r="D34" i="19"/>
  <c r="D34" i="16"/>
  <c r="D50" i="25" l="1"/>
  <c r="D43" i="65"/>
  <c r="D41" i="65"/>
  <c r="D39" i="65"/>
  <c r="D37" i="65"/>
  <c r="D36" i="65"/>
  <c r="D32" i="65"/>
  <c r="D30" i="65"/>
  <c r="D28" i="65"/>
  <c r="D26" i="65"/>
  <c r="D24" i="65"/>
  <c r="D22" i="65"/>
  <c r="C19" i="65"/>
  <c r="C51" i="65" s="1"/>
  <c r="D16" i="65"/>
  <c r="D43" i="64"/>
  <c r="D41" i="64"/>
  <c r="D39" i="64"/>
  <c r="D37" i="64"/>
  <c r="D36" i="64"/>
  <c r="D32" i="64"/>
  <c r="D30" i="64"/>
  <c r="D28" i="64"/>
  <c r="D26" i="64"/>
  <c r="D24" i="64"/>
  <c r="D22" i="64"/>
  <c r="D18" i="64"/>
  <c r="D16" i="64"/>
  <c r="C19" i="63"/>
  <c r="C51" i="63" s="1"/>
  <c r="D43" i="62"/>
  <c r="D41" i="62"/>
  <c r="D39" i="62"/>
  <c r="D37" i="62"/>
  <c r="D50" i="65" l="1"/>
  <c r="D50" i="64"/>
  <c r="D19" i="65"/>
  <c r="C19" i="64"/>
  <c r="C51" i="64" s="1"/>
  <c r="D19" i="64"/>
  <c r="D19" i="63"/>
  <c r="D51" i="63" s="1"/>
  <c r="C55" i="63" s="1"/>
  <c r="D36" i="62"/>
  <c r="D32" i="62"/>
  <c r="D30" i="62"/>
  <c r="D28" i="62"/>
  <c r="D26" i="62"/>
  <c r="D24" i="62"/>
  <c r="D18" i="62"/>
  <c r="D50" i="62" l="1"/>
  <c r="D51" i="64"/>
  <c r="C55" i="64" s="1"/>
  <c r="D51" i="65"/>
  <c r="C55" i="65" s="1"/>
  <c r="C19" i="62"/>
  <c r="C51" i="62" s="1"/>
  <c r="D19" i="62"/>
  <c r="D51" i="62" l="1"/>
  <c r="C55" i="62" s="1"/>
  <c r="D44" i="22"/>
  <c r="D42" i="22"/>
  <c r="D40" i="22"/>
  <c r="D38" i="22"/>
  <c r="D37" i="22"/>
  <c r="D33" i="22"/>
  <c r="D31" i="22"/>
  <c r="D29" i="22"/>
  <c r="D27" i="22"/>
  <c r="D25" i="22"/>
  <c r="D23" i="22"/>
  <c r="D18" i="22"/>
  <c r="D16" i="22"/>
  <c r="D51" i="22" l="1"/>
  <c r="D37" i="43" l="1"/>
  <c r="D24" i="43"/>
  <c r="D16" i="43"/>
  <c r="D18" i="43"/>
  <c r="C19" i="27" l="1"/>
  <c r="C51" i="27" s="1"/>
  <c r="C19" i="43"/>
  <c r="C51" i="43" s="1"/>
  <c r="D43" i="61" l="1"/>
  <c r="D41" i="61"/>
  <c r="D39" i="61"/>
  <c r="D37" i="61"/>
  <c r="D36" i="61"/>
  <c r="D32" i="61"/>
  <c r="D30" i="61"/>
  <c r="D28" i="61"/>
  <c r="D26" i="61"/>
  <c r="D24" i="61"/>
  <c r="D22" i="61"/>
  <c r="D18" i="61"/>
  <c r="D16" i="61"/>
  <c r="D43" i="60"/>
  <c r="D41" i="60"/>
  <c r="D39" i="60"/>
  <c r="D37" i="60"/>
  <c r="D36" i="60"/>
  <c r="D32" i="60"/>
  <c r="D30" i="60"/>
  <c r="D28" i="60"/>
  <c r="D26" i="60"/>
  <c r="D24" i="60"/>
  <c r="D22" i="60"/>
  <c r="D18" i="60"/>
  <c r="D16" i="60"/>
  <c r="D43" i="59"/>
  <c r="D41" i="59"/>
  <c r="D39" i="59"/>
  <c r="D37" i="59"/>
  <c r="D36" i="59"/>
  <c r="D32" i="59"/>
  <c r="D30" i="59"/>
  <c r="D28" i="59"/>
  <c r="D26" i="59"/>
  <c r="D24" i="59"/>
  <c r="D22" i="59"/>
  <c r="D18" i="59"/>
  <c r="D16" i="59"/>
  <c r="D43" i="58"/>
  <c r="D41" i="58"/>
  <c r="D39" i="58"/>
  <c r="D37" i="58"/>
  <c r="D36" i="58"/>
  <c r="D32" i="58"/>
  <c r="D30" i="58"/>
  <c r="D28" i="58"/>
  <c r="D26" i="58"/>
  <c r="D24" i="58"/>
  <c r="D22" i="58"/>
  <c r="D18" i="58"/>
  <c r="D16" i="58"/>
  <c r="D45" i="57"/>
  <c r="D43" i="57"/>
  <c r="D41" i="57"/>
  <c r="D39" i="57"/>
  <c r="D38" i="57"/>
  <c r="D34" i="57"/>
  <c r="D32" i="57"/>
  <c r="D30" i="57"/>
  <c r="D28" i="57"/>
  <c r="D26" i="57"/>
  <c r="D24" i="57"/>
  <c r="D20" i="57"/>
  <c r="D50" i="55"/>
  <c r="D46" i="54"/>
  <c r="D44" i="54"/>
  <c r="D42" i="54"/>
  <c r="D40" i="54"/>
  <c r="D39" i="54"/>
  <c r="D35" i="54"/>
  <c r="D33" i="54"/>
  <c r="D31" i="54"/>
  <c r="D29" i="54"/>
  <c r="D27" i="54"/>
  <c r="D25" i="54"/>
  <c r="D20" i="54"/>
  <c r="D18" i="54"/>
  <c r="D44" i="53"/>
  <c r="D42" i="53"/>
  <c r="D40" i="53"/>
  <c r="D38" i="53"/>
  <c r="D37" i="53"/>
  <c r="D33" i="53"/>
  <c r="D31" i="53"/>
  <c r="D29" i="53"/>
  <c r="D27" i="53"/>
  <c r="D25" i="53"/>
  <c r="D23" i="53"/>
  <c r="D18" i="53"/>
  <c r="D16" i="53"/>
  <c r="D46" i="52"/>
  <c r="D44" i="52"/>
  <c r="D42" i="52"/>
  <c r="D40" i="52"/>
  <c r="D39" i="52"/>
  <c r="D35" i="52"/>
  <c r="D33" i="52"/>
  <c r="D31" i="52"/>
  <c r="D29" i="52"/>
  <c r="D27" i="52"/>
  <c r="D25" i="52"/>
  <c r="D19" i="52"/>
  <c r="D17" i="52"/>
  <c r="D36" i="33"/>
  <c r="D37" i="51"/>
  <c r="D44" i="51"/>
  <c r="D42" i="51"/>
  <c r="D40" i="51"/>
  <c r="D38" i="51"/>
  <c r="D33" i="51"/>
  <c r="D31" i="51"/>
  <c r="D29" i="51"/>
  <c r="D27" i="51"/>
  <c r="D25" i="51"/>
  <c r="D23" i="51"/>
  <c r="D50" i="61" l="1"/>
  <c r="D19" i="58"/>
  <c r="D52" i="57"/>
  <c r="D50" i="60"/>
  <c r="D50" i="59"/>
  <c r="D50" i="58"/>
  <c r="D53" i="54"/>
  <c r="D51" i="53"/>
  <c r="D53" i="52"/>
  <c r="D51" i="51"/>
  <c r="D22" i="54"/>
  <c r="D19" i="60"/>
  <c r="D19" i="55"/>
  <c r="D51" i="55" s="1"/>
  <c r="C55" i="55" s="1"/>
  <c r="D22" i="52"/>
  <c r="D19" i="61"/>
  <c r="D19" i="59"/>
  <c r="D21" i="57"/>
  <c r="D20" i="53"/>
  <c r="D18" i="51"/>
  <c r="D16" i="51"/>
  <c r="D53" i="57" l="1"/>
  <c r="C57" i="57" s="1"/>
  <c r="D54" i="52"/>
  <c r="C58" i="52" s="1"/>
  <c r="D51" i="58"/>
  <c r="C55" i="58" s="1"/>
  <c r="D52" i="53"/>
  <c r="C56" i="53" s="1"/>
  <c r="D51" i="59"/>
  <c r="C55" i="59" s="1"/>
  <c r="D51" i="60"/>
  <c r="C55" i="60" s="1"/>
  <c r="D51" i="61"/>
  <c r="C55" i="61" s="1"/>
  <c r="D54" i="54"/>
  <c r="C59" i="54" s="1"/>
  <c r="D20" i="51"/>
  <c r="D52" i="51" s="1"/>
  <c r="C56" i="51" s="1"/>
  <c r="D17" i="50"/>
  <c r="D44" i="50"/>
  <c r="D42" i="50"/>
  <c r="D40" i="50"/>
  <c r="D38" i="50"/>
  <c r="D37" i="50"/>
  <c r="D33" i="50"/>
  <c r="D31" i="50"/>
  <c r="D29" i="50"/>
  <c r="D27" i="50"/>
  <c r="D25" i="50"/>
  <c r="D23" i="50"/>
  <c r="D19" i="50"/>
  <c r="D44" i="49"/>
  <c r="D42" i="49"/>
  <c r="D40" i="49"/>
  <c r="D38" i="49"/>
  <c r="D37" i="49"/>
  <c r="D33" i="49"/>
  <c r="D31" i="49"/>
  <c r="D29" i="49"/>
  <c r="D27" i="49"/>
  <c r="D25" i="49"/>
  <c r="D23" i="49"/>
  <c r="D18" i="49"/>
  <c r="D16" i="49"/>
  <c r="D44" i="48"/>
  <c r="D42" i="48"/>
  <c r="D40" i="48"/>
  <c r="D38" i="48"/>
  <c r="D37" i="48"/>
  <c r="D33" i="48"/>
  <c r="D31" i="48"/>
  <c r="D29" i="48"/>
  <c r="D27" i="48"/>
  <c r="D25" i="48"/>
  <c r="D23" i="48"/>
  <c r="D18" i="48"/>
  <c r="D16" i="48"/>
  <c r="D45" i="47"/>
  <c r="D43" i="47"/>
  <c r="D41" i="47"/>
  <c r="D39" i="47"/>
  <c r="D38" i="47"/>
  <c r="D34" i="47"/>
  <c r="D32" i="47"/>
  <c r="D30" i="47"/>
  <c r="D28" i="47"/>
  <c r="D26" i="47"/>
  <c r="D24" i="47"/>
  <c r="D18" i="47"/>
  <c r="D16" i="47"/>
  <c r="D44" i="46"/>
  <c r="D42" i="46"/>
  <c r="D40" i="46"/>
  <c r="D38" i="46"/>
  <c r="D37" i="46"/>
  <c r="D33" i="46"/>
  <c r="D31" i="46"/>
  <c r="D29" i="46"/>
  <c r="D27" i="46"/>
  <c r="D25" i="46"/>
  <c r="D23" i="46"/>
  <c r="D18" i="46"/>
  <c r="D16" i="46"/>
  <c r="D44" i="45"/>
  <c r="D42" i="45"/>
  <c r="D40" i="45"/>
  <c r="D38" i="45"/>
  <c r="D37" i="45"/>
  <c r="D33" i="45"/>
  <c r="D31" i="45"/>
  <c r="D29" i="45"/>
  <c r="D27" i="45"/>
  <c r="D25" i="45"/>
  <c r="D23" i="45"/>
  <c r="D19" i="45"/>
  <c r="D17" i="45"/>
  <c r="D44" i="44"/>
  <c r="D42" i="44"/>
  <c r="D40" i="44"/>
  <c r="D38" i="44"/>
  <c r="D37" i="44"/>
  <c r="D33" i="44"/>
  <c r="D31" i="44"/>
  <c r="D29" i="44"/>
  <c r="D27" i="44"/>
  <c r="D25" i="44"/>
  <c r="D23" i="44"/>
  <c r="D19" i="44"/>
  <c r="D17" i="44"/>
  <c r="D43" i="43"/>
  <c r="D41" i="43"/>
  <c r="D39" i="43"/>
  <c r="D36" i="43"/>
  <c r="D32" i="43"/>
  <c r="D30" i="43"/>
  <c r="D28" i="43"/>
  <c r="D26" i="43"/>
  <c r="D22" i="43"/>
  <c r="D19" i="43"/>
  <c r="D16" i="42"/>
  <c r="D43" i="42"/>
  <c r="D41" i="42"/>
  <c r="D39" i="42"/>
  <c r="D37" i="42"/>
  <c r="D36" i="42"/>
  <c r="D32" i="42"/>
  <c r="D30" i="42"/>
  <c r="D28" i="42"/>
  <c r="D26" i="42"/>
  <c r="D24" i="42"/>
  <c r="D22" i="42"/>
  <c r="D18" i="42"/>
  <c r="E45" i="41"/>
  <c r="E43" i="41"/>
  <c r="E41" i="41"/>
  <c r="E39" i="41"/>
  <c r="E38" i="41"/>
  <c r="E34" i="41"/>
  <c r="E32" i="41"/>
  <c r="E30" i="41"/>
  <c r="E28" i="41"/>
  <c r="E26" i="41"/>
  <c r="E24" i="41"/>
  <c r="E18" i="41"/>
  <c r="E16" i="41"/>
  <c r="D21" i="41"/>
  <c r="D53" i="41" s="1"/>
  <c r="D44" i="40"/>
  <c r="D42" i="40"/>
  <c r="D40" i="40"/>
  <c r="D38" i="40"/>
  <c r="D37" i="40"/>
  <c r="D35" i="40"/>
  <c r="D31" i="40"/>
  <c r="D29" i="40"/>
  <c r="D27" i="40"/>
  <c r="D25" i="40"/>
  <c r="D23" i="40"/>
  <c r="D18" i="40"/>
  <c r="D16" i="40"/>
  <c r="D50" i="42" l="1"/>
  <c r="D51" i="44"/>
  <c r="E52" i="41"/>
  <c r="D51" i="50"/>
  <c r="D51" i="49"/>
  <c r="D51" i="48"/>
  <c r="D52" i="47"/>
  <c r="D51" i="46"/>
  <c r="D51" i="45"/>
  <c r="D50" i="43"/>
  <c r="D51" i="43" s="1"/>
  <c r="C55" i="43" s="1"/>
  <c r="D51" i="40"/>
  <c r="D20" i="40"/>
  <c r="D20" i="49"/>
  <c r="D20" i="44"/>
  <c r="D21" i="47"/>
  <c r="D20" i="48"/>
  <c r="D20" i="45"/>
  <c r="E21" i="41"/>
  <c r="D19" i="42"/>
  <c r="D20" i="46"/>
  <c r="D20" i="50"/>
  <c r="D44" i="38"/>
  <c r="D42" i="38"/>
  <c r="D40" i="38"/>
  <c r="D38" i="38"/>
  <c r="D37" i="38"/>
  <c r="D33" i="38"/>
  <c r="D31" i="38"/>
  <c r="D29" i="38"/>
  <c r="D27" i="38"/>
  <c r="D25" i="38"/>
  <c r="D23" i="38"/>
  <c r="D18" i="38"/>
  <c r="D16" i="38"/>
  <c r="D43" i="37"/>
  <c r="D41" i="37"/>
  <c r="D39" i="37"/>
  <c r="D37" i="37"/>
  <c r="D36" i="37"/>
  <c r="D32" i="37"/>
  <c r="D30" i="37"/>
  <c r="D28" i="37"/>
  <c r="D26" i="37"/>
  <c r="D24" i="37"/>
  <c r="D22" i="37"/>
  <c r="D18" i="37"/>
  <c r="D16" i="37"/>
  <c r="D49" i="36"/>
  <c r="D47" i="36"/>
  <c r="D45" i="36"/>
  <c r="D43" i="36"/>
  <c r="D42" i="36"/>
  <c r="D38" i="36"/>
  <c r="D36" i="36"/>
  <c r="D34" i="36"/>
  <c r="D32" i="36"/>
  <c r="D30" i="36"/>
  <c r="D28" i="36"/>
  <c r="D22" i="36"/>
  <c r="D20" i="36"/>
  <c r="D52" i="50" l="1"/>
  <c r="C56" i="50" s="1"/>
  <c r="D52" i="48"/>
  <c r="C56" i="48" s="1"/>
  <c r="D52" i="49"/>
  <c r="C56" i="49" s="1"/>
  <c r="D52" i="45"/>
  <c r="C56" i="45" s="1"/>
  <c r="E53" i="41"/>
  <c r="C57" i="41" s="1"/>
  <c r="D52" i="46"/>
  <c r="C56" i="46" s="1"/>
  <c r="D52" i="44"/>
  <c r="C56" i="44" s="1"/>
  <c r="D52" i="40"/>
  <c r="C56" i="40" s="1"/>
  <c r="D53" i="47"/>
  <c r="C57" i="47" s="1"/>
  <c r="D51" i="42"/>
  <c r="C55" i="42" s="1"/>
  <c r="D50" i="37"/>
  <c r="D56" i="36"/>
  <c r="D25" i="36"/>
  <c r="D51" i="38"/>
  <c r="D52" i="39"/>
  <c r="D19" i="37"/>
  <c r="D20" i="38"/>
  <c r="D21" i="39"/>
  <c r="D45" i="35"/>
  <c r="D43" i="35"/>
  <c r="D41" i="35"/>
  <c r="D39" i="35"/>
  <c r="D38" i="35"/>
  <c r="D32" i="35"/>
  <c r="D30" i="35"/>
  <c r="D28" i="35"/>
  <c r="D26" i="35"/>
  <c r="D24" i="35"/>
  <c r="D19" i="35"/>
  <c r="D17" i="35"/>
  <c r="D47" i="34"/>
  <c r="D45" i="34"/>
  <c r="D43" i="34"/>
  <c r="D41" i="34"/>
  <c r="D40" i="34"/>
  <c r="D36" i="34"/>
  <c r="D34" i="34"/>
  <c r="D32" i="34"/>
  <c r="D30" i="34"/>
  <c r="D28" i="34"/>
  <c r="D26" i="34"/>
  <c r="D22" i="34"/>
  <c r="D20" i="34"/>
  <c r="D22" i="33"/>
  <c r="D24" i="33"/>
  <c r="D26" i="33"/>
  <c r="D28" i="33"/>
  <c r="D30" i="33"/>
  <c r="D32" i="33"/>
  <c r="D37" i="33"/>
  <c r="D39" i="33"/>
  <c r="D41" i="33"/>
  <c r="D43" i="33"/>
  <c r="D18" i="33"/>
  <c r="D16" i="33"/>
  <c r="D51" i="37" l="1"/>
  <c r="C55" i="37" s="1"/>
  <c r="D57" i="36"/>
  <c r="C61" i="36" s="1"/>
  <c r="D52" i="35"/>
  <c r="D54" i="34"/>
  <c r="D50" i="33"/>
  <c r="D23" i="34"/>
  <c r="D19" i="33"/>
  <c r="D53" i="39"/>
  <c r="C57" i="39" s="1"/>
  <c r="D21" i="35"/>
  <c r="D52" i="38"/>
  <c r="C56" i="38" s="1"/>
  <c r="D16" i="32"/>
  <c r="D43" i="32"/>
  <c r="D41" i="32"/>
  <c r="D37" i="32"/>
  <c r="D36" i="32"/>
  <c r="D32" i="32"/>
  <c r="D30" i="32"/>
  <c r="D28" i="32"/>
  <c r="D26" i="32"/>
  <c r="D24" i="32"/>
  <c r="D22" i="32"/>
  <c r="D18" i="32"/>
  <c r="D44" i="31"/>
  <c r="D42" i="31"/>
  <c r="D40" i="31"/>
  <c r="D38" i="31"/>
  <c r="D37" i="31"/>
  <c r="D33" i="31"/>
  <c r="D31" i="31"/>
  <c r="D29" i="31"/>
  <c r="D27" i="31"/>
  <c r="D25" i="31"/>
  <c r="D23" i="31"/>
  <c r="D19" i="31"/>
  <c r="D17" i="31"/>
  <c r="D49" i="30"/>
  <c r="D47" i="30"/>
  <c r="D45" i="30"/>
  <c r="D43" i="30"/>
  <c r="D42" i="30"/>
  <c r="D38" i="30"/>
  <c r="D36" i="30"/>
  <c r="D34" i="30"/>
  <c r="D32" i="30"/>
  <c r="D30" i="30"/>
  <c r="D28" i="30"/>
  <c r="D22" i="30"/>
  <c r="D20" i="30"/>
  <c r="D44" i="29"/>
  <c r="D42" i="29"/>
  <c r="D40" i="29"/>
  <c r="D38" i="29"/>
  <c r="D37" i="29"/>
  <c r="D33" i="29"/>
  <c r="D31" i="29"/>
  <c r="D29" i="29"/>
  <c r="D27" i="29"/>
  <c r="D25" i="29"/>
  <c r="D23" i="29"/>
  <c r="D18" i="29"/>
  <c r="D16" i="29"/>
  <c r="D44" i="28"/>
  <c r="D42" i="28"/>
  <c r="D40" i="28"/>
  <c r="D38" i="28"/>
  <c r="D37" i="28"/>
  <c r="D33" i="28"/>
  <c r="D31" i="28"/>
  <c r="D29" i="28"/>
  <c r="D27" i="28"/>
  <c r="D25" i="28"/>
  <c r="D23" i="28"/>
  <c r="D18" i="28"/>
  <c r="D16" i="28"/>
  <c r="D51" i="31" l="1"/>
  <c r="D55" i="34"/>
  <c r="C59" i="34" s="1"/>
  <c r="D51" i="33"/>
  <c r="C55" i="33" s="1"/>
  <c r="D53" i="35"/>
  <c r="C57" i="35" s="1"/>
  <c r="D20" i="28"/>
  <c r="D50" i="32"/>
  <c r="D56" i="30"/>
  <c r="D51" i="29"/>
  <c r="D51" i="28"/>
  <c r="D25" i="30"/>
  <c r="D19" i="32"/>
  <c r="D20" i="31"/>
  <c r="D20" i="29"/>
  <c r="D43" i="27"/>
  <c r="D41" i="27"/>
  <c r="D39" i="27"/>
  <c r="D37" i="27"/>
  <c r="D36" i="27"/>
  <c r="D32" i="27"/>
  <c r="D30" i="27"/>
  <c r="D28" i="27"/>
  <c r="D26" i="27"/>
  <c r="D24" i="27"/>
  <c r="D22" i="27"/>
  <c r="D18" i="27"/>
  <c r="D16" i="27"/>
  <c r="D43" i="26"/>
  <c r="D41" i="26"/>
  <c r="D39" i="26"/>
  <c r="D37" i="26"/>
  <c r="D36" i="26"/>
  <c r="D32" i="26"/>
  <c r="D30" i="26"/>
  <c r="D28" i="26"/>
  <c r="D26" i="26"/>
  <c r="D24" i="26"/>
  <c r="D22" i="26"/>
  <c r="D18" i="26"/>
  <c r="D16" i="26"/>
  <c r="D18" i="25"/>
  <c r="D16" i="25"/>
  <c r="D44" i="24"/>
  <c r="D42" i="24"/>
  <c r="D40" i="24"/>
  <c r="D38" i="24"/>
  <c r="D37" i="24"/>
  <c r="D33" i="24"/>
  <c r="D31" i="24"/>
  <c r="D29" i="24"/>
  <c r="D27" i="24"/>
  <c r="D25" i="24"/>
  <c r="D23" i="24"/>
  <c r="D18" i="24"/>
  <c r="D16" i="24"/>
  <c r="D45" i="21"/>
  <c r="D43" i="21"/>
  <c r="D41" i="21"/>
  <c r="D39" i="21"/>
  <c r="D38" i="21"/>
  <c r="D34" i="21"/>
  <c r="D32" i="21"/>
  <c r="D30" i="21"/>
  <c r="D28" i="21"/>
  <c r="D26" i="21"/>
  <c r="D24" i="21"/>
  <c r="D18" i="21"/>
  <c r="D16" i="21"/>
  <c r="D44" i="20"/>
  <c r="D42" i="20"/>
  <c r="D40" i="20"/>
  <c r="D38" i="20"/>
  <c r="D37" i="20"/>
  <c r="D33" i="20"/>
  <c r="D31" i="20"/>
  <c r="D29" i="20"/>
  <c r="D27" i="20"/>
  <c r="D25" i="20"/>
  <c r="D23" i="20"/>
  <c r="D16" i="20"/>
  <c r="D18" i="20"/>
  <c r="D43" i="19"/>
  <c r="D41" i="19"/>
  <c r="D39" i="19"/>
  <c r="D37" i="19"/>
  <c r="D32" i="19"/>
  <c r="D30" i="19"/>
  <c r="D28" i="19"/>
  <c r="D26" i="19"/>
  <c r="D24" i="19"/>
  <c r="D22" i="19"/>
  <c r="D18" i="19"/>
  <c r="D16" i="19"/>
  <c r="D41" i="16"/>
  <c r="D39" i="16"/>
  <c r="D36" i="16"/>
  <c r="D28" i="16"/>
  <c r="D24" i="16"/>
  <c r="D18" i="16"/>
  <c r="D19" i="16" s="1"/>
  <c r="D49" i="16" l="1"/>
  <c r="D52" i="28"/>
  <c r="C56" i="28" s="1"/>
  <c r="D51" i="32"/>
  <c r="C55" i="32" s="1"/>
  <c r="D51" i="24"/>
  <c r="D52" i="29"/>
  <c r="C56" i="29" s="1"/>
  <c r="D49" i="19"/>
  <c r="D50" i="27"/>
  <c r="D57" i="30"/>
  <c r="C61" i="30" s="1"/>
  <c r="D52" i="31"/>
  <c r="C56" i="31" s="1"/>
  <c r="D50" i="26"/>
  <c r="D51" i="21"/>
  <c r="D50" i="20"/>
  <c r="D19" i="27"/>
  <c r="D19" i="19"/>
  <c r="D21" i="21"/>
  <c r="D20" i="20"/>
  <c r="D20" i="22"/>
  <c r="D52" i="22" s="1"/>
  <c r="C56" i="22" s="1"/>
  <c r="D21" i="23"/>
  <c r="D53" i="23" s="1"/>
  <c r="C57" i="23" s="1"/>
  <c r="D20" i="24"/>
  <c r="D19" i="25"/>
  <c r="D51" i="25" s="1"/>
  <c r="C55" i="25" s="1"/>
  <c r="D19" i="26"/>
  <c r="D50" i="19" l="1"/>
  <c r="C54" i="19" s="1"/>
  <c r="D52" i="21"/>
  <c r="C56" i="21" s="1"/>
  <c r="D51" i="27"/>
  <c r="C55" i="27" s="1"/>
  <c r="D51" i="20"/>
  <c r="C55" i="20" s="1"/>
  <c r="D52" i="24"/>
  <c r="C56" i="24" s="1"/>
  <c r="D51" i="26"/>
  <c r="C55" i="26" s="1"/>
  <c r="C19" i="61"/>
  <c r="C51" i="61" s="1"/>
  <c r="C19" i="60" l="1"/>
  <c r="C51" i="60" s="1"/>
  <c r="C19" i="59" l="1"/>
  <c r="C51" i="59" s="1"/>
  <c r="C19" i="58" l="1"/>
  <c r="C51" i="58" s="1"/>
  <c r="C21" i="57" l="1"/>
  <c r="C53" i="57" s="1"/>
  <c r="C19" i="55" l="1"/>
  <c r="C51" i="55" s="1"/>
  <c r="C22" i="54"/>
  <c r="C54" i="54" s="1"/>
  <c r="C22" i="52" l="1"/>
  <c r="C54" i="52" l="1"/>
  <c r="C20" i="51"/>
  <c r="C52" i="51" s="1"/>
  <c r="C20" i="50" l="1"/>
  <c r="C52" i="50" s="1"/>
  <c r="C20" i="49" l="1"/>
  <c r="C52" i="49" s="1"/>
  <c r="C20" i="48" l="1"/>
  <c r="C52" i="48" s="1"/>
  <c r="C21" i="47" l="1"/>
  <c r="C53" i="47" s="1"/>
  <c r="C20" i="46" l="1"/>
  <c r="C52" i="46" s="1"/>
  <c r="C20" i="45" l="1"/>
  <c r="C52" i="45" s="1"/>
  <c r="C20" i="44"/>
  <c r="C52" i="44" s="1"/>
  <c r="C19" i="42" l="1"/>
  <c r="C51" i="42" s="1"/>
  <c r="C21" i="41" l="1"/>
  <c r="C53" i="41" l="1"/>
  <c r="C20" i="40"/>
  <c r="C52" i="40" s="1"/>
  <c r="C21" i="39" l="1"/>
  <c r="C53" i="39" s="1"/>
  <c r="C20" i="38"/>
  <c r="C52" i="38" s="1"/>
  <c r="C19" i="37" l="1"/>
  <c r="C51" i="37" s="1"/>
  <c r="C25" i="36" l="1"/>
  <c r="C57" i="36" s="1"/>
  <c r="C21" i="35"/>
  <c r="C53" i="35" s="1"/>
  <c r="C23" i="34" l="1"/>
  <c r="C55" i="34" s="1"/>
  <c r="C19" i="33" l="1"/>
  <c r="C51" i="33" l="1"/>
  <c r="C19" i="32"/>
  <c r="C51" i="32" s="1"/>
  <c r="C20" i="31" l="1"/>
  <c r="C52" i="31" s="1"/>
  <c r="C25" i="30" l="1"/>
  <c r="C57" i="30" s="1"/>
  <c r="C20" i="29" l="1"/>
  <c r="C52" i="29" s="1"/>
  <c r="C20" i="28" l="1"/>
  <c r="C52" i="28" s="1"/>
  <c r="C19" i="26" l="1"/>
  <c r="C51" i="26" s="1"/>
  <c r="C19" i="25"/>
  <c r="C51" i="25" s="1"/>
  <c r="C20" i="24" l="1"/>
  <c r="C52" i="24" s="1"/>
  <c r="C21" i="23" l="1"/>
  <c r="C53" i="23" s="1"/>
  <c r="C20" i="22" l="1"/>
  <c r="C52" i="22" s="1"/>
  <c r="C21" i="21" l="1"/>
  <c r="C52" i="21" s="1"/>
  <c r="C20" i="20" l="1"/>
  <c r="C51" i="20" l="1"/>
  <c r="C19" i="19"/>
  <c r="C50" i="19" s="1"/>
  <c r="D50" i="16" l="1"/>
  <c r="C54" i="16" s="1"/>
</calcChain>
</file>

<file path=xl/sharedStrings.xml><?xml version="1.0" encoding="utf-8"?>
<sst xmlns="http://schemas.openxmlformats.org/spreadsheetml/2006/main" count="3124" uniqueCount="1089">
  <si>
    <t>Izdevumu klasifikācijas kods</t>
  </si>
  <si>
    <t>Rādītājs (materiāla/izejvielas nosaukums, atlīdzība un citi izmaksu veidi)</t>
  </si>
  <si>
    <t>Tiešās izmaksas kopā</t>
  </si>
  <si>
    <t>Pārējie sakaru pakalpojumi</t>
  </si>
  <si>
    <t>Izdevumi par apkuri</t>
  </si>
  <si>
    <t>Izdevumi par ūdeni un kanalizāciju</t>
  </si>
  <si>
    <t>Izdevumi par elektroenerģiju</t>
  </si>
  <si>
    <t>Atkritumu izvešana</t>
  </si>
  <si>
    <t>Pārējie iestāžu uzturēšanas pakalpojumi</t>
  </si>
  <si>
    <t>Biroja preces</t>
  </si>
  <si>
    <t>Netiešās izmaksas kopā</t>
  </si>
  <si>
    <t>2.1.</t>
  </si>
  <si>
    <t>Satura rādītājs</t>
  </si>
  <si>
    <t xml:space="preserve">Tiešās izmaksas </t>
  </si>
  <si>
    <t>Atalgojums</t>
  </si>
  <si>
    <t>Pakalpojumu izmaksas kopā</t>
  </si>
  <si>
    <t>Maksas pakalpojuma vienību skaits noteiktā laikposmā (gab.)</t>
  </si>
  <si>
    <t>Izmaksu apjoms 1 izmeklējumam ( euro)</t>
  </si>
  <si>
    <t>Izmaksu apjoms noteiktā laikposmā viena maksas pakalpojuma veida nodrošināšanai  (euro)</t>
  </si>
  <si>
    <t xml:space="preserve">Zāles , ķimikālijas, laboratorijas preces. </t>
  </si>
  <si>
    <t>Netiešās izmaksas izmeklējumam</t>
  </si>
  <si>
    <t>Kārtējie remonta  un iestāžu  uzturēšanas materiāli</t>
  </si>
  <si>
    <t>Administratīvās izmaksas</t>
  </si>
  <si>
    <r>
      <t xml:space="preserve">Maksas pakalpojuma izcenojums (euro) </t>
    </r>
    <r>
      <rPr>
        <i/>
        <sz val="11"/>
        <rFont val="Times New Roman"/>
        <family val="1"/>
        <charset val="186"/>
      </rPr>
      <t>(pakalpojuma izmaksas kopā, dalītas ar maksas pakalpojuma vienību skaitu noteiktā laikposmā)</t>
    </r>
  </si>
  <si>
    <t>Nekustamā īpašuma uzturēšana</t>
  </si>
  <si>
    <t>2.2.</t>
  </si>
  <si>
    <t>2.3.</t>
  </si>
  <si>
    <t>Vēnas punkcija ar 1 vakutaineri</t>
  </si>
  <si>
    <t>2.4.</t>
  </si>
  <si>
    <t>Vēnas punkcija ar 2 vai vairāk vakutaineriem</t>
  </si>
  <si>
    <t>2.5.</t>
  </si>
  <si>
    <t>2.6.</t>
  </si>
  <si>
    <t>A apakšgrupas (A1 un A2) precizēšana ABO sistēmā ar lektīniem, stobriņu metodi</t>
  </si>
  <si>
    <t>2.7.</t>
  </si>
  <si>
    <t>2.8.</t>
  </si>
  <si>
    <t>2.9.</t>
  </si>
  <si>
    <t>2.10.</t>
  </si>
  <si>
    <t>Rh(D) noteikšana ar plaknes metodi</t>
  </si>
  <si>
    <t>2.11.</t>
  </si>
  <si>
    <t>Rh fenotipa CcEe un Kell antigēna noteikšana ar gelkaršu metodi</t>
  </si>
  <si>
    <t>2.12.</t>
  </si>
  <si>
    <t>Eritrocitāra antigēna noteikšana ar gelkaršu metodi.</t>
  </si>
  <si>
    <t>2.13.</t>
  </si>
  <si>
    <t>2.14.</t>
  </si>
  <si>
    <t>2.15.</t>
  </si>
  <si>
    <t>D antigēna apstiprināšana ar gelkaršu metodi, netiešo antiglobulīna testu, ar karti Coombs anti IgG un parciālā D antigēna noteikšanas komplektu</t>
  </si>
  <si>
    <t>2.16.</t>
  </si>
  <si>
    <t>Antieritrocitāro antivielu skrīnings ar gelkaršu metodi, netiešo antiglobulīna testu (1/2 karte Liss Coombs)</t>
  </si>
  <si>
    <t>2.17.</t>
  </si>
  <si>
    <t>2.18.</t>
  </si>
  <si>
    <t>2.19.</t>
  </si>
  <si>
    <t>2.20.</t>
  </si>
  <si>
    <t>Antieritrocitāro antivielu identifikācija ar gelkaršu metodi, netiešais antiglobulīna tests izmantojot papildus paneli ID Dia Panel Plus ( 1 karte Liss /Coombs). Steidzami!</t>
  </si>
  <si>
    <t>2.21.</t>
  </si>
  <si>
    <t>2.22.</t>
  </si>
  <si>
    <t>2.23.</t>
  </si>
  <si>
    <t>2.24.</t>
  </si>
  <si>
    <t>2.25.</t>
  </si>
  <si>
    <t>2.26.</t>
  </si>
  <si>
    <t>Tiešais antiglobulīna tests (DAT) ar gelkaršu metodi</t>
  </si>
  <si>
    <t>2.27.</t>
  </si>
  <si>
    <t>2.28.</t>
  </si>
  <si>
    <t>Tiešā antiglobulīna testa diferencēšana IgG;C3d,ctl ar gelkaršu metodi</t>
  </si>
  <si>
    <t>2.29.</t>
  </si>
  <si>
    <t>Eluāta iegūšana no DAT pozitīviem eritrocītiem ar Dia Cidel</t>
  </si>
  <si>
    <t>2.30.</t>
  </si>
  <si>
    <t>2.31.</t>
  </si>
  <si>
    <t>2.32.</t>
  </si>
  <si>
    <t>2.33.</t>
  </si>
  <si>
    <t>Tiešā antiglobulīna testa diferencēšana (IgG;IgA;IgM;C3c;C3d;ctl) ar gelkaršu metodi</t>
  </si>
  <si>
    <t>2.34.</t>
  </si>
  <si>
    <t>Vecajā cenā + ārsts laborants</t>
  </si>
  <si>
    <t>Aparatūras nolietojums</t>
  </si>
  <si>
    <t>Steidzami</t>
  </si>
  <si>
    <t>Iekārtu nolietojums</t>
  </si>
  <si>
    <t>Vecā cena  2.36</t>
  </si>
  <si>
    <t>Aparatūras  nolietojums</t>
  </si>
  <si>
    <t xml:space="preserve">Zāles, ķimikālijas, laboratorijas preces. </t>
  </si>
  <si>
    <t>Antieritrocitāro antivielu identifikācija ar gelkaršu metodi, netiešais antiglobulīna tests (2 kartes Liss/Coombs)</t>
  </si>
  <si>
    <t>Antieritrocitāro antivielu identifikācija ar gelkaršu metodi, netiešais antiglobulīna tests izmantojot papildus paneli ID Dia Panel Plus (1 karte Liss /Coombs)</t>
  </si>
  <si>
    <t>Eritrocitāru antigēnu M,N,S,s,Fya,Fyb kompleksa noteikšana ar gelkaršu metodi (ag profils III)</t>
  </si>
  <si>
    <t>Eritrocitāru antigēnu P1,Lea,Leb,Lua, Lub vai K,Kpa,Kpb,ka,kb kompleksa noteikšana ar gelkaršu metodi (ag profils I vai II)</t>
  </si>
  <si>
    <t>`</t>
  </si>
  <si>
    <t>Izmaksu apjoms 1 izmeklējumam (euro)</t>
  </si>
  <si>
    <t>1.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</si>
  <si>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</si>
  <si>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</si>
  <si>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</si>
  <si>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</si>
  <si>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</si>
  <si>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</si>
  <si>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</si>
  <si>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</si>
  <si>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</si>
  <si>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</si>
  <si>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</si>
  <si>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</si>
  <si>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</si>
  <si>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Mācību organizēšana</t>
  </si>
  <si>
    <t>Kursi transfuzioloģijā Asins dienesta ārstiem (4 dienas)</t>
  </si>
  <si>
    <t>Seminārs transfuzioloģijā (1 diena)</t>
  </si>
  <si>
    <t>Izbraukuma  seminārs transfuzioloģijā (2 dienas)</t>
  </si>
  <si>
    <t>Imūnhematoloģijas apmācības kursi ārstiem ar priekšzināšanām (3 dienas)</t>
  </si>
  <si>
    <t>Imūnhematoloģijas apmācības kursi ārstiem bez priekšzināšanām (10 dienas)</t>
  </si>
  <si>
    <t>Imūnhematoloģijas apmācības kursi laborantiem ar priekšzināšanām (3 dienas)</t>
  </si>
  <si>
    <t>Imūnhematoloģijas apmācības kursi laborantiem bez priekšzināšanām (10 dienas)</t>
  </si>
  <si>
    <t>Kursi transfuzioloģijā slimnīcu medicīnas māsām (2 dienas)</t>
  </si>
  <si>
    <t>Kursi transfuzioloģijā asins dienesta medicīnas māsām (4 dienas)</t>
  </si>
  <si>
    <t>Vienas dienas izbraukuma lekcijas Rīgā</t>
  </si>
  <si>
    <t>Vienas dienas izbraukuma seminārs ārpus Rīgas</t>
  </si>
  <si>
    <t>Kursi "Klīniskā transfuzioloģija" (1 diena)</t>
  </si>
  <si>
    <t>Kursi "Klīniskā transfuzioloģija" (2 dienas)</t>
  </si>
  <si>
    <t>2.</t>
  </si>
  <si>
    <t>Izmeklējumi</t>
  </si>
  <si>
    <t>Reaģentu, materiālu izmaksas praktiskajām nodarbībām (skat.pielikums).</t>
  </si>
  <si>
    <t xml:space="preserve">Netiešās izmaksas </t>
  </si>
  <si>
    <t>Pakalpojumu izmaksas kopā (bez PVN)</t>
  </si>
  <si>
    <t>PVN 21%</t>
  </si>
  <si>
    <t>Pakalpojumu izmaksas kopā (ar PVN) vienam dalībniekam</t>
  </si>
  <si>
    <t>Netiešās izmaksas</t>
  </si>
  <si>
    <t>Izmaksu apjoms 1 dalībniekam   (euro)</t>
  </si>
  <si>
    <t>Dienas nauda</t>
  </si>
  <si>
    <t>Izdevumi par braucienu uz komandējuma vietu un atpakaļ</t>
  </si>
  <si>
    <t>Izdevumi par viesnīcu Latvijā</t>
  </si>
  <si>
    <t xml:space="preserve">Pakalpojumu izmaksas kopā (ar PVN) vienam semināram </t>
  </si>
  <si>
    <t xml:space="preserve">Zāles, ķimikālijas, laboratorijas preces </t>
  </si>
  <si>
    <t>Izdevumi par braucienu uz lekciju vietu un atpakaļ</t>
  </si>
  <si>
    <t>Pakalpojumu izmaksas kopā (ar PVN) vienam semināram dalībniekam</t>
  </si>
  <si>
    <t>Izmaksu apjoms 1 semināram   (euro)</t>
  </si>
  <si>
    <t>2.35.</t>
  </si>
  <si>
    <t>2.36.</t>
  </si>
  <si>
    <t>HBsAg noteikšana ar ECLIA metodi (Cobas,Roche)</t>
  </si>
  <si>
    <t>Iekārtu tehniskā apkope, remonts</t>
  </si>
  <si>
    <t>Nekustamā īpašuma apdrošināšana</t>
  </si>
  <si>
    <t>Datortehnikas nolietojums</t>
  </si>
  <si>
    <t>Izmeklējuma veikšanai neizmanto tehnoloģiskās iekārtas</t>
  </si>
  <si>
    <t>Tehnoloģiskās iekārtas</t>
  </si>
  <si>
    <t xml:space="preserve"> Izmeklējuma veikšanai izmanto Sistēmu seroloģiskajam skrīningam asins paraugos Cobas 6000. Gada nolietojums sastāda 0 euro. iekārta nodota bez atlīdzības ar 0 vērtību.</t>
  </si>
  <si>
    <t>1.14.</t>
  </si>
  <si>
    <t>Lekcija (1 stunda)</t>
  </si>
  <si>
    <t>Zāles, ķimikālijas, laboratorijas preces</t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</si>
  <si>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3,9751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- 126,41 euro. Semināru telpas izmaksas vienai dienai 0,35 euro.  Plānotais dalībnieku skaits vienā kursā 10. Vienam dalībniekam 0,35:10 = 0,04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</si>
  <si>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9,3091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- 296,03 euro. Semināru telpas izmaksas vienai dienai 0,81 euro. Plānotais dalībnieku skaits vienā kursā 10. Vienam dalībniekam 0,81:10 = 0,08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</si>
  <si>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0,7425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- 23,61 euro. Semināru telpas izmaksas vienai dienai 0,06 euro. Plānotais dalībnieku skaits vienā kursā 10 . Vienam dalībniekam 0,06:10 = 0,01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</si>
  <si>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17,9657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- 571,31 euro. Semināru telpas izmaksas vienai dienai 1,57 euro. Plānotais dalībnieku skaits vienā kursā 10 . Vienam dalībniekam 1,57:10 = 0,16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</si>
  <si>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3,9751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- 126,41 euro. Semināru telpas izmaksas vienai dienai 0,35 euro.  Plānotais dalībnieku skaits vienā kursā 15. Vienam dalībniekam 0,35:15 = 0,02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</si>
  <si>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9,3091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- 296,03 euro. Semināru telpas izmaksas vienai dienai 0,81 euro. Plānotais dalībnieku skaits vienā kursā 15. Vienam dalībniekam 0,81 : 15 = 0,05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</si>
  <si>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17,9657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- 571,31 euro. Semināru telpas izmaksas vienai dienai 1,57 euro. Plānotais dalībnieku skaits vienā kursā 15. Vienam dalībniekam 1,57 : 15 = 0,10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</si>
  <si>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9,43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- 299,87 euro. Semināru telpas izmaksas vienai dienai 0,82 euro. Plānotais dalībnieku skaits vienā kursā 15. Vienam dalībniekam 0,82 : 15 = 0,05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</si>
  <si>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1,0184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- 32,38 euro. Semināru telpas izmaksas vienai dienai 0,09 euro. Plānotais dalībnieku skaits vienā kursā 10. Vienam dalībniekam 0,09 : 10 = 0,01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</si>
  <si>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17,9657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- 571,31 euro. Semināru telpas izmaksas vienai dienai 1,57 euro. 2 dienu kursi  1,57 euro * 2 dienas = 3,14 euro. Plānotais dalībnieku skaits vienā kursā 15. Vienam dalībniekam 3,14 : 15 = 0,21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</si>
  <si>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4,1165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-130,90 euro. Semināru telpas izmaksas vienai dienai 0,36 euro. 2 dienu kursi  0,36 euro * 2 dienas = 0,72 euro. Plānotais dalībnieku skaits vienā kursā 15. Vienam dalībniekam 0,72 : 15 = 0,05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</si>
  <si>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9,3091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- 296,03 euro. Semināru telpas izmaksas vienai dienai 0,81 euro; vienai stundai 0,81 euro: 8 d.stundas  =  0,10 euro.  Plānotais dalībnieku skaits vienā kursā 10. Vienam dalībniekam 0,10 : 10 = 0,01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</si>
  <si>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0,7425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- 23,61 euro. Semināru telpas izmaksas vienai dienai 0,06 euro; vienai stundai 0,06 : 8 d.stundas = 0,008 euro. Plānotais dalībnieku skaits vienā kursā 10 . Vienam dalībniekam 0,008 : 10 = 0,001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</si>
  <si>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17,9657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- 571,31 euro. Semināru telpas izmaksas vienai dienai 1,57 euro; vienai stundai 1,57 euro : 8d.stundas = 0,20 euro. Plānotais dalībnieku skaits vienā kursā 10. Vienam dalībniekam 0,20 : 10 = 0,02 euro.</t>
    </r>
  </si>
  <si>
    <r>
      <t>Administratīvie izdevumi, kas nodrošina iestādes vispārējo darbu , lai varētu sniegt pakalpojumus. Administratīvās izmaksas (CV, FD,AD) vidēji uz 1m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 xml:space="preserve"> gadā sastāda 1,9903 euro. Semināru telpa -31,8 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>. Semināru telpas gada izmaksas -63,29 euro, vienai dienai - 0,17 euro; vienai stundai 0,17 euro : 8 d.stundas = 0,02 euro. Plānotais dalībnieku skaits vienā kursā 10. Vienam dalībniekam 0,02 : 10 = 0,002 euro.</t>
    </r>
  </si>
  <si>
    <t>Gada faktiskās izmaksas sastāda 372,23 euro. Vidējie mēneša izdevumi par ūdeni un kanalizāciju sastāda 372,23 : 12 = 31,02 euro). Izdevumi uz 1 izmeklējumu 31,02 : 18154 izmeklējumi = 0,002 euro. Gadā plānots 100 * 0,002 = 0,20 euro.</t>
  </si>
  <si>
    <t>Gada faktiskās izmaksas  6459,25 euro. Vidējie mēneša izdevumi par elektroenerģiju sastāda 6459,25 : 12 = 538,27 euro. Izdevumi uz 1 izmeklējumu 538,27 : 18154 izmeklējumi = 0,03 euro. Gadā plānots 100 * 0,03 = 3,00 euro.</t>
  </si>
  <si>
    <t>Gada apsaimniekošanas izmaksas sastāda 4601,30 euro. Vidējie mēneša izdevumi par apsaimniekošanu sastāda  kopā 383,44 euro 4601,30  : 12 = 383,44 euro). Izdevumi uz 1 izmeklējumu 383,44 : 18154 izmeklējumi = 0,02 euro. Gadā plānots 0,02 x100 = 2,00 euro.</t>
  </si>
  <si>
    <t>Gada izmaksas sastāda 117,09 euro. Vidējie mēneša izdevumi par specapģērbu mazgāšanu sastāda 9,76 euro (117,09 : 12mēneši). Izdevumi uz 1 izmeklējumu sastāda 9,76 : 18154 izmeklējumi = 0,001 euro. Gada apjoms 100 * 0,001 euro = 0,10 euro.</t>
  </si>
  <si>
    <t>Gada biroja preču izlietojums sastāda 659,92 euro. Vidējie mēneša izdevumi par biroja precēm sastāda 54,99 euro (659,92 : 12 = 54,99 euro). Izdevumi uz 1 izmeklējumu sastāda 54,99 :18154 izmeklējumi = 0,003 euro. Gadā plānots 100 * 0,003 euro = 0,30 euro.</t>
  </si>
  <si>
    <t>Gada nolietojums sastāda 404,20 euro. Vidējie mēneša izdevumi 33,68 euro (404,20 : 12 = 33,68 euro). Izdevumi uz 1 izmeklējumi sastāda  0,002 euro (33,68 : 18514 izmeklējumi = 0,002 euro). Gadā plānots 0,002 * 100 = 0,20 euro.</t>
  </si>
  <si>
    <t>Gada faktiskās izmaksas sastāda 372,23 euro.Vidējie mēneša izdevumi par ūdeni un kanalizāciju sastāda 372,23 : 12 = 31,02 euro). Izdevumi uz 1 izmeklējumu 31,02 : 18154 izmeklējumi = 0,002 euro. Gadā plānots 100 * 0,002 = 0,20 euro.</t>
  </si>
  <si>
    <t>Gada izmaksas sastāda 80,22 euro. Vidējie mēneša izdevumi par remonta un uzturēšanas materiāliem sastāda 6,69euro ( 80,22 : 12 = 6,69 euro) (papīra dvieļi-16,24 euro,atkritumu maisiem 16,92 euro,universālam mazgāšanas līdzeklim 0,58 euro, lupatām 4,57 euro, švammēm 1,46 euro, tīrīšanas pastai 0,35 euro). Izdevumi uz 1 izmeklējumu sastāda6,69 : 18154 izmeklējumi = 0,0004 euro. Gadā plānots 100 * 0,0004 euro = 0,04 euro.</t>
  </si>
  <si>
    <t>Gada biroja preču izlietojums sastāda 659,92 euro. Vidējie mēneša izdevumi par biroja precēm sastāda 54,99 euro ( 659,92 : 12 = 54,99 euro ). Izdevumi uz 1 izmeklējumu sastāda 54,99 : 18154 izmeklējumi = 0,003euro. Gadā plānots 100 * 0,003 euro = 0,30 euro.</t>
  </si>
  <si>
    <t>Gada faktiskās izmaksas sastāda 372,23 euro.Vidējie mēneša izdevumi par ūdeni un kanalizāciju sastāda 372,23 : 12 = 31,02 euro). Izdevumi uz 1 izmeklējumu 31,02 : 18154 izmeklējumi = 0,002 euro. Gadā plānots 1500 * 0,002 = 3,00 euro.</t>
  </si>
  <si>
    <t>Gada faktiskās izmaksas  6459,25 euro. Vidējie mēneša izdevumi par elektroenerģiju sastāda 6459,25 : 12 = 538,27 euro. Izdevumi uz 1 izmeklējumu 538,27 : 18154 izmeklējumi = 0,03 euro. Gadā plānots 1500 * 0,03 = 45,00 euro.</t>
  </si>
  <si>
    <t>Gada apsaimniekošanas izmaksas sastāda 4601,30 euro. Vidējie mēneša izdevumi par apsaimniekošanu sastāda  kopā 383,44 euro 4601,30 : 12 = 383,44 euro). Izdevumi uz 1 izmeklējumu 383,44 : 18154 izmeklējumi = 0,02euro. Gadā plānots 0,02 * 1500 = 31,65 euro.</t>
  </si>
  <si>
    <t>Gada faktiskās izmaksas sastāda 372,23 euro.Vidējie mēneša izdevumi par ūdeni un kanalizāciju sastāda 372,23 : 12 = 31,02 euro). Izdevumi uz 1 izmeklējumu 31,02 : 18154 izmeklējumi = 0,002 euro. Gadā plānots 60 * 0,002 = 0,12 euro.</t>
  </si>
  <si>
    <t>Gada apsaimniekošanas izmaksas sastāda 4601,30 euro. Vidējie mēneša izdevumi par apsaimniekošanu sastāda  kopā 383,44 euro 4601,30 : 12 = 383,44 euro). Izdevumi uz 1 izmeklējumu 383,44 : 18154 izmeklējumi = 0,02euro. Gadā plānots 0,02 * 60 = 1,27 euro.</t>
  </si>
  <si>
    <t>Gada apsaimniekošanas izmaksas sastāda 4601,30 euro. Vidējie mēneša izdevumi par apsaimniekošanu sastāda  kopā 383,44 euro 4601,30 : 12 = 383,44 euro). Izdevumi uz 1 izmeklējumu 383,44 : 18154 izmeklējumi = 0,02 euro. Gadā plānots 0,02 * 27 = 0,57 euro.</t>
  </si>
  <si>
    <t>Kopējās gada izmaksas sastāda 60,30 euro.Vidējās izmaksas mēnesī sastāda 5,03 euro ( 60,30 :12 = 5,03 euro). Izdevumi uz 1 izmeklējumu sastāda 5,03 euro : 18154 izmeklējumi = 0,0003 euro. Gadā plānots 27 *  0,0003 = 0,01 euro.</t>
  </si>
  <si>
    <t>1 izmeklējuma veikšanai nepieciešams 2,74 euro, tai skaitā: 1) Diulents- 2  0,5 ml -0,18 euro; 2) karte Dia Clon ABO/D (VI-)+ reverse grouping -1 gb. - 2,17 euro; 3) vienreizējās lietošanas cimdi pāris - 0,04 euro; 4) 5% standarteritrocītu komplekts ABO asins grupas noteikšanai ar apgriezto reakciju A1;B (Hematest) (3x5) - 0,1 ml.- 0,25 euro; 5) transferpipete 3,5 ml nesterila  1 gb.- 0,02 euro.; 6) mēģenes ar apaļu pamatni 1 gb.- 0,01 euro; 7) FT 250 Universal 0,5-250 uL uzgaļi 2 gb.- 0,07 euro. Gadā plānots 97 * 2,74 = 265,78 euro.</t>
  </si>
  <si>
    <t>Gada faktiskās izmaksas sastāda 372,23 euro.Vidējie mēneša izdevumi par ūdeni un kanalizāciju sastāda 372,23 : 12 = 31,02 euro). Izdevumi uz 1 izmeklējumu 31,02 : 18154 izmeklējumi = 0,002 euro. Gadā plānots 20 * 0,002 = 0,03 euro.</t>
  </si>
  <si>
    <t>Gada faktiskās izmaksas  6459,25 euro. Vidējie mēneša izdevumi par elektroenerģiju sastāda 6459,25 : 12 = 538,27 euro. Izdevumi uz 1 izmeklējumu 538,27 : 18154 izmeklējumi = 0,03 euro. Gadā plānots 20 * 0,03 = 0,60 euro.</t>
  </si>
  <si>
    <t>Gada apsaimniekošanas izmaksas sastāda 4601,30 euro. Vidējie mēneša izdevumi par apsaimniekošanu sastāda  kopā 383,44 euro 4601,30 : 12 = 383,44 euro). Izdevumi uz 1 izmeklējumu 383,44 : 18154 izmeklējumi = 0,02 euro. Gadā plānots 0,02 * 20 = 0,42 euro.</t>
  </si>
  <si>
    <t>Gada faktiskās izmaksas  6459,25 euro. Vidējie mēneša izdevumi par elektroenerģiju sastāda 6459,25 : 12 = 538,27 euro. Izdevumi uz 1 izmeklējumu 538,27 : 18154 izmeklējumi = 0,03 euro. Gadā plānots 150 * 0,03 = 4,50 euro.</t>
  </si>
  <si>
    <t>Gada apsaimniekošanas izmaksas sastāda 4601,30 euro. Vidējie mēneša izdevumi par apsaimniekošanu sastāda  kopā 383,44 euro 4601,30 : 12 = 383,44 euro). Izdevumi uz 1 izmeklējumu 383,44 : 18154 izmeklējumi = 0,02 euro. Gadā plānots 0,02 * 150 = 3,17 euro.</t>
  </si>
  <si>
    <t>Gada faktiskās izmaksas sastāda 372,23 euro.Vidējie mēneša izdevumi par ūdeni un kanalizāciju sastāda 372,23 : 12 = 31,02 euro). Izdevumi uz 1 izmeklējumu 31,02 : 18154 izmeklējumi = 0,002 euro. Gadā plānots 180 * 0,002 = 0,31 euro.</t>
  </si>
  <si>
    <t>Gada apsaimniekošanas izmaksas sastāda 4601,30 euro. Vidējie mēneša izdevumi par apsaimniekošanu sastāda  kopā 383,44 euro 4601,30 : 12 = 383,44 euro). Izdevumi uz 1 izmeklējumu 383,44 : 18154 izmeklējumi = 0,02 euro. Gadā plānots 0,02 * 180 = 3,80 euro.</t>
  </si>
  <si>
    <t>Gada apsaimniekošanas izmaksas sastāda 4601,30 euro. Vidējie mēneša izdevumi par apsaimniekošanu sastāda  kopā 383,44 euro 4601,30 : 12 = 383,44 euro). Izdevumi uz 1 izmeklējumu 383,44 : 18154 izmeklējumi = 0,02 euro. Gadā plānots 0,02 * 1500 = 31,65 euro.</t>
  </si>
  <si>
    <t>Gada faktiskās izmaksas sastāda 372,23 euro.Vidējie mēneša izdevumi par ūdeni un kanalizāciju sastāda 372,23 : 12 = 31,02 euro). Izdevumi uz 1 izmeklējumu 31,02 : 18154 izmeklējumi = 0,002 euro. Gadā plānots 60 * 0,002 = 0,10 euro.</t>
  </si>
  <si>
    <t>Gada faktiskās izmaksas sastāda 372,23 euro.Vidējie mēneša izdevumi par ūdeni un kanalizāciju sastāda 372,23 : 12 = 31,02 euro). Izdevumi uz 1 izmeklējumu 31,02 : 18154 izmeklējumi = 0,002 euro. Gadā plānots 700 * 0,002 = 1,19 euro.</t>
  </si>
  <si>
    <t>Kopējās gada izmaksas sastāda 60,30 euro.Vidējās izmaksas mēnesī sastāda 5,03 euro ( 60,30 :12 = 5,03 euro). Izdevumi uz 1 izmeklējumu sastāda 5,03 euro : 18154 izmeklējumi = 0,0003 euro. Gadā plānots 700 *  0,0003 = 0,21 euro.</t>
  </si>
  <si>
    <t>Gada apsaimniekošanas izmaksas sastāda 4601,30 euro. Vidējie mēneša izdevumi par apsaimniekošanu sastāda  kopā 383,44 euro 4601,30 : 12 = 383,44 euro). Izdevumi uz 1 izmeklējumu 383,44 : 18154 izmeklējumi = 0,02 euro. Gadā plānots 0,02 * 400 = 8,44 euro.</t>
  </si>
  <si>
    <t>Gada faktiskās izmaksas 3619,8 euro.Vidējie mēneša izdevumi par apkuri sastāda 3619,08 : 12 = 301,59 euro. Izdevumi apkurei uz 1 izmeklējumu 301,59 : 18154 izmeklējumi = 0,02 euro. Gadā 30 * 0,02 = 0,50 euro.</t>
  </si>
  <si>
    <t>Gada faktiskās izmaksas sastāda 372,23 euro.Vidējie mēneša izdevumi par ūdeni un kanalizāciju sastāda 372,23 : 12 = 31,02 euro). Izdevumi uz 1 izmeklējumu 31,02 : 18154 izmeklējumi = 0,002 euro. Gadā plānots 30 * 0,002 = 0,05 euro.</t>
  </si>
  <si>
    <t>Gada faktiskās izmaksas  6459,25 euro. Vidējie mēneša izdevumi par elektroenerģiju sastāda 6459,25 : 12 = 538,27 euro. Izdevumi uz 1 izmeklējumu 538,27 : 18154 izmeklējumi = 0,03 euro. Gadā plānots 30 * 0,03 = 0,90 euro.</t>
  </si>
  <si>
    <t>Gada apsaimniekošanas izmaksas sastāda 4601,30 euro. Vidējie mēneša izdevumi par apsaimniekošanu sastāda  kopā 383,44 euro 4601,30 : 12 = 383,44 euro). Izdevumi uz 1 izmeklējumu 383,44 : 18154 izmeklējumi = 0,02 euro. Gadā plānots 0,02 * 30 = 0,63 euro.</t>
  </si>
  <si>
    <t>Gada biroja preču izlietojums sastāda 659,92 euro. Vidējie mēneša izdevumi par biroja precēm sastāda 54,99 euro ( 659,92 : 12 = 54,99 euro ). Izdevumi uz 1 izmeklējumu sastāda 54,99 : 18154 izmeklējumi = 0,003euro. Gadā plānots 30 * 0,003 euro = 0,09 euro.</t>
  </si>
  <si>
    <t>Kopējās gada izmaksas sastāda 60,30 euro.Vidējās izmaksas mēnesī sastāda 5,03 euro ( 60,30 :12 = 5,03 euro). Izdevumi uz 1 izmeklējumu sastāda 5,03 euro : 18154 izmeklējumi = 0,0003 euro. Gadā plānots 20 * 0,0003 = 0,01 euro.</t>
  </si>
  <si>
    <t>Gada faktiskās izmaksas  6459,25 euro. Vidējie mēneša izdevumi par elektroenerģiju sastāda 6459,25 : 12 = 538,27 euro. Izdevumi uz 1 izmeklējumu 538,27 : 18154 izmeklējumi = 0,03 euro. Gadā plānots 200 * 0,03 = 6,00 euro.</t>
  </si>
  <si>
    <t>Gada faktiskās izmaksas 346,27 euro. Vidējie mēneša izdevumi par atkritumu izvešanu sastāda 346,27 euro : 12 = 28,86 euro. Izdevumi uz 1 izmeklējumu28,86 : 18154 izmeklējumi = 0,002euro. Gadā plānots 200 * 0,002 = 0,32 euro.</t>
  </si>
  <si>
    <t>Gada apsaimniekošanas izmaksas sastāda 4601,30 euro. Vidējie mēneša izdevumi par apsaimniekošanu sastāda  kopā 383,44 euro 4601,30 : 12 = 383,44 euro). Izdevumi uz 1 izmeklējumu 383,44 : 18154 izmeklējumi = 0,02 euro. Gadā plānots 0,02 * 200 = 4,20 euro.</t>
  </si>
  <si>
    <t>Gada faktiskās izmaksas  6459,25 euro. Vidējie mēneša izdevumi par elektroenerģiju sastāda 6459,25 : 12 = 538,27 euro. Izdevumi uz 1 izmeklējumu 538,27 : 18154 izmeklējumi = 0,03 euro. Gadā plānots 10 * 0,03 = 0,30 euro.</t>
  </si>
  <si>
    <t>Gada apsaimniekošanas izmaksas sastāda 4601,30 euro. Vidējie mēneša izdevumi par apsaimniekošanu sastāda  kopā 383,44 euro 4601,30 : 12 = 383,44 euro). Izdevumi uz 1 izmeklējumu 383,44 : 18154 izmeklējumi = 0,02 euro. Gadā plānots 0,02 * 10 = 0,21 euro.</t>
  </si>
  <si>
    <t>Gada faktiskās izmaksas  6459,25 euro. Vidējie mēneša izdevumi par elektroenerģiju sastāda 6459,25 : 12 = 538,27 euro. Izdevumi uz 1 izmeklējumu 538,27 : 18154 izmeklējumi = 0,03 euro. Gadā plānots 900 * 0,03 = 27,00 euro.</t>
  </si>
  <si>
    <t>Gada faktiskās izmaksas 346,27 euro. Vidējie mēneša izdevumi par atkritumu izvešanu sastāda 346,27 euro : 12 = 28,86 euro. Izdevumi uz 1 izmeklējumu28,86 : 18154 izmeklējumi = 0,002euro. Gadā plānots 900 * 0,002 = 1,44 euro.</t>
  </si>
  <si>
    <t>Gada faktiskās izmaksas sastāda 372,23 euro.Vidējie mēneša izdevumi par ūdeni un kanalizāciju sastāda 372,23 : 12 = 31,02 euro). Izdevumi uz 1 izmeklējumu 31,02 : 18154 izmeklējumi = 0,002 euro. Gadā plānots 99 * 0,002 = 0,17 euro.</t>
  </si>
  <si>
    <t>Gada faktiskās izmaksas  6459,25 euro. Vidējie mēneša izdevumi par elektroenerģiju sastāda 6459,25 : 12 = 538,27 euro. Izdevumi uz 1 izmeklējumu 538,27 : 18154 izmeklējumi = 0,03 euro. Gadā plānots 99 * 0,03 = 2,97 euro.</t>
  </si>
  <si>
    <t>Kopējās gada izmaksas sastāda 60,30 euro.Vidējās izmaksas mēnesī sastāda 5,03 euro ( 60,30 :12 = 5,03 euro). Izdevumi uz 1 izmeklējumu sastāda 5,03 euro : 18154 izmeklējumi = 0,0003 euro. Gadā plānots 99 * 0,0003 = 0,03 euro.</t>
  </si>
  <si>
    <t>Darba devēja valsts sociālās apdrošināšanas obligātās iemaksas, sociāla rakstura pabalsti un kompensācijas 2,20 * 23,59%</t>
  </si>
  <si>
    <t>Gada apsaimniekošanas izmaksas sastāda 4601,30 euro. Vidējie mēneša izdevumi par apsaimniekošanu sastāda  kopā 383,44 euro 4601,30 : 12 = 383,44 euro). Izdevumi uz 1 izmeklējumu 383,44 : 18154 izmeklējumi = 0,02 euro. Gadā plānots 0,02 * 100 = 2,10 euro.</t>
  </si>
  <si>
    <t xml:space="preserve"> </t>
  </si>
  <si>
    <t>Gada faktiskās izmaksas sastāda 372,23 euro.Vidējie mēneša izdevumi par ūdeni un kanalizāciju sastāda 372,23 : 12 = 31,02 euro). Izdevumi uz 1 izmeklējumu 31,02 : 18154 izmeklējumi = 0,002 euro. Gadā plānots 2000 * 0,002 = 3,40 euro.</t>
  </si>
  <si>
    <t>Gada faktiskās izmaksas  6459,25 euro. Vidējie mēneša izdevumi par elektroenerģiju sastāda 6459,25 : 12 = 538,27 euro. Izdevumi uz 1 izmeklējumu 538,27 : 18154 izmeklējumi = 0,03 euro. Gadā plānots 2000 * 0,03 = 60,00 euro.</t>
  </si>
  <si>
    <t>Gada faktiskās izmaksas  6459,25 euro. Vidējie mēneša izdevumi par elektroenerģiju sastāda 6459,25 : 12 = 538,27 euro. Izdevumi uz 1 izmeklējumu 538,27 : 18154 izmeklējumi = 0,03 euro. Gadā plānots 250 * 0,03 = 7,50 euro.</t>
  </si>
  <si>
    <t>Viena izmeklējuma veikšanu nodrošina sertificēts Ārsts-laborants (atalgojums mēnesī 1057 euro). Darba laika patēriņš 1 izmeklējuma veikšanai 30 minūtes. 1 minūtes darba izmaksas 1057euro : 166,17 stundas (vidējais darba stundu skaits mēnesī 2015.gadā) : 60 minūtes ir 1057 : 166,17 : 60 = 0,11 euro. 1 izmeklējuma veikšanas darba izmaksas 0,11 * 30 minūtes = 3,30 euro. Gadā plānots 200 * 3,30 = 660,00 euro.</t>
  </si>
  <si>
    <t>Viena izmeklējuma veikšanu nodrošina sertificēts Ārsts-laborants (atalgojums mēnesī 1057 euro). Darba laika patēriņš 1 izmeklējuma veikšanai 10 minūtes. 1 minūtes darba izmaksas 1057euro : 166,17 stundas (vidējais darba stundu skaits mēnesī 2015.gadā) : 60 minūtes ir 1057 : 166,17 : 60 = 0,11 euro. 1 izmeklējuma veikšanas darba izmaksas 0,11 * 10 minūtes = 1,10 euro. Gadā plānots 30 * 1,10 = 33,00 euro.</t>
  </si>
  <si>
    <t>1 izmeklējuma veikšanai nepieciešams 0,98 euro, tai skaitā: 1) vienreizējās lietošanas cimdi  pāris - 0,04 euro; 2) mēģene ar apaļu pamatni  1 gb.- 0,01 euro; 3) Transferpipete 3,5 ml nesterila 1 gb. - 0,02 euro; 4) FT 250 Universal 0,5-250 uL uzgaļi 1 gb. - 0,03 euro; 5) Karte Liss/Coombs 0,17 gb.- 0,70 euro; 6) Diulents - 2  0,5 ml.-0,18 euro. Gadā plānots 30 * 0,98 euro = 29,40 euro.</t>
  </si>
  <si>
    <t>Viena izmeklējuma veikšanu nodrošina sertificēts Ārsts-laborants (atalgojums mēnesī 1057 euro). Darba laika patēriņš 1 izmeklējuma veikšanai 10 minūtes. 1 minūtes darba izmaksas 1057 : 166,17 stundas (vidējais darba stundu skaits mēnesī 2015.gadā) : 60 minūtes ir 1057 : 166,17 : 60 = 0,11 euro. 1 izmeklējuma veikšanas darba izmaksas 0,11 * 10 minūtes =1,10 euro. Steidzama izmeklējuma veikšanai papildus nepieciešamas 13 minūtes - 0,11 * 13 minūtes = 1,43 euro. Kopā atalgojums 1,10 +1,43 = 2,53 euro. Gadā plānots 10 * 2,53 = 25,30 euro.</t>
  </si>
  <si>
    <t>Viena izmeklējuma veikšanu nodrošina sertificēts Ārsts-laborants (atalgojums mēnesī 1057 euro). Darba laika patēriņš 1 izmeklējuma veikšanai 15 minūtes. 1 minūtes darba izmaksas 1057 euro : 166,17 stundas (vidējais darba stundu skaits mēnesī 2015.gadā) : 60 minūtes ir 0,11 euro. 1 izmeklējuma veikšanas darba izmaksas 0,11 * 15minūtes = 1,65 euro. Gadā plānots 30 * 1,65 = 49,50 euro.</t>
  </si>
  <si>
    <t>Viena izmeklējuma veikšanu nodrošina sertificēts Ārsts-laborants (atalgojums mēnesī 1057 euro). Darba laika patēriņš 1 izmeklējuma veikšanai 15 minūtes. 1 minūtes darba izmaksas 1057euro : 166,17 stundas (vidējais darba stundu skaits mēnesī 2015.gadā) : 60 minūtes ir  1057 : 166,17 : 60 = 0,11 euro. 1 izmeklējuma veikšanas darba izmaksas 0,11 * 15minūtes = 1,65 euro. Gadā plānots 80 * 1,65 euro = 132,00 euro.</t>
  </si>
  <si>
    <t>Gada faktiskās izmaksas  6459,25 euro. Vidējie mēneša izdevumi par elektroenerģiju sastāda 6459,25 : 12 = 538,27 euro. Izdevumi uz 1 izmeklējumu 538,27 : 18154 izmeklējumi = 0,03 euro. Gadā plānots 80 * 0,03 = 2,40 euro.</t>
  </si>
  <si>
    <t>Viena izmeklējuma veikšanu nodrošina sertificēts Ārsts-laborants (atalgojums mēnesī 1057 euro). Darba laika patēriņš 1 izmeklējuma veikšanai 10 minūtes. 1 minūtes darba izmaksas 1057 : 166,17 stundas (vidējais darba stundu skaits mēnesī 2015.gadā) : 60 minūtes ir 1057 : 166,17 : 60 = 0,11 euro. 1 izmeklējuma veikšanas darba izmaksas 0,11 * 10 minūtes = 1,10 euro. Steidzama izmeklējuma veikšanai papildus nepieciešamas 13 minūtes - 0,11 * 13 minūtes = 1,43 euro. Kopā atalgojums 1,10 + 1,43 = 2,53 euro. Gadā plānots 2 * 2,53 = 5,06 euro.</t>
  </si>
  <si>
    <t>1 izmeklējuma veikšanai nepieciešams 3,01 euro, tai skaitā: 1) vienreizējās lietošanas cimdi pāris - 0,04 euro; 2) mēģene ar apaļu pamatni 3 gb. - 0,03 euro; 3) Transferpipete 3,5 ml nesterila 3 gb.- 0,06 euro; 4) Dia Cidel komplekts 0,5 gb. - 2,88 euro; Gadā plānots 2 * 3,01 euro = 6,02 euro.</t>
  </si>
  <si>
    <t>Gada faktiskās izmaksas  6459,25 euro. Vidējie mēneša izdevumi par elektroenerģiju sastāda 6459,25 : 12 = 538,27 euro. Izdevumi uz 1 izmeklējumu 538,27 : 18154 izmeklējumi = 0,03 euro. Gadā plānots 2 * 0,03 = 0,06 euro.</t>
  </si>
  <si>
    <t>Gada faktiskās izmaksas  6459,25 euro. Vidējie mēneša izdevumi par elektroenerģiju sastāda 6459,25 : 12 = 538,27 euro. Izdevumi uz 1 izmeklējumu 538,27 : 18154 izmeklējumi = 0,03 euro. Gadā plānots 4 * 0,03 = 0,12 euro.</t>
  </si>
  <si>
    <t>Kopējās gada izmaksas sastāda 60,30 euro.Vidējās izmaksas mēnesī sastāda 5,03 euro ( 60,30 :12 = 5,03 euro). Izdevumi uz 1 izmeklējumu sastāda 5,03 euro : 18154 izmeklējumi = 0,0003 euro. Gadā plānots 4 * 0,0003 = 0,001 euro.</t>
  </si>
  <si>
    <t>Viena izmeklējuma veikšanu nodrošina sertificēts Ārsts-laborants (atalgojums mēnesī 1057 euro). Darba laika patēriņš 1 izmeklējuma veikšanai 110 minūtes. 1 minūtes darba izmaksas 1057 euro : 166,17 stundas (vidējais darba stundu skaits mēnesī 2015.gadā) : 60 minūtes ir 1057 : 166,17 : 60 = 0,11 euro. 1 izmeklējuma veikšanas darba izmaksas 0,11 * 110 minūtes = 12,10 euro. Gadā plānots 5 * 12,10 = 60,50 euro.</t>
  </si>
  <si>
    <t>1 izmeklējuma veikšanai nepieciešams 2,62 euro, tai skaitā: 1) vienreizējās lietošanas cimdi pāris - 0,04 euro; 2) mēģene ar apaļu pamatni 15 gb.- 0,14 euro; 3) Transferpipete 3,5 ml nesterila  28 gb.- 0,59 euro; 4) 20% peg 4000 šķīdums (polietilēnglikols) 3 ml - 1,76 euro; 5) Na Cl fizioloģiskais šķīdums 100 ml - 0,09 euro. Gadā plānots 5 * 2,62 euro = 13,10 euro.</t>
  </si>
  <si>
    <t>Gada faktiskās izmaksas sastāda 372,23 euro.Vidējie mēneša izdevumi par ūdeni un kanalizāciju sastāda 372,23 : 12 = 31,02 euro). Izdevumi uz 1 izmeklējumu 31,02 : 18154 izmeklējumi = 0,002 euro. Gadā plānots 5 * 0,002 = 0,01 euro.</t>
  </si>
  <si>
    <t>Gada faktiskās izmaksas  6459,25 euro. Vidējie mēneša izdevumi par elektroenerģiju sastāda 6459,25 : 12 = 538,27 euro. Izdevumi uz 1 izmeklējumu 538,27 : 18154 izmeklējumi = 0,03 euro. Gadā plānots 5 * 0,03 = 0,15 euro.</t>
  </si>
  <si>
    <t>Gada apsaimniekošanas izmaksas sastāda 4601,30 euro. Vidējie mēneša izdevumi par apsaimniekošanu sastāda  kopā 383,44 euro 4601,30 : 12 = 383,44 euro). Izdevumi uz 1 izmeklējumu 383,44 : 18154 izmeklējumi = 0,02 euro. Gadā plānots 0,02 * 5 = 0,10 euro.</t>
  </si>
  <si>
    <t>Viena izmeklējuma veikšanu nodrošina sertificēts Ārsts-laborants (atalgojums mēnesī 1057 euro). Darba laika patēriņš 1 izmeklējuma veikšanai 5 minūtes. 1 minūtes darba izmaksas 1057 : 166,17 stundas (vidējais darba stundu skaits mēnesī 2015.gadā) : 60 minūtes ir 1057 : 166,17 : 60 = 0,11 euro. 1 izmeklējuma veikšanas darba izmaksas 0,11 * 5 minūtes = 0,55 euro. Gadā plānots 20 * 0,55 = 11,00 euro.</t>
  </si>
  <si>
    <t>1 izmeklējuma veikšanai nepieciešams 1,26 euro, tai skaitā: 1)HIV Combi PT Elcsys,cobas e 1 izm. - 1,10 euro; 2) Preci Control HIV Elcsy, cobas 1 izm. - 0,004 euro; 3) ProCellM, Clean Cell M, PreClean M, Assay tip/Cup, Probe Wash, PC/CC-CUPS 1 izm. - 0,10 euro; 4) vienreizējās lietošanas cimdi pāris - 0,06 euro. Gadā plānots 10 * 1,26 = 12,60 euro.</t>
  </si>
  <si>
    <t>Gada faktiskās izmaksas sastāda 4804,50 euro.Vidējie mēneša izdevumi par apkuri sastāda 4804,5 : 12 = 400,38 euro. Izdevumi apkurei uz 1 izmeklējumu 400,38 : 23775 izmeklējumi = 0,02 euro. Gadā plānots 10 * 0,02 = 0,20 euro.</t>
  </si>
  <si>
    <t>Gada faktiskās izmaksas sastāda 8574,98 euro. Vidējie mēneša izdevumi par elektroenerģiju sastāda 8574,98 : 12 = 714,58 euro. Izdevumi uz 1 izmeklējumu 714,58 : 23775izmeklējumi = 0,03 euro. Gadā plānots 10 * 0,03 = 0,30 euro.</t>
  </si>
  <si>
    <t>Administratīvie izdevumi, kas nodrošina iestādes vispārējo darbu, atbilstoši iekšējam normatīvam aktam Nr.1-24.6/14/SIN-002 (09.12.2014.g.) "Uzskaites izcenojumu (pašizmaksa) noteikšana, pārskatīšana un apstiprināšana" izmaksu sadalījums pēc funkcijām (I.līmenis) noteikts, ka no Vadības funkciju veicēju (Centra vadība, Administratīvais departaments, Finanšu departaments) kopējām izmaksām 3.05% tiek sadalīti maksas pakalpojumu veikšanai. Vadības funkciju veicēju kopējās 2014.gada faktiskās izmaksas sastāda 472868,13 euro, kur 3,05 % euro sastāda 14422,48 euro gadā. Administratīvās izmaksas (CV,AD,FD) mēnesī sastāda 1201,87 euro (14422,48 : 12 = 1201,87 ). Izdevumi uz 1 izmeklējumu sastāda 1201,87 : 23775 izmeklējumi = 0,05 euro. Gadā plānots 10 * 0,05 = 0,50 euro.</t>
  </si>
  <si>
    <t>Gada izdevumi iekārtu tehniskai apkopei un remontam 9145.72 euro. Vidējie mēneša izdevumi 762,14 euro (9145,72 : 12 = 762,14 ). Izdevumi uz 1 izmeklējumu sastāda 0,032 euro (762,14 : 23775 = 0,032). Gadā plānots 10 * 0,032 = 0,32 euro.</t>
  </si>
  <si>
    <t>Gada faktiskās izmaksas sastāda 6108,46 euro.Vidējie mēneša izdevumi par apsaimniekošanu sastāda  kopā 6108,46 : 12 = 509,04 euro. Izdevumi uz 1 izmeklējumu 509,04 : 23775 = 0,02 euro. Gadā plānots 10 * 0,02 = 0,20 euro.</t>
  </si>
  <si>
    <t xml:space="preserve"> Gada faktiskās izmaksas sastāda 35,21 euro. Paklāju maiņas vidējās izmaksas mēnesī sastāda  35,21 : 12 = 2,93 euro. Izdevumi uz 1 izmeklējumu sastāda 2,93 euro : 23775 = 0,0001 euro. Gadā plānots 10* 0,0001 euro = 0,001 euro.</t>
  </si>
  <si>
    <t>Gada faktiskās izmaksas sastāda 44,45 euro. Vidējie mēneša izdevumi par specapģērbu mazgāšanu sastāda 44,45 : 12 mēneši = 3,70 euro. Izdevumi uz 1 izmeklējumu sastāda3,70 : 23775 = 0,0002 euro. Gadā plānots 10 * 0,0002 = 0,002 euro.</t>
  </si>
  <si>
    <t>Gada faktiskās izmaksas sastāda 422,15 euro. Vidējie mēneša izdevumi par biroja precēm sastāda 422,15 : 12 = 35,18 euro. Izdevumi uz 1 izmeklējumu sastāda 35,18 : 23775 = 0,001 euro. Gadā plānots 10 * 0,001 = 0,01 euro.</t>
  </si>
  <si>
    <t>Gada faktiskās izmaksas sastāda 4410,48 euro. Vidējie mēneša izdevumi par remonta un uzturēšanas materiāliem sastāda 4410,48 : 12=367,54 euro. Izdevumi uz 1 izmeklējumu sastāda 367,54 : 23775 = 0,02 euro. Gadā plānots 10 * 0,02 = 0,20 euro.</t>
  </si>
  <si>
    <t>Viena izmeklējuma veikšanu nodrošina sertificēts biomedicīnas laborants (atalgojums mēnesī 795 euro) un laboratorijas vadītājs (atalgojums mēnesī 1482 euro). Darba laika patēriņš 1 izmeklējuma veikšanai 18 minūtes biomedicīnas laborantam un 5 minūtes laboratorijas vadītājam. 1 minūtes darba izmaksas laborantam 795 euro : 166,17 stundas (vidējais darba stundu skaits mēnesī 2015.gadā) : 60 minūtes ir 795 : 166,17 : 60 = 0,08 euro, laboratorijas vadītājam 1482 : 166,17stundas : 60minūtes = 0,15 euro. 1 izmeklējuma veikšanas darba izmaksas 0,08 * 18 minūtes + 0,15 * 5 minūtes = 1,44 + 0,75 = 2,19 euro. Gadā plānots 10 * 2,19 = 21,90 euro.</t>
  </si>
  <si>
    <t>1 izmeklējuma veikšanai nepieciešams 1,73 euro, tai skaitā: 1) Syphilis Elcsys cobas e 100 1 izm.- 1,57euro; 2) Syphilis PC  Elcsys, 1 izm.- 0,004 euro; 3) ProCellM, Clean Cell M, PreClean M, Assay tip/Cup, Probe Wash, PC/CC-CUPS 1 izm.- 0,10 euro; 4) vienreizējās lietošanas cimdi pāris - 0,06 euro. Gadā plānots 10 *1,73 = 17,30 euro.</t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</si>
  <si>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3,9751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- 126,41 euro. Semināru telpas izmaksas vienai dienai 0,35 euro. 4 dienu kursi. 0,35 *4 dienas = 1,40 euro. Plānotais dalībnieku skaits vienā kursā 10. Vienam dalībniekam 1,40 : 10 = 0,14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</si>
  <si>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9,43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- 299,87 euro. Semināru telpas izmaksas vienai dienai 0,82 euro. 4 dienu kursi. 0,82 * 4 dienas = 3,28 euro. Plānotais dalībnieku skaits vienā kursā 10. Vienam dalībniekam 3,28 :10 = 0,33 euro.</t>
    </r>
  </si>
  <si>
    <r>
      <t>Administratīvie izdevumi, kas nodrošina iestādes vispārējo darbu , lai varētu sniegt pakalpojumus.Administratīvās izmaksas (CV, FD,AD) vidēji uz 1m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 xml:space="preserve"> gadā sastāda 1,9903 euro. Semināru telpa -31,8 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 xml:space="preserve"> . Semināru telpas gada izmaksas -63,29 euro, vienai dienai - 0,17 euro.  Plānotais dalībnieku skaits vienā kursā 10. Vienam dalībniekam 0,17 : 10 = 0,02 euro.</t>
    </r>
  </si>
  <si>
    <t xml:space="preserve">Visus 19 lektoru, kas piedalās mācību organizēšanā, mēnešalga kopā 24868,75 euro. Darba dienu skaits vidēji mēnesī ir 21, stundu skaits darba dienā -8. Aprēķins: 24868,75 euro: 19 lektori: 21 darba dienu skaits : 8 stundas = 7,79 euro/ stundā. 2 dienu izbraukuma seminārs, lekcijas teorija 14 stundas * 7,79 euro/stundā = 109,06 euro.  </t>
  </si>
  <si>
    <t xml:space="preserve">6 euro par katru komandējuma dienu. 2 lektori *  6 euro * 2 dienas = 24 euro                                                                        </t>
  </si>
  <si>
    <t xml:space="preserve">2 lektori * 12 euro * 2 virzieni = 48 euro                      </t>
  </si>
  <si>
    <t>43 euro * 2 lektori = 86 euro</t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</si>
  <si>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9,3091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- 296,03 euro. Semināru telpas izmaksas vienai dienai 0,81 euro. 3 dienu kursi. 0,81 euro * 3 dienas = 2,43 euro. Plānotais dalībnieku skaits vienā kursā 10. Vienam dalībniekam 2,43 : 10 = 0,24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</si>
  <si>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0,7425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- 23,61 euro. Semināru telpas izmaksas vienai dienai 0,06 euro. 3 dienu kursi. 0,06 euro * 3 dienas = 0,18 euro. Plānotais dalībnieku skaits vienā kursā 10. Vienam dalībniekam 0,18 : 10 = 0,02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</si>
  <si>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17,9657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- 571,31 euro. Semināru telpas izmaksas vienai dienai 1,57 euro. 3 dienu kursi. 1,57 euro * 3 dienas = 4,71 euro. Plānotais dalībnieku skaits vienā kursā 10. Vienam dalībniekam 4,71 : 10 = 0,47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</si>
  <si>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9,43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- 299,87 euro. Semināru telpas izmaksas vienai dienai 0,82 euro. 5 dienu kursi. 0,82 euro * 5 dienas = 4,10 euro. Plānotais dalībnieku skaits vienā kursā 10. Vienam dalībniekam 4,10 : 10 = 0,41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</si>
  <si>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1,0184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- 32,38 euro. Semināru telpas izmaksas vienai dienai 0,09 euro. 5 dienu kursi. 0,09 euro * 5 dienas = 0,45 euro. Plānotais dalībnieku skaits vienā kursā 10. Vienam dalībniekam 0,45 : 10 = 0,05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</si>
  <si>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4,1165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-130,90 euro. Semināru telpas izmaksas vienai dienai 0,36 euro. 3 dienu kursi. 0,36 euro * 3 dienas = 1,08 euro. Plānotais dalībnieku skaits vienā kursā 10. Vienam dalībniekam 1,08 : 10 = 0,11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</si>
  <si>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17,9657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- 571,31 euro. Semināru telpas izmaksas vienai dienai 1,57 euro. 10 dienu kursi. 1,57 * 10 dienas = 15, 70 euro. Plānotais dalībnieku skaits vienā kursā 10. Vienam dalībniekam 15,70 : 10 = 1,57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</si>
  <si>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1,0184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- 32,38 euro. Semināru telpas izmaksas vienai dienai 0,09 euro. 10 dienu kursi. 0,09 euro * 10 dienas = 0,90 euro. Plānotais dalībnieku skaits vienā kursā 10. Vienam dalībniekam 0,90 : 10 = 0,09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</si>
  <si>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4,1165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-130,90 euro. Semināru telpas izmaksas vienai dienai 0,36 euro. 10 dienu kursi. 0,36 euro * 10 dienas =  3,60 euro. Plānotais dalībnieku skaits vienā kursā 10. Vienam dalībniekam 3,60 : 10 = 0,36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</si>
  <si>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1,0184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- 32,38 euro. Semināru telpas izmaksas vienai dienai 0,09 euro. 3 dienu kursi. 0,09 euro * 3 dienas = 0,27 euro. Plānotais dalībnieku skaits vienā kursā 10. Vienam dalībniekam 0,27 : 10 = 0,03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</si>
  <si>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3,9751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- 126,41 euro. Semināru telpas izmaksas vienai dienai 0,35 euro. 10 dienu kursi. 0,35 euro * 10 dienas = 3,50 euro . Plānotais dalībnieku skaits vienā kursā 10 . Vienam dalībniekam 3,50 euro :10 = 0,35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</si>
  <si>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0,7425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- 23,61 euro. Semināru telpas izmaksas vienai dienai 0,06 euro. 10 dienu kursi. 0,06 euro * 10 dienas = 0,6 euro . Plānotais dalībnieku skaits vienā kursā 10. Vienam dalībniekam 0,6 : 10 = 0,06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</si>
  <si>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17,9657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- 571,31 euro. Semināru telpas izmaksas vienai dienai 1,57 euro. 10 dienu kursi. 1,57 euro * 10 dienas = 15, 70 euro . Plānotais dalībnieku skaits vienā kursā 10. Vienam dalībniekam 15,70 : 10 = 1,57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</si>
  <si>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9,43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- 299,87 euro. Semināru telpas izmaksas vienai dienai 0,82 euro. 10 dienu kursi. 0,82 euro * 10 dienas = 8,20 euro. Plānotais dalībnieku skaits vienā kursā 10. Vienam dalībniekam 8,20 : 10 = 0,82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</si>
  <si>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4,1165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-130,90 euro. Semināru telpas izmaksas vienai dienai 0,36 euro. 10 dienu kursi. 0,36 euro * 10 dienas =  3,60 euro. Plānotais dalībnieku skaits vienā kursā 10 . Vienam dalībniekam 3,60 : 10 = 0,36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</si>
  <si>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9,3091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- 296,03 euro. Semināru telpas izmaksas vienai dienai 0,35 euro. 2 dienu kursi. 0,35 euro * 2 dienas = 0,70 euro. Plānotais dalībnieku skaits vienā kursā 10. Vienam dalībniekam 0,70 : 10 = 0,07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</si>
  <si>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9,3091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- 296,03 euro. Semināru telpas izmaksas vienai dienai 0,81 euro. 2 dienu kursi. 0,81 euro * 2 dienas = 1,62 euro. Plānotais dalībnieku skaits vienā kursā 10. Vienam dalībniekam 1,62 : 10 = 0,16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</si>
  <si>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0,7425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- 23,61 euro. Semināru telpas izmaksas vienai dienai 0,06 euro. 2 dienu kursi. 0,06 euro * 2 dienas = 0,12 euro. Plānotais dalībnieku skaits vienā kursā 10. Vienam dalībniekam 0,12 : 10 = 0,01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</si>
  <si>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9,43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- 299,87 euro. Semināru telpas izmaksas vienai dienai 0,82 euro. 2 dienu kursi. 0,82 euro * 2 dienas = 1,64 euro. Plānotais dalībnieku skaits vienā kursā 10. Vienam dalībniekam 1,64 : 10 = 0,16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</si>
  <si>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1,0184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- 32,38 euro. Semināru telpas izmaksas vienai dienai 0,09 euro. 2 dienu kursi. 0,09 euro * 2 dienas = 0,18 euro. Plānotais dalībnieku skaits vienā kursā 10. Vienam dalībniekam 0,18 : 10 = 0,02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</si>
  <si>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4,1165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-130,90 euro. Semināru telpas izmaksas vienai dienai 0,36 euro. 2 dienu kursi. 0,36 euro * 2 dienas = 0,72 euro. Plānotais dalībnieku skaits vienā kursā 10. Vienam dalībniekam 0,72 : 10 = 0,07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</si>
  <si>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3,9751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- 126,41 euro. Semināru telpas izmaksas vienai dienai 0,35 euro. 4 dienu kursi. 0,35 euro * 4 dienas = 1,4 euro. Plānotais dalībnieku skaits vienā kursā 10. Vienam dalībniekam 1,4 : 10 = 0,14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</si>
  <si>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9,3091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- 296,03 euro. Semināru telpas izmaksas vienai dienai 0,81 euro. 4 dienu kursi. 0,81 euro * 4 dienas = 3,24 euro . Plānotais dalībnieku skaits vienā kursā 10 . Vienam dalībniekam 3,24 : 10 = 0,32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</si>
  <si>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0,7425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- 23,61 euro. Semināru telpas izmaksas vienai dienai 0,06 euro. 4 dienu kursi. 0,06 euro * 4 dienas = 0,2 euro. Plānotais dalībnieku skaits vienā kursā 10. Vienam dalībniekam 0,2 : 10 = 0,02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</si>
  <si>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17,9657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- 571,31 euro. Semināru telpas izmaksas vienai dienai 1,57 euro. 4 dienu kursi. 1,57 euro * 4 dienas = 6,28 euro. Plānotais dalībnieku skaits vienā kursā 10. Vienam dalībniekam 6,28 : 10 = 0,63 euro.</t>
    </r>
  </si>
  <si>
    <r>
      <t>Administratīvie izdevumi, kas nodrošina iestādes vispārējo darbu, lai varētu sniegt pakalpojumus. Administratīvās izmaksas (CV, FD, AD) vidēji uz 1m2 gadā sastāda 1,9903 euro. Semināru telpa -31,8 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>. Semināru telpas gada izmaksas -63,29 euro, vienai dienai - 0,17 euro. 0,17 euro * 4 dienas =0,68 euro. Plānotais dalībnieku skaits vienā kursā 10. Vienam dalībniekam 0,68 : 10 = 0,07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</si>
  <si>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9,43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- 299,87 euro. Semināru telpas izmaksas vienai dienai 0,82 euro. 4 dienu kursi. 0,82 euro * 4 dienas = 3,28 euro. Plānotais dalībnieku skaits vienā kursā 10. Vienam dalībniekam 3,28 : 10 = 0,33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</si>
  <si>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1,0184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- 32,38 euro. Semināru telpas izmaksas vienai dienai 0,09 euro. 4 dienu kursi. 0,09 euro * 4 dienas = 0,36 euro. Plānotais dalībnieku skaits vienā kursā 10. Vienam dalībniekam 0,36 : 10 = 0,04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</si>
  <si>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4,1165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-130,90 euro. Semināru telpas izmaksas vienai dienai 0,36 euro. 4 dienu kursi. 0,36 euro * 4 dienas = 1,44 euro. Plānotais dalībnieku skaits vienā kursā 10. Vienam dalībniekam 1,44 : 10 = 0,14 euro.</t>
    </r>
  </si>
  <si>
    <t>1 lektors * 1,15 euro sabiedriskā transporta biļete * 2 virzieni = 2,30 : 10 dalībniekiem = 0,23 euro</t>
  </si>
  <si>
    <r>
      <t xml:space="preserve">15 dalībnieki kursu grupā. 8 stundas lekcijas vada VADC darbinieki, 8 stundas vieslektors. Visu VADC 19 lektoru, kas piedalās mācību organizēšanā, mēnešalga kopā 24868,75 euro. Darba dienu skaits vidēji mēnesī ir 21, stundu skaits darba dienā - 8. Aprēķins: 24868,75 euro : 19 lektori : 21 darba dienu skaits : 8 stundas = 7,79 euro/ stundā.  7,79 euro/stundā : 15 dalībnieki = 0,52 euro/stundā. Lekcijas teorija 8 stundas (VADC) * 0,52 euro/ stundā = </t>
    </r>
    <r>
      <rPr>
        <b/>
        <sz val="11"/>
        <rFont val="Times New Roman"/>
        <family val="1"/>
        <charset val="186"/>
      </rPr>
      <t>4,16 euro</t>
    </r>
    <r>
      <rPr>
        <sz val="11"/>
        <rFont val="Times New Roman"/>
        <family val="1"/>
        <charset val="186"/>
      </rPr>
      <t>.  Vieslektoram izmaksājama autoratlīdzība 45,00 euro stundā ar nodokļiem. Aprēķins:  15% - 6,75 euro autora izdevumu apmērs. Aprēķina summu, no kuras rēķina IN. 45,00 euro - 6,75 euro = 38,25 euro. IN (iedz. ienākuma nodoklis) = 38,25 * 23% (IN) = 8,8 euro. 45,00 euro - 8,8 euro = 36,20 euro. 45,00  euro * 8 stundas vieslektora lekcija = 360 : 15 kursu dalībnieki = 24,00 euro. Kopā: 4,16 + 24,00 = 28,16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</si>
  <si>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9,3091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- 296,03 euro. Semināru telpas izmaksas vienai dienai 0,35 euro. 2 dienu kursi. 0,35 euro * 2 dienas = 0,70 euro. Plānotais dalībnieku skaits vienā kursā 15. Vienam dalībniekam 0,70 : 15 = 0,05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</si>
  <si>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9,3091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- 296,03 euro. Semināru telpas izmaksas vienai dienai 0,81 euro. 2 dienu kursi. 0,81 euro * 2 dienas = 1,62 euro. Plānotais dalībnieku skaits vienā kursā 15. Vienam dalībniekam 1,62 : 15 = 0,11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</si>
  <si>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0,7425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- 23,61 euro. Semināru telpas izmaksas vienai dienai 0,06 euro. 2 dienu kursi. 0,06 euro * 2 dienas = 0,12 euro. Plānotais dalībnieku skaits vienā kursā 15. Vienam dalībniekam 0,12 : 15 = 0,01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</si>
  <si>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1,0184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- 32,38 euro. Semināru telpas izmaksas vienai dienai 0,09 euro. 2 dienu kursi  0,09 euro * 2 dienas = 0,18 euro. Plānotais dalībnieku skaits vienā kursā 15. Vienam dalībniekam 0,18 : 15 = 0,01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</si>
  <si>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3,9751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- 126,41 euro. Semināru telpas izmaksas vienai dienai 0,35 euro; vienai stundai 0,35 euro : 8 d.stundas =  0,044 euro. Plānotais dalībnieku skaits vienā kursā 10. Vienam dalībniekam 0,044 : 10 = 0,004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</si>
  <si>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9,43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- 299,87 euro. Semināru telpas izmaksas vienai dienai 0,82 euro; vienai stundai 0,82 euro : 8d.stundas = 0,10 euro. Plānotais dalībnieku skaits vienā kursā 10. Vienam dalībniekam 0,10 : 10 = 0,01 euro.</t>
    </r>
  </si>
  <si>
    <t>Darba devēja valsts sociālās apdrošināšanas obligātās iemaksas, sociāla rakstura pabalsti un kompensācijas 0,40 * 23,59%</t>
  </si>
  <si>
    <t>Darba devēja valsts sociālās apdrošināšanas obligātās iemaksas, sociāla rakstura pabalsti un kompensācijas 2,09 * 23,59%</t>
  </si>
  <si>
    <t>Darba devēja valsts sociālās apdrošināšanas obligātās iemaksas, sociāla rakstura pabalsti un kompensācijas 3,63 * 23,59%</t>
  </si>
  <si>
    <t>Darba devēja valsts sociālās apdrošināšanas obligātās iemaksas, sociāla rakstura pabalsti un kompensācijas 2,20 * 23,59%.</t>
  </si>
  <si>
    <t>Darba devēja valsts sociālās apdrošināšanas obligātās iemaksas, sociāla rakstura pabalsti un kompensācijas 3,63 * 23,59%.</t>
  </si>
  <si>
    <t>Darba devēja valsts sociālās apdrošināšanas obligātās iemaksas, sociāla rakstura pabalsti un kompensācijas 3,30 *23,59%.</t>
  </si>
  <si>
    <t>Darba devēja valsts sociālās apdrošināšanas obligātās iemaksas, sociāla rakstura pabalsti un kompensācijas 1,1 * 23,59%.</t>
  </si>
  <si>
    <t>Darba devēja valsts sociālās apdrošināšanas obligātās iemaksas, sociāla rakstura pabalsti un kompensācijas 1,65 * 23,59%.</t>
  </si>
  <si>
    <t>Darba devēja valsts sociālās apdrošināšanas obligātās iemaksas, sociāla rakstura pabalsti un kompensācijas 3,08 * 23,59%.</t>
  </si>
  <si>
    <t>Darba devēja valsts sociālās apdrošināšanas obligātās iemaksas, sociāla rakstura pabalsti un kompensācijas 1,10 * 23,59%.</t>
  </si>
  <si>
    <t>Darba devēja valsts sociālās apdrošināšanas obligātās iemaksas, sociāla rakstura pabalsti un kompensācijas 2,53 * 23,59%.</t>
  </si>
  <si>
    <t>Darba devēja valsts sociālās apdrošināšanas obligātās iemaksas, sociāla rakstura pabalsti un kompensācijas 3,30 * 23,59%.</t>
  </si>
  <si>
    <t>Darba devēja valsts sociālās apdrošināšanas obligātās iemaksas, sociāla rakstura pabalsti un kompensācijas 12,10 * 23,59%.</t>
  </si>
  <si>
    <t>Darba devēja valsts sociālās apdrošināšanas obligātās iemaksas, sociāla rakstura pabalsti un kompensācijas 21,45 * 23,59%.</t>
  </si>
  <si>
    <t>Darba devēja valsts sociālās apdrošināšanas obligātās iemaksas, sociāla rakstura pabalsti un kompensācijas 0,55 * 23,59%.</t>
  </si>
  <si>
    <t>Darba devēja valsts sociālās apdrošināšanas obligātās iemaksas, sociāla rakstura pabalsti un kompensācijas 2,91 * 23,59%.</t>
  </si>
  <si>
    <t>Darba devēja valsts sociālās apdrošināšanas obligātās iemaksas, sociāla rakstura pabalsti un kompensācijas 2,19 * 23,59%.</t>
  </si>
  <si>
    <t>Darba devēja valsts sociālās apdrošināšanas obligātās iemaksas, sociāla rakstura pabalsti un kompensācijas 0,78 * 23,59%</t>
  </si>
  <si>
    <t>Darba devēja valsts sociālās apdrošināšanas obligātās iemaksas, sociāla rakstura pabalsti un kompensācijas 4,16 * 23,59%</t>
  </si>
  <si>
    <t>Darba devēja valsts sociālās apdrošināšanas obligātās iemaksas, sociāla rakstura pabalsti un kompensācijas 2,08 * 23,59%</t>
  </si>
  <si>
    <t>Darba devēja valsts sociālās apdrošināšanas obligātās iemaksas, sociāla rakstura pabalsti un kompensācijas 109,06 * 23,59%</t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</si>
  <si>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0,7425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- 23,61 euro. Semināru telpas izmaksas vienai dienai 0,06 euro. 4 dienu kursi. 0,06 * 4 dienas = 0,24 euro. Plānotais dalībnieku skaits vienā kursā 10. Vienam dalībniekam 0,24 : 10 = 0,02 euro.</t>
    </r>
  </si>
  <si>
    <t>Administratīvie izdevumi, kas nodrošina iestādes vispārējo darbu , lai varētu sniegt pakalpojumus. Administratīvās izmaksas (CV, FD, AD) vidēji uz 1m2 gadā sastāda 1,9903 euro. Semināru telpa -31,8 m2. Semināru telpas gada izmaksas - 63,29 euro, vienai dienai - 0,17 euro. 0,17 * 4 dienas = 0,68 euro. Plānotais dalībnieku skaits vienā kursā 10. Vienam dalībniekam 0,68 : 10 = 0,07 euro.</t>
  </si>
  <si>
    <t>Ministru kabineta noteikumu projekta</t>
  </si>
  <si>
    <t xml:space="preserve">ietekmes novērtējuma ziņojumam (anotācijai) </t>
  </si>
  <si>
    <t xml:space="preserve">pakalpojumu cenrādis" sākotnējās (ex-ante) </t>
  </si>
  <si>
    <t>Maksas pakalpojuma izcenojuma aprēķins</t>
  </si>
  <si>
    <r>
      <rPr>
        <b/>
        <sz val="11"/>
        <rFont val="Times New Roman"/>
        <family val="1"/>
        <charset val="186"/>
      </rPr>
      <t>Iestāde:</t>
    </r>
    <r>
      <rPr>
        <sz val="11"/>
        <rFont val="Times New Roman"/>
        <family val="1"/>
        <charset val="186"/>
      </rPr>
      <t xml:space="preserve"> Valsts asinsdonoru centrs</t>
    </r>
  </si>
  <si>
    <r>
      <rPr>
        <b/>
        <sz val="11"/>
        <rFont val="Times New Roman"/>
        <family val="1"/>
        <charset val="186"/>
      </rPr>
      <t>Laikaposms:</t>
    </r>
    <r>
      <rPr>
        <sz val="11"/>
        <rFont val="Times New Roman"/>
        <family val="1"/>
        <charset val="186"/>
      </rPr>
      <t xml:space="preserve"> 1 gads</t>
    </r>
  </si>
  <si>
    <t>Plānotais pakalpojuma sniegšanas vienību skaits: 50</t>
  </si>
  <si>
    <t>Anda Čakša</t>
  </si>
  <si>
    <t>Kārlis Ketners</t>
  </si>
  <si>
    <t>Zandberga, 67876041</t>
  </si>
  <si>
    <t>lasma.zandberga@vm.gov.lv</t>
  </si>
  <si>
    <t>„Valsts asinsdonoru centra maksas</t>
  </si>
  <si>
    <t>3.pielikums</t>
  </si>
  <si>
    <t>Lange, 67408866</t>
  </si>
  <si>
    <t>zaiga.lange@vadc.gov.lv</t>
  </si>
  <si>
    <t>Veselības ministre</t>
  </si>
  <si>
    <t>Valsts sekretārs</t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</si>
  <si>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9,3091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- 296,03 euro. Semināru telpas izmaksas vienai dienai 0,81 euro. 10 dienu kursi. 0,81 euro * 10 dienas = 8,10 euro. Plānotais dalībnieku skaits vienā kursā 10. Vienam dalībniekam 8,10 euro : 10 = 0,81 euro.</t>
    </r>
  </si>
  <si>
    <r>
      <t>Administratīvie izdevumi, kas nodrošina iestādes vispārējo darbu , lai varētu sniegt pakalpojumus. Administratīvās izmaksas (CV, FD, AD) vidēji uz 1m2 gadā sastāda 1,9903 euro. Semināru telpa -31,8 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>. Semināru telpas gada izmaksas - 63,29 euro, vienai dienai - 0,17 euro. 0,17 euro * 10 dienas = 1,70 euro. Plānotais dalībnieku skaits vienā kursā 10. Vienam dalībniekam 1,70 : 10 = 0,17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</si>
  <si>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1,0184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- 32,38 euro. Semināru telpas izmaksas vienai dienai 0,09 euro. 10 dienu kursi. 0,09 euro * 10 dienas = 0,9 euro. Plānotais dalībnieku skaits vienā kursā 10. Vienam dalībniekam 0,90 : 10 = 0,09 euro.</t>
    </r>
  </si>
  <si>
    <t>Viena izmeklējuma veikšanu nodrošina sertificēts biomedicīnas laborants (atalgojums mēnesī 795 euro). Darba laika patēriņš 1 izmeklējuma veikšanai 5 minūtes. 1 minūtes darba izmaksas : 795 euro : 166,17 stundas (vidējais darba stundu skaits mēnesī 2015.gadā) : 60 minūtes =  0,08 euro. 1 izmeklējuma veikšanas darba izmaksas 0,08 * 5 minūtes = 0,40 euro. Gadā plānots 100 izmeklējumi * 0,4 = 40,00 euro.</t>
  </si>
  <si>
    <r>
      <t xml:space="preserve">1 izmeklējuma veikšanai nepieciešams kopā </t>
    </r>
    <r>
      <rPr>
        <b/>
        <sz val="11"/>
        <rFont val="Times New Roman"/>
        <family val="1"/>
        <charset val="186"/>
      </rPr>
      <t>0,37 euro</t>
    </r>
    <r>
      <rPr>
        <sz val="11"/>
        <rFont val="Times New Roman"/>
        <family val="1"/>
        <charset val="186"/>
      </rPr>
      <t>, tai skaitā  1) anti A monoklonālais reaģents 0,1 ml - 0,06 euro; 2) anti B monoklonālais reaģents 0,1 ml-  0,06 euro; 3) Nacryl plāksnīte 1 gb.- 0,18 euro;  4) transferpipete 3,5 ml sterila 1 gb.- 0,05 euro; 5) lāpstiņa maisīšanai 2 gb. - 0,02 euro. Gadā plānots 100 * 0,37 = 37,00 euro.</t>
    </r>
  </si>
  <si>
    <t>Kopējās gada izmaksas sastāda 60,30 euro.Vidējās izmaksas mēnesī sastāda 5,03 euro (60,30 : 12= 5,03 euro). Izdevumi uz 1 izmeklējumu sastāda 5,03 euro :18154 izmeklējumi = 0,0003 euro. Gadā plānots 100 * 0,0003 = 0,03 euro.</t>
  </si>
  <si>
    <t>Gada izmaksas sastāda 114,38 euro. Vidējie mēneša izdevumi 9,53 euro (114,38 : 12 = 9,53 euro). Izdevumi uz 1 izmeklējumu sastāda 0,0005 euro (9,53 : 18154 izmeklējumi = 0,0005 euro). Gadā plānots 0,0005 * 100 = 0,05 euro.</t>
  </si>
  <si>
    <t>Darba devēja valsts sociālās apdrošināšanas obligātās iemaksas, sociāla rakstura pabalsti un kompensācijas 0,80 *23,59%.</t>
  </si>
  <si>
    <t>Gada nolietojums sastāda 404,20 euro. Vidējie mēneša izdevumi 33,68 euro (404,20 : 12 = 33,68 euro). Izdevumi uz 1 izmeklējumi sastāda  0,002 euro (33,68 : 18154 izmeklējumi = 0,002 euro). Gadā plānots 0,002 euro * 100 = 0,20 euro.</t>
  </si>
  <si>
    <t>Gada izmaksas sastāda 114,38 euro. Vidējie mēneša izdevumi 9,53 euro (114,38 : 12 = 9,53 euro). Izdevumi uz 1 izmeklējumu sastāda 0,0005 euro (9,53: 18154 izmeklējumi = 0,0005 euro). Gadā plānots 0,0005 * 100 = 0,05 euro.</t>
  </si>
  <si>
    <t>Viena izmeklējuma veikšanu nodrošina sertificēts Ārsts-laborants (atalgojums mēnesī 1057 euro). Darba laika patēriņš 1 izmeklējuma veikšanai 6 minūtes. 1 minūtes darba izmaksas 1057euro : 166,17 stundas (vidējais darba stundu skaits mēnesī 2015.gadā): 60 minūtes ir 1057 : 166,17 : 60 = 0,11 euro. 1 izmeklējuma veikšanas darba izmaksas 0,11 * 6minūtes = 0,66 euro. Gadā plānots 1500* 0,66 = 990,00 euro.</t>
  </si>
  <si>
    <t>Darba devēja valsts sociālās apdrošināšanas obligātās iemaksas, sociāla rakstura pabalsti un kompensācijas 0,66 * 23,59%.</t>
  </si>
  <si>
    <t>1 izmeklējuma veikšanai nepieciešams 0,94 euro, tai skaitā: 1) 5% standarteritrocītu komplekts ABO asins grupas noteikšanai ar apgriezto reakciju 0;A1;B (Hematest) - 0,3 ml - 0,76 euro; 2) anti A monoklonālais reaģents 0,1 ml - 0,06  euro; 3) anti B monoklonālais reaģents 0,1 ml - 0,06 euro; 4)vienreizējās lietošanas cimdi pāris -  0,04 euro; 5) Transferpipete 3,5 ml nesterila 1 gb. - 0,02 euro. Gadā plānots 1500 * 0,94 = 1410,00 euro.</t>
  </si>
  <si>
    <t>Gada faktiskās izmaksas  6459,25 euro. Vidējie mēneša izdevumi par elektroenerģiju sastāda 6459,25: 12 = 538,27 euro. Izdevumi uz 1 izmeklējumu 538,27: 18154 izmeklējumi = 0,03 euro. Gadā plānots 1500 * 0,03 = 45,00 euro.</t>
  </si>
  <si>
    <t>Kopējās gada izmaksas sastāda 60,30 euro.Vidējās izmaksas mēnesī sastāda 5,03 euro (60,30 :12 = 5,03 euro). Izdevumi uz 1 izmeklējumu sastāda 5,03 euro: 18154 izmeklējumi = 0,0003 euro. Gadā plānots 1500 *  0,0003 = 0,45 euro.</t>
  </si>
  <si>
    <t>Gada izmaksas sastāda 80,22 euro. Vidējie mēneša izdevumi par remonta un uzturēšanas materiāliem sastāda 6,69 euro (80,22 : 12 = 6,69 euro) (papīra dvieļi-16,24 euro, atkritumu maisiem 16,92 euro, universālam mazgāšanas līdzeklim 0,58 euro, lupatām 4,57 euro, švammēm 1,46 euro, tīrīšanas pastai 0,35 euro). Izdevumi uz 1 izmeklējumu sastāda 6,69 : 18154 izmeklējumi = 0,0004 euro. Gadā plānots 1500 * 0,0004 euro = 0,60 euro.</t>
  </si>
  <si>
    <t>Gada izmaksas sastāda 114,38 euro. Vidējie mēneša izdevumi 9,53 euro (114,38 : 12 = 9,53 euro). Izdevumi uz 1 izmeklējumu sastāda 0,0005 euro (9,53: 18154 izmeklējumi = 0,0005 euro). Gadā plānots 0,0005 * 1500 = 0,75 euro.</t>
  </si>
  <si>
    <t>Gada nolietojums sastāda 404,20 euro. Vidējie mēneša izdevumi 33,68 euro (404,20 : 12 = 33,68 euro). Izdevumi uz 1 izmeklējumi sastāda  0,002 euro (33,68 : 18154 izmeklējumi = 0,002 euro ). Gadā plānots 0,002 euro * 1500 = 3,00 euro.</t>
  </si>
  <si>
    <t>Viena izmeklējuma veikšanu nodrošina sertificēts Ārsts-laborants (atalgojums mēnesī 1057 euro). Darba laika patēriņš 1 izmeklējuma veikšanai 6 minūtes. 1 minūtes darba izmaksas 1057euro : 166,17 stundas (vidējais darba stundu skaits mēnesī 2015.gadā): 60 minūtes ir 1057 :166,17 : 60 = 0,11 euro. 1 izmeklējuma veikšanas darba izmaksas 0,11 *6 minūtes = 0,66 euro. Steidzama izmeklējuma veikšanai papildus nepieciešamas 13 minūtes - 0,11 euro * 13 minūtes = 1,43 euro. Kopā atalgojums 0,66+1,43 = 2,09 euro. Gadā plānots 60 * 2,09 = 125,40 euro.</t>
  </si>
  <si>
    <t>1 izmeklējuma veikšanai nepieciešams 0,94 euro, tai skaitā: 1) 5% standarteritrocītu komplekts ABO asins grupas noteikšanai ar apgriezto reakciju 0;A1;B (Hematest) - 0,3 ml -0,76 euro; 2) anti A monoklonālais reaģents 0,1 ml - 0,06  euro; 3) anti B monoklonālais reaģents 0,1 ml - 0,06 euro; 4)vienreizējās lietošanas cimdi  0,04 euro; 5) Transferpipete 3,5 ml nesterila 1 gb. - 0,02 euro. Gadā plānots 60 * 0,94 = 56,40 euro.</t>
  </si>
  <si>
    <t>Gada faktiskās izmaksas  6459,25 euro. Vidējie mēneša izdevumi par elektroenerģiju sastāda 6459,25: 12 = 538,27 euro. Izdevumi uz 1 izmeklējumu 538,27: 18154 izmeklējumi = 0,03 euro. Gadā plānots 60 * 0,03 = 1,80 euro.</t>
  </si>
  <si>
    <t>Kopējās gada izmaksas sastāda 60,30 euro.Vidējās izmaksas mēnesī sastāda 5,03 euro (60,30 :12 = 5,03 euro). Izdevumi uz 1 izmeklējumu sastāda 5,03 euro : 18154 izmeklējumi = 0,0003 euro. Gadā plānots 60 *  0,0003 = 0,02 euro.</t>
  </si>
  <si>
    <t>Gada biroja preču izlietojums sastāda 659,92 euro. Vidējie mēneša izdevumi par biroja precēm sastāda 54,99 euro (659,92 : 12 = 54,99 euro). Izdevumi uz 1 izmeklējumu sastāda 54,99 : 18154 izmeklējumi = 0,003euro. Gadā plānots 60 * 0,003 euro = 0,18 euro.</t>
  </si>
  <si>
    <t>Gada nolietojums sastāda 404,20 euro. Vidējie mēneša izdevumi 33,68 euro (404,20 : 12 = 33,68 euro). Izdevumi uz 1 izmeklējumi sastāda  0,002 euro (33,68: 18154 izmeklējumi = 0,002 euro ). Gadā plānots 0,002 euro * 60 = 0,12 euro.</t>
  </si>
  <si>
    <t>Viena izmeklējuma veikšanu nodrošina sertificēts Ārsts-laborants (atalgojums mēnesī 1057 euro). Darba laika patēriņš 1 izmeklējuma veikšanai 5 minūtes. 1 minūtes darba izmaksas 1057euro : 166,17 stundas (vidējais darba stundu skaits mēnesī 2015.gadā) : 60 minūtes ir 1057 : 166,17 : 60 = 0,11 euro. 1 izmeklējuma veikšanas darba izmaksas 0,11 * 5minūtes = 0,55 euro. Gadā plānots 27 * 0,55 = 14,85 euro.</t>
  </si>
  <si>
    <t>1 izmeklējuma veikšanai nepieciešams 0,55 euro, tai skaitā: 1) lektīns anti A1 0.1 ml - 0,20 euro; 2) lektīns anti H  0,1 ml - 0,25 euro; 3) vienreizējās lietošanas cimdi pāris - 0,04 euro; 4) transferpipete 3,5 ml nesterilas 2 gb. - 0,04 euro; 5) mēģenes ar apaļu pamatni 2 gb.- 0,02 euro. Gadā plānots 0,55 * 27 = 14,85 euro.</t>
  </si>
  <si>
    <t>Gada faktiskās izmaksas sastāda 372,23 euro. Vidējie mēneša izdevumi par ūdeni un kanalizāciju sastāda 372,23 : 12 = 31,02 euro). Izdevumi uz 1 izmeklējumu 31,02 : 18154 izmeklējumi = 0,002 euro. Gadā plānots 27 * 0,002 = 0,05 euro.</t>
  </si>
  <si>
    <t>Gada faktiskās izmaksas  6459,25 euro. Vidējie mēneša izdevumi par elektroenerģiju sastāda 6459,25: 12 = 538,27 euro. Izdevumi uz 1 izmeklējumu 538,27: 18154 izmeklējumi = 0,03 euro. Gadā plānots 27 * 0,03 = 0,81 euro.</t>
  </si>
  <si>
    <t>Gada izmaksas sastāda 114,38 euro. Vidējie mēneša izdevumi 9,53 euro (114,38 : 12 = 9,53 euro). Izdevumi uz 1 izmeklējumu sastāda 0,0005 euro (9,53 : 18154 izmeklējumi = 0,0005 euro). Gadā plānots 0,0005 * 27 = 0,01 euro.</t>
  </si>
  <si>
    <t xml:space="preserve"> Izmeklējuma veikšanai izmanto Centrafūgu EBA -20. Gada nolietojums sastāda 77,88 euro. Vidēji mēnesī 6,49 euro (77,88 : 12 = 6,49 euro). Izdevumi uz 1 izmeklējumu 0,0004 euro (6,49 : 18514 = 0,0004). Gadā plānots 0,0004 * 27 = 0,01 euro.</t>
  </si>
  <si>
    <t>Viena izmeklējuma veikšanu nodrošina sertificēts Ārsts-laborants (atalgojums mēnesī 1057 euro). Darba laika patēriņš 1 izmeklējuma veikšanai 20 minūtes.      1 minūtes darba izmaksas 1057 euro : 166,17 stundas (vidējais darba stundu skaits mēnesī 2015.gadā): 60 minūtes ir 1057 : 166,17 : 60 = 0,11 euro. 1 izmeklējuma veikšanas darba izmaksas 0,11* 20 minūtes = 2,20 euro. Gadā plānots 97 * 2,20 = 213,40 euro.</t>
  </si>
  <si>
    <t>Gada faktiskās izmaksas sastāda 372,23 euro.Vidējie mēneša izdevumi par ūdeni un kanalizāciju sastāda (372,23 : 12 = 31,02 euro). Izdevumi uz 1 izmeklējumu 31,02 : 18154 izmeklējumi = 0,002 euro. Gadā plānots 97 * 0,002 = 0,16 euro.</t>
  </si>
  <si>
    <t>Gada faktiskās izmaksas  6459,25 euro. Vidējie mēneša izdevumi par elektroenerģiju sastāda 6459,25: 12 = 538,27 euro. Izdevumi uz 1 izmeklējumu 538,27: 18154 izmeklējumi = 0,03 euro. Gadā plānots 97 * 0,03 = 2,91 euro.</t>
  </si>
  <si>
    <t>Gada izdevumi iekārtu tehniskai apkopei un remontam 4639,55 euro. Vidējie mēneša izdevumi 386,63 euro (4639,55 : 12 = 386,63 euro). Izdevumi uz 1 izmeklējumu sastāda 0,02 euro (386,63 : 18154 izmeklējumi = 0,02 euro). Gadā plānots 97 * 0,02 euro = 2,04 euro.</t>
  </si>
  <si>
    <t>Gada apsaimniekošanas izmaksas sastāda 4601,30 euro. Vidējie mēneša izdevumi par apsaimniekošanu sastāda  kopā (383,44 euro 4601,30 : 12 = 383,44 euro). Izdevumi uz 1 izmeklējumu 383,44 : 18154 izmeklējumi = 0,02 euro. Gadā plānots 0,02 * 97 =2,05 euro.</t>
  </si>
  <si>
    <t>Gada izmaksas sastāda 80,22 euro. Vidējie mēneša izdevumi par remonta un uzturēšanas materiāliem sastāda 6,69 euro (80,22 : 12 = 6,69 euro) (papīra dvieļi-16,24 euro,atkritumu maisiem 16,92 euro, universālam mazgāšanas līdzeklim 0,58 euro, lupatām 4,57 euro, švammēm 1,46 euro, tīrīšanas pastai 0,35 euro). Izdevumi uz 1 izmeklējumu sastāda 6,69 euro : 18154 izmeklējumi = 0,0004 euro. Gadā plānots 97 * 0,0004 euro = 0,04 euro.</t>
  </si>
  <si>
    <t>Gada izmaksas sastāda 114,38 euro. Vidējie mēneša izdevumi 9,53 euro (114,38 : 12 = 9,53 euro). Izdevumi uz 1 izmeklējumu sastāda 0,0005 euro (9,53 : 18154 izmeklējumi = 0,0005 euro). Gadā plānots 0,0005 * 97 = 0,05 euro.</t>
  </si>
  <si>
    <t>Izmeklējuma veikšanai izmanto  IDCentrafūgu. Gada nolietojums sastāda 231,92 euro. Vidēji mēnesī 19,33 euro (231,92 : 12 = 19,33 euro). Izdevumi uz 1 izmeklējumu 0,0011 euro (19,33 : 18154 = 0,0011 euro). Gadā plānots 0,0011 * 97 = 0,11 euro.</t>
  </si>
  <si>
    <t>Gada nolietojums sastāda 404,20 euro. Vidējie mēneša izdevumi 33,68 euro (404,20 : 12 = 33,68 euro). Izdevumi uz 1 izmeklējumi sastāda  0,002 euro (33,68 : 18154 izmeklējumi = 0,002 euro). Gadā plānots 0,002 euro * 97 = 0,19 euro.</t>
  </si>
  <si>
    <t>Gada izmaksas sastāda 114,38 euro. Vidējie mēneša izdevumi 9,53 euro (114,38 : 12 = 9,53 euro). Izdevumi uz 1 izmeklējumu sastāda 0,0005 euro (9,53 : 18154 izmeklējumi = 0,0005 euro). Gadā plānots 0,0005 * 20 = 0,01 euro.</t>
  </si>
  <si>
    <t>Gada izmaksas sastāda 80,22 euro. Vidējie mēneša izdevumi par remonta un uzturēšanas materiāliem sastāda 6,69 euro (80,22 : 12 = 6,69 euro) (papīra dvieļi-16,24 euro, atkritumu maisiem 16,92 euro, universālam mazgāšanas līdzeklim 0,58 euro, lupatām 4,57 euro, švammēm 1,46 euro, tīrīšanas pastai 0,35 euro). Izdevumi uz 1 izmeklējumu sastāda 6,69 euro: 18154 izmeklējumi = 0,0004 euro. Gadā plānots 20 * 0,0004 euro = 0,01 euro.</t>
  </si>
  <si>
    <t>Viena izmeklējuma veikšanu nodrošina sertificēts Ārsts-laborants (atalgojums mēnesī 1057 euro). Darba laika patēriņš 1 izmeklējuma veikšanai 20 minūtes. 1 minūtes darba izmaksas 1057 euro : 166,17 stundas (vidējais darba stundu skaits mēnesī 2015.gadā)  : 60 minūtes ir 1057 : 166,17 : 60 = 0,11 euro. 1 izmeklējuma veikšanas darba izmaksas 0,11 * 20 minūtes = 2,20 euro. Steidzama izmeklējuma veikšanai papildus nepieciešamas 13 minūtes - 0,11 * 13 minūtes = 1,43 euro. Kopā atalgojums 2,20+1,43 = 3,63 euro. Gadā plānots 20 * 3,63 = 72,60 euro.</t>
  </si>
  <si>
    <t>Zāles, ķimikālijas, laboratorijas preces.</t>
  </si>
  <si>
    <t>Gada faktiskās izmaksas  6459,25 euro. Vidējie mēneša izdevumi par elektroenerģiju sastāda 6459,25: 12 = 538,27 euro. Izdevumi uz 1 izmeklējumu 538,27: 18154 izmeklējumi = 0,03 euro. Gadā plānots 20 * 0,03 = 0,60 euro.</t>
  </si>
  <si>
    <t>Gada apsaimniekošanas izmaksas sastāda 4601,30 euro. Vidējie mēneša izdevumi par apsaimniekošanu sastāda  kopā 383,44 euro (4601,30 : 12 = 383,44 euro). Izdevumi uz 1 izmeklējumu 383,44 : 18154 izmeklējumi = 0,02 euro. Gadā plānots 0,02 * 20 = 0,42 euro.</t>
  </si>
  <si>
    <t>Kopējās gada izmaksas sastāda 60,30 euro.Vidējās izmaksas mēnesī sastāda 5,03 euro (60,30 :12 = 5,03 euro). Izdevumi uz 1 izmeklējumu sastāda 5,03 euro: 18154 izmeklējumi = 0,0003 euro. Gadā plānots 20 *  0,0003 = 0,01 euro.</t>
  </si>
  <si>
    <t>Gada nolietojums sastāda 404,20 euro. Vidējie mēneša izdevumi 33,68 euro (404,20 : 12 = 33,68 euro). Izdevumi uz 1 izmeklējumi sastāda  0,002 euro (33,68: 18154 izmeklējumi = 0,002 euro ). Gadā plānots 0,002 euro * 20 = 0,04 euro.</t>
  </si>
  <si>
    <t>Viena izmeklējuma veikšanu nodrošina sertificēts Ārsts-laborants (atalgojums mēnesī 1057 euro). Darba laika patēriņš 1 izmeklējuma veikšanai 20 minūtes. 1 minūtes darba izmaksas 1057 euro : 166,17 stundas (vidējais darba stundu skaits mēnesī 2015.gadā) : 60 minūtes ir 1057 : 166,17 : 60 = 0,11 euro. Viena izmeklējuma veikšanas darba izmaksas 0,11 * 20 minūtes = 2,20 euro. Gadā plānots 150 * 2,20 = 330,00 euro.</t>
  </si>
  <si>
    <t>1 izmeklējuma veikšanai nepieciešams 3,11 euro, tai skaitā: 1) Diulents -2 0,5 ml - 0,18 euro; 2) karte Dia Clon ABO/D 1 gb. -  2,83 euro; 3) vienreizējās lietošanas cimdi pāris - 0,04 euro; 4) transferpipete 3,5 ml nesterila 1 gb. - 0,02 euro; 5) mēģenes ar apaļu pamatni 1 gb. - 0,01 euro; 6) FT 250 Universal 0,5-250 uL uzgalis 1 gb. - 0,03 euro. Gadā plānots 150 * 3,11 = 466,50 euro.</t>
  </si>
  <si>
    <t>Gada izdevumi iekārtu tehniskai apkopei un remontam 4639,55 euro. Vidējie mēneša izdevumi 386,63 euro (4639,55 : 12 = 386,63 euro). Izdevumi uz 1 izmeklējumu sastāda 0,02 euro (386,63 : 18154 izmeklējumi = 0,02 euro). Gadā plānots 150 * 0,02 euro = 3,15 euro.</t>
  </si>
  <si>
    <t>Gada izmaksas sastāda 80,22 euro. Vidējie mēneša izdevumi par remonta un uzturēšanas materiāliem sastāda 6,69 euro (80,22 : 12 = 6,69 euro) (papīra dvieļi-16,24 euro, atkritumu maisiem 16,92 euro, universālam mazgāšanas līdzeklim 0,58 euro, lupatām 4,57 euro, švammēm 1,46 euro, tīrīšanas pastai 0,35 euro). Izdevumi uz 1 izmeklējumu sastāda 6,69  euro: 18154 izmeklējumi = 0,0004 euro. Gadā plānots 150 * 0,0004 euro = 0,06 euro.</t>
  </si>
  <si>
    <t>Gada izmaksas sastāda 114,38 euro. Vidējie mēneša izdevumi 9,53 euro (114,38 : 12 = 9,53 euro). Izdevumi uz 1 izmeklējumu sastāda 0,0005 euro (9,53 : 18154 izmeklējumi = 0,0005 euro). Gadā plānots 0,0005 * 150 = 0,08 euro.</t>
  </si>
  <si>
    <t>Gada nolietojums sastāda 404,20 euro. Vidējie mēneša izdevumi 33,68 euro (404,20 : 12 = 33,68 euro). Izdevumi uz 1 izmeklējumi sastāda  0,002 euro (33,68 : 18154 izmeklējumi = 0,002 euro). Gadā plānots 0,002 euro * 150 = 0,30 euro.</t>
  </si>
  <si>
    <t>Gada faktiskās izmaksas  6459,25 euro. Vidējie mēneša izdevumi par elektroenerģiju sastāda 6459,25: 12 = 538,27 euro. Izdevumi uz 1 izmeklējumu 538,27: 18154 izmeklējumi = 0,03 euro. Gadā plānots 180 * 0,03 = 5,40 euro.</t>
  </si>
  <si>
    <t>Gada faktiskās izmaksas 346,27 euro. Vidējie mēneša izdevumi par atkritumu izvešanu sastāda 346,27 euro: 12 = 28,86 euro. Izdevumi uz 1 izmeklējumu28,86: 18154 izmeklējumi = 0,002 euro. Gadā plānots 180 *  0,002 = 0,29 euro.</t>
  </si>
  <si>
    <t>Gada izdevumi iekārtu tehniskai apkopei un remontam 4639,55 euro. Vidējie mēneša izdevumi 386,63 euro (4639,55 : 12 = 386,63 euro). Izdevumi uz 1 izmeklējumu sastāda 0,02 euro (386,63 : 18154 izmeklējumi = 0,02 euro). Gadā plānots 180 *  0,02 euro = 3,78 euro.</t>
  </si>
  <si>
    <t>Gada biroja preču izlietojums sastāda 659,92 euro. Vidējie mēneša izdevumi par biroja precēm sastāda 54,99 euro (659,92 : 12 = 54,99 euro). Izdevumi uz 1 izmeklējumu sastāda 54,99 : 18154 izmeklējumi = 0,003euro. Gadā plānots 180 * 0,003 euro = 0,54 euro.</t>
  </si>
  <si>
    <t>Gada izmaksas sastāda 80,22 euro. Vidējie mēneša izdevumi par remonta un uzturēšanas materiāliem sastāda 6,69 euro (80,22 : 12 = 6,69 euro) (papīra dvieļi-16,24 euro, atkritumu maisiem 16,92 euro, universālam mazgāšanas līdzeklim 0,58 euro, lupatām 4,57 euro, švammēm 1,46 euro, tīrīšanas pastai 0,35 euro). Izdevumi uz 1 izmeklējumu sastāda 6,69 euro : 18154 izmeklējumi = 0,0004 euro. Gadā plānots 180 * 0,0004 euro = 0,07 euro.</t>
  </si>
  <si>
    <t>Gada izmaksas sastāda 114,38 euro. Vidējie mēneša izdevumi 9,53 euro (114,38 : 12 = 9,53 euro). Izdevumi uz 1 izmeklējumu sastāda 0,0005 euro (9,53 : 18154 izmeklējumi = 0,0005 euro). Gadā plānots 0,0005 * 180 = 0,09 euro.</t>
  </si>
  <si>
    <t>Gada nolietojums sastāda 404,20 euro. Vidējie mēneša izdevumi 33,68 euro (404,20 : 12 = 33,68 euro). Izdevumi uz 1 izmeklējumi sastāda  0,002 euro (33,68 : 18154 izmeklējumi = 0,002 euro). Gadā plānots 0,002 euro * 180 = 0,36 euro.</t>
  </si>
  <si>
    <t>Viena izmeklējuma veikšanu nodrošina sertificēts Ārsts (atalgojums mēnesī 1057 euro). Darba laika patēriņš 1 izmeklējuma veikšanai 20 minūtes. 1 minūtes darba izmaksas 1057euro : 166,17 stundas (vidējais darba stundu skaits mēnesī 2015.gadā) : 60 minūtes ir 1057: 166,17 : 60 = 0,11 euro. 1 izmeklējuma veikšanas darba izmaksas 0,11 * 20 minūtes = 2,20 euro. Gadā plānots 1500 *2,20 = 3300,00 euro.</t>
  </si>
  <si>
    <t xml:space="preserve">1 izmeklējuma veikšanai nepieciešams 0,23 euro, tai skaitā: 1) Negativ controle for monoclonal reagents 0,1 ml - 0,07 euro; 2) anti D monoklonālais reaģents 0,1 ml -  0,10 euro; 3) vienreizējās lietošanas cimdi pāris - 0,04 euro; 4) transferpipete 3,5 ml nesterila 1 gb.-0,02euro. Gadā plānots 1500 * 0,23 = 345,00 euro. </t>
  </si>
  <si>
    <t>Gada faktiskās izmaksas sastāda 372,23 euro.Vidējie mēneša izdevumi par ūdeni un kanalizāciju sastāda 372,23 : 12 = 31,02 euro. Izdevumi uz 1 izmeklējumu 31,02 : 18154 izmeklējumi = 0,002 euro. Gadā plānots 1500 * 0,002 = 2,55 euro.</t>
  </si>
  <si>
    <t>Gada izdevumi iekārtu tehniskai apkopei un remontam 4639,55 euro. Vidējie mēneša izdevumi 386,63 euro (4639,55 : 12 = 386,63 euro). Izdevumi uz 1 izmeklējumu sastāda 0,02 euro (386,63 : 18154 izmeklējumi = 0,02 euro). Gadā plānots 1500 *  0,02 euro = 31,50 euro.</t>
  </si>
  <si>
    <t>Gada biroja preču izlietojums sastāda 659,92 euro. Vidējie mēneša izdevumi par biroja precēm sastāda 54,99 euro (659,92 : 12 = 54,99 euro). Izdevumi uz 1 izmeklējumu sastāda 54,99 : 18154 izmeklējumi = 0,003euro. Gadā plānots 1500 * 0,003 euro = 4,50 euro.</t>
  </si>
  <si>
    <t>Gada izmaksas sastāda 80,22 euro. Vidējie mēneša izdevumi par remonta un uzturēšanas materiāliem sastāda 6,69 euro (80,22 : 12 = 6,69 euro) (papīra dvieļi-16,24 euro,atkritumu maisiem 16,92 euro, universālam mazgāšanas līdzeklim 0,58 euro, lupatām 4,57 euro, švammēm 1,46 euro, tīrīšanas pastai 0,35 euro). Izdevumi uz 1 izmeklējumu sastāda 6,69 euro : 18154 izmeklējumi = 0,0004 euro. Gadā plānots 1500 * 0,0004 euro = 0,60 euro.</t>
  </si>
  <si>
    <t>Gada izmaksas sastāda 114,38 euro. Vidējie mēneša izdevumi 9,53 euro (114,38 : 12 = 9,53 euro). Izdevumi uz 1 izmeklējumu sastāda 0,0005 euro (9,53 : 18154 izmeklējumi = 0,0005 euro). Gadā plānots 0,0005 * 1500 = 0,75 euro.</t>
  </si>
  <si>
    <t>Viena izmeklējuma veikšanu nodrošina sertificēts Ārsts-laborants (atalgojums mēnesī 1057 euro). Darba laika patēriņš 1 izmeklējuma veikšanai 20 minūtes. 1 minūtes darba izmaksas 1057 euro : 166,17 stundas (vidējais darba stundu skaits mēnesī 2015.gadā) : 60 minūtes ir 1057 : 166,17 : 60 = 0,11 euro. 1 izmeklējuma veikšanas darba izmaksas 0,11 * 20 minūtes =2,20 euro.  Steidzama izmeklējuma veikšanai papildus nepieciešamas 13 minūtes - 0,11 euro * 13 minūtes = 1,43 euro. Kopā atalgojums 2,20+1,43 = 3,63 euro. Gadā plānots 60 *  3,63 = 217,80 euro.</t>
  </si>
  <si>
    <t>1 izmeklējuma veikšanai nepieciešams 0,24 euro, tai skaitā: 1) Negativ controle for monoclonal reagents 0,1 ml - 0,07 euro; 2) anti D monoklonālais reaģents 0,1 ml -  0,10 euro; 3) vienreizējās lietošanas cimdi pāris- 0,04 euro; 4) transferpipete 3,5 ml nesterila 1 gb. -0,02 euro. Gadā plānots 60  * 0,24 euro = 14,40 euro.</t>
  </si>
  <si>
    <t>Gada faktiskās izmaksas 346,27 euro. Vidējie mēneša izdevumi par atkritumu izvešanu sastāda 346,27 euro : 12 = 28,86 euro. Izdevumi uz 1 izmeklējumu 28,86 euro : 18154 izmeklējumi = 0,002 euro. Gadā plānots 60 *  0,002 = 0,10 euro.</t>
  </si>
  <si>
    <t>Gada apsaimniekošanas izmaksas sastāda 4601,30 euro. Vidējie mēneša izdevumi par apsaimniekošanu sastāda  kopā 383,44 euro (4601,30 : 12 = 383,44 euro). Izdevumi uz 1 izmeklējumu 383,44 : 18154 izmeklējumi = 0,02 euro. Gadā plānots 0,02 * 60 = 1,27 euro.</t>
  </si>
  <si>
    <t>Gada biroja preču izlietojums sastāda 659,92 euro. Vidējie mēneša izdevumi par biroja precēm sastāda 54,99 euro (659,92 : 12 = 54,99 euro). Izdevumi uz 1 izmeklējumu sastāda 54,99 : 18154 izmeklējumi = 0,003 euro. Gadā plānots 60 * 0,003 euro = 0,18 euro.</t>
  </si>
  <si>
    <t>Gada izmaksas sastāda 114,38 euro. Vidējie mēneša izdevumi 9,53 euro (114,38 : 12 = 9,53 euro). Izdevumi uz 1 izmeklējumu sastāda 0,0005 euro (9,53 : 18154 izmeklējumi = 0,0005 euro). Gadā plānots 0,0005 * 60 = 0,03 euro.</t>
  </si>
  <si>
    <t>Izmeklējuma veikšanai izmanto  IDCentrafūgu. Gada nolietojums sastāda 231,92 euro. Vidēji mēnesī 19,33 euro (231,92 : 12 = 19,33 euro). Izdevumi uz 1 izmeklējumu 0,0011 euro (19,33 : 18154 = 0,0011 euro). Gadā plānots 0,0011 * 60 = 0,07 euro.</t>
  </si>
  <si>
    <t>Gada nolietojums sastāda 404,20 euro. Vidējie mēneša izdevumi 33,68 euro (404,20 : 12 = 33,68 euro). Izdevumi uz 1 izmeklējumi sastāda  0,002 euro (33,68 : 18154 izmeklējumi = 0,002 euro ). Gadā plānots 0,002 euro * 60 = 0,12 euro.</t>
  </si>
  <si>
    <t>Viena izmeklējuma veikšanu nodrošina sertificēts Ārsts-laborants (atalgojums mēnesī 1057 euro). Darba laika patēriņš 1 izmeklējuma veikšanai 20 minūtes. 1 minūtes darba izmaksas 1057euro : 166,17 stundas (vidējais darba stundu skaits mēnesī 2015.gadā) ; 60 minūtes ir 1057 : 166,17 : 60 = 0,11 euro. 1 izmeklējuma veikšanas darba izmaksas 0,11  * 20 minūtes = 2,20 euro. Gadā plānots 700 * 2,20 = 1540, 00 euro.</t>
  </si>
  <si>
    <t>1 izmeklējuma veikšanai nepieciešams 4,44 euro, tai skaitā: 1) Karte Diaclon Subgroup +K 1gb. - 4,18 euro; 2) Diulents-2 0,5 ml - 0,18 euro; 3) vienreizējās lietošanas cimdi pāris -0,04 euro; 4) mēģene ar apaļu pamatni  1 gb.-0,01euro; 5) FT250 Universal 0,5-250 uL uzgaļi 1 gb. -0,03 euro. Gadā plānots 700 * 4,44 euro = 3108,00 euro.</t>
  </si>
  <si>
    <t>Gada faktiskās izmaksas 3619,08 euro.Vidējie mēneša izdevumi par apkuri sastāda 3619,08 : 12 = 301,59 euro. Izdevumi apkurei uz 1 izmeklējumu 301,59 : 18154 izmeklējumi = 0,02 euro. Gadā 700 * 0,02 = 11,62 euro.</t>
  </si>
  <si>
    <t>Gada faktiskās izmaksas  6459,25 euro. Vidējie mēneša izdevumi par elektroenerģiju sastāda 6459,25: 12 = 538,27 euro. Izdevumi uz 1 izmeklējumu 538,27: 18154 izmeklējumi = 0,03 euro. Gadā plānots 700 * 0,03 = 21,00 euro.</t>
  </si>
  <si>
    <t>Gada apsaimniekošanas izmaksas sastāda 4601,30 euro. Vidējie mēneša izdevumi par apsaimniekošanu sastāda  kopā 383,44 euro (4601,30 : 12 = 383,44 euro). Izdevumi uz 1 izmeklējumu 383,44 : 18154 izmeklējumi = 0,02 euro. Gadā plānots 0,02 * 700 = 14,77 euro.</t>
  </si>
  <si>
    <t>Gada izmaksas sastāda 80,22 euro. Vidējie mēneša izdevumi par remonta un uzturēšanas materiāliem sastāda 6,69 euro (80,22 : 12 = 6,69 euro) (papīra dvieļi-16,24 euro, atkritumu maisiem 16,92 euro, universālam mazgāšanas līdzeklim 0,58 euro, lupatām 4,57 euro, švammēm 1,46 euro, tīrīšanas pastai 0,35 euro). Izdevumi uz 1 izmeklējumu sastāda 6,69 euro : 18154 izmeklējumi = 0,0004 euro. Gadā plānots 700 * 0,0004 euro = 0,28 euro.</t>
  </si>
  <si>
    <t>Izmeklējuma veikšanai izmanto  IDCentrafūgu. Gada nolietojums sastāda 231,92 euro. Vidēji mēnesī 19,33 euro (231,92 : 12 = 19,33 euro). Izdevumi uz 1 izmeklējumu 0,0011 euro (19,33 : 18154 = 0,0011 euro). Gadā plānots 0,0011 * 700 = 0,77 euro.</t>
  </si>
  <si>
    <t>Gada faktiskās izmaksas 346,27 euro. Vidējie mēneša izdevumi par atkritumu izvešanu sastāda 346,27 euro : 12 = 28,86 euro. Izdevumi uz 1 izmeklējumu 28,86 : 18154 izmeklējumi = 0,002 euro. Gadā plānots 60 *  0,002 = 0,10 euro.</t>
  </si>
  <si>
    <t>Gada faktiskās izmaksas  6459,25 euro. Vidējie mēneša izdevumi par elektroenerģiju sastāda 6459,25: 12 = 538,27 euro. Izdevumi uz 1 izmeklējumu 538,27: 18154 izmeklējumi = 0,03 euro. Gadā plānots 400 * 0,03 = 12,00 euro.</t>
  </si>
  <si>
    <t>Gada faktiskās izmaksas 346,27 euro. Vidējie mēneša izdevumi par atkritumu izvešanu sastāda 346,27 euro: 12 = 28,86 euro. Izdevumi uz 1 izmeklējumu28,86: 18154 izmeklējumi = 0,002 euro. Gadā plānots 400 * 0,002 = 0,64 euro.</t>
  </si>
  <si>
    <t>Gada izdevumi iekārtu tehniskai apkopei un remontam 4639,55 euro. Vidējie mēneša izdevumi 386,63 euro (4639,55 : 12 = 386,63 euro). Izdevumi uz 1 izmeklējumu sastāda 0,02 euro (386,63 : 18154 izmeklējumi = 0,02 euro). Gadā plānots 400 *  0,02 euro = 8,40 euro.</t>
  </si>
  <si>
    <t>Gada izmaksas sastāda 117,09 euro.  Vidējie mēneša izdevumi par specapģērbu mazgāšanu sastāda 9,76 euro (117,09 : 12 = 9.76 euro). Izdevumi uz 1 izmeklējumu sastāda 9,76 : 18154 izmeklējumi = 0,001 euro. Gada apjoms 400 * 0,001 euro = 0,20 euro.</t>
  </si>
  <si>
    <t>Gada biroja preču izlietojums sastāda 659,92 euro. Vidējie mēneša izdevumi par biroja precēm sastāda 54,99 euro (659,92 : 12 = 54,99 euro). Izdevumi uz 1 izmeklējumu sastāda 54,99 : 18154 izmeklējumi = 0,003 euro. Gadā plānots 400 * 0,003 euro = 1,20 euro.</t>
  </si>
  <si>
    <t>Gada izmaksas sastāda 80,22 euro. Vidējie mēneša izdevumi par remonta un uzturēšanas materiāliem sastāda 6,69 euro (80,22 : 12 = 6,69 euro) (papīra dvieļi-16,24 euro, atkritumu maisiem 16,92 euro, universālam mazgāšanas līdzeklim 0,58 euro, lupatām 4,57 euro, švammēm 1,46 euro, tīrīšanas pastai 0,35 euro). Izdevumi uz 1 izmeklējumu sastāda 6,69 euro : 18154 izmeklējumi = 0,0004 euro. Gadā plānots 400 * 0,0004 euro = 0,16 euro.</t>
  </si>
  <si>
    <t>Gada izmaksas sastāda 114,38 euro. Vidējie mēneša izdevumi 9,53 euro (114,38 : 12 = 9,53 euro). Izdevumi uz 1 izmeklējumu sastāda 0,0005 euro (9,53 : 18154 izmeklējumi = 0,0005 euro). Gadā plānots 0,0005 * 400 = 0,20 euro.</t>
  </si>
  <si>
    <t>Izmeklējuma veikšanai izmanto  IDCentrafūgu. Gada nolietojums sastāda 231,92 euro. Vidēji mēnesī 19,33 euro (231,92 : 12 = 19,33 euro). Izdevumi uz 1 izmeklējumu 0,0011 euro (19,33 : 18154 = 0,0011 euro). Gadā plānots 0,0011 * 400 = 0,44 euro.</t>
  </si>
  <si>
    <t>Viena izmeklējuma veikšanu nodrošina sertificēts Ārsts-laborants (atalgojums mēnesī 1057 euro). Darba laika patēriņš 1 izmeklējuma veikšanai 20 minūtes. 1 minūtes darba izmaksas 1057euro : 166,17 stundas (vidējais darba stundu skaits mēnesī 2015.gadā) : 60 minūtes ir 1057 : 166,17 : 60 = 0,11 euro. 1 izmeklējuma veikšanas darba izmaksas 0,11 * 20 minūtes = 2,20 euro. Gadā plānots 30 *  2,20 = 66,00 euro.</t>
  </si>
  <si>
    <t>1 izmeklējuma veikšanai nepieciešams 13,22 euro, tai skaitā: 1) Anti P1,Lea,Leb,Lua,lub vai anti k,Kpa,Kpb,Jka, Jkb karte (1x12) 1 karte - 12,61euro; 2) Diulents -1 0,5 ml - 0,54 euro; 3) vienreizējās lietošanas cimdi pāris - 0,04 euro; 4) mēģene ar apaļu pamatni 1 gb.- 0,01euro; 5) Transferpipete 3,5 ml nesterilas 1 gb.-  0,02 euro. Gadā plānots 30 * 13,22 = 396,60 euro.</t>
  </si>
  <si>
    <t>Gada faktiskās izmaksas  6459,25 euro. Vidējie mēneša izdevumi par elektroenerģiju sastāda 6459,25: 12 = 538,27 euro. Izdevumi uz 1 izmeklējumu 538,27: 18154 izmeklējumi = 0,03 euro. Gadā plānots 30 * 0,03 = 0,90 euro.</t>
  </si>
  <si>
    <t>Gada faktiskās izmaksas 346,27 euro. Vidējie mēneša izdevumi par atkritumu izvešanu sastāda 346,27 euro: 12 = 28,86 euro. Izdevumi uz 1 izmeklējumu 28,86 euro: 18154 izmeklējumi = 0,002 euro. Gadā plānots 30 * 0,002 = 0,05 euro.</t>
  </si>
  <si>
    <t>Gada izdevumi iekārtu tehniskai apkopei un remontam 4639,55 euro. Vidējie mēneša izdevumi 386,63 euro (4639,55 : 12 = 386,63 euro). Izdevumi uz 1 izmeklējumu sastāda 0,02 euro (386,63 : 18154 izmeklējumi = 0,02 euro). Gadā plānots 30 *  0,02 euro = 0,63 euro.</t>
  </si>
  <si>
    <t>Gada apsaimniekošanas izmaksas sastāda 4601,30 euro. Vidējie mēneša izdevumi par apsaimniekošanu sastāda  kopā 383,44 euro (4601,30 : 12 = 383,44 euro). Izdevumi uz 1 izmeklējumu 383,44 : 18154 izmeklējumi = 0,02 euro. Gadā plānots 0,02 * 30 = 0,63 euro.</t>
  </si>
  <si>
    <t>Gada biroja preču izlietojums sastāda 659,92 euro. Vidējie mēneša izdevumi par biroja precēm sastāda 54,99 euro (659,92 : 12 = 54,99 euro). Izdevumi uz 1 izmeklējumu sastāda 54,99 : 18154 izmeklējumi = 0,003euro. Gadā plānots 30 * 0,003 euro = 0,09 euro.</t>
  </si>
  <si>
    <t>Gada izmaksas sastāda 80,22 euro. Vidējie mēneša izdevumi par remonta un uzturēšanas materiāliem sastāda 6,69 euro (80,22 : 12 = 6,69 euro) (papīra dvieļi-16,24 euro,atkritumu maisiem 16,92 euro, universālam mazgāšanas līdzeklim 0,58 euro, lupatām 4,57 euro, švammēm 1,46 euro, tīrīšanas pastai 0,35 euro). Izdevumi uz 1 izmeklējumu sastāda 6,69 : 18154 izmeklējumi = 0,0004 euro. Gadā plānots 30 * 0,0004 euro = 0,01 euro.</t>
  </si>
  <si>
    <t>Gada izmaksas sastāda 114,38 euro. Vidējie mēneša izdevumi 9,53 euro (114,38 : 12 = 9,53 euro). Izdevumi uz 1 izmeklējumu sastāda 0,0005 euro (9,53 : 18154 izmeklējumi = 0,0005 euro). Gadā plānots 0,0005 * 30 = 0,02 euro.</t>
  </si>
  <si>
    <t>Gada nolietojums sastāda 404,20 euro. Vidējie mēneša izdevumi 33,68 euro (404,20 : 12 = 33,68 euro). Izdevumi uz 1 izmeklējumi sastāda  0,002 euro (33,68 : 18154 izmeklējumi = 0,002 euro ). Gadā plānots 0,002 euro * 30 = 0,06 euro.</t>
  </si>
  <si>
    <t>Viena izmeklējuma veikšanu nodrošina sertificēts Ārsts-laborants (atalgojums mēnesī 1057 euro). Darba laika patēriņš 1 izmeklējuma veikšanai 20 minūtes. 1 minūtes darba izmaksas 1057euro : 166,17 stundas (vidējais darba stundu skaits mēnesī 2015.gadā) : 60 minūtes ir 1057 : 166,17 : 60 = 0,11 euro. 1 izmeklējuma veikšanas darba izmaksas 0,11 * 20 minūtes = 2,20 euro.Gadā plānots 30 *  2,20 = 66,00 euro.</t>
  </si>
  <si>
    <t>1 izmeklējuma veikšanai nepieciešami 11,59 euro, tai skaitā: 1) Anti M,N,S,s,Fya,Fyb (1x12) 1 karte - 5,45euro ; 2) Diulents-2 0,5 ml - 0,18 euro; 3) vienreizējās lietošanas cimdi pāris - 0,04 euro; 4) mēģene ar apaļu pamatni 1 gb - 0,01euro; 5) Transferpipete 3,5 ml nesterilas 1 gb -  0,02 euro; 6) +Anti M,N,S,s,Fya,Fyb 0,3 ml - 5,89 euro. Gadā plānots 30 * 11,59 euro = 347,70 euro.</t>
  </si>
  <si>
    <t>Gada biroja preču izlietojums sastāda 659,92 euro. Vidējie mēneša izdevumi par biroja precēm sastāda 54,99 euro (659,92 : 12 = 54,99 euro). Izdevumi uz 1 izmeklējumu sastāda 54,99 : 18154 izmeklējumi = 0,003 euro. Gadā plānots 30 * 0,003 euro = 0,09 euro.</t>
  </si>
  <si>
    <t>Viena izmeklējuma veikšanu nodrošina sertificēts Ārsts-laborants (atalgojums mēnesī 1057 euro). Darba laika patēriņš 1 izmeklējuma veikšanai 45 minūtes. 1 minūtes darba izmaksas 1057euro : 166,17 stundas (vidējais darba stundu skaits mēnesī 2015.gadā) : 60 minūtes ir 1057 : 166,17 : 60 = 0,11 euro. 1 izmeklējuma veikšanas darba izmaksas 0,11 * 5 minūtes = 4,95 euro. Gadā plānots 20  * 4,95 = 99,00 euro.</t>
  </si>
  <si>
    <t>Darba devēja valsts sociālās apdrošināšanas obligātās iemaksas, sociāla rakstura pabalsti un kompensācijas 4,95 * 23,59%.</t>
  </si>
  <si>
    <t>1 izmeklējuma veikšanai nepieciešams 86,38 euro, tai skaitā: 1) karte Coombs Anti IgG91x12) - 2 kartes - 9,82euro ; 2) Diulents-2 1 ml- 0,35 euro; 3) vienreizējās lietošanas cimdi pāris - 0,04 euro; 4) mēģene ar apaļu pamatni  1 gb -0,01euro; 5) Transferpipete 3,5 ml nesterilas 1 gb.- 0,02 euro; 6) partial-D Typing set  0,6 ml -76,14 euro. Gadā plānots 20 * 86,38 = 1727,60 euro.</t>
  </si>
  <si>
    <t>Gada faktiskās izmaksas 346,27 euro. Vidējie mēneša izdevumi par atkritumu izvešanu sastāda 346,27 euro: 12 = 28,86 euro. Izdevumi uz 1 izmeklējumu28,86: 18154 izmeklējumi = 0,002euro. Gadā plānots 20 * 0,002 = 0,03 euro.</t>
  </si>
  <si>
    <t>Gada izdevumi iekārtu tehniskai apkopei un remontam 4639,55 euro. Vidējie mēneša izdevumi 386,63 euro (4639,55 : 12 = 386,63 euro). Izdevumi uz 1 izmeklējumu sastāda 0,02 euro (386,63 : 18154 izmeklējumi = 0,02 euro). Gadā plānots 20 *  0,02 euro = 0,42 euro.</t>
  </si>
  <si>
    <t>Gada izmaksas sastāda 117,09 euro.  Vidējie mēneša izdevumi par specapģērbu mazgāšanu sastāda 9,76 euro (117,09 : 12 = 9.76 euro). Izdevumi uz 1 izmeklējumu sastāda 9,76 : 18154 izmeklējumi = 0,001 euro. Gada apjoms 20 * 0,001 euro = 0,01 euro.</t>
  </si>
  <si>
    <t>Gada biroja preču izlietojums sastāda 659,92 euro. Vidējie mēneša izdevumi par biroja precēm sastāda 54,99 euro (659,92 : 12 = 54,99 euro). Izdevumi uz 1 izmeklējumu sastāda 54,99 : 18154 izmeklējumi = 0,003 euro. Gadā plānots 20 * 0,003 euro = 0,06 euro.</t>
  </si>
  <si>
    <t xml:space="preserve"> Izmeklējuma veikšanai izmanto  ID Centrafūgu. Gada nolietojums sastāda 231.92 euro. Vidēji mēnesī 19,33 euro (231,92 : 12 = 19,33 euro) un Termostats, kam gada nolietojums 68,73. Vidēji mēnesī 5,73 euro. Izdevumi uz 1 izmeklējumu 0,001 euro (19,33+5,73 : 18154 izmeklējumi = 0,001). Gadā plānots 0,001 * 20 = 0,02 euro.</t>
  </si>
  <si>
    <t>Viena izmeklējuma veikšanu nodrošina sertificēts Ārsts-laborants (atalgojums mēnesī 1057 euro). Darba laika patēriņš 1 izmeklējuma veikšanai 20 minūtes. 1 minūtes darba izmaksas 1057euro : 166,17 stundas (vidējais darba stundu skaits mēnesī 2015.gadā) : 60 minūtes ir 1057 : 166,17 : 60 = 0,11 euro . 1 izmeklējuma veikšanas darba izmaksas 0,11 * 20 minūtes =2,20 euro. Gadā plānots  200 * 2,20 euro =440,00 euro.</t>
  </si>
  <si>
    <t>1 izmeklējuma veikšanai nepieciešams 2,62 euro, tai skaitā: 1) Karte Liss Coombs 0,5 kartes- 2,06euro; 2) 0.8% standarteritrocīti ID-Dia Cell I-II-III 0,15 ml  -0,39 euro; 3) vienreizējās lietošanas cimdi pāris - 0,04 euro; 4) mēģene ar apaļu pamatni 1 gb - 0,01euro; 5) Transferpipete 3,5 ml nesterilas 1 gb.-  0,02 euro; 6) FT 250 Universal 0,5-250 uL 3 gb.- 0,10 euro. Gadā plānots 200 * 2,62 euro = 524,00 euro.</t>
  </si>
  <si>
    <t>Gada faktiskās izmaksas sastāda 372,23 euro.Vidējie mēneša izdevumi par ūdeni un kanalizāciju sastāda 372,23 : 12 = 31,02 euro. Izdevumi uz 1 izmeklējumu 31,02 : 18154 izmeklējumi = 0,002 euro. Gadā plānots 200 * 0,002 = 0,34 euro.</t>
  </si>
  <si>
    <t>Gada faktiskās izmaksas 346,27 euro. Vidējie mēneša izdevumi par atkritumu izvešanu sastāda 346,27 euro : 12 = 28,86 euro. Izdevumi uz 1 izmeklējumu 28,86 : 18154 izmeklējumi = 0,002 euro. Gadā plānots 200 * 0,002 = 0,32 euro.</t>
  </si>
  <si>
    <t>Administratīvie izdevumi, kas nodrošina iestādes vispārējo darbu. Atbilstoši VADC iekšējam normatīvam aktam  Nr.1-24.6/14-2014/SIN-002 (09.12.2014.g.) "Uzskaites izcenojumu (pašizmaksa) noteikšana, pārskatīšana un apstiprināšana" izmaksu sadalījums pēc funkcijām (I.līmenis) noteikts , ka no Vadības funkciju veicēju (Centra vadība, Administratīvais departaments, Finanšu departaments) kopējām izmaksām 3,05 % tiek sadalīti konsultatīvai imūnhematoloģiskajai izmeklēšanai (funkcijas realizācija nav saistīta ar asins, asins komponentu sagatavošanu). Vadības funkciju veicēju kopējās 2014.gada izmaksas sastāda 472868,13 euro, kur 3,05% sastāda 14422,48 euro gadā. Administratīvās izmaksas (CV, FD, AD)  mēnesī sastāda 1201.87 euro (14422,48 euro : 12 mēneši = 1201,87 euro). Izdevumi uz 1 izmeklējumu sastāda 1201,87 : 18154 izmeklējumi = 0,07 euro. Gadā plānots 0,07 euro * 200 = 14,00 euro.</t>
  </si>
  <si>
    <t>Gada izdevumi iekārtu tehniskai apkopei un remontam 4639,55 euro. Vidējie mēneša izdevumi 386,63 euro (4639,55 : 12 = 386,63 euro). Izdevumi uz 1 izmeklējumu sastāda 0,02 euro (386,63 : 18154 izmeklējumi = 0,02 euro). Gadā plānots 200 *  0,02 euro = 4,26 euro.</t>
  </si>
  <si>
    <t>Gada biroja preču izlietojums sastāda 659,92 euro. Vidējie mēneša izdevumi par biroja precēm sastāda 54,99 euro (659,92 : 12 = 54,99 euro). Izdevumi uz 1 izmeklējumu sastāda 54,99 : 18154 izmeklējumi = 0,003 euro. Gadā plānots 200 * 0,003 euro = 0,60 euro.</t>
  </si>
  <si>
    <t>Gada izmaksas sastāda 117,09 euro.  Vidējie mēneša izdevumi par specapģērbu mazgāšanu sastāda 9,76 euro (117,09 : 12 = 9.76 euro). Izdevumi uz 1 izmeklējumu sastāda 9,76 : 18154 izmeklējumi = 0,001 euro. Gada apjoms 200*  0,001euro = 0,10 euro.</t>
  </si>
  <si>
    <t>Gada izmaksas sastāda 80,22 euro. Vidējie mēneša izdevumi par remonta un uzturēšanas materiāliem sastāda 6,69 euro (80,22 : 12 = 6,69 euro) (papīra dvieļi-16,24 euro, atkritumu maisiem 16,92 euro, universālam mazgāšanas līdzeklim 0,58 euro, lupatām 4,57 euro, švammēm 1,46 euro, tīrīšanas pastai 0,35 euro). Izdevumi uz 1 izmeklējumu sastāda 6,69 : 18154 izmeklējumi = 0,0004 euro. Gadā plānots 200 * 0,0004 euro = 0,08 euro.</t>
  </si>
  <si>
    <t>Gada izmaksas sastāda 114,38 euro. Vidējie mēneša izdevumi 9,53 euro (114,38 : 12 = 9,53 euro). Izdevumi uz 1 izmeklējumu sastāda 0,0005 euro (9,53 : 18154 izmeklējumi = 0,0005 euro). Gadā plānots 0,0005 * 200 = 0,10 euro.</t>
  </si>
  <si>
    <t xml:space="preserve"> Izmeklējuma veikšanai izmanto  ID Centrafūgu. Gada nolietojums sastāda 231.92 euro. Vidēji mēnesī 19,33 euro (231,92 : 12 = 19,33 euro) un Termostats, kam gada nolietojums 68,73.Vidēji mēnesī 5,73 euro. Izdevumi uz 1 izmeklējumu 0,001 euro (19,33+5,73 : 18154 izmeklējumi = 0,001). Gadā plānots 0,001 * 200 = 0,20 euro.</t>
  </si>
  <si>
    <t>Viena izmeklējuma veikšanu nodrošina sertificēts Ārsts-laborants (atalgojums mēnesī 1057 euro). Darba laika patēriņš 1 izmeklējuma veikšanai 20 minūtes. 1 minūtes darba izmaksas 1057euro : 166,17 stundas (vidējais darba stundu skaits mēnesī 2015.gadā) : 60 minūtes ir 1057 : 166,17 : 60 = 0,11 euro. 1 izmeklējuma veikšanas darba izmaksas  0,11* 20 minūtes = 2,20 euro.  Steidzama izmeklējuma veikšanai papildus nepieciešamas 13 minūtes - 0,11 euro * 13 minūtes = 1,43 euro. Kopā atalgojums 2,20+1,43 = 3,63 euro. Gadā plānots 10 * 3,63 euro = 36,30 euro.</t>
  </si>
  <si>
    <t>1 izmeklējuma veikšanai nepieciešams 2,62 euro, tai skaitā: 1) Karte Liss Coombs 0,5 kartes- 2,06 euro; 2) 0.8% standarteritrocīti ID-Dia Cell I-II-III 0,15 ml  -0,39 euro; 3) vienreizējās lietošanas cimdi pāris - 0,04 euro; 4) mēģene ar apaļu pamatni 1 gb - 0,01euro; 5) Transferpipete 3,5 ml nesterilas 1 gb.-  0,02 euro; 6) FT 250 Universal 0,5-250 uL 3 gb.- 0,10 euro. Gadā plānots 10 * 2,62 euro = 26,20 euro.</t>
  </si>
  <si>
    <t>Gada faktiskās izmaksas sastāda 372,23 euro.Vidējie mēneša izdevumi par ūdeni un kanalizāciju sastāda 372,23 : 12 = 31,02 euro. Izdevumi uz 1 izmeklējumu 31,02 : 18154 izmeklējumi = 0,002 euro. Gadā plānots 10 * 0,002 = 0,02 euro.</t>
  </si>
  <si>
    <t>Gada faktiskās izmaksas  6459,25 euro. Vidējie mēneša izdevumi par elektroenerģiju sastāda 6459,25: 12 = 538,27 euro. Izdevumi uz 1 izmeklējumu 538,27: 18154 izmeklējumi = 0,03 euro. Gadā plānots 10 * 0,03 = 0,30 euro.</t>
  </si>
  <si>
    <t>Gada faktiskās izmaksas 346,27 euro. Vidējie mēneša izdevumi par atkritumu izvešanu sastāda 346,27 euro: 12 = 28,86 euro. Izdevumi uz 1 izmeklējumu 28,86: 18154 izmeklējumi = 0,002 euro. Gadā plānots 10 * 0,002 = 0,02 euro.</t>
  </si>
  <si>
    <t>Administratīvie izdevumi, kas nodrošina iestādes vispārējo darbu. Atbilstoši VADC iekšējam normatīvam aktam  Nr.1-24.6/14-2014/SIN-002 (09.12.2014.g.) "Uzskaites izcenojumu (pašizmaksa) noteikšana, pārskatīšana un apstiprināšana" izmaksu sadalījums pēc funkcijām (I.līmenis) noteikts , ka no Vadības funkciju veicēju (Centra vadība, Administratīvais departaments, Finanšu departaments) kopējām izmaksām 3,05 % tiek sadalīti konsultatīvai imūnhematoloģiskajai izmeklēšanai (funkcijas realizācija nav saistīta ar asins, asins komponentu sagatavošanu). Vadības funkciju veicēju kopējās 2014.gada izmaksas sastāda 472868,13 euro, kur 3,05% sastāda 14422,48 euro gadā. Administratīvās izmaksas (CV, FD, AD)  mēnesī sastāda 1201.87 euro (14422,48 euro : 12 mēneši = 1201,87 euro). Izdevumi uz 1 izmeklējumu sastāda 1201,87 : 18154 izmeklējumi = 0,07  euro. Gadā plānots 0,07 euro * 10 = 0,70 euro.</t>
  </si>
  <si>
    <t>Gada apsaimniekošanas izmaksas sastāda 4601,30 euro. Vidējie mēneša izdevumi par apsaimniekošanu sastāda  kopā 383,44 euro (4601,30 : 12 = 383,44 euro). Izdevumi uz 1 izmeklējumu 383,44 : 18154 izmeklējumi = 0,02 euro. Gadā plānots 0,02 * 10 = 0,21 euro.</t>
  </si>
  <si>
    <t>Kopējās gada izmaksas sastāda 60,30 euro.Vidējās izmaksas mēnesī sastāda 5,03 euro (60,30 :12 = 5,03 euro). Izdevumi uz 1 izmeklējumu sastāda 5,03 euro : 18154 izmeklējumi = 0,0003 euro. Gadā plānots 10 * 0,0003 = 0,03 euro.</t>
  </si>
  <si>
    <t>Gada biroja preču izlietojums sastāda 659,92 euro. Vidējie mēneša izdevumi par biroja precēm sastāda 54,99 euro (659,92 : 12 = 54,99 euro). Izdevumi uz 1 izmeklējumu sastāda 54,99 : 18154 izmeklējumi = 0,003 euro. Gadā plānots 10 * 0,003 euro = 0,03 euro.</t>
  </si>
  <si>
    <t>Gada izmaksas sastāda 80,22 euro. Vidējie mēneša izdevumi par remonta un uzturēšanas materiāliem sastāda 6,69 euro (80,22 : 12 = 6,69 euro) (papīra dvieļi-16,24 euro, atkritumu maisiem 16,92 euro, universālam mazgāšanas līdzeklim 0,58 euro, lupatām 4,57 euro, švammēm 1,46 euro, tīrīšanas pastai 0,35 euro). Izdevumi uz 1 izmeklējumu sastāda 6,69 : 18154 izmeklējumi = 0,0004 euro. Gadā plānots 10 * 0,0004 euro = 0,004 euro.</t>
  </si>
  <si>
    <t>Gada izmaksas sastāda 114,38 euro. Vidējie mēneša izdevumi 9,53 euro (114,38 : 12 = 9,53 euro). Izdevumi uz 1 izmeklējumu sastāda 0,0005 euro ( 9,53 : 18154 izmeklējumi = 0,0005 euro). Gadā plānots 0,0005 * 10 = 0,01 euro.</t>
  </si>
  <si>
    <t xml:space="preserve"> Izmeklējuma veikšanai izmanto  ID Centrafūgu. Gada nolietojums sastāda 231.92 euro. Vidēji mēnesī 19,33 euro (231,92 : 12 = 19,33 euro) un Termostats, kam gada nolietojums 68,73. Vidēji mēnesī 5,73 euro. Izdevumi uz 1 izmeklējumu 0,001 euro (19,33+5,73 : 18154 izmeklējumi = 0,001). Gadā plānots 0,001 * 10 = 0,01 euro.</t>
  </si>
  <si>
    <t>Gada nolietojums sastāda 404,20 euro. Vidējie mēneša izdevumi 33,68 euro (404,20 : 12 = 33,68 euro). Izdevumi uz 1 izmeklējumi sastāda  0,002 euro (33,68 : 18154 izmeklējumi = 0,002 euro). Gadā plānots 0,002 euro * 10 = 0,02 euro.</t>
  </si>
  <si>
    <t>Gada faktiskās izmaksas sastāda 372,23 euro. Vidējie mēneša izdevumi par ūdeni un kanalizāciju sastāda 372,23 : 12 = 31,02 euro). Izdevumi uz 1 izmeklējumu 31,02 : 18154 izmeklējumi = 0,002 euro. Gadā plānots 200 * 0,002 = 0,34 euro.</t>
  </si>
  <si>
    <t>Gada faktiskās izmaksas 346,27 euro. Vidējie mēneša izdevumi par atkritumu izvešanu sastāda 346,27 euro: 12 = 28,86 euro. Izdevumi uz 1 izmeklējumu 28,86: 18154 izmeklējumi = 0,002 euro. Gadā plānots 200 * 0,002 = 0,32 euro.</t>
  </si>
  <si>
    <t>Gada apsaimniekošanas izmaksas sastāda 4601,30 euro. Vidējie mēneša izdevumi par apsaimniekošanu sastāda  kopā 383,44 euro (4601,30 : 12 = 383,44 euro). Izdevumi uz 1 izmeklējumu 383,44 : 18154 izmeklējumi = 0,02 euro. Gadā plānots 0,02 * 200 = 4,20 euro.</t>
  </si>
  <si>
    <t>Gada izmaksas sastāda 80,22 euro. Vidējie mēneša izdevumi par remonta un uzturēšanas materiāliem sastāda 6,69 euro (80,22 : 12 = 6,69 euro) (papīra dvieļi-16,24 euro, atkritumu maisiem 16,92 euro, universālam mazgāšanas līdzeklim 0,58 euro, lupatām 4,57 euro, švammēm 1,46 euro, tīrīšanas pastai 0,35 euro). Izdevumi uz 1 izmeklējumu sastāda 6,69 euro : 18154 izmeklējumi = 0,0004 euro. Gadā plānots 200 * 0,0004 euro = 0,08 euro.</t>
  </si>
  <si>
    <t>Gada nolietojums sastāda 404,20 euro. Vidējie mēneša izdevumi 33,68 euro (404,20 : 12 = 33,68 euro). Izdevumi uz 1 izmeklējumi sastāda  0,002 euro (33,68 : 18154 izmeklējumi = 0,002 euro). Gadā plānots 0,002 euro * 200 = 0,38 euro.</t>
  </si>
  <si>
    <t>Gada izmaksas sastāda 80,22 euro. Vidējie mēneša izdevumi par remonta un uzturēšanas materiāliem sastāda 6,69 euro (80,22 : 12 = 6,69 euro) (papīra dvieļi-16,24 euro, atkritumu maisiem 16,92 euro, universālam mazgāšanas līdzeklim 0,58 euro, lupatām 4,57 euro, švammēm 1,46 euro, tīrīšanas pastai 0,35 euro). Izdevumi uz 1 izmeklējumu sastāda 6,69 euro:18154 izmeklējumi = 0,0004 euro. Gadā plānots 200 * 0,0004 euro = 0,08 euro.</t>
  </si>
  <si>
    <t>Viena izmeklējuma veikšanu nodrošina sertificēts Ārsts-laborants (atalgojums mēnesī 1057 euro). Darba laika patēriņš 1 izmeklējuma veikšanai 20 minūtes. 1 minūtes darba izmaksas 1057euro : 166,17 stundas (vidējais darba stundu skaits mēnesī 2015.gadā) : 60 minūtes ir  1057:166,17:60 = 0,11 euro. 1 izmeklējuma veikšanas darba izmaksas 0,11 * 20 minūtes = 2,20 euro. Gadā plānots 200 * 2,20 euro = 440,00 euro.</t>
  </si>
  <si>
    <t>Gada faktiskās izmaksas sastāda 372,23 euro. Vidējie mēneša izdevumi par ūdeni un kanalizāciju sastāda 372,23 : 12 = 31,02 euro). Izdevumi uz 1 izmeklējumu 31,02 : 18154 izmeklējumi = 0,002 euro. Gadā plānots 900 * 0,002 = 1,53 euro.</t>
  </si>
  <si>
    <t>Administratīvie izdevumi, kas nodrošina iestādes vispārējo darbu. Atbilstoši VADC iekšējam normatīvam aktam  Nr.1-24.6/14-2014/SIN-002 (09.12.2014.g.) "Uzskaites izcenojumu (pašizmaksa) noteikšana, pārskatīšana un apstiprināšana" izmaksu sadalījums pēc funkcijām (I.līmenis) noteikts , ka no Vadības funkciju veicēju (Centra vadība, Administratīvais departaments, Finanšu departaments) kopējām izmaksām 3,05 % tiek sadalīti konsultatīvai imūnhematoloģiskajai izmeklēšanai (funkcijas realizācija nav saistīta ar asins, asins komponentu sagatavošanu). Vadības funkciju veicēju kopējās 2014.gada izmaksas sastāda 472868,13 euro, kur 3,05% sastāda 14422,48 euro gadā. Administratīvās izmaksas (CV, FD, AD)  mēnesī sastāda 1201.87 euro (14422,48 euro : 12 mēneši = 1201,87 euro). Izdevumi uz 1 izmeklējumu sastāda 1201,87 : 18154 izmeklējumi = 0,07  euro. Gadā plānots 0,07 euro * 900 = 63,00 euro.</t>
  </si>
  <si>
    <t>Gada izdevumi iekārtu tehniskai apkopei un remontam 4639,55 euro. Vidējie mēneša izdevumi 386,63 euro (4639,55 : 12 = 386,63 euro). Izdevumi uz 1 izmeklējumu sastāda 0,02 euro (386,63 : 18154 izmeklējumi = 0,02 euro). Gadā plānots 900 *  0,02 euro = 19,17 euro.</t>
  </si>
  <si>
    <t>Gada apsaimniekošanas izmaksas sastāda 4601,30 euro. Vidējie mēneša izdevumi par apsaimniekošanu sastāda  kopā 383,44 euro (4601,30 : 12 = 383,44 euro). Izdevumi uz 1 izmeklējumu 383,44 : 18154 izmeklējumi = 0,02 euro. Gadā plānots 0,02 * 900 = 18,90 euro.</t>
  </si>
  <si>
    <t>Gada izmaksas sastāda 117,09 euro.  Vidējie mēneša izdevumi par specapģērbu mazgāšanu sastāda 9,76 euro (117,09 : 12 = 9.76 euro). Izdevumi uz 1 izmeklējumu sastāda 9,76 : 18154 izmeklējumi = 0,001 euro. Gada apjoms 900*0,001 euro = 0,45 euro.</t>
  </si>
  <si>
    <t>Gada izmaksas sastāda 80,22 euro. Vidējie mēneša izdevumi par remonta un uzturēšanas materiāliem sastāda 6,69 euro (80,22 : 12 = 6,69 euro) (papīra dvieļi-16,24 euro, atkritumu maisiem 16,92 euro, universālam mazgāšanas līdzeklim 0,58 euro, lupatām 4,57 euro, švammēm 1,46 euro, tīrīšanas pastai 0,35 euro). Izdevumi uz 1 izmeklējumu sastāda 6,69 : 18154 izmeklējumi = 0,0004 euro. Gadā plānots 900 * 0,0004 euro = 0,36 euro.</t>
  </si>
  <si>
    <t>Gada izmaksas sastāda 114,38 euro. Vidējie mēneša izdevumi 9,53 euro (114,38 : 12 = 9,53 euro). Izdevumi uz 1 izmeklējumu sastāda 0,0005 euro (9,53 : 18154 izmeklējumi = 0,0005 euro). Gadā plānots 0,0005 * 900 = 0,45 euro.</t>
  </si>
  <si>
    <t xml:space="preserve"> Izmeklējuma veikšanai izmanto  ID Centrafūgu. Gada nolietojums sastāda 231.92 euro. Vidēji mēnesī 19,33 euro (231,92 : 12 = 19,33 euro) un Termostats, kam gada nolietojums 68,73. Vidēji mēnesī 5,73 euro. Izdevumi uz 1 izmeklējumu 0,001 euro (19,33+5,73 : 18154 izmeklējumi = 0,001). Gadā plānots 0,001 * 900 = 0,90 euro.</t>
  </si>
  <si>
    <t>Gada nolietojums sastāda 404,20 euro. Vidējie mēneša izdevumi 33,68 euro (404,20 : 12 = 33,68 euro). Izdevumi uz 1 izmeklējumi sastāda  0,002 euro (33,68 : 18154 izmeklējumi = 0,002 euro). Gadā plānots 0,002 euro * 900 = 1,71 euro.</t>
  </si>
  <si>
    <t>Viena izmeklējuma veikšanu nodrošina sertificēts Ārsts-laborants (atalgojums mēnesī 1057 euro). Darba laika patēriņš 1 izmeklējuma veikšanai 20 minūtes. 1 minūtes darba izmaksas 1057 euro : 166,17 stundas (vidējais darba stundu skaits mēnesī 2015.gadā) : 60 minūtes ir 1057 :166,17 : 60 = 0,11 euro. 1 izmeklējuma veikšanas darba izmaksas 0,11 * 20 minūtes = 2,20 euro. Steidzama izmeklējuma veikšanai papildus nepieciešamas 13 minūtes - 0,11 euro * 13 minūtes = 1,43 euro. Kopā atalgojums 2,20 + 1,43 =3,63 euro. Gadā plānots 99 * 3,63 euro = 359,37 euro.</t>
  </si>
  <si>
    <t>Administratīvie izdevumi, kas nodrošina iestādes vispārējo darbu. Atbilstoši VADC iekšējam normatīvam aktam  Nr.1-24.6/14-2014/SIN-002 (09.12.2014.g.) "Uzskaites izcenojumu (pašizmaksa) noteikšana, pārskatīšana un apstiprināšana" izmaksu sadalījums pēc funkcijām (I.līmenis) noteikts, ka no Vadības funkciju veicēju (Centra vadība, Administratīvais departaments, Finanšu departaments) kopējām izmaksām 3,05 % tiek sadalīti konsultatīvai imūnhematoloģiskajai izmeklēšanai (funkcijas realizācija nav saistīta ar asins, asins komponentu sagatavošanu). Vadības funkciju veicēju kopējās 2014.gada izmaksas sastāda 472868,13 euro, kur 3,05% sastāda 14422,48 euro gadā. Administratīvās izmaksas (CV, FD, AD)  mēnesī sastāda 1201,87 euro (14422,48 euro : 12 mēneši = 1201,87 euro). Izdevumi uz 1 izmeklējumu sastāda 1201,87 : 18154 izmeklējumi = 0,07  euro. Gadā plānots 0,07 euro * 99 = 6,93 euro.</t>
  </si>
  <si>
    <t>Gada apsaimniekošanas izmaksas sastāda 4601,30 euro. Vidējie mēneša izdevumi par apsaimniekošanu sastāda  kopā 383,44 euro (4601,30 : 12 = 383,44 euro). Izdevumi uz 1 izmeklējumu 383,44 : 18154 izmeklējumi = 0,02 euro. Gadā plānots 0,02 * 99 = 2,08 euro.</t>
  </si>
  <si>
    <t>Gada izmaksas sastāda 117,09 euro.  Vidējie mēneša izdevumi par specapģērbu mazgāšanu sastāda 9,76 euro (117,09 : 12 = 9.76 euro). Izdevumi uz 1 izmeklējumu sastāda 9,76 : 18154 izmeklējumi = 0,001 euro. Gada apjoms 99 * 0,001 euro = 0,05 euro.</t>
  </si>
  <si>
    <t>Gada biroja preču izlietojums sastāda 659,92 euro. Vidējie mēneša izdevumi par biroja precēm sastāda 54,99 euro (659,92 : 12 = 54,99 euro). Izdevumi uz 1 izmeklējumu sastāda 54,99 : 18154 izmeklējumi = 0,003 euro. Gadā plānots 99 * 0,003 euro = 0,30 euro.</t>
  </si>
  <si>
    <t>Gada izmaksas sastāda 80,22 euro. Vidējie mēneša izdevumi par remonta un uzturēšanas materiāliem sastāda 6,69 euro (80,22 : 12 = 6,69 euro) (papīra dvieļi-16,24 euro, atkritumu maisiem 16,92 euro, universālam mazgāšanas līdzeklim 0,58 euro, lupatām 4,57 euro, švammēm 1,46 euro, tīrīšanas pastai 0,35 euro). Izdevumi uz 1 izmeklējumu sastāda 6,69 euro: 18154 izmeklējumi = 0,0004 euro. Gadā plānots 99 * 0,0004 euro = 0,04 euro.</t>
  </si>
  <si>
    <t>Gada izmaksas sastāda 114,38 euro. Vidējie mēneša izdevumi 9,53 euro (114,38 : 12 = 9,53 euro). Izdevumi uz 1 izmeklējumu sastāda 0,0005 euro (9,53 : 18154 izmeklējumi = 0,0005 euro). Gadā plānots 0,0005 * 99 = 0,05 euro.</t>
  </si>
  <si>
    <t xml:space="preserve"> Izmeklējuma veikšanai izmanto  ID Centrafūgu. Gada nolietojums sastāda 231.92 euro. Vidēji mēnesī 19,33 euro (231,92 : 12 = 19,33 euro) un Termostats, kam gada nolietojums 68,73.Vidēji mēnesī 5,73 euro. Izdevumi uz 1 izmeklējumu 0,001 euro (19,33+5,73 : 18154 izmeklējumi = 0,001). Gadā plānots 0,001 * 99 = 0,10 euro.</t>
  </si>
  <si>
    <t>Gada nolietojums sastāda 404,20 euro. Vidējie mēneša izdevumi 33,68 euro (404,20 : 12 = 33,68 euro). Izdevumi uz 1 izmeklējumi sastāda  0,002 euro (33,68 : 18154 izmeklējumi = 0,002 euro). Gadā plānots 0,002 euro * 99 = 0,19 euro.</t>
  </si>
  <si>
    <t>Viena izmeklējuma veikšanu nodrošina sertificēts Ārsts-laborants (atalgojums mēnesī 1057 euro). Darba laika patēriņš 1 izmeklējuma veikšanai 20 minūtes. 1minūtes darba izmaksas 1057euro : 166,17 stundas (vidējais darba stundu skaits mēnesī 2015.gadā) : 60 minūtes ir 1057 : 166,17 : 60 = 0,11 euro. 1 izmeklējuma veikšanas darba izmaksas 0,11 * 20 minūtes = 2,20 euro. Gadā plānots 900 * 2,20 euro = 1980,00 euro.</t>
  </si>
  <si>
    <t>Gada faktiskās izmaksas 3619,08 euro. Vidējie mēneša izdevumi par apkuri sastāda 3619,08 : 12 = 301,59 euro. Izdevumi apkurei uz 1 izmeklējumu 301,59 : 18154 izmeklējumi = 0,02 euro. Gadā 900 * 0,02 = 14,94 euro.</t>
  </si>
  <si>
    <t>Gada faktiskās izmaksas sastāda 372,23 euro.Vidējie mēneša izdevumi par ūdeni un kanalizāciju sastāda 372,23 : 12 = 31,02 euro. Izdevumi uz 1 izmeklējumu 31,02 : 18154 izmeklējumi = 0,002 euro. Gadā plānots 900 * 0,002 = 1,53 euro.</t>
  </si>
  <si>
    <t>Gada faktiskās izmaksas 346,27 euro. Vidējie mēneša izdevumi par atkritumu izvešanu sastāda 346,27 euro : 12 = 28,86 euro. Izdevumi uz 1 izmeklējumu 28,86 euro: 18154 izmeklējumi = 0,002 euro. Gadā plānots 900 * 0,002 = 1,44 euro.</t>
  </si>
  <si>
    <t>Gada izdevumi iekārtu tehniskai apkopei un remontam 4639,55 euro. Vidējie mēneša izdevumi 386,63 euro (4639,55 : 12 = 386,63 euro). Izdevumi uz 1 izmeklējumu sastāda 0,02 euro (386,63 : 18154 izmeklējumi = 0,02 euro). Gadā plānots 900 * 0,02 euro = 19,17 euro.</t>
  </si>
  <si>
    <t>Kopējās gada izmaksas sastāda 60,30 euro.Vidējās izmaksas mēnesī sastāda 5,03 euro (60,30 :12 = 5,03 euro). Izdevumi uz 1 izmeklējumu sastāda 5,03 euro : 18154 izmeklējumi = 0,0003 euro. Gadā plānots 900 * 0,0003 = 0,27 euro.</t>
  </si>
  <si>
    <t>Gada biroja preču izlietojums sastāda 659,92 euro. Vidējie mēneša izdevumi par biroja precēm sastāda 54,99 euro (659,92 : 12 = 54,99 euro). Izdevumi uz 1 izmeklējumu sastāda 54,99 : 18154 izmeklējumi = 0,003 euro. Gadā plānots 900 * 0,003 euro = 2,70 euro.</t>
  </si>
  <si>
    <t>Gada izmaksas sastāda 80,22 euro. Vidējie mēneša izdevumi par remonta un uzturēšanas materiāliem sastāda 6,69 euro (80,22 : 12 = 6,69 euro) (papīra dvieļi-16,24 euro atkritumu maisiem 16,92 euro, universālam mazgāšanas līdzeklim 0,58 euro, lupatām 4,57 euro, švammēm 1,46 euro, tīrīšanas pastai 0,35 euro). Izdevumi uz 1 izmeklējumu sastāda 6,69 euro : 18154 izmeklējumi = 0,0004 euro. Gadā plānots 900 * 0,0004 euro = 0,36 euro.</t>
  </si>
  <si>
    <t>Viena izmeklējuma veikšanu nodrošina sertificēts Ārsts-laborants (atalgojums mēnesī 1057 euro). Darba laika patēriņš 1 izmeklējuma veikšanai 20 minūtes. 1 minūtes darba izmaksas 1057euro : 166,17 stundas (vidējais darba stundu skaits mēnesī 2015.gadā) : 60 minūtes ir 1057 : 166,17 : 60 = 0,11 euro. 1 izmeklējuma veikšanas darba izmaksas 0,11 * 20 minūtes = 2,20 euro.  Steidzama izmeklējuma veikšanai papildus nepieciešamas 13 minūtes - 0,11 euro * 13 minūtes = 1,43 euro. Kopā atalgojums 2,20 + 1,43 = 3,63 euro. Gadā plānots 100 * 3,63 euro = 363,00 euro.</t>
  </si>
  <si>
    <t>1 izmeklējuma veikšanai nepieciešams 10,90 euro, tai skaitā: 1)KarteNa Cl enzyme  test 1 karte -  8,03 euro; 2) eritrocīti no ID Dia Panel (enzīmu panelis) 0,6 ml - 2,22 euro; 3) Diulents -2 (autokontrolei) 0,5 ml -  0,18 euro; 4) vienreizējās lietošanas cimdi pāris - 0,04 euro; 5) mēģene ar apaļu pamatni 1 gb -  0,01 euro; 6) Transferpipete 3,5 ml nesterilas 1 gb.-  0,02 euro; 7) FT 250 Universal 0,5-250 uL 12 gb.- 0,40 euro. Gadā plānots 100 * 10,90 euro = 1090,00 euro.</t>
  </si>
  <si>
    <t>Gada faktiskās izmaksas sastāda 372,23 euro.Vidējie mēneša izdevumi par ūdeni un kanalizāciju sastāda 372,23 : 12 = 31,02 euro. Izdevumi uz 1 izmeklējumu 31,02 : 18154 izmeklējumi = 0,002 euro. Gadā plānots 100 * 0,002 = 0,17 euro.</t>
  </si>
  <si>
    <t>Gada faktiskās izmaksas 346,27 euro. Vidējie mēneša izdevumi par atkritumu izvešanu sastāda 346,27 euro : 12 = 28,86 euro. Izdevumi uz 1 izmeklējumu 28,86 euro : 18154 izmeklējumi = 0,002 euro. Gadā plānots 100 * 0,002 = 0,16 euro.</t>
  </si>
  <si>
    <t>Gada izdevumi iekārtu tehniskai apkopei un remontam 4639,55 euro. Vidējie mēneša izdevumi 386,63 euro (4639,55 : 12 = 386,63 euro). Izdevumi uz 1 izmeklējumu sastāda 0,02 euro (386,63 : 18154 izmeklējumi = 0,02 euro). Gadā plānots 100 *  0,02 euro = 2,13 euro.</t>
  </si>
  <si>
    <t>Gada apsaimniekošanas izmaksas sastāda 4601,30 euro. Vidējie mēneša izdevumi par apsaimniekošanu sastāda  kopā 383,44 euro (4601,30 : 12 = 383,44 euro). Izdevumi uz 1 izmeklējumu 383,44 : 18154 izmeklējumi = 0,02 euro. Gadā plānots 0,02 * 100 = 2,10 euro.</t>
  </si>
  <si>
    <t>Gada izmaksas sastāda 117,09 euro.  Vidējie mēneša izdevumi par specapģērbu mazgāšanu sastāda 9,76 euro (117,09 : 12 = 9.76 euro). Izdevumi uz 1 izmeklējumu sastāda 9,76 : 18154 izmeklējumi = 0,001 euro. Gada apjoms 100*  0,001euro = 0,05 euro.</t>
  </si>
  <si>
    <t>Kopējās gada izmaksas sastāda 60,30 euro.Vidējās izmaksas mēnesī sastāda 5,03 euro (60,30 :12 = 5,03 euro). Izdevumi uz 1 izmeklējumu sastāda 5,03 euro : 18154 izmeklējumi = 0,0003 euro. Gadā plānots 100 * 0,0003 = 0,03 euro.</t>
  </si>
  <si>
    <t>Gada biroja preču izlietojums sastāda 659,92 euro. Vidējie mēneša izdevumi par biroja precēm sastāda 54,99 euro (659,92 : 12 = 54,99 euro). Izdevumi uz 1 izmeklējumu sastāda 54,99 : 18154 izmeklējumi = 0,003euro. Gadā plānots 100 * 0,003 euro = 0,30 euro.</t>
  </si>
  <si>
    <t>Gada nolietojums sastāda 404,20 euro. Vidējie mēneša izdevumi 33,68 euro (404,20 : 12 = 33,68 euro). Izdevumi uz 1 izmeklējumi sastāda  0,002 euro (33,68 : 18154 izmeklējumi = 0,002 euro). Gadā plānots 0,002 euro * 100 = 0,19 euro.</t>
  </si>
  <si>
    <t xml:space="preserve"> Izmeklējuma veikšanai izmanto  ID Centrafūgu. Gada nolietojums sastāda 231.92 euro. Vidēji mēnesī 19,33 euro (231,92 : 12 = 19,33 euro) un Termostats, kam gada nolietojums 68,73. Vidēji mēnesī 5,73 euro. Izdevumi uz 1 izmeklējumu 0,001 euro (19,33+5,73 : 18154 izmeklējumi = 0,001). Gadā plānots 0,001 * 100 = 0,10 euro.</t>
  </si>
  <si>
    <t xml:space="preserve"> Izmeklējuma veikšanai izmanto  ID Centrafūgu. Gada nolietojums sastāda 231,92 euro. Vidēji mēnesī 19,33 euro (231,92 : 12 = 19,33 euro) un Termostats, kam gada nolietojums 68,73. Vidēji mēnesī 5,73 euro. Izdevumi uz 1 izmeklējumu 0,001 euro (19,33+5,73 : 18154 izmeklējumi = 0,001). Gadā plānots 0,001 * 100 = 0,10 euro.</t>
  </si>
  <si>
    <t>Viena izmeklējuma veikšanu nodrošina sertificēts Ārsts-laborants (atalgojums mēnesī 1057 euro). Darba laika patēriņš 1 izmeklējuma veikšanai 20 minūtes. 1 minūtes darba izmaksas 1057euro : 166,17 stundas (vidējais darba stundu skaits mēnesī 2015.gadā) : 60 minūtes ir 1057 : 166,17 : 60 = 0,11 euro. 1 izmeklējuma veikšanas darba izmaksas 0,11 * 20 minūtes = 2,20 euro. Gadā plānots 100 * 2,20 euro = 220,00 euro.</t>
  </si>
  <si>
    <t>1 izmeklējuma veikšanai nepieciešams 6,04 euro, tai skaitā: 1) Karte Liss Coombs 1 gb.- 4,13euro; 2) Eritrocīti no ID-Dia panel Pluss 6 (papildpanelis) (6x4) 0,3 ml - 1,60 euro; 3) vienreizējās lietošanas cimdi pāris - 0,04 euro; 5) mēģene ar apaļu pamatni  1 gb -0,01euro; 6) Transferpipete 3,5 ml nesterilas 1 gb - 0,02 euro; 7) FT 250 Universal 0,5-250 uL 7 gb - 0,24 euro. Gadā plānots 100 *  6,04 euro =604,00 euro.</t>
  </si>
  <si>
    <t>Gada faktiskās izmaksas 346,27 euro. Vidējie mēneša izdevumi par atkritumu izvešanu sastāda 346,27 euro : 12 = 28,86 euro. Izdevumi uz 1 izmeklējumu 28,86 euro: 18154 izmeklējumi = 0,002 euro. Gadā plānots 100 * 0,002 = 0,16 euro.</t>
  </si>
  <si>
    <t>Administratīvie izdevumi, kas nodrošina iestādes vispārējo darbu. Atbilstoši VADC iekšējam normatīvam aktam  Nr.1-24.6/14-2014/SIN-002 (09.12.2014.g.) "Uzskaites izcenojumu (pašizmaksa) noteikšana, pārskatīšana un apstiprināšana" izmaksu sadalījums pēc funkcijām (I.līmenis) noteikts , ka no Vadības funkciju veicēju (Centra vadība, Administratīvais departaments, Finanšu departaments) kopējām izmaksām 3,05 % tiek sadalīti konsultatīvai imūnhematoloģiskajai izmeklēšanai (funkcijas realizācija nav saistīta ar asins, asins komponentu sagatavošanu). Vadības funkciju veicēju kopējās 2014.gada izmaksas sastāda 472868,13 euro, kur 3,05% sastāda 14422,48 euro gadā. Administratīvās izmaksas (CV, FD, AD)  mēnesī sastāda 1201,87 euro (14422,48 euro : 12 mēneši = 1201,87 euro) . Izdevumi uz 1 izmeklējumu sastāda 1201,87 : 18154 izmeklējumi = 0,07  euro. Gadā plānots 0,07 euro * 100 = 7,00 euro.</t>
  </si>
  <si>
    <t>Gada biroja preču izlietojums sastāda 659,92 euro. Vidējie mēneša izdevumi par biroja precēm sastāda 54,99 euro (659,92 : 12 = 54,99 euro). Izdevumi uz 1 izmeklējumu sastāda 54,99 : 18154 izmeklējumi = 0,003 euro. Gadā plānots 100 * 0,003 euro = 0,30 euro.</t>
  </si>
  <si>
    <t>Gada izmaksas sastāda 80,22 euro. Vidējie mēneša izdevumi par remonta un uzturēšanas materiāliem sastāda 6,69 euro (80,22 : 12 = 6,69 euro) (papīra dvieļi-16,24 euro, atkritumu maisiem 16,92 euro, universālam mazgāšanas līdzeklim 0,58 euro, lupatām 4,57 euro, švammēm 1,46 euro, tīrīšanas pastai 0,35 euro). Izdevumi uz 1 izmeklējumu sastāda 6,69 euro: 18154 izmeklējumi = 0,0004 euro. Gadā plānots 100 * 0,0004 euro = 0,04 euro.</t>
  </si>
  <si>
    <t>Gada nolietojums sastāda 404,20 euro. Vidējie mēneša izdevumi 33,68 euro (404,20 : 12 = 33,68 euro). Izdevumi uz 1 izmeklējumi sastāda  0,002 euro (33,68 : 18154 izmeklējumi = 0,002 euro ). Gadā plānots 0,002 euro * 100 = 0,19 euro.</t>
  </si>
  <si>
    <t>Viena izmeklējuma veikšanu nodrošina sertificēts Ārsts (atalgojums mēnesī 1057 euro). Darba laika patēriņš 1 izmeklējuma veikšanai 20 minūtes. 1 minūtes darba izmaksas 1057euro : 166,17 stundas (vidējais darba stundu skaits mēnesī 2015.gadā) : 60 minūtes ir 1057 : 166,17 : 60 = 0,11 euro. 1 izmeklējuma veikšanas darba izmaksas 0,11 * 20 minūtes = 2,20euro.  Steidzama izmeklējuma veikšanai papildus nepieciešamas 13 minūtes - 0,11 euro * 13 minūtes = 1,43 euro. Kopā atalgojums 2,20 +1,43 = 3,63 euro. Gadā plānots 20 * 3,63 euro = 72,60 euro.</t>
  </si>
  <si>
    <t>1 izmeklējuma veikšanai nepieciešams 6,04 euro, tai skaitā: 1) Karte Liss Coombs 1 gb.- 4,13 euro; 2) Eritrocīti no ID-Dia panel Pluss 6 (papildpanelis) (6x4) 0,3 ml - 1,60 euro; 3) vienreizējās lietošanas cimdi pāris - 0,04 euro; 5) mēģene ar apaļu pamatni  1 gb-0,01euro; 6) Transferpipete 3,5 ml nesterilas 1 gb - 0,02 euro; 7) FT 250 Universal 0,5-250 uL 7 gb - 0,24 euro. Gadā plānots 20 * 6,04 euro = 120,80 euro.</t>
  </si>
  <si>
    <t>Gada faktiskās izmaksas 3619,08 euro.Vidējie mēneša izdevumi par apkuri sastāda 3619,08 : 12 = 301,59 euro. Izdevumi apkurei uz 1 izmeklējumu 301,59 : 18154 izmeklējumi = 0,02 euro. Gadā 20 * 0,02 = 0,33 euro.</t>
  </si>
  <si>
    <t>Gada faktiskās izmaksas sastāda 372,23 euro.Vidējie mēneša izdevumi par ūdeni un kanalizāciju sastāda 372,23 : 12 = 31,02 euro. Izdevumi uz 1 izmeklējumu 31,02 : 18154 izmeklējumi = 0,002 euro. Gadā plānots 20 * 0,002 = 0,03 euro.</t>
  </si>
  <si>
    <t>Gada izmaksas sastāda 117,09 euro.  Vidējie mēneša izdevumi par specapģērbu mazgāšanu sastāda 9,76 euro (117,09 : 12 = 9.76 euro). Izdevumi uz 1 izmeklējumu sastāda 9,76 euro: 18154 izmeklējumi = 0,001 euro. Gada apjoms 20 *  0,001euro = 0,01 euro.</t>
  </si>
  <si>
    <t xml:space="preserve"> Izmeklējuma veikšanai izmanto  ID Centrafūgu. Gada nolietojums sastāda 231,92 euro. Vidēji mēnesī 19,33 euro (231,92 : 12 = 19,33 euro) un Termostats, kam gada nolietojums 68,73. Vidēji mēnesī 5,73 euro. Izdevumi uz 1 izmeklējumu 0,001 euro (19,33+5,73 : 18154 izmeklējumi = 0,001). Gadā plānots 0,001 * 20 = 0,02 euro.</t>
  </si>
  <si>
    <t>Gada nolietojums sastāda 404,20 euro. Vidējie mēneša izdevumi 33,68 euro (404,20 : 12 = 33,68 euro). Izdevumi uz 1 izmeklējumi sastāda  0,002 euro (33,68 : 18154 izmeklējumi = 0,002 euro). Gadā plānots 0,002 euro * 20 = 0,04 euro.</t>
  </si>
  <si>
    <t>1 izmeklējuma veikšanai nepieciešams 15,50 euro, tai skaitā: 1)Karte Liss Coombs 3 gb.-12,38euro; 2) Diulents 2 (autokontrolei) 0,5 ml - 0,18 euro; 3) Identifikācijas eritrocīti "Column "panel 16 (16x3) (0,8% standarteritrocītu panelis antieritrocitāro antivielu identifikācijai ar IAT) 0,8 ml - 2,30 euro; 3) vienreizējās lietošanas cimdi pāris - 0,04 euro; 5) mēģene ar apaļu pamatni 1 gb.- 0,01euro; 6) Transferpipete 3,5 ml nesterilas 1 gb.- 0,02 euro; 7) FT 250 Universal 0,5-250 uL 17 gb.- 0,57 euro. Gadā plānots 100 *15,50 euro = 1550,00 euro.</t>
  </si>
  <si>
    <t>Gada faktiskās izmaksas 3619,08 euro.Vidējie mēneša izdevumi par apkuri sastāda 3619,08 : 12 = 301,59 euro. Izdevumi apkurei uz 1 izmeklējumu 301,59 : 18154 izmeklējumi = 0,02 euro. Gadā 100 * 0,02 = 1,66 euro.</t>
  </si>
  <si>
    <t>Administratīvie izdevumi, kas nodrošina iestādes vispārējo darbu. Atbilstoši VADC iekšējam normatīvam aktam  Nr.1-24.6/14-2014/SIN-002 (09.12.2014.g.) "Uzskaites izcenojumu (pašizmaksa) noteikšana, pārskatīšana un apstiprināšana" izmaksu sadalījums pēc funkcijām (I.līmenis) noteikts , ka no Vadības funkciju veicēju (Centra vadība,Administratīvais departaments, Finanšu departaments) kopējām izmaksām 3,05 % tiek sadalīti konsultatīvai imūnhematoloģiskajai izmeklēšanai (funkcijas realizācija nav saistīta ar asins, asins komponentu sagatavošanu). Vadības funkciju veicēju kopējās 2014.gada izmaksas sastāda 472868,13 euro, kur 3,05% sastāda 14422,48 euro gadā. Administratīvās izmaksas (CV, FD, AD)  mēnesī sastāda 1201,87 euro (14422,48 euro : 12 mēneši = 1201,87 euro). Izdevumi uz 1 izmeklējumu sastāda 1201,87 : 18154 izmeklējumi = 0,07  euro. Gadā plānots 0,07 euro * 100 = 7,00 euro.</t>
  </si>
  <si>
    <t>Gada biroja preču izlietojums sastāda 659,92 euro. Vidējie mēneša izdevumi par biroja precēm sastāda 54,99 euro (659,92 : 12 = 54,99 euro). Izdevumi uz 1 izmeklējumu sastāda 54,99 euro: 18154 izmeklējumi = 0,003 euro. Gadā plānots 100 * 0,003 euro = 0,30 euro.</t>
  </si>
  <si>
    <t>Izmeklējuma veikšanai izmanto  ID Centrafūgu. Gada nolietojums sastāda 231,92 euro. Vidēji mēnesī 19,33 euro (231,92 : 12 = 19,33 euro) un Termostats, kam gada nolietojums 68,73. Vidēji mēnesī 5,73 euro. Izdevumi uz 1 izmeklējumu 0,001 euro (19,33+5,73 : 18154 izmeklējumi = 0,001). Gadā plānots 0,001 * 100 = 0,10 euro.</t>
  </si>
  <si>
    <t>Viena izmeklējuma veikšanu nodrošina sertificēts Ārsts (atalgojums mēnesī 1057 euro). Darba laika patēriņš 1 izmeklējuma veikšanai 20 minūtes. 1 minūtes darba izmaksas 1057euro : 166,17 stundas (vidējais darba stundu skaits mēnesī 2015.gadā) : 60 minūtes ir 1057 : 166,17 : 60 = 0,11 euro. 1 izmeklējuma veikšanas darba izmaksas 0,11 * 20 minūtes = 2,20 euro. Steidzama izmeklējuma veikšanai papildus nepieciešamas 13 minūtes - 0,11 euro * 13 minūtes = 1,43 euro. Kopā atalgojums 2,20 + 1,43 = 3,63 euro. Gadā plānots 10 * 3,63 euro = 36,30 euro.</t>
  </si>
  <si>
    <t>1 izmeklējuma veikšanai nepieciešams 15,50 euro, tai skaitā: 1) Karte Liss Coombs 3 gb. - 12,38euro ; 2) Diulents 2 (autokontrolei) 0,5 ml - 0,18 euro; 3) Identifikācijas eritrocīti "Column "panel 16 (16x3) (0,8% standarteritrocītu panelis antieritrocitāro antivielu identifikācijai ar IAT) 0,8 ml - 2,30 euro; 3) vienreizējās lietošanas cimdi pāris - 0,04 euro; 5) mēģene ar apaļu pamatni 1 gb.- 0,01euro; 6) Transferpipete 3,5 ml nesterilas 1 gb. - 0,02 euro; 7) FT 250 Universal 0,5-250 uL 17 gb.-0,57 euro. Gadā plānots 10 * 15,50 euro = 155,00 euro.</t>
  </si>
  <si>
    <t>Gada faktiskās izmaksas 3619,08 euro.Vidējie mēneša izdevumi par apkuri sastāda 3619,08 : 12 = 301,59 euro. Izdevumi apkurei uz 1 izmeklējumu 301,59 : 18154 izmeklējumi = 0,02 euro. Gadā 10 * 0,02 = 0,17 euro.</t>
  </si>
  <si>
    <t>Gada faktiskās izmaksas 346,27 euro. Vidējie mēneša izdevumi par atkritumu izvešanu sastāda 346,27 euro : 12 = 28,86 euro. Izdevumi uz 1 izmeklējumu 28,86 euro: 18154 izmeklējumi = 0,002 euro. Gadā plānots 10 * 0,002 = 0,02 euro.</t>
  </si>
  <si>
    <t>Gada izdevumi iekārtu tehniskai apkopei un remontam 4639,55 euro. Vidējie mēneša izdevumi 386,63 euro (4639,55 : 12 = 386,63 euro). Izdevumi uz 1 izmeklējumu sastāda 0,02 euro (386,63 : 18154 izmeklējumi = 0,02 euro). Gadā plānots 10 * 0,02 euro = 0,21 euro.</t>
  </si>
  <si>
    <t>Gada izmaksas sastāda 80,22 euro. Vidējie mēneša izdevumi par remonta un uzturēšanas materiāliem sastāda 6,69 euro (80,22 : 12 = 6,69 euro) (papīra dvieļi-16,24 euro, atkritumu maisiem 16,92 euro, universālam mazgāšanas līdzeklim 0,58 euro, lupatām 4,57 euro, švammēm 1,46 euro, tīrīšanas pastai 0,35 euro). Izdevumi uz 1 izmeklējumu sastāda 6,69 euro : 18154 izmeklējumi = 0,0004 euro. Gadā plānots 10 * 0,0004 euro = 0,004 euro.</t>
  </si>
  <si>
    <t>Gada izmaksas sastāda 114,38 euro. Vidējie mēneša izdevumi 9,53 euro (114,38 : 12 = 9,53 euro). Izdevumi uz 1 izmeklējumu sastāda 0,0005 euro (9,53 : 18154 izmeklējumi = 0,0005 euro). Gadā plānots 0,0005 * 10 = 0,01 euro.</t>
  </si>
  <si>
    <t xml:space="preserve"> Izmeklējuma veikšanai izmanto  ID Centrafūgu. Gada nolietojums sastāda 231,92 euro. Vidēji mēnesī 19,33 euro (231,92 : 12 = 19,33 euro) un Termostats, kam gada nolietojums 68,73. Vidēji mēnesī 5,73 euro. Izdevumi uz 1 izmeklējumu 0,001 euro (19,33+5,73 : 18154 izmeklējumi = 0,001). Gadā plānots 0,001 * 10 = 0,01 euro.</t>
  </si>
  <si>
    <t>Viena izmeklējuma veikšanu nodrošina sertificēts Ārsts-laborants (atalgojums mēnesī 1057 euro). Darba laika patēriņš 1 izmeklējuma veikšanai 20 minūtes. 1 minūtes darba izmaksas 1057euro : 166,17 stundas (vidējais darba stundu skaits mēnesī 2015.gadā) : 60 minūtes ir 1057 : 166,17 : 60 = 0,11 euro. 1 izmeklējuma veikšanas darba izmaksas 0,11 * 20 minūtes = 2,20 euro. Gadā plānots 2000 * 2,20 euro =4400,00 euro.</t>
  </si>
  <si>
    <t>1 izmeklējuma veikšanai nepieciešams 1,52 euro, tai skaitā: 1) Karte Liss Coombs 0.17 gb. - 0,70 euro; 2) Diulents -2  -0.5 ml - 0,18 euro; 3) vienreizējās lietošanas cimdi pāris - 0,04 euro; 5) mēģene ar apaļu pamatni 1 gb.- 0,01 euro; 6) Transferpipete 3,5 ml nesterilas 1 gb.- 0,02 euro; 7) FT 250 Universal 0,5-250 uL 17 gb.- 0,57 euro. Gadā plānots 2000 * 1,52 euro = 3040,00 euro.</t>
  </si>
  <si>
    <t>Gada faktiskās izmaksas 3619,08 euro. Vidējie mēneša izdevumi par apkuri sastāda 3619,08 : 12 = 301,59 euro. Izdevumi apkurei uz 1 izmeklējumu 301,59 : 18154 izmeklējumi = 0,02 euro. Gadā 2000 * 0,02 = 33,20 euro.</t>
  </si>
  <si>
    <t>Administratīvie izdevumi, kas nodrošina iestādes vispārējo darbu. Atbilstoši VADC iekšējam normatīvam aktam  Nr.1-24.6/14-2014/SIN-002 (09.12.2014.g.) "Uzskaites izcenojumu (pašizmaksa) noteikšana, pārskatīšana un apstiprināšana" izmaksu sadalījums pēc funkcijām (I.līmenis) noteikts , ka no Vadības funkciju veicēju (Centra vadība, Administratīvais departaments, Finanšu departaments) kopējām izmaksām 3,05 % tiek sadalīti konsultatīvai imūnhematoloģiskajai izmeklēšanai (funkcijas realizācija nav saistīta ar asins, asins komponentu sagatavošanu). Vadības funkciju veicēju kopējās 2014.gada izmaksas sastāda 472868,13 euro, kur 3,05% sastāda 14422,48 euro gadā. Administratīvās izmaksas (CV, FD, AD)  mēnesī sastāda 1201,87 euro (14422,48 euro : 12 mēneši = 1201,87 euro). Izdevumi uz 1 izmeklējumu sastāda 1201,87 : 18154 izmeklējumi = 0,07  euro. Gadā plānots 0,07 euro * 2000 = 140,00 euro.</t>
  </si>
  <si>
    <t>Gada izdevumi iekārtu tehniskai apkopei un remontam 4639,55 euro. Vidējie mēneša izdevumi 386,63 euro (4639,55 : 12 = 386,63 euro). Izdevumi uz 1 izmeklējumu sastāda 0,02 euro (386,63 : 18154 izmeklējumi = 0,02 euro). Gadā plānots 2000 *  0,02 euro = 42,60 euro.</t>
  </si>
  <si>
    <t>Gada apsaimniekošanas izmaksas sastāda 4601,30 euro. Vidējie mēneša izdevumi par apsaimniekošanu sastāda  kopā 383,44 euro (4601,30 : 12 = 383,44 euro). Izdevumi uz 1 izmeklējumu 383,44 : 18154 izmeklējumi = 0,02 euro. Gadā plānots 0,02 * 2000 = 42,00 euro.</t>
  </si>
  <si>
    <t>Kopējās gada izmaksas sastāda 60,30 euro.Vidējās izmaksas mēnesī sastāda 5,03 euro (60,30 :12 = 5,03 euro). Izdevumi uz 1 izmeklējumu sastāda 5,03 euro : 18154 izmeklējumi = 0,0003 euro. Gadā plānots 2000 * 0,0003 = 0,60 euro.</t>
  </si>
  <si>
    <t>Gada biroja preču izlietojums sastāda 659,92 euro. Vidējie mēneša izdevumi par biroja precēm sastāda 54,99 euro (659,92 : 12 = 54,99 euro). Izdevumi uz 1 izmeklējumu sastāda 54,99 : 18154 izmeklējumi = 0,003 euro. Gadā plānots 2000 * 0,003 euro = 6,00 euro.</t>
  </si>
  <si>
    <t>Gada izmaksas sastāda 80,22 euro. Vidējie mēneša izdevumi par remonta un uzturēšanas materiāliem sastāda 6,69 euro (80,22 : 12 = 6,69 euro) (papīra dvieļi-16,24 euro, atkritumu maisiem 16,92 euro, universālam mazgāšanas līdzeklim 0,58 euro, lupatām 4,57 euro, švammēm 1,46 euro, tīrīšanas pastai 0,35 euro). Izdevumi uz 1 izmeklējumu sastāda 6,69 euro: 18154 izmeklējumi = 0,0004 euro. Gadā plānots 2000 * 0,0004 euro = 0,80 euro.</t>
  </si>
  <si>
    <t>Gada izmaksas sastāda 114,38 euro. Vidējie mēneša izdevumi 9,53 euro (114,38 : 12 = 9,53 euro). Izdevumi uz 1 izmeklējumu sastāda 0,0005 euro (9,53 : 18154 izmeklējumi = 0,0005 euro). Gadā plānots 0,0005 * 2000 = 1,00 euro.</t>
  </si>
  <si>
    <t xml:space="preserve"> Izmeklējuma veikšanai izmanto  ID Centrafūgu. Gada nolietojums sastāda 231.92 euro. Vidēji mēnesī 19,33 euro (231,92 : 12 = 19,33 euro) un Termostats, kam gada nolietojums 68,73. Vidēji mēnesī 5,73 euro. Izdevumi uz 1 izmeklējumu 0,001 euro (19,33+5,73 : 18154 izmeklējumi = 0,001). Gadā plānots 0,001 * 2000 = 2,00 euro.</t>
  </si>
  <si>
    <t>1 izmeklējuma veikšanai nepieciešams 1,52 euro, tai skaitā: 1) Karte Liss Coombs 0,17 gb.- 0,70 euro; 2) Diulents-2 - 0,5 ml - 0,18 euro; 3) vienreizējās lietošanas cimdi pāris - 0,04 euro; 4) mēģene ar apaļu pamatni 1 gb .- 0,01 euro; 5) Transferpipete 3,5 ml nesterilas 1 gb.- 0,02 euro; 6) FT 250 Universal 0,5-250 uL 17 gb.- 0,57 euro. Gadā plānots 250 * 1,52 euro = 380,00 euro.</t>
  </si>
  <si>
    <t>Gada faktiskās izmaksas sastāda 372,23 euro.Vidējie mēneša izdevumi par ūdeni un kanalizāciju sastāda 372,23 : 12 = 31,02 euro. Izdevumi uz 1 izmeklējumu 31,02 : 18154 izmeklējumi = 0,002 euro. Gadā plānots 250 * 0,002 = 0,43 euro.</t>
  </si>
  <si>
    <t>Gada apsaimniekošanas izmaksas sastāda 4601,30 euro. Vidējie mēneša izdevumi par apsaimniekošanu sastāda  kopā 383,44 euro (4601,30 : 12 = 383,44 euro). Izdevumi uz 1 izmeklējumu 383,44 : 18154 izmeklējumi = 0,02 euro. Gadā plānots 0,02 * 250 = 5,25 euro.</t>
  </si>
  <si>
    <t>Gada izmaksas sastāda 117,09 euro.  Vidējie mēneša izdevumi par specapģērbu mazgāšanu sastāda 9,76 euro (117,09 : 12 = 9,76 euro). Izdevumi uz 1 izmeklējumu sastāda 9,76 : 18154 izmeklējumi = 0,001 euro. Gada apjoms 250*0,001euro = 0,13 euro.</t>
  </si>
  <si>
    <t>Gada biroja preču izlietojums sastāda 659,92 euro. Vidējie mēneša izdevumi par biroja precēm sastāda 54,99 euro (659,92 : 12 = 54,99 euro). Izdevumi uz 1 izmeklējumu sastāda 54,99 : 18154 izmeklējumi = 0,003 euro. Gadā plānots 250 * 0,003 euro = 0,75 euro.</t>
  </si>
  <si>
    <t>Gada izmaksas sastāda 80,22 euro. Vidējie mēneša izdevumi par remonta un uzturēšanas materiāliem sastāda 6,69 euro (80,22 : 12 = 6,69 euro) (papīra dvieļi-16,24 euro, atkritumu maisiem 16,92 euro, universālam mazgāšanas līdzeklim 0,58 euro, lupatām 4,57 euro, švammēm 1,46 euro, tīrīšanas pastai 0,35 euro). Izdevumi uz 1 izmeklējumu sastāda 6,69 euro: 18154 izmeklējumi = 0,0004 euro. Gadā plānots 250 * 0,0004 euro = 0,10 euro.</t>
  </si>
  <si>
    <t>Gada izmaksas sastāda 114,38 euro. Vidējie mēneša izdevumi 9,53 euro (114,38 : 12 = 9,53 euro). Izdevumi uz 1 izmeklējumu sastāda 0,0005 euro (9,53 : 18154 izmeklējumi = 0,0005 euro). Gadā plānots 0,0005 * 250 = 0,13 euro.</t>
  </si>
  <si>
    <t>Gada nolietojums sastāda 404,20 euro. Vidējie mēneša izdevumi 33,68 euro (404,20 : 12 = 33,68 euro). Izdevumi uz 1 izmeklējumi sastāda  0,002 euro (33,68 : 18154 izmeklējumi = 0,002 euro). Gadā plānots 0,002 euro * 250 = 0,48 euro.</t>
  </si>
  <si>
    <t>Viena izmeklējuma veikšanu nodrošina sertificēts Ārsts-laborants (atalgojums mēnesī 1057 euro). Darba laika patēriņš 1 izmeklējuma veikšanai 30 minūtes. 1 minūtes darba izmaksas 1057 euro : 166,17 stundas (vidējais darba stundu skaits mēnesī 2015.gadā) : 60 minūtes ir 1057 : 166,17 : 60 = 0,11 euro. 1 izmeklējuma veikšanas darba izmaksas 0,11 * 30 minūtes = 3,30 euro. Gadā plānots 200 * 3,30 euro = 660,00 euro.</t>
  </si>
  <si>
    <t>1 izmeklējuma veikšanai nepieciešams 11,07 euro, tai skaitā: 1) Karte Liss Coombs 2 gb.- 8,25 euro ; 2) Eritrocīti no panel Diamed ( Panelis) ID-DiaPanel 0,6 ml - 2,22 euro; 3) Na Cl fizioloģiskais šķīdums 6 ml. - 0,01 euro; 4) vienreizējās lietošanas cimdi pāris - 0,04 euro; 5) mēģene ar apaļu pamatni 12 gb. - 0,11euro; 6) FT 250 Universal 0,5-250 uL 13 gb. - 0,44euro. Gadā plānots 200 * 11,07 = 2214,00 euro.</t>
  </si>
  <si>
    <t>Gada faktiskās izmaksas 346,27 euro. Vidējie mēneša izdevumi par atkritumu izvešanu sastāda 346,27 euro : 12 = 28,86 euro. Izdevumi uz 1 izmeklējumu 28,86 euro : 18154 izmeklējumi = 0,002 euro. Gadā plānots 200 * 0,002 = 0,32 euro.</t>
  </si>
  <si>
    <t>Gada izdevumi iekārtu tehniskai apkopei un remontam 4639,55 euro. Vidējie mēneša izdevumi 386,63 euro (4639,55 : 12 = 386,63 euro). Izdevumi uz 1 izmeklējumu sastāda 0,02 euro (386,63 : 18154 izmeklējumi = 0,02 euro). Gadā plānots 200*0,02 euro = 4,26 euro.</t>
  </si>
  <si>
    <t>Kopējās gada izmaksas sastāda 60,30 euro.Vidējās izmaksas mēnesī sastāda 5,03 euro (60,30 :12 = 5,03 euro). Izdevumi uz 1 izmeklējumu sastāda 5,03 euro : 18154 izmeklējumi = 0,0003 euro. Gadā plānots 200 * 0,0003 = 0,06 euro.</t>
  </si>
  <si>
    <t xml:space="preserve"> Izmeklējuma veikšanai izmanto  ID Centrafūgu. Gada nolietojums sastāda 231,92 euro. Vidēji mēnesī 19,33 euro (231,92 : 12 = 19,33 euro) un Termostats, kam gada nolietojums 68,73. Vidēji mēnesī 5,73 euro. Izdevumi uz 1 izmeklējumu 0,001 euro (19,33+5,73 : 18154 izmeklējumi = 0,001). Gadā plānots 0,001 * 200 = 0,20 euro.</t>
  </si>
  <si>
    <t>1 izmeklējuma veikšanai nepieciešams 5,59 euro, tai skaitā: 1) Karte Liss Coombs 1 gb.- 4,13 euro;  2) Eritrocīti no panel Diamed (Panelis) ID-DiaPanel 0,3 ml - 1,11 euro; 3) Na Cl fizioloģiskais šķīdums 3 ml - 0,01 euro; 4) vienreizējās lietošanas cimdi pāris - 0,04 euro; 5) mēģene ar apaļu pamatni 6 gb.- 0,06 euro; 6) FT 250 Universal 0,5-250 uL 7 gb.-0,24 euro. Gadā plānots 200 * 5,59 = 1118,00 euro.</t>
  </si>
  <si>
    <t>Gada izmaksas sastāda 117,09 euro.  Vidējie mēneša izdevumi par specapģērbu mazgāšanu sastāda 9,76 euro (117,09 : 12 = 9,76 euro). Izdevumi uz 1 izmeklējumu sastāda 9,76 : 18154 izmeklējumi = 0,001 euro. Gada apjoms 200*  0,001 euro = 0,10 euro.</t>
  </si>
  <si>
    <t>Izmeklējuma veikšanai izmanto  ID Centrafūgu. Gada nolietojums sastāda 231.92 euro. Vidēji mēnesī 19,33 euro (231,92 : 12 = 19,33 euro) un Termostats, kam gada nolietojums 68,73. Vidēji mēnesī 5,73 euro. Izdevumi uz 1 izmeklējumu 0,001 euro (19,33+5,73 : 18154 izmeklējumi = 0,001). Gadā plānots 0,001 * 200 = 0,20 euro.</t>
  </si>
  <si>
    <t>Viena izmeklējuma veikšanu nodrošina sertificēts Ārsts-laborants (atalgojums mēnesī 1057 euro). Darba laika patēriņš 1 izmeklējuma veikšanai 80 minūtes. 1 minūtes darba izmaksas 1057 euro : 166,17 stundas (vidējais darba stundu skaits mēnesī 2015.gadā) : 60 minūtes ir 1057 : 166,17 : 60 = 0,11 euro. 1 izmeklējuma veikšanas darba izmaksas 0,11* 80 minūtes = 8,80 euro. Gadā plānots 10 * 8,80 euro = 88,00 euro.</t>
  </si>
  <si>
    <t>Darba devēja valsts sociālās apdrošināšanas obligātās iemaksas, sociāla rakstura pabalsti un kompensācijas 8,80 * 23,59%.</t>
  </si>
  <si>
    <t>1 izmeklējuma veikšanai nepieciešams 0,22 euro, tai skaitā: 1) vienreizējās lietošanas cimdi pāris - 0,04 euro; 2) mēģene ar apaļu pamatni  10 gb.- 0,10 euro; 3) Transferpipete 3,5 ml nesterila 4 gb.- 0,08 euro. Gadā plānots 10 * 0,22 euro = 2,20 euro.</t>
  </si>
  <si>
    <t>Gada faktiskās izmaksas sastāda 372,23 euro. Vidējie mēneša izdevumi par ūdeni un kanalizāciju sastāda 372,23 : 12 = 31,02 euro. Izdevumi uz 1 izmeklējumu 31,02 : 18154 izmeklējumi = 0,002 euro. Gadā plānots 10 * 0,002 = 0,02 euro.</t>
  </si>
  <si>
    <t>Gada izdevumi iekārtu tehniskai apkopei un remontam 4639,55 euro. Vidējie mēneša izdevumi 386,63 euro (4639,55 : 12 = 386,63 euro). Izdevumi uz 1 izmeklējumu sastāda 0,02 euro (386,63 : 18154 izmeklējumi = 0,02 euro). Gadā plānots 10*0,02 euro = 0,21 euro.</t>
  </si>
  <si>
    <t>Gada izmaksas sastāda 117,09 euro.  Vidējie mēneša izdevumi par specapģērbu mazgāšanu sastāda 9,76 euro (117,09 : 12 = 9,76 euro). Izdevumi uz 1 izmeklējumu sastāda 9,76 : 18154 izmeklējumi = 0,001 euro. Gada apjoms 10*  0,001 euro = 0,01 euro.</t>
  </si>
  <si>
    <t>Gada izmaksas sastāda 80,22 euro. Vidējie mēneša izdevumi par remonta un uzturēšanas materiāliem sastāda 6,69 euro (80,22 : 12 = 6,69 euro) (papīra dvieļi-16,24 euro, atkritumu maisiem 16,92 euro, universālam mazgāšanas līdzeklim 0,58 euro, lupatām 4,57 euro, švammēm 1,46 euro, tīrīšanas pastai 0,35 euro). Izdevumi uz 1 izmeklējumu sastāda 6,69 euro: 18154 izmeklējumi = 0,0004 euro. Gadā plānots 10 * 0,0004 euro = 0,004 euro.</t>
  </si>
  <si>
    <t>Kopējās gada izmaksas sastāda 60,30 euro.Vidējās izmaksas mēnesī sastāda 5,03 euro (60,30 :12 = 5,03 euro). Izdevumi uz 1 izmeklējumu sastāda 5,03 euro : 18154 izmeklējumi = 0,0003 euro. Gadā plānots 250 * 0,0003 = 0,08 euro.</t>
  </si>
  <si>
    <t xml:space="preserve"> Izmeklējuma veikšanai izmanto  ID Centrafūgu. Gada nolietojums sastāda 231,92 euro. Vidēji mēnesī 19,33 euro (231,92 : 12 = 19,33 euro) un Termostats, kam gada nolietojums 68,73. Vidēji mēnesī 5,73 euro. Izdevumi uz 1 izmeklējumu 0,001 euro (19,33+5,73 : 18154 izmeklējumi = 0,001). Gadā plānots 0,001 * 250 = 0,25 euro.</t>
  </si>
  <si>
    <t>1 izmeklējuma veikšanai nepieciešams 0,98 euro, tai skaitā: 1) vienreizējās lietošanas cimdi  pāris -0,04 euro; 2) mēģene ar apaļu pamatni  1 gb.- 0,010 euro; 3) Transferpipete 3,5 ml nesterila 1 gb.- 0,02 euro; 4) FT 250 Universal 0,5-250 uL uzgaļi 1 gb.- 0,03 euro; 5) Karte Liss/Coombs 0,17 gb.- 0,70 euro; 6) Diulents-2  0,5 ml.-0,18 euro. Gadā plānots 10 * 0,98 = 9,80 euro.</t>
  </si>
  <si>
    <t>Gada faktiskās izmaksas 346,27 euro. Vidējie mēneša izdevumi par atkritumu izvešanu sastāda 346,27 euro : 12 = 28,86 euro. Izdevumi uz 1 izmeklējumu 28,86 euro : 18154 izmeklējumi = 0,002 euro. Gadā plānots 10 * 0,002 = 0,02 euro.</t>
  </si>
  <si>
    <t>Administratīvie izdevumi, kas nodrošina iestādes vispārējo darbu. Atbilstoši VADC iekšējam normatīvam aktam  Nr.1-24.6/14-2014/SIN-002 (09.12.2014.g.) "Uzskaites izcenojumu (pašizmaksa) noteikšana, pārskatīšana un apstiprināšana" izmaksu sadalījums pēc funkcijām (I.līmenis) noteikts, ka no Vadības funkciju veicēju (Centra vadība, Administratīvais departaments, Finanšu departaments) kopējām izmaksām 3,05 % tiek sadalīti konsultatīvai imūnhematoloģiskajai izmeklēšanai (funkcijas realizācija nav saistīta ar asins, asins komponentu sagatavošanu). Vadības funkciju veicēju kopējās 2014.gada izmaksas sastāda 472868,13 euro, kur 3,05% sastāda 14422,48 euro gadā. Administratīvās izmaksas (CV, FD, AD)  mēnesī sastāda 1201,87 euro (14422,48 euro : 12 mēneši = 1201,87 euro). Izdevumi uz 1 izmeklējumu sastāda 1201,87 : 18154 izmeklējumi = 0,07  euro. Gadā plānots 0,07 euro * 10 = 0,70 euro.</t>
  </si>
  <si>
    <t>Gada faktiskās izmaksas 3619,08 euro.Vidējie mēneša izdevumi par apkuri sastāda 3619,08 : 12 = 301,59 euro. Izdevumi apkurei uz 1 izmeklējumu 301,59 : 18154 izmeklējumi = 0,02 euro. Gadā 30 * 0,02 = 0,50 euro.</t>
  </si>
  <si>
    <t>Gada faktiskās izmaksas sastāda 372,23 euro. Vidējie mēneša izdevumi par ūdeni un kanalizāciju sastāda 372,23 : 12 = 31,02 euro. Izdevumi uz 1 izmeklējumu 31,02 : 18154 izmeklējumi = 0,002 euro. Gadā plānots 30 * 0,002 = 0,05 euro.</t>
  </si>
  <si>
    <t>Gada faktiskās izmaksas 346,27 euro. Vidējie mēneša izdevumi par atkritumu izvešanu sastāda 346,27 euro : 12 = 28,86 euro. Izdevumi uz 1 izmeklējumu 28,86 euro: 18154 izmeklējumi = 0,002 euro. Gadā plānots 30 * 0,002 = 0,05 euro.</t>
  </si>
  <si>
    <t>Administratīvie izdevumi, kas nodrošina iestādes vispārējo darbu. Atbilstoši VADC iekšējam normatīvam aktam  Nr.1-24.6/14-2014/SIN-002 (09.12.2014.g.) "Uzskaites izcenojumu (pašizmaksa) noteikšana, pārskatīšana un apstiprināšana" izmaksu sadalījums pēc funkcijām (I.līmenis) noteikts , ka no Vadības funkciju veicēju (Centra vadība, Administratīvais departaments, Finanšu departaments) kopējām izmaksām 3,05 % tiek sadalīti konsultatīvai imūnhematoloģiskajai izmeklēšanai (funkcijas realizācija nav saistīta ar asins, asins komponentu sagatavošanu). Vadības funkciju veicēju kopējās 2014.gada izmaksas sastāda 472868,13 euro, kur 3,05% sastāda 14422,48 euro gadā. Administratīvās izmaksas (CV, FD, AD)  mēnesī sastāda 1201,87 euro (14422,48 euro : 12 mēneši = 1201,87 euro). Izdevumi uz 1 izmeklējumu sastāda 1201,87 : 18154 izmeklējumi = 0,07  euro. Gadā plānots 0,07 euro * 30 = 2,10 euro.</t>
  </si>
  <si>
    <t>Gada izdevumi iekārtu tehniskai apkopei un remontam 4639,55 euro. Vidējie mēneša izdevumi 386,63 euro (4639,55 : 12 = 386,63 euro). Izdevumi uz 1 izmeklējumu sastāda 0,02 euro (386,63 : 18154 izmeklējumi = 0,02 euro). Gadā plānots 30 *  0,02 euro = 0,64 euro.</t>
  </si>
  <si>
    <t>Gada izmaksas sastāda 80,22 euro. Vidējie mēneša izdevumi par remonta un uzturēšanas materiāliem sastāda 6,69 euro (80,22 : 12 = 6,69 euro) (papīra dvieļi-16,24 euro, atkritumu maisiem 16,92 euro, universālam mazgāšanas līdzeklim 0,58 euro, lupatām 4,57 euro, švammēm 1,46 euro, tīrīšanas pastai 0,35 euro). Izdevumi uz 1 izmeklējumu sastāda 6,69 euro : 18154 izmeklējumi = 0,0004 euro. Gadā plānots 30 * 0,0004 euro = 0,01 euro.</t>
  </si>
  <si>
    <t>Kopējās gada izmaksas sastāda 60,30 euro.Vidējās izmaksas mēnesī sastāda 5,03 euro (60,30 :12 = 5,03 euro). Izdevumi uz 1 izmeklējumu sastāda 5,03 euro : 18154 izmeklējumi = 0,0003 euro. Gadā plānots 30 * 0,0003 = 0,01 euro.</t>
  </si>
  <si>
    <t>1 izmeklējuma veikšanai nepieciešams 3,69 euro, tai skaitā: 1) vienreizējās lietošanas cimdi pāris - 0,04 euro; 2) mēģene ar apaļu pamatni 1 gb. - 0,010 euro; 3) Transferpipete 3,5 ml nesterila 1 gb.- 0,02 euro; 4) FT 250 Universal 0,5-250 uL uzgaļi 1 gb.- 0,03 euro; 5) KarteDAT Screening 2 - 0,5 gb.- 3,41 euro; 6) Diulents-2 0,5 ml - 0,18 euro. Gadā plānots 80 * 3,69 euro = 295,20 euro.</t>
  </si>
  <si>
    <t>Gada faktiskās izmaksas sastāda 372,23 euro.Vidējie mēneša izdevumi par ūdeni un kanalizāciju sastāda 372,23 : 12 = 31,02 euro. Izdevumi uz 1 izmeklējumu 31,02 : 18154 izmeklējumi = 0,002 euro. Gadā plānots 80 * 0,002 = 0,14 euro.</t>
  </si>
  <si>
    <t>Gada faktiskās izmaksas 346,27 euro. Vidējie mēneša izdevumi par atkritumu izvešanu sastāda 346,27 euro : 12 = 28,86 euro. Izdevumi uz 1 izmeklējumu 28,86 euro: 18154 izmeklējumi = 0,002 euro. Gadā plānots 80 * 0,002 = 0,13 euro.</t>
  </si>
  <si>
    <t>Administratīvie izdevumi, kas nodrošina iestādes vispārējo darbu. Atbilstoši VADC iekšējam normatīvam aktam  Nr.1-24.6/14-2014/SIN-002 (09.12.2014.g.) "Uzskaites izcenojumu (pašizmaksa) noteikšana, pārskatīšana un apstiprināšana" izmaksu sadalījums pēc funkcijām (I.līmenis) noteikts, ka no Vadības funkciju veicēju (Centra vadība, Administratīvais departaments, Finanšu departaments) kopējām izmaksām 3,05 % tiek sadalīti konsultatīvai imūnhematoloģiskajai izmeklēšanai (funkcijas realizācija nav saistīta ar asins, asins komponentu sagatavošanu). Vadības funkciju veicēju kopējās 2014.gada izmaksas sastāda 472868,13 euro, kur 3,05% sastāda 14422,48 euro gadā. Administratīvās izmaksas (CV, FD, AD)  mēnesī sastāda 1201,87 euro (14422,48 euro : 12 mēneši = 1201,87 euro). Izdevumi uz 1 izmeklējumu sastāda 1201,87 : 18154 izmeklējumi = 0,07  euro. Gadā plānots 0,07 euro * 80 = 5,60 euro.</t>
  </si>
  <si>
    <t>Gada izdevumi iekārtu tehniskai apkopei un remontam 4639,55 euro. Vidējie mēneša izdevumi 386,63 euro (4639,55 : 12 = 386,63 euro). Izdevumi uz 1 izmeklējumu sastāda 0,02 euro (386,63 : 18154 izmeklējumi = 0,02 euro). Gadā plānots 80*0,02 euro = 1,70 euro.</t>
  </si>
  <si>
    <t>Gada apsaimniekošanas izmaksas sastāda 4601,30 euro. Vidējie mēneša izdevumi par apsaimniekošanu sastāda  kopā 383,44 euro (4601,30 : 12 = 383,44 euro). Izdevumi uz 1 izmeklējumu 383,44 : 18154 izmeklējumi = 0,02 euro. Gadā plānots 0,02 * 80 = 1,68 euro.</t>
  </si>
  <si>
    <t>Gada biroja preču izlietojums sastāda 659,92 euro. Vidējie mēneša izdevumi par biroja precēm sastāda 54,99 euro (659,92 : 12 = 54,99 euro ). Izdevumi uz 1 izmeklējumu sastāda 54,99 : 18154 izmeklējumi = 0,003 euro. Gadā plānots 80 * 0,003 euro = 0,24 euro.</t>
  </si>
  <si>
    <t>Gada izmaksas sastāda 117,09 euro.  Vidējie mēneša izdevumi par specapģērbu mazgāšanu sastāda 9,76 euro (117,09 : 12 = 9,76 euro). Izdevumi uz 1 izmeklējumu sastāda 9,76 : 18154 izmeklējumi = 0,001 euro. Gada apjoms 80* 0,001euro = 0,04 euro.</t>
  </si>
  <si>
    <t>Gada izmaksas sastāda 80,22 euro. Vidējie mēneša izdevumi par remonta un uzturēšanas materiāliem sastāda 6,69 euro (80,22 : 12 = 6,69 euro) (papīra dvieļi-16,24 euro, atkritumu maisiem 16,92 euro, universālam mazgāšanas līdzeklim 0,58 euro, lupatām 4,57 euro, švammēm 1,46 euro, tīrīšanas pastai 0,35 euro). Izdevumi uz 1 izmeklējumu sastāda 6,69 euro: 18154 izmeklējumi = 0,0004 euro. Gadā plānots 80 * 0,0004 euro = 0,03 euro.</t>
  </si>
  <si>
    <t xml:space="preserve"> Izmeklējuma veikšanai izmanto  ID Centrafūgu. Gada nolietojums sastāda 231,92 euro. Vidēji mēnesī 19,33 euro (231,92 : 12 = 19,33 euro) un Termostats, kam gada nolietojums 68,73. Vidēji mēnesī 5,73 euro. Izdevumi uz 1 izmeklējumu 0,001 euro (19,33+5,73 : 18154 izmeklējumi = 0,001). Gadā plānots 0,001 * 80 = 0,08 euro.</t>
  </si>
  <si>
    <t>Viena izmeklējuma veikšanu nodrošina sertificēts Ārsts-laborants (atalgojums mēnesī 1057 euro). Darba laika patēriņš 1 izmeklējuma veikšanai 10 minūtes. 1 minūtes darba izmaksas 1057 euro : 166,17 stundas (vidējais darba stundu skaits mēnesī 2015.gadā) : 60 minūtes ir 1057 : 166,17 : 60 = 0,11 euro. 1 izmeklējuma veikšanas darba izmaksas 0,11 * 10 minūtes = 1,10 euro. Gadā plānots 30 * 1,10 euro = 33,00 euro.</t>
  </si>
  <si>
    <t>Administratīvie izdevumi, kas nodrošina iestādes vispārējo darbu. Atbilstoši VADC iekšējam normatīvam aktam  Nr.1-24.6/14-2014/SIN-002 (09.12.2014.g.) "Uzskaites izcenojumu (pašizmaksa) noteikšana, pārskatīšana un apstiprināšana" izmaksu sadalījums pēc funkcijām (I.līmenis) noteikts, ka no Vadības funkciju veicēju (Centra vadība, Administratīvais departaments, Finanšu departaments) kopējām izmaksām 3,05 % tiek sadalīti konsultatīvai imūnhematoloģiskajai izmeklēšanai (funkcijas realizācija nav saistīta ar asins, asins komponentu sagatavošanu). Vadības funkciju veicēju kopējās 2014.gada izmaksas sastāda 472868,13 euro, kur 3,05% sastāda 14422,48 euro gadā. Administratīvās izmaksas (CV, FD, AD)  mēnesī sastāda 1201,87 euro (14422,48 euro : 12 mēneši = 1201,87 euro). Izdevumi uz 1 izmeklējumu sastāda 1201,87 : 18154 izmeklējumi = 0,07  euro. Gadā plānots 0,07 euro * 30 = 2,10 euro.</t>
  </si>
  <si>
    <t>Gada izmaksas sastāda 80,22 euro. Vidējie mēneša izdevumi par remonta un uzturēšanas materiāliem sastāda 6,69 euro (80,22 : 12 = 6,69 euro) (papīra dvieļi-16,24 euro, atkritumu maisiem 16,92 euro, universālam mazgāšanas līdzeklim 0,58 euro, lupatām 4,57 euro, švammēm 1,46 euro, tīrīšanas pastai 0,35 euro). Izdevumi uz 1 izmeklējumu sastāda 6,69 euro: 18154 izmeklējumi = 0,0004 euro. Gadā plānots 30 * 0,0004 euro = 0,01 euro.</t>
  </si>
  <si>
    <t>Izmeklējuma veikšanai izmanto ID Centrafūgu. Gada nolietojums sastāda 231,92 euro. Vidēji mēnesī 19,33 euro (231,92 : 12 = 19,33) un termostats, kam gada nolietojums 68,73 euro. Vidēji mēnesī 5,73 euro, Centrafūga EBA, gada nolietojums 77,88 euro, vidēji mēnesī 6,49 euro. Izdevumi uz 1 izmeklējumu 0,002 euro (19,33 +5,73+ 6,49 : 18154 = 0,002). Gadā plānots 0,002 * 30 = 0,05 euro.</t>
  </si>
  <si>
    <t>Gada faktiskās izmaksas 3619,08 euro.Vidējie mēneša izdevumi par apkuri sastāda 3619,08 : 12 = 301,59 euro. Izdevumi apkurei uz 1 izmeklējumu 301,59 : 18154 izmeklējumi = 0,02 euro. Gadā  plānots 2 * 0,02 = 0,03 euro.</t>
  </si>
  <si>
    <t>Gada faktiskās izmaksas sastāda 372,23 euro. Vidējie mēneša izdevumi par ūdeni un kanalizāciju sastāda 372,23 : 12 = 31,02 euro. Izdevumi uz 1 izmeklējumu 31,02 : 18154 izmeklējumi = 0,002 euro. Gadā plānots 2 * 0,002 = 0,004 euro.</t>
  </si>
  <si>
    <t>Gada faktiskās izmaksas 346,27 euro. Vidējie mēneša izdevumi par atkritumu izvešanu sastāda 346,27 euro : 12 = 28,86 euro. Izdevumi uz 1 izmeklējumu 28,86 euro: 18154 izmeklējumi = 0,002 euro. Gadā plānots 2 * 0,002 = 0,003 euro.</t>
  </si>
  <si>
    <t>Administratīvie izdevumi, kas nodrošina iestādes vispārējo darbu. Atbilstoši VADC iekšējam normatīvam aktam  Nr.1-24.6/14-2014/SIN-002 (09.12.2014.g.) "Uzskaites izcenojumu (pašizmaksa) noteikšana, pārskatīšana un apstiprināšana" izmaksu sadalījums pēc funkcijām (I.līmenis) noteikts, ka no Vadības funkciju veicēju (Centra vadība, Administratīvais departaments, Finanšu departaments) kopējām izmaksām 3,05 % tiek sadalīti konsultatīvai imūnhematoloģiskajai izmeklēšanai (funkcijas realizācija nav saistīta ar asins, asins komponentu sagatavošanu). Vadības funkciju veicēju kopējās 2014.gada izmaksas sastāda 472868,13 euro, kur 3,05% sastāda 14422,48 euro gadā. Administratīvās izmaksas (CV, FD, AD)  mēnesī sastāda 1201,87 euro (14422,48 euro : 12 mēneši = 1201,87 euro). Izdevumi uz 1 izmeklējumu sastāda 1201,87 : 18154 izmeklējumi = 0,07  euro. Gadā plānots 0,07 euro * 2 = 0,14 euro.</t>
  </si>
  <si>
    <t>Gada izdevumi iekārtu tehniskai apkopei un remontam 4639,55 euro. Vidējie mēneša izdevumi 386,63 euro (4639,55 : 12 = 386,63 euro). Izdevumi uz 1 izmeklējumu sastāda 0,02 euro (386,63 : 18154 izmeklējumi = 0,02 euro). Gadā plānots 2 *  0,02 euro = 0,04 euro.</t>
  </si>
  <si>
    <t>Gada apsaimniekošanas izmaksas sastāda 4601,30 euro. Vidējie mēneša izdevumi par apsaimniekošanu sastāda  kopā 383,44 euro (4601,30 : 12 = 383,44 euro). Izdevumi uz 1 izmeklējumu 383,44 : 18154 izmeklējumi = 0,02 euro. Gadā plānots 0,02 * 2 = 0,04 euro.</t>
  </si>
  <si>
    <t>Kopējās gada izmaksas sastāda 60,30 euro.Vidējās izmaksas mēnesī sastāda 5,03 euro (60,30 :12 = 5,03 euro). Izdevumi uz 1 izmeklējumu sastāda 5,03 euro : 18154 izmeklējumi = 0,0003 euro. Gadā plānots 2 * 0,0003 = 0,001 euro.</t>
  </si>
  <si>
    <t>Gada biroja preču izlietojums sastāda 659,92 euro. Vidējie mēneša izdevumi par biroja precēm sastāda 54,99 euro (659,92 : 12 = 54,99 euro). Izdevumi uz 1 izmeklējumu sastāda 54,99 : 18154 izmeklējumi = 0,003 euro. Gadā plānots 2 * 0,003 euro = 0,01 euro.</t>
  </si>
  <si>
    <t>Gada izmaksas sastāda 80,22 euro. Vidējie mēneša izdevumi par remonta un uzturēšanas materiāliem sastāda 6,69 euro (80,22 : 12 = 6,69 euro) (papīra dvieļi-16,24 euro, atkritumu maisiem 16,92 euro, universālam mazgāšanas līdzeklim 0,58 euro, lupatām 4,57 euro, švammēm 1,46 euro, tīrīšanas pastai 0,35 euro). Izdevumi uz 1 izmeklējumu sastāda 6,69 euro: 18154 izmeklējumi = 0,0004 euro. Gadā plānots 2 * 0,0004 euro = 0,001 euro.</t>
  </si>
  <si>
    <t>Gada izmaksas sastāda 114,38 euro. Vidējie mēneša izdevumi 9,53 euro (114,38 : 12 = 9,53 euro). Izdevumi uz 1 izmeklējumu sastāda 0,0005 euro ( 9,53 : 18154 izmeklējumi = 0,0005 euro). Gadā plānots 0,0005 * 2 = 0,001 euro.</t>
  </si>
  <si>
    <t>Izmeklējuma veikšanai izmanto ID Centrafūgu. Gada nolietojums sastāda 231,92 euro. Vidēji mēnesī 19,33 euro (231,92 : 12 = 19,33) un termostats, kam gada nolietojums 68,73 euro, vidēji mēnesī 5,73 euro. Centrafūga EBA, gada nolietojums 77,88 euro, vidēji mēnesī 6,49 euro. Izdevumi uz 1 izmeklējumu 0,002 euro (19,33 +5,73+ 6,49  : 18154 = 0,002). Gadā plānots 0,002 * 2 = 0,003 euro.</t>
  </si>
  <si>
    <t>Gada nolietojums sastāda 404,20 euro. Vidējie mēneša izdevumi 33,68 euro (404,20 : 12 = 33,68 euro). Izdevumi uz 1 izmeklējumi sastāda  0,002 euro (33,68 : 18154 izmeklējumi = 0,002 euro). Gadā plānots 0,002 euro * 2 = 0,004 euro.</t>
  </si>
  <si>
    <t>1 izmeklējuma veikšanai nepieciešams 0,77 euro, tai skaitā: 1) vienreizējās lietošanas cimdi pāris - 0,04 euro; 2) mēģene ar apaļu pamatni 6 gb.- 0,06 euro.; 3) Transferpipete 3,5 ml nesterila 4 gb.- 0,08 euro; 4) 20% peg 4000 šķīdums (polietilēnglikols) 1 ml - 0,59 euro. Gadā plānots 4 * 0,77 euro = 3,08 euro.</t>
  </si>
  <si>
    <t>Gada faktiskās izmaksas 3619,08 euro.Vidējie mēneša izdevumi par apkuri sastāda 3619,08 : 12 = 301,59 euro. Izdevumi apkurei uz 1 izmeklējumu 301,59 : 18154 izmeklējumi = 0,02 euro. Gadā plānots 4 * 0,02 = 0,07 euro.</t>
  </si>
  <si>
    <t>Administratīvie izdevumi, kas nodrošina iestādes vispārējo darbu. Atbilstoši VADC iekšējam normatīvam aktam  Nr.1-24.6/14-2014/SIN-002 (09.12.2014.g.) "Uzskaites izcenojumu (pašizmaksa) noteikšana, pārskatīšana un apstiprināšana" izmaksu sadalījums pēc funkcijām (I.līmenis) noteikts, ka no Vadības funkciju veicēju (Centra vadība, Administratīvais departaments, Finanšu departaments) kopējām izmaksām 3,05 % tiek sadalīti konsultatīvai imūnhematoloģiskajai izmeklēšanai (funkcijas realizācija nav saistīta ar asins, asins komponentu sagatavošanu). Vadības funkciju veicēju kopējās 2014.gada izmaksas sastāda 472868,13 euro, kur 3,05% sastāda 14422,48 euro gadā. Administratīvās izmaksas (CV, FD, AD)  mēnesī sastāda 1201,87 euro (14422,48 euro : 12 mēneši = 1201,87 euro). Izdevumi uz 1 izmeklējumu sastāda 1201,87 : 18154 izmeklējumi = 0,07  euro. Gadā plānots 0,07 euro * 4 = 0,28 euro.</t>
  </si>
  <si>
    <t>Gada izdevumi iekārtu tehniskai apkopei un remontam 4639,55 euro. Vidējie mēneša izdevumi 386,63 euro (4639,55 : 12 = 386,63 euro). Izdevumi uz 1 izmeklējumu sastāda 0,02 euro (386,63 : 18154 izmeklējumi = 0,02 euro). Gadā plānots 4 *  0,02 euro = 0,09 euro.</t>
  </si>
  <si>
    <t>Gada apsaimniekošanas izmaksas sastāda 4601,30 euro. Vidējie mēneša izdevumi par apsaimniekošanu sastāda  kopā 383,44 euro (4601,30 : 12 = 383,44 euro). Izdevumi uz 1 izmeklējumu 383,44 : 18154 izmeklējumi = 0,02 euro. Gadā plānots 0,02 * 4 = 0,08 euro.</t>
  </si>
  <si>
    <t>Gada izmaksas sastāda 80,22 euro. Vidējie mēneša izdevumi par remonta un uzturēšanas materiāliem sastāda 6,69 euro (80,22 : 12 = 6,69 euro) (papīra dvieļi-16,24 euro, atkritumu maisiem 16,92 euro, universālam mazgāšanas līdzeklim 0,58 euro, lupatām 4,57 euro, švammēm 1,46 euro, tīrīšanas pastai 0,35 euro). Izdevumi uz 1 izmeklējumu sastāda 6,69 euro: 18154 izmeklējumi = 0,0004 euro. Gadā plānots 4 * 0,0004 euro = 0,002 euro.</t>
  </si>
  <si>
    <t>Gada izmaksas sastāda 114,38 euro. Vidējie mēneša izdevumi 9,53 euro (114,38 : 12 = 9,53 euro). Izdevumi uz 1 izmeklējumu sastāda 0,0005 euro (9,53 : 18154 izmeklējumi = 0,0005 euro). Gadā plānots 0,0005 * 4 = 0,002 euro.</t>
  </si>
  <si>
    <t>Gada nolietojums sastāda 404,20 euro. Vidējie mēneša izdevumi 33,68 euro (404,20 : 12 = 33,68 euro). Izdevumi uz 1 izmeklējumi sastāda  0,002 euro (33,68 : 18154 izmeklējumi = 0,002 euro). Gadā plānots 0,002 euro * 4 = 0,008 euro.</t>
  </si>
  <si>
    <t>Gada faktiskās izmaksas 3619,08 euro.Vidējie mēneša izdevumi par apkuri sastāda 3619,08 : 12 = 301,59 euro. Izdevumi apkurei uz 1 izmeklējumu 301,59 : 18154 izmeklējumi = 0,02 euro. Gadā plānots 5 * 0,02 = 0,08 euro.</t>
  </si>
  <si>
    <t>Gada faktiskās izmaksas 346,27 euro. Vidējie mēneša izdevumi par atkritumu izvešanu sastāda 346,27 euro : 12 = 28,86 euro. Izdevumi uz 1 izmeklējumu 28,86 euro: 18154 izmeklējumi = 0,002 euro. Gadā plānots 5 * 0,002 = 0,01 euro.</t>
  </si>
  <si>
    <t>Administratīvie izdevumi, kas nodrošina iestādes vispārējo darbu. Atbilstoši VADC iekšējam normatīvam aktam  Nr.1-24.6/14-2014/SIN-002 (09.12.2014.g.) "Uzskaites izcenojumu (pašizmaksa) noteikšana, pārskatīšana un apstiprināšana" izmaksu sadalījums pēc funkcijām (I.līmenis) noteikts, ka no Vadības funkciju veicēju (Centra vadība, Administratīvais departaments, Finanšu departaments) kopējām izmaksām 3,05 % tiek sadalīti konsultatīvai imūnhematoloģiskajai izmeklēšanai (funkcijas realizācija nav saistīta ar asins, asins komponentu sagatavošanu). Vadības funkciju veicēju kopējās 2014.gada izmaksas sastāda 472868,13 euro, kur 3,05% sastāda 14422,48 euro gadā. Administratīvās izmaksas (CV, FD, AD)  mēnesī sastāda 1201,87 euro (14422,48 euro : 12 mēneši = 1201,87 euro). Izdevumi uz 1 izmeklējumu sastāda 1201,87 : 18154 izmeklējumi = 0,07 euro. Gadā plānots 0,07 euro * 5 = 0,35 euro.</t>
  </si>
  <si>
    <t>Kopējās gada izmaksas sastāda 60,30 euro.Vidējās izmaksas mēnesī sastāda 5,03 euro (60,30 :12 = 5,03 euro). Izdevumi uz 1 izmeklējumu sastāda 5,03 euro : 18154 izmeklējumi = 0,0003 euro. Gadā plānots 5 * 0,0003 = 0,002 euro.</t>
  </si>
  <si>
    <t>Gada izmaksas sastāda 80,22 euro. Vidējie mēneša izdevumi par remonta un uzturēšanas materiāliem sastāda 6,69 euro (80,22 : 12 = 6,69 euro) (papīra dvieļi-16,24 euro, atkritumu maisiem 16,92 euro, universālam mazgāšanas līdzeklim 0,58 euro, lupatām 4,57 euro, švammēm 1,46 euro, tīrīšanas pastai 0,35 euro). Izdevumi uz 1 izmeklējumu sastāda 6,69 euro: 18154 izmeklējumi = 0,0004 euro. Gadā plānots 5 * 0,0004 euro = 0,002 euro.</t>
  </si>
  <si>
    <t>Gada nolietojums sastāda 404,20 euro. Vidējie mēneša izdevumi 33,68 euro (404,20 : 12 = 33,68 euro). Izdevumi uz 1 izmeklējumi sastāda  0,002 euro (33,68 : 18154 izmeklējumi = 0,002 euro). Gadā plānots 0,002 euro * 5 = 0,01 euro.</t>
  </si>
  <si>
    <t>Viena izmeklējuma veikšanu nodrošina sertificēts Ārsts-laborants (atalgojums mēnesī 1057 euro). Darba laika patēriņš 1 izmeklējuma veikšanai 195 minūtes. 1 minūtes darba izmaksas 1057 euro : 166,17 stundas (vidējais darba stundu skaits mēnesī 2015.gadā) : 60 minūtes ir 1057 : 166,17 : 60 = 0,11 euro. 1 izmeklējuma veikšanas darba izmaksas 0,11 * 195 minūtes = 21,45 euro. Gadā plānots 4 * 21,45 euro = 85,80 euro.</t>
  </si>
  <si>
    <t>1 izmeklējuma veikšanai nepieciešams 15,94 euro, tai skaitā: 1) vienreizējās lietošanas cimdi pāris - 0,04 euro; 2) mēģene ar apaļu pamatni 21 gb. - 0,20 euro; 3) Transferpipete 3,5 ml nesterila 42 gb - 0,88 euro; 4) 1% papaīna šķīdums ID- PAPAIN 6 ml - 14,70 euro; 5) Na Cl fizioloģiskais šķīdums 140 ml - 0,12 euro. Gadā plānots 4 * 15,94 euro = 63,76 euro.</t>
  </si>
  <si>
    <t>Gada faktiskās izmaksas 38,20 euro. Vidējās 1 mēneša izmaksas sarunām 38,20 euro : 12 mēneši = 3,18 euro. Vidējais izmeklējumu skaits mēnesī 18154. (2014.gads VADC donori-163073 izmeklējumi, maksas pakalpojumi-8718,5 izmeklējumi, ASN donori - 4100 izmeklējumi, grūtnieču izmeklējumi -1951,5 izmeklējumi. Kopā 2014.gads 217843 izmeklējumi. Izmaksas uz 1 izmeklējumu 3,18 : 18154 izmeklējumi = 0,0002 euro. Gadā plānots 4 * 0,0002 = 0,001 euro.</t>
  </si>
  <si>
    <t>Gada faktiskās izmaksas 38,20 euro. Vidējās 1 mēneša izmaksas sarunām 38,20 euro : 12 mēneši = 3,18 euro. Vidējais izmeklējumu skaits mēnesī 18154. (2014.gads VADC donori-163073 izmeklējumi, maksas pakalpojumi-8718,5 izmeklējumi, ASN donori - 4100 izmeklējumi, grūtnieču izmeklējumi -1951,5 izmeklējumi. Kopā 2014.gads 217843 izmeklējumi. Izmaksas uz 1 izmeklējumu 3,18 : 18154 izmeklējumi = 0,0002 euro. Gadā plānots 5 * 0,0002 = 0,001 euro.</t>
  </si>
  <si>
    <t>Gada faktiskās izmaksas 38,20 euro. Vidējās 1 mēneša izmaksas sarunām 38,20 euro : 12 mēneši = 3,18 euro. Vidējais izmeklējumu skaits mēnesī 18154. (2014.gads VADC donori-163073 izmeklējumi ,maksas pakalpojumi-8718,5 izmeklējumi, ASN donori - 4100 izmeklējumi, grūtnieču izmeklējumi -1951,5 izmeklējumi. Kopā 2014.gads 217843 izmeklējumi. Izmaksas uz 1 izmeklējumu 3,18 : 18154 izmeklējumi = 0,0002 euro. Gadā plānots 2 * 0,0002 = 0,0004 euro.</t>
  </si>
  <si>
    <t>Gada faktiskās izmaksas 3619,08 euro. Vidējie mēneša izdevumi par apkuri sastāda 3619,08 : 12 = 301,59 euro. Izdevumi apkurei uz 1 izmeklējumu 301,59 : 18154 izmeklējumi = 0,02 euro. Gadā  plānots 30 * 0,02 = 0,50 euro.</t>
  </si>
  <si>
    <t>Gada faktiskās izmaksas 38,20 euro. Vidējās 1 mēneša izmaksas sarunām 38,20 euro : 12 mēneši = 3,18 euro. Vidējais izmeklējumu skaits mēnesī 18154. (2014.gads VADC donori-163073 izmeklējumi, maksas pakalpojumi-8718,5 izmeklējumi, ASN donori - 4100 izmeklējumi, grūtnieču izmeklējumi -1951,5 izmeklējumi. Kopā 2014.gads 217843 izmeklējumi. Izmaksas uz 1 izmeklējumu 3,18 : 18154 izmeklējumi = 0,0002 euro. Gadā plānots 30 * 0,0002 = 0,01 euro.</t>
  </si>
  <si>
    <t>Gada faktiskās izmaksas 38,20 euro. Vidējās 1 mēneša izmaksas sarunām 38,20 euro : 12 mēneši = 3,18 euro. Vidējais izmeklējumu skaits mēnesī 18154. (2014.gads VADC donori-163073 izmeklējumi, maksas pakalpojumi-8718,5 izmeklējumi, ASN donori - 4100 izmeklējumi, grūtnieču izmeklējumi -1951,5 izmeklējumi. Kopā 2014.gads 217843 izmeklējumi. Izmaksas uz 1 izmeklējumu 3,18 : 18154 izmeklējumi = 0,0002 euro. Gadā plānots 10 * 0,0002 = 0,002 euro.</t>
  </si>
  <si>
    <t>Gada faktiskās izmaksas 3619,08 euro.Vidējie mēneša izdevumi par apkuri sastāda 3619,08 : 12 = 301,59 euro. Izdevumi apkurei uz 1 izmeklējumu 301,59 : 18154 izmeklējumi = 0,02 euro. Gadā 80 * 0,02 = 1,33 euro.</t>
  </si>
  <si>
    <t>Gada faktiskās izmaksas 38,20 euro. Vidējās 1 mēneša izmaksas sarunām 38,20 euro : 12 mēneši = 3,18 euro. Vidējais izmeklējumu skaits mēnesī 18154. (2014.gads VADC donori-163073 izmeklējumi ,maksas pakalpojumi-8718,5 izmeklējumi, ASN donori - 4100 izmeklējumi, grūtnieču izmeklējumi -1951,5 izmeklējumi. Kopā 2014.gads 217843 izmeklējumi. Izmaksas uz 1 izmeklējumu 3,18 : 18154 izmeklējumi = 0,0002 euro. Gadā plānots 80 * 0,0002 = 0,02 euro.</t>
  </si>
  <si>
    <t>Gada faktiskās izmaksas 3619,08 euro. Vidējie mēneša izdevumi par apkuri sastāda 3619,08 : 12 = 301,59 euro. Izdevumi apkurei uz 1 izmeklējumu 301,59 : 18154 izmeklējumi = 0,02 euro. Gadā 10 * 0,02 = 0,17 euro.</t>
  </si>
  <si>
    <t>Gada nolietojums sastāda 404,20 euro. Vidējie mēneša izdevumi 33,68 euro (404,20 : 12 = 33,68 euro). Izdevumi uz 1 izmeklējumi sastāda  0,002 euro (33,68 : 18154 izmeklējumi = 0,002 euro). Gadā plānots 0,002 euro * 30 = 0,06 euro.</t>
  </si>
  <si>
    <t xml:space="preserve"> Izmeklējuma veikšanai izmanto  ID Centrafūgu. Gada nolietojums sastāda 231.92 euro. Vidēji mēnesī 19,33 euro (231,92 : 12 = 19,33 euro) un Termostats, kam gada nolietojums 68,73. Vidēji mēnesī 5,73 euro. Izdevumi uz 1 izmeklējumu 0,001 euro (19,33+5,73 : 18154 izmeklējumi = 0,001). Gadā plānots 0,001 * 30 = 0,01 euro.</t>
  </si>
  <si>
    <t>Gada izmaksas sastāda 80,22 euro. Vidējie mēneša izdevumi par remonta un uzturēšanas materiāliem sastāda 6,69 euro (80,22 : 12 = 6,69 euro) (papīra dvieļi-16,24 euro,atkritumu maisiem 16,92 euro, universālam mazgāšanas līdzeklim 0,58 euro, lupatām 4,57 euro, švammēm 1,46 euro, tīrīšanas pastai 0,35 euro). Izdevumi uz 1 izmeklējumu sastāda6,69 : 18154 izmeklējumi = 0,0004 euro. Gadā plānots 30 * 0,0004 euro = 0,01 euro.</t>
  </si>
  <si>
    <t>Gada izmaksas sastāda 117,09 euro.  Vidējie mēneša izdevumi par specapģērbu mazgāšanu sastāda 9,76 euro (117,09 : 12 = 9.76 euro). Izdevumi uz 1 izmeklējumu sastāda 9,76 : 18154 izmeklējumi = 0,001 euro. Gada apjoms 30*  0,001 euro = 0,02 euro.</t>
  </si>
  <si>
    <t>Gada faktiskās izmaksas sastāda 372,23 euro.Vidējie mēneša izdevumi par ūdeni un kanalizāciju sastāda 372,23 : 12 = 31,02 euro. Izdevumi uz 1 izmeklējumu 31,02 : 18154 izmeklējumi = 0,002 euro. Gadā plānots 30 * 0,002 = 0,05 euro.</t>
  </si>
  <si>
    <t>Administratīvie izdevumi, kas nodrošina iestādes vispārējo darbu. Atbilstoši VADC iekšējam normatīvam aktam  Nr.1-24.6/14-2014/SIN-002 (09.12.2014.g.) "Uzskaites izcenojumu (pašizmaksa) noteikšana, pārskatīšana un apstiprināšana" izmaksu sadalījums pēc funkcijām (I.līmenis) noteikts, ka no Vadības funkciju veicēju (Centra vadība, Administratīvais departaments, Finanšu departaments) kopējām izmaksām 3,05 % tiek sadalīti konsultatīvai imūnhematoloģiskajai izmeklēšanai (funkcijas realizācija nav saistīta ar asins, asins komponentu sagatavošanu). Vadības funkciju veicēju kopējās 2014.gada izmaksas sastāda 472868,13 euro, kur 3,05% sastāda 14422,48 euro gadā. Administratīvās izmaksas (CV, FD, AD)  mēnesī sastāda 1201,87 euro (14422,48 euro : 12 mēneši = 1201,87 euro). Izdevumi uz 1 izmeklējumu sastāda 1201,87 : 18154 izmeklējumi = 0,07  euro. Gadā plānots 0,07 euro * 200 = 14,00 euro.</t>
  </si>
  <si>
    <t>Gada faktiskās izmaksas 3619,08 euro.Vidējie mēneša izdevumi par apkuri sastāda 3619,08 : 12 = 301,59 euro. Izdevumi apkurei uz 1 izmeklējumu 301,59 : 18154 izmeklējumi = 0,02 euro. Gadā 200 * 0,02 = 3,32 euro.</t>
  </si>
  <si>
    <t>Gada faktiskās izmaksas 38,20 euro. Vidējās 1 mēneša izmaksas sarunām 38,20 euro : 12 mēneši = 3,18 euro. Vidējais izmeklējumu skaits mēnesī 18154. (2014.gads VADC donori-163073 izmeklējumi, maksas pakalpojumi-8718,5 izmeklējumi, ASN donori - 4100 izmeklējumi, grūtnieču izmeklējumi -1951,5 izmeklējumi. Kopā 2014.gads 217843 izmeklējumi. Izmaksas uz 1 izmeklējumu 3,18 : 18154 izmeklējumi = 0,0002 euro. Gadā plānots 200 * 0,0002 = 0,04 euro.</t>
  </si>
  <si>
    <t>Gada faktiskās izmaksas 3619,08 euro. Vidējie mēneša izdevumi par apkuri sastāda 3619,08 : 12 = 301,59 euro. Izdevumi apkurei uz 1 izmeklējumu 301,59 : 18154 izmeklējumi = 0,02 euro. Gadā 200 * 0,02 = 3,32 euro.</t>
  </si>
  <si>
    <t>Gada faktiskās izmaksas 38,20 euro. Vidējās 1 mēneša izmaksas sarunām 38,20 euro : 12 mēneši = 3,18 euro. Vidējais izmeklējumu skaits mēnesī 18154. (2014.gads VADC donori-163073 izmeklējumi ,maksas pakalpojumi-8718,5 izmeklējumi, ASN donori - 4100 izmeklējumi, grūtnieču izmeklējumi -1951,5 izmeklējumi. Kopā 2014.gads 217843 izmeklējumi. Izmaksas uz 1 izmeklējumu 3,18 : 18154 izmeklējumi = 0,0002 euro. Gadā plānots 200 * 0,0002 = 0,04 euro.</t>
  </si>
  <si>
    <t>Administratīvie izdevumi, kas nodrošina iestādes vispārējo darbu. Atbilstoši VADC iekšējam normatīvam aktam  Nr.1-24.6/14-2014/SIN-002 (09.12.2014.g.) "Uzskaites izcenojumu (pašizmaksa) noteikšana, pārskatīšana un apstiprināšana" izmaksu sadalījums pēc funkcijām (I.līmenis) noteikts, ka no Vadības funkciju veicēju (Centra vadība, Administratīvais departaments, Finanšu departaments) kopējām izmaksām 3,05 % tiek sadalīti konsultatīvai imūnhematoloģiskajai izmeklēšanai (funkcijas realizācija nav saistīta ar asins, asins komponentu sagatavošanu). Vadības funkciju veicēju kopējās 2014.gada izmaksas sastāda 472868,13 euro, kur 3,05% sastāda 14422,48 euro gadā. Administratīvās izmaksas (CV, FD, AD)  mēnesī sastāda 1201,87 euro (14422,48 euro : 12 mēneši = 1201,87 euro). Izdevumi uz 1 izmeklējumu sastāda 1201,87 : 18154 izmeklējumi = 0,07  euro. Gadā plānots 0,07 euro * 250 = 17,50 euro.</t>
  </si>
  <si>
    <t>Gada faktiskās izmaksas 38,20 euro. Vidējās 1 mēneša izmaksas sarunām 38,20 euro : 12 mēneši = 3,18 euro. Vidējais izmeklējumu skaits mēnesī 18154. (2014.gads VADC donori-163073 izmeklējumi, maksas pakalpojumi-8718,5 izmeklējumi, ASN donori - 4100 izmeklējumi, grūtnieču izmeklējumi -1951,5 izmeklējumi. Kopā 2014.gads 217843 izmeklējumi. Izmaksas uz 1 izmeklējumu 3,18 : 18154 izmeklējumi = 0,0002 euro. Gadā plānots 250 * 0,0002 = 0,05 euro.</t>
  </si>
  <si>
    <t>Gada faktiskās izmaksas 3619,08 euro.Vidējie mēneša izdevumi par apkuri sastāda 3619,08 : 12 = 301,59 euro. Izdevumi apkurei uz 1 izmeklējumu 301,59 : 18154 izmeklējumi = 0,02 euro. Gadā 250 * 0,02 = 4,15 euro.</t>
  </si>
  <si>
    <t>Gada faktiskās izmaksas 38,20 euro. Vidējās 1 mēneša izmaksas sarunām 38,20 euro : 12 mēneši = 3,18 euro. Vidējais izmeklējumu skaits mēnesī 18154. (2014.gads VADC donori-163073 izmeklējumi, maksas pakalpojumi-8718,5 izmeklējumi, ASN donori - 4100 izmeklējumi, grūtnieču izmeklējumi -1951,5 izmeklējumi. Kopā 2014.gads 217843 izmeklējumi. Izmaksas uz 1 izmeklējumu 3,18 : 18154 izmeklējumi = 0,0002 euro. Gadā plānots 2000 * 0,0002 = 0,40 euro.</t>
  </si>
  <si>
    <t>Gada faktiskās izmaksas 38,20 euro. Vidējās 1 mēneša izmaksas sarunām 38,20 euro : 12 mēneši = 3,18 euro. Vidējais izmeklējumu skaits mēnesī 18154. (2014.gads VADC donori-163073 izmeklējumi, maksas pakalpojumi-8718,5 izmeklējumi, ASN donori - 4100 izmeklējumi, grūtnieču izmeklējumi -1951,5 izmeklējumi. Kopā 2014.gads 217843 izmeklējumi. Izmaksas uz 1 izmeklējumu 3,18 : 18154 izmeklējumi = 0,0002 euro. Gadā plānots 100 * 0,0002 = 0,02 euro.</t>
  </si>
  <si>
    <t>Gada faktiskās izmaksas 3619,08 euro. Vidējie mēneša izdevumi par apkuri sastāda 3619,08 : 12 = 301,59 euro. Izdevumi apkurei uz 1 izmeklējumu 301,59 : 18154 izmeklējumi = 0,02 euro. Gadā 100 * 0,02 = 1,66 euro.</t>
  </si>
  <si>
    <t>Gada faktiskās izmaksas sastāda 372,23 euro. Vidējie mēneša izdevumi par ūdeni un kanalizāciju sastāda 372,23 : 12 = 31,02 euro. Izdevumi uz 1 izmeklējumu 31,02 : 18154 izmeklējumi = 0,002 euro. Gadā plānots 100 * 0,002 = 0,17 euro.</t>
  </si>
  <si>
    <t>Administratīvie izdevumi, kas nodrošina iestādes vispārējo darbu. Atbilstoši VADC iekšējam normatīvam aktam  Nr.1-24.6/14-2014/SIN-002 (09.12.2014.g.) "Uzskaites izcenojumu (pašizmaksa) noteikšana, pārskatīšana un apstiprināšana" izmaksu sadalījums pēc funkcijām (I.līmenis) noteikts, ka no Vadības funkciju veicēju (Centra vadība, Administratīvais departaments, Finanšu departaments) kopējām izmaksām 3,05 % tiek sadalīti konsultatīvai imūnhematoloģiskajai izmeklēšanai (funkcijas realizācija nav saistīta ar asins, asins komponentu sagatavošanu). Vadības funkciju veicēju kopējās 2014.gada izmaksas sastāda 472868,13 euro, kur 3,05% sastāda 14422,48 euro gadā. Administratīvās izmaksas (CV, FD, AD)  mēnesī sastāda 1201,87 euro (14422,48 euro : 12 mēneši = 1201,87 euro). Izdevumi uz 1 izmeklējumu sastāda 1201,87 : 18154 izmeklējumi = 0,07  euro. Gadā plānots 0,07 euro * 20 = 1,40 euro.</t>
  </si>
  <si>
    <t>Gada faktiskās izmaksas 38,20 euro. Vidējās 1 mēneša izmaksas sarunām 38,20 euro : 12 mēneši = 3,18 euro. Vidējais izmeklējumu skaits mēnesī 18154. (2014.gads VADC donori-163073 izmeklējumi, maksas pakalpojumi-8718,5 izmeklējumi, ASN donori - 4100 izmeklējumi, grūtnieču izmeklējumi -1951,5 izmeklējumi. Kopā 2014.gads 217843 izmeklējumi. Izmaksas uz 1 izmeklējumu 3,18 : 18154 izmeklējumi = 0,0002 euro. Gadā plānots 20 * 0,0002 = 0,004 euro.</t>
  </si>
  <si>
    <t>Administratīvie izdevumi, kas nodrošina iestādes vispārējo darbu. Atbilstoši VADC iekšējam normatīvam aktam  Nr.1-24.6/14-2014/SIN-002 (09.12.2014.g.) "Uzskaites izcenojumu (pašizmaksa) noteikšana, pārskatīšana un apstiprināšana" izmaksu sadalījums pēc funkcijām (I.līmenis) noteikts, ka no Vadības funkciju veicēju (Centra vadība, Administratīvais departaments, Finanšu departaments) kopējām izmaksām 3,05 % tiek sadalīti konsultatīvai imūnhematoloģiskajai izmeklēšanai (funkcijas realizācija nav saistīta ar asins, asins komponentu sagatavošanu). Vadības funkciju veicēju kopējās 2014.gada izmaksas sastāda 472868,13 euro, kur 3,05% sastāda 14422,48 euro gadā. Administratīvās izmaksas (CV, FD, AD)  mēnesī sastāda 1201.87 euro (14422,48 euro : 12 mēneši = 1201,87 euro) . Izdevumi uz 1 izmeklējumu sastāda 1201,87 : 18154 izmeklējumi = 0,07  euro. Gadā plānots 0,07 euro * 100 = 7,00 euro.</t>
  </si>
  <si>
    <t>Gada faktiskās izmaksas 3619,8 euro. Vidējie mēneša izdevumi par apkuri sastāda 3619,08 : 12 = 301,59 euro. Izdevumi apkurei uz 1 izmeklējumu 301,59 : 18154 izmeklējumi = 0,02 euro. Gadā 100 * 0,02 = 1,66 euro.</t>
  </si>
  <si>
    <t>Administratīvie izdevumi, kas nodrošina iestādes vispārējo darbu. Atbilstoši VADC iekšējam normatīvam aktam  Nr.1-24.6/14-2014/SIN-002 (09.12.2014.g.) "Uzskaites izcenojumu (pašizmaksa) noteikšana, pārskatīšana un apstiprināšana" izmaksu sadalījums pēc funkcijām (I.līmenis) noteikts, ka no Vadības funkciju veicēju (Centra vadība, Administratīvais departaments, Finanšu departaments) kopējām izmaksām 3,05 % tiek sadalīti konsultatīvai imūnhematoloģiskajai izmeklēšanai (funkcijas realizācija nav saistīta ar asins, asins komponentu sagatavošanu). Vadības funkciju veicēju kopējās 2014.gada izmaksas sastāda 472868,13 euro, kur 3,05% sastāda 14422,48 euro gadā. Administratīvās izmaksas (CV, FD, AD)  mēnesī sastāda 1201,87 euro (14422,48 euro : 12 mēneši = 1201,87 euro). Izdevumi uz 1 izmeklējumu sastāda 1201,87 : 18154 izmeklējumi = 0,07  euro. Gadā plānots 0,07 euro * 900 = 63,00 euro.</t>
  </si>
  <si>
    <t>Gada faktiskās izmaksas 38,20 euro. Vidējās 1 mēneša izmaksas sarunām 38,20 euro : 12 mēneši = 3,18 euro. Vidējais izmeklējumu skaits mēnesī 18154. (2014.gads VADC donori-163073 izmeklējumi, maksas pakalpojumi-8718,5 izmeklējumi, ASN donori - 4100 izmeklējumi, grūtnieču izmeklējumi -1951,5 izmeklējumi. Kopā 2014.gads 217843 izmeklējumi. Izmaksas uz 1 izmeklējumu 3,18 : 18154 izmeklējumi = 0,0002 euro. Gadā plānots 900 * 0,0002 = 0,18 euro.</t>
  </si>
  <si>
    <t>Gada izdevumi iekārtu tehniskai apkopei un remontam 4639,55 euro. Vidējie mēneša izdevumi 386,63 euro (4639,55 : 12 = 386,63 euro). Izdevumi uz 1 izmeklējumu sastāda 0,02 euro (386,63 : 18154 izmeklējumi = 0,02 euro). Gadā plānots 99 *0,02 euro = 2,11 euro.</t>
  </si>
  <si>
    <t>Gada faktiskās izmaksas 3619,08 euro.Vidējie mēneša izdevumi par apkuri sastāda 3619,08 : 12 = 301,59 euro. Izdevumi apkurei uz 1 izmeklējumu 301,59 : 18154 izmeklējumi = 0,02 euro. Gadā 99 * 0,02 = 1,64 euro.</t>
  </si>
  <si>
    <t>Gada faktiskās izmaksas 38,20 euro. Vidējās 1 mēneša izmaksas sarunām 38,20 euro : 12 mēneši = 3,18 euro. Vidējais izmeklējumu skaits mēnesī 18154. (2014.gads VADC donori-163073 izmeklējumi, maksas pakalpojumi-8718,5 izmeklējumi, ASN donori - 4100 izmeklējumi, grūtnieču izmeklējumi -1951,5 izmeklējumi. Kopā 2014.gads 217843 izmeklējumi. Izmaksas uz 1 izmeklējumu 3,18 : 18154 izmeklējumi = 0,0002 euro. Gadā plānots 99 * 0,0002 = 0,02 euro.</t>
  </si>
  <si>
    <t>Gada faktiskās izmaksas 38,20 euro. Vidējās 1 mēneša izmaksas sarunām 38,20 euro : 12 mēneši = 3,18 euro . Vidējais izmeklējumu skaits mēnesī 18154. (2014.gads VADC donori-163073 izmeklējumi ,maksas pakalpojumi-8718,5 izmeklējumi , ASN donori - 4100 izmeklējumi, grūtnieču izmeklējumi -1951,5 izmeklējumi .Kopā 2014.gads 217843 izmeklējumi. Izmaksas uz 1 izmeklējumu 3,18 : 18154 izmeklējumi = 0,0002 euro. Gadā plānots 900 * 0,0002 = 0,18 euro.</t>
  </si>
  <si>
    <t>Gada izmaksas sastāda 117,09 euro.  Vidējie mēneša izdevumi par specapģērbu mazgāšanu sastāda 9,76 euro (117,09 : 12 = 9,76 euro). Izdevumi uz 1 izmeklējumu sastāda 9,76 : 18154 izmeklējumi = 0,001 euro. Gada apjoms 30 *  0,001 euro = 0,02 euro.</t>
  </si>
  <si>
    <t>Gada izmaksas sastāda 80,22 euro. Vidējie mēneša izdevumi par remonta un uzturēšanas materiāliem sastāda 6,69 euro (80,22 : 12 = 6,69 euro) (papīra dvieļi-16,24 euro, atkritumu maisiem 16,92 euro, universālam mazgāšanas līdzeklim 0,58 euro, lupatām 4,57 euro, švammēm 1,46 euro, tīrīšanas pastai 0,35 euro). Izdevumi uz 1 izmeklējumu sastāda 6,69 : 18154 izmeklējumi = 0,0004 euro. Gadā plānots 30 * 0,0004 euro = 0,01 euro.</t>
  </si>
  <si>
    <t>Administratīvie izdevumi, kas nodrošina iestādes vispārējo darbu. Atbilstoši VADC iekšējam normatīvam aktam  Nr.1-24.6/14-2014/SIN-002 (09.12.2014.g.) "Uzskaites izcenojumu (pašizmaksa) noteikšana, pārskatīšana un apstiprināšana" izmaksu sadalījums pēc funkcijām (I.līmenis) noteikts, ka no Vadības funkciju veicēju (Centra vadība, Administratīvais departaments, Finanšu departaments) kopējām izmaksām 3,05 % tiek sadalīti konsultatīvai imūnhematoloģiskajai izmeklēšanai (funkcijas realizācija nav saistīta ar asins, asins komponentu sagatavošanu). Vadības funkciju veicēju kopējās 2014.gada izmaksas sastāda 472868,13 euro, kur 3,05% sastāda 14422,48 euro gadā. Administratīvās izmaksas (CV, FD, AD)  mēnesī sastāda 1201,87 euro (14422,48 euro : 12 mēneši = 1201,87 euro) . Izdevumi uz 1 izmeklējumu sastāda 1201,87 : 18154 izmeklējumi = 0,07  euro. Gadā plānots 0,07 euro * 400 = 28,00 euro.</t>
  </si>
  <si>
    <t>Gada faktiskās izmaksas 38,20 euro. Vidējās 1 mēneša izmaksas sarunām 38,20 euro : 12 mēneši = 3,18 euro . Vidējais izmeklējumu skaits mēnesī 18154. (2014.gads VADC donori-163073 izmeklējumi ,maksas pakalpojumi-8718,5 izmeklējumi , ASN donori - 4100 izmeklējumi, grūtnieču izmeklējumi -1951,5 izmeklējumi. Kopā 2014.gads 217843 izmeklējumi. Izmaksas uz 1 izmeklējumu 3,18 : 18154 izmeklējumi = 0,0002 euro. Gadā plānots 400 * 0,0002 = 0,08 euro.</t>
  </si>
  <si>
    <t>Gada faktiskās izmaksas 3619,08 euro.Vidējie mēneša izdevumi par apkuri sastāda 3619,08 : 12 = 301,59 euro. Izdevumi apkurei uz 1 izmeklējumu 301,59 : 18154 izmeklējumi = 0,02 euro. Gadā 60 * 0,02 = 1,00 euro.</t>
  </si>
  <si>
    <t>Gada faktiskās izmaksas 38,20 euro. Vidējās 1 mēneša izmaksas sarunām 38,20 euro : 12 mēneši = 3,18 euro. Vidējais izmeklējumu skaits mēnesī 18154. (2014.gads VADC donori-163073 izmeklējumi, maksas pakalpojumi-8718,5 izmeklējumi, ASN donori - 4100 izmeklējumi, grūtnieču izmeklējumi -1951,5 izmeklējumi. Kopā 2014.gads 217843 izmeklējumi. Izmaksas uz 1 izmeklējumu 3,18 : 18154 izmeklējumi = 0,0002 euro. Gadā plānots 60 * 0,0002 = 0,01 euro.</t>
  </si>
  <si>
    <t>Administratīvie izdevumi, kas nodrošina iestādes vispārējo darbu. Atbilstoši VADC iekšējam normatīvam aktam  Nr.1-24.6/14-2014/SIN-002 (09.12.2014.g.) "Uzskaites izcenojumu (pašizmaksa) noteikšana, pārskatīšana un apstiprināšana" izmaksu sadalījums pēc funkcijām (I.līmenis) noteikts, ka no Vadības funkciju veicēju (Centra vadība, Administratīvais departaments, Finanšu departaments) kopējām izmaksām 3,05 % tiek sadalīti konsultatīvai imūnhematoloģiskajai izmeklēšanai (funkcijas realizācija nav saistīta ar asins, asins komponentu sagatavošanu). Vadības funkciju veicēju kopējās 2014.gada izmaksas sastāda 472868,13 euro, kur 3,05% sastāda 14422,48 euro gadā. Administratīvās izmaksas (CV, FD, AD)  mēnesī sastāda 1201,87 euro (14422,48 euro : 12 mēneši = 1201,87 euro). Izdevumi uz 1 izmeklējumu sastāda 1201,87 : 18154 izmeklējumi = 0,07  euro. Gadā plānots 0,07 euro * 700 = 49,00 euro.</t>
  </si>
  <si>
    <t>Administratīvie izdevumi, kas nodrošina iestādes vispārējo darbu. Atbilstoši VADC iekšējam normatīvam aktam  Nr.1-24.6/14-2014/SIN-002 (09.12.2014.g.) "Uzskaites izcenojumu (pašizmaksa) noteikšana, pārskatīšana un apstiprināšana" izmaksu sadalījums pēc funkcijām (I.līmenis) noteikts, ka no Vadības funkciju veicēju (Centra vadība, Administratīvais departaments, Finanšu departaments) kopējām izmaksām 3,05 % tiek sadalīti konsultatīvai imūnhematoloģiskajai izmeklēšanai (funkcijas realizācija nav saistīta ar asins, asins komponentu sagatavošanu). Vadības funkciju veicēju kopējās 2014.gada izmaksas sastāda 472868,13 euro, kur 3,05% sastāda 14422,48 euro gadā. Administratīvās izmaksas (CV, FD, AD)  mēnesī sastāda 1201,87 euro (14422,48 euro : 12 mēneši = 1201,87 euro). Izdevumi uz 1 izmeklējumu sastāda 1201,87 : 18154 izmeklējumi = 0,07  euro. Gadā plānots 0,07 euro * 60 = 4,20 euro.</t>
  </si>
  <si>
    <t>Administratīvie izdevumi, kas nodrošina iestādes vispārējo darbu. Atbilstoši VADC iekšējam normatīvam aktam  Nr.1-24.6/14-2014/SIN-002 (09.12.2014.g.) "Uzskaites izcenojumu (pašizmaksa) noteikšana, pārskatīšana un apstiprināšana" izmaksu sadalījums pēc funkcijām (I.līmenis) noteikts, ka no Vadības funkciju veicēju (Centra vadība, Administratīvais departaments, Finanšu departaments) kopējām izmaksām 3,05 % tiek sadalīti konsultatīvai imūnhematoloģiskajai izmeklēšanai (funkcijas realizācija nav saistīta ar asins, asins komponentu sagatavošanu). Vadības funkciju veicēju kopējās 2014.gada izmaksas sastāda 472868,13 euro, kur 3,05% sastāda 14422,48 euro gadā. Administratīvās izmaksas (CV, FD, AD)  mēnesī sastāda 1201,87 euro (14422,48 euro : 12 mēneši = 1201,87 euro). Izdevumi uz 1 izmeklējumu sastāda 1201,87 : 18154 izmeklējumi = 0,07  euro. Gadā plānots 0,07 euro * 1500 = 105,00 euro.</t>
  </si>
  <si>
    <t>Gada faktiskās izmaksas 346,27 euro. Vidējie mēneša izdevumi par atkritumu izvešanu sastāda 346,27 euro: 12 = 28,86 euro. Izdevumi uz 1 izmeklējumu 28,86 euro: 18154 izmeklējumi = 0,002 euro. Gadā plānots 1500 *  0,002 = 2,40 euro.</t>
  </si>
  <si>
    <t>Gada faktiskās izmaksas 3619,08 euro. Vidējie mēneša izdevumi par apkuri sastāda 3619,08 : 12 = 301,59 euro. Izdevumi apkurei uz 1 izmeklējumu 301,59 : 18154 izmeklējumi = 0,02 euro. Gadā 1500 * 0,02 = 24,90 euro.</t>
  </si>
  <si>
    <t>Gada faktiskās izmaksas 38,20 euro. Vidējās 1 mēneša izmaksas sarunām 38,20 euro : 12 mēneši = 3,18 euro. Vidējais izmeklējumu skaits mēnesī 18154. (2014.gads VADC donori-163073 izmeklējumi, maksas pakalpojumi-8718,5 izmeklējumi, ASN donori - 4100 izmeklējumi, grūtnieču izmeklējumi -1951,5 izmeklējumi. Kopā 2014.gads 217843 izmeklējumi. Izmaksas uz 1 izmeklējumu 3,18 : 18154 izmeklējumi = 0,0002 euro. Gadā plānots 1500 * 0,0002 = 0,30 euro.</t>
  </si>
  <si>
    <t>Administratīvie izdevumi, kas nodrošina iestādes vispārējo darbu. Atbilstoši VADC iekšējam normatīvam aktam  Nr.1-24.6/14-2014/SIN-002 (09.12.2014.g.) "Uzskaites izcenojumu (pašizmaksa) noteikšana, pārskatīšana un apstiprināšana" izmaksu sadalījums pēc funkcijām (I.līmenis) noteikts, ka no Vadības funkciju veicēju (Centra vadība, Administratīvais departaments, Finanšu departaments) kopējām izmaksām 3,05 % tiek sadalīti konsultatīvai imūnhematoloģiskajai izmeklēšanai (funkcijas realizācija nav saistīta ar asins, asins komponentu sagatavošanu). Vadības funkciju veicēju kopējās 2014.gada izmaksas sastāda 472868,13 euro, kur 3,05% sastāda 14422,48 euro gadā. Administratīvās izmaksas (CV, FD, AD)  mēnesī sastāda 1201,87 euro (14422,48 euro : 12 mēneši = 1201,87 euro). Izdevumi uz 1 izmeklējumu sastāda 1201,87 : 18154 izmeklējumi = 0,07  euro. Gadā plānots 0,07 euro * 180 = 12,60 euro.</t>
  </si>
  <si>
    <t>Gada faktiskās izmaksas 38,20 euro. Vidējās 1 mēneša izmaksas sarunām 38,20 euro : 12 mēneši = 3,18 euro . Vidējais izmeklējumu skaits mēnesī 18154. (2014.gads VADC donori-163073 izmeklējumi, maksas pakalpojumi-8718,5 izmeklējumi, ASN donori - 4100 izmeklējumi, grūtnieču izmeklējumi -1951,5 izmeklējumi. Kopā 2014.gads 217843 izmeklējumi. Izmaksas uz 1 izmeklējumu 3,18 : 18154 izmeklējumi = 0,0002 euro. Gadā plānots 180 * 0,0002 = 0,04 euro.</t>
  </si>
  <si>
    <t>Gada faktiskās izmaksas 38,20 euro. Vidējās 1 mēneša izmaksas sarunām 38,20 euro : 12 mēneši = 3,18 euro. Vidējais izmeklējumu skaits mēnesī 18154. (2014.gads VADC donori-163073 izmeklējumi, maksas pakalpojumi-8718,5 izmeklējumi, ASN donori - 4100 izmeklējumi, grūtnieču izmeklējumi -1951,5 izmeklējumi. Kopā 2014.gads 217843 izmeklējumi. Izmaksas uz 1 izmeklējumu 3,18 : 18154 izmeklējumi = 0,0002 euro. Gadā plānots 150 * 0,0002 = 0,03 euro.</t>
  </si>
  <si>
    <t>Gada faktiskās izmaksas 3619,08 euro. Vidējie mēneša izdevumi par apkuri sastāda 3619,08 : 12 = 301,59 euro. Izdevumi apkurei uz 1 izmeklējumu 301,59: 18154 izmeklējumi = 0,02 euro. Gadā 150 * 0,02 = 2,49 euro.</t>
  </si>
  <si>
    <t>Gada faktiskās izmaksas 346,27 euro. Vidējie mēneša izdevumi par atkritumu izvešanu sastāda 346,27 euro: 12 = 28,86 euro. Izdevumi uz 1 izmeklējumu 28,86 euro: 18154 izmeklējumi = 0,002 euro. Gadā plānots 150 *  0,002 = 0,24 euro.</t>
  </si>
  <si>
    <t>Gada faktiskās izmaksas 346,27 euro. Vidējie mēneša izdevumi par atkritumu izvešanu sastāda 346,27 euro: 12 = 28,86 euro. Izdevumi uz 1 izmeklējumu 28,86 euro: 18154 izmeklējumi = 0,002euro. Gadā plānots 20 *  0,002 = 0,03 euro.</t>
  </si>
  <si>
    <t>Administratīvie izdevumi, kas nodrošina iestādes vispārējo darbu. Atbilstoši VADC iekšējam normatīvam aktam  Nr.1-24.6/14-2014/SIN-002 (09.12.2014.g.) "Uzskaites izcenojumu (pašizmaksa) noteikšana, pārskatīšana un apstiprināšana" izmaksu sadalījums pēc funkcijām (I.līmenis) noteikts, ka no Vadības funkciju veicēju (Centra vadība, Administratīvais departaments, Finanšu departaments) kopējām izmaksām 3,05 % tiek sadalīti konsultatīvai imūnhematoloģiskajai izmeklēšanai (funkcijas realizācija nav saistīta ar asins, asins komponentu sagatavošanu). Vadības funkciju veicēju kopējās 2014.gada izmaksas sastāda 472868,13 euro, kur 3,05% sastāda 14422,48 euro gadā. Administratīvās izmaksas (CV, FD, AD)  mēnesī sastāda 1201,87 euro (14422,48 euro : 12 mēneši = 1201,87 euro). Izdevumi uz 1 izmeklējumu sastāda 1201,87 : 18154 izmeklējumi = 0,07  euro. Gadā plānots 0,07 euro * 97 = 6,79 euro.</t>
  </si>
  <si>
    <t>Gada faktiskās izmaksas 3619,08 euro.Vidējie mēneša izdevumi par apkuri sastāda 3619,08 : 12 = 301,59 euro. Izdevumi apkurei uz 1 izmeklējumu 301,59 : 18154 izmeklējumi = 0,02 euro. Gadā 97 * 0,02 = 1,61 euro.</t>
  </si>
  <si>
    <t>Gada faktiskās izmaksas 38,20 euro. Vidējās 1 mēneša izmaksas sarunām 38,20 euro : 12 mēneši = 3,18 euro . Vidējais izmeklējumu skaits mēnesī 18154. (2014.gads VADC donori-163073 izmeklējumi, maksas pakalpojumi-8718,5 izmeklējumi, ASN donori - 4100 izmeklējumi, grūtnieču izmeklējumi -1951,5 izmeklējumi. Kopā 2014.gads 217843 izmeklējumi. Izmaksas uz 1 izmeklējumu 3,18 : 18154 izmeklējumi = 0,0002 euro. Gadā plānots 97 * 0,0002 = 0,02 euro.</t>
  </si>
  <si>
    <t>Gada faktiskās izmaksas 38,20 euro. Vidējās 1 mēneša izmaksas sarunām 38,20 euro : 12 mēneši = 3,18 euro. Vidējais izmeklējumu skaits mēnesī 18154. (2014.gads VADC donori-163073 izmeklējumi, maksas pakalpojumi-8718,5 izmeklējumi, ASN donori - 4100 izmeklējumi, grūtnieču izmeklējumi -1951,5 izmeklējumi. Kopā 2014.gads 217843 izmeklējumi. Izmaksas uz 1 izmeklējumu 3,18 : 18154 izmeklējumi = 0,0002 euro. Gadā plānots 27 * 0,0002 = 0,01 euro.</t>
  </si>
  <si>
    <t>Gada faktiskās izmaksas 3619,08 euro. Vidējie mēneša izdevumi par apkuri sastāda 3619,08 : 12 = 301,59 euro. Izdevumi apkurei uz 1 izmeklējumu 301,59 : 18154 izmeklējumi = 0,02 euro. Gadā 27 * 0,02 = 0,46 euro.</t>
  </si>
  <si>
    <t>Gada izdevumi iekārtu tehniskai apkopei un remontam 4639,55 euro. Vidējie mēneša izdevumi 386,63 euro (4639,55 : 12 = 386,63 euro). Izdevumi uz 1 izmeklējumu sastāda 0,02 euro (386,63 : 18154 izmeklējumi = 0,02 euro). Gadā plānots 60 * 0,02 euro = 1,26 euro.</t>
  </si>
  <si>
    <t>Gada faktiskās izmaksas 3619,08 euro. Vidējie mēneša izdevumi par apkuri sastāda 3619,08 : 12 = 301,59 euro. Izdevumi apkurei uz 1 izmeklējumu 301,59 : 18154 izmeklējumi = 0,02 euro. Gadā 60 * 0,02 = 1,02 euro.</t>
  </si>
  <si>
    <t>Gada faktiskās izmaksas 3619,08 euro.Vidējie mēneša izdevumi par apkuri sastāda 3619,08 : 12 = 301,59 euro. Izdevumi apkurei uz 1 izmeklējumu 301,59 : 18154 izmeklējumi = 0,02 euro. Gadā 1500 * 0,02 = 25,50 euro.</t>
  </si>
  <si>
    <t>Gada faktiskās izmaksas 38,20 euro. Vidējās 1 mēneša izmaksas sarunām 38,20 euro : 12 mēneši = 3,18 euro. Vidējais izmeklējumu skaits mēnesī 18154. (2014.gads VADC donori-163073 izmeklējumi ,maksas pakalpojumi-8718,5 izmeklējumi , ASN donori - 4100 izmeklējumi, grūtnieču izmeklējumi -1951,5 izmeklējumi. Kopā 2014.gads 217843 izmeklējumi. Izmaksas uz 1 izmeklējumu 3,18 : 18154 izmeklējumi = 0,0002 euro. Gadā plānots 1500 * 0,0002 = 0,30 euro.</t>
  </si>
  <si>
    <t>Gada izdevumi iekārtu tehniskai apkopei un remontam 4639,55 euro. Vidējie mēneša izdevumi 386,63 euro (4639,55 : 12 = 386,63 euro). Izdevumi uz 1 izmeklējumu sastāda 0,02 euro (386,63 : 18154 izmeklējumi = 0,02 euro). Gadā plānots 100 *  0,02 euro = 2,00 euro.</t>
  </si>
  <si>
    <t>Administratīvie izdevumi, kas nodrošina iestādes vispārējo darbu. Atbilstoši VADC iekšējam normatīvam aktam  Nr.1-24.6/14-2014/SIN-002 (09.12.2014.g.) "Uzskaites izcenojumu (pašizmaksa) noteikšana, pārskatīšana un apstiprināšana" izmaksu sadalījums pēc funkcijām (I.līmenis) noteikts, ka no Vadības funkciju veicēju (Centra vadība, Administratīvais departaments, Finanšu departaments) kopējām izmaksām 3,05 % tiek sadalīti konsultatīvai imūnhematoloģiskajai izmeklēšanai (funkcijas realizācija nav saistīta ar asins, asins komponentu sagatavošanu). Vadības funkciju veicēju kopējās 2014.gada izmaksas sastāda 472868,13 euro, kur 3,05% sastāda 14422,48 euro gadā. Administratīvās izmaksas (CV, FD, AD)  mēnesī sastāda 1201.87 euro (14422,48 euro : 12 mēneši = 1201,87 euro). Izdevumi uz 1 izmeklējumu sastāda 1201,87 : 18154 izmeklējumi = 0,07  euro. Gadā plānots 0,07 euro * 100 = 7,00 euro.</t>
  </si>
  <si>
    <t>Gada faktiskās izmaksas 346,27 euro. Vidējie mēneša izdevumi par atkritumu izvešanu sastāda 346,27 euro : 12 = 28,86 euro. Izdevumi uz 1 izmeklējumu28,86 : 18154 izmeklējumi = 0,002euro. Gadā plānots 100 * 0,002 = 0,20 euro.</t>
  </si>
  <si>
    <t>Gada faktiskās izmaksas 3619,08 euro.Vidējie mēneša izdevumi par apkuri sastāda 3619,08 : 12 = 301,59 euro. Izdevumi apkurei uz 1 izmeklējumu 301,59 : 18154 izmeklējumi = 0,02 euro. Gadā 100 * 0,02 = 2,00 euro.</t>
  </si>
  <si>
    <t>Gada faktiskās izmaksas 38,20 euro. Vidējās 1 mēneša izmaksas sarunām 38,20 euro : 12 mēneši = 3,18 euro. Vidējais izmeklējumu skaits mēnesī 18154. (2014.gads VADC donori- 163073 izmeklējumi ,maksas pakalpojumi- 8718,5 izmeklējumi, ASN donori - 4100 izmeklējumi, grūtnieču izmeklējumi -1951,5 izmeklējumi. Kopā 2014.gads 217843 izmeklējumi. Izmaksas uz 1 izmeklējumu 3,18 : 18154 izmeklējumi = 0,0002 euro. Gadā plānots 100 * 0,0002 = 0,02 euro.</t>
  </si>
  <si>
    <t>1 izmeklējuma veikšanai nepieciešams 0,93 euro, tai skaitā: 1) vate 2,04 gr. - 0,01 euro; 2) dezinfekcijas līdzeklis 1 poced. -  0,005 euro; 3) salvetes sterilas  1 gb.- 0,07 euro;  4) vakumstobra adata 21G ar drošības sistēmu un turētēju 1 gb. - 0,29 euro; 5) vienreizējās lietošanas cimdi pāris -  0,04 euro; 6) elastīgā saite 0,25 gb.- 0,13 euro; 7) sterili kociņi 1 gb. - 0,06 euro; 8) St/vakutaineri 6 ml 2 gb. - 0,16 euro; 9) St/vakutaineri 9 ml 1 gb. - 0,09 euro; 10) vakuma stobriņš EDTA 1 gb. - 0,07 euro. Gadā plānots 100 * 0,93 = 93,00 euro.</t>
  </si>
  <si>
    <t>Viena izmeklējuma veikšanu nodrošina sertificēts biomedicīnas laborants (atalgojums mēnesī 795 euro). Darba laika patēriņš 1 izmeklējuma veikšanai 10 minūtes. 1 minūtes darba izmaksas 795 euro : 166,17 stundas (vidējais darba stundu skaits mēnesī 2015.gadā) : 60 minūtes ir 795 : 166,17 : 60 = 0,08 euro . 1 izmeklējuma veikšanas darba izmaksas 0,08 *  10 minūtes = 0,80 euro. Gadā plānots 100 * 0,80 = 80,00 euro.</t>
  </si>
  <si>
    <t>Darba devēja valsts sociālās apdrošināšanas obligātās iemaksas, sociāla rakstura pabalsti un kompensācijas 0,8 * 23,59%.</t>
  </si>
  <si>
    <t>Administratīvie izdevumi, kas nodrošina iestādes vispārējo darbu. Atbilstoši VADC iekšējam normatīvam aktam  Nr.1-24.6/14-2014/SIN-002 (09.12.2014.g.) "Uzskaites izcenojumu (pašizmaksa) noteikšana, pārskatīšana un apstiprināšana" izmaksu sadalījums pēc funkcijām (I.līmenis) noteikts, ka no Vadības funkciju veicēju (Centra vadība, Administratīvais departaments, Finanšu departaments) kopējām izmaksām 3,05 % tiek sadalīti konsultatīvai imūnhematoloģiskajai izmeklēšanai (funkcijas realizācija nav saistīta ar asins, asins komponentu sagatavošanu). Vadības funkciju veicēju kopējās 2014.gada izmaksas sastāda 472868,13 euro, kur 3,05% sastāda 14422,48 euro gadā. Administratīvās izmaksas (CV, FD, AD)  mēnesī sastāda 1201,87 euro (14422,48 euro : 12 mēneši = 1201,87 euro). Izdevumi uz 1 izmeklējumu sastāda 1201,87 : 18154 = 0,07  euro. Gadā plānots 0,07 euro x 100 = 7,00 euro.</t>
  </si>
  <si>
    <t>Gada faktiskās izmaksas 346,27 euro.Vidējie mēneša izdevumi par atkritumu izvešanu sastāda 346,27 euro: 12 = 28,86 euro. Izdevumi uz 1 izmeklējumu 28,86 euro: 18154 izmeklējumi = 0,002 euro. Gadā plānots 100 * 0,002 = 0,20 euro.</t>
  </si>
  <si>
    <t>Gada faktiskās izmaksas 3619,08 euro.Vidējie mēneša izdevumi par apkuri sastāda 3619,08 : 12 = 301,59 euro. Izdevumi apkurei uz 1 izmeklējumu 301,59 : 18154 izmeklējumi = 0,02 euro. Gadā plānots 100 * 0,02 = 2,00 euro.</t>
  </si>
  <si>
    <t>Gada faktiskās izmaksas 38,20 euro.Vidējās 1 mēneša izmaksas sarunām 38,20 euro : 12 mēneši = 3,18 euro. Vidējais izmeklējumu skaits mēnesī 18154. (2014.gads VADC donori - 163073 izmeklējumi, maksas pakalpojumi - 8718,5 izmeklējumi, ASN donori - 44100 izmeklējumi, grūtnieču izmeklējumi -1951,5 izmeklējumi). Kopā 2014.gads 217843 izmeklējumi. Izmaksas uz 1 izmeklējumu 3,18 : 18154 izmeklējumi =  0,0002 euro. Gadā plānots 100 * 0,0002 = 0,02 euro.</t>
  </si>
  <si>
    <t>Gada izmaksas sastāda 80,22 euro. Vidējie mēneša izdevumi par remonta un uzturēšanas materiāliem sastāda 6,69euro (80,22 : 12 = 6,69 euro) (papīra dvieļi - 16,24 euro, atkritumu maisiem 16,92 euro, universālam mazgāšanas līdzeklim 0,58 euro, lupatām 4,57 euro, švammēm 1,46 euro, tīrīšanas pastai 0,35 euro). Izdevumi uz 1 izmeklējumu sastāda 6,69 : 18154 = 0,0004 euro. Gadā plānots 100 * 0,0004 euro = 0,04 euro.</t>
  </si>
  <si>
    <t>Kopējās gada izmaksas sastāda 60,30 euro.Vidējās izmaksas mēnesī sastāda 5,03 euro (60,30 :12 = 5,03 euro). Izdevumi uz 1 izmeklējumu sastāda 5,03 euro : 18154 izmeklējumi = 0,0003 euro. Gadā plānots 4 * 0,0003 = 0,001 euro.</t>
  </si>
  <si>
    <t>Gada biroja preču izlietojums sastāda 659,92 euro. Vidējie mēneša izdevumi par biroja precēm sastāda 54,99 euro (659,92 : 12 = 54,99 euro ). Izdevumi uz 1 izmeklējumu sastāda 54,99 : 18154 izmeklējumi = 0,003euro. Gadā plānots 4 * 0,003 euro = 0,01 euro.</t>
  </si>
  <si>
    <t>Gada izmaksas sastāda 117,09 euro.  Vidējie mēneša izdevumi par specapģērbu mazgāšanu sastāda 9,76 euro (117,09 : 12 = 9,76 euro). Izdevumi uz 1 izmeklējumu sastāda 9,76 : 18154 izmeklējumi = 0,001 euro. Gada apjoms 4 *  0,001euro = 0,002 euro.</t>
  </si>
  <si>
    <t>Gada izmaksas sastāda 80,22 euro. Vidējie mēneša izdevumi par remonta un uzturēšanas materiāliem sastāda 6,69 euro (80,22 : 12 = 6,69 euro) (papīra dvieļi-16,24 euro, atkritumu maisiem 16,92 euro, universālam mazgāšanas līdzeklim 0,58 euro, lupatām 4,57 euro, švammēm 1,46 euro, tīrīšanas pastai 0,35 euro). Izdevumi uz 1 izmeklējumu sastāda 6,69 euro : 18154 izmeklējumi = 0,0004 euro. Gadā plānots 4 * 0,0004 euro = 0,002 euro.</t>
  </si>
  <si>
    <t>Izmeklējuma veikšanai izmanto ID Centrafūgu. Gada nolietojums sastāda 231,92 euro. Vidēji mēnesī 19,33 euro (231,92 : 12 = 19,33) un termostats, kam gada nolietojums 68,73 euro, vidēji mēnesī 5,73 euro, Centrafūga EBA, gada nolietojums 77,88 euro, vidēji mēnesī 6,49 euro. Izdevumi uz 1 izmeklējumu 0,002 euro (19,33 +5,73+ 6,49  : 18154 = 0,002). Gadā plānots 0,002 * 20 = 0,03 euro.</t>
  </si>
  <si>
    <t>Gada izmaksas sastāda 114,38 euro. Vidējie mēneša izdevumi 9,53 euro (114,38 : 12 = 9,53 euro). Izdevumi uz 1 izmeklējumu sastāda 0,0005 euro (9,53 : 18154 izmeklējumi = 0,0005 euro). Gadā plānots 0,0005 * 2 = 0,01 euro.</t>
  </si>
  <si>
    <t>1 izmeklējuma veikšanai nepieciešams 0,12 euro, tai skaitā: 1) vienreizējās lietošanas cimdi pāris - 0,04 euro; 2) Transferpipete 3,5 ml nesterila 3 gb. - 0,06 euro; 3) Na Cl fizioloģiskais šķīdums  24 ml - 0,02 euro. Gadā plānots 20 * 0,12 euro = 2,40 euro.</t>
  </si>
  <si>
    <t>Gada faktiskās izmaksas 3619,8 euro. Vidējie mēneša izdevumi par apkuri sastāda 3619,08 : 12 = 301,59 euro. Izdevumi apkurei uz 1 izmeklējumu 301,59 : 18154 izmeklējumi = 0,02 euro. Gadā plānots 20 * 0,02 = 0,33 euro.</t>
  </si>
  <si>
    <t>Gada faktiskās izmaksas sastāda 372,23 euro. Vidējie mēneša izdevumi par ūdeni un kanalizāciju sastāda 372,23 : 12 = 31,02 euro). Izdevumi uz 1 izmeklējumu 31,02 : 18154 izmeklējumi = 0,002 euro. Gadā plānots 20 * 0,002 = 0,04 euro.</t>
  </si>
  <si>
    <t>Gada izdevumi iekārtu tehniskai apkopei un remontam 4639,55 euro. Vidējie mēneša izdevumi 386,63 euro (4639,55 : 12 = 386,63 euro). Izdevumi uz 1 izmeklējumu sastāda 0,02 euro (386,63 : 18154 izmeklējumi = 0,02 euro). Gadā plānots 20 * 0,02 euro = 0,43 euro.</t>
  </si>
  <si>
    <t>Gada apsaimniekošanas izmaksas sastāda 4601,30 euro. Vidējie mēneša izdevumi par apsaimniekošanu sastāda  kopā 383,44 euro (4601,30 : 12 = 383,44 euro). Izdevumi uz 1 izmeklējumu 383,44 : 18154 izmeklējumi = 0,02 euro. Gadā plānots 0,02 * 20 = 0,40 euro.</t>
  </si>
  <si>
    <t>Viena izmeklējuma veikšanu nodrošina sertificēts biomedicīnas laborants (atalgojums mēnesī 795 euro) un laboratorijas vadītājs (atalgojums mēnesī 1482 euro). Darba laika patēriņš 1 izmeklējuma veikšanai 27 minūtes biomedicīnas laborantam un 5 minūtes laboratorijas vadītājam. 1 minūtes darba izmaksas laborantam 795 euro : 166,17 stundas (vidējais darba stundu skaits mēnesī 2015.gadā) : 60 minūtes ir 795 : 166,17 : 60 = 0,08 euro, laboratorijas vadītājam 1482 : 166.17 stundas : 60 minūtes = 0,15 euro. 1 izmeklējuma veikšanas darba izmaksas 0,08 * 27 minūtes + 0,15 * 5 minūtes = 2,16 + 0,75 = 2,91 euro. Gadā plānots 10 * 2,91 = 29,10 euro.</t>
  </si>
  <si>
    <t>Gada faktiskās izmaksas sastāda 4804,50 euro. Vidējie mēneša izdevumi par apkuri sastāda 4804,5 : 12 = 400,38 euro. Izdevumi apkurei uz 1 izmeklējumu 400,38 : 23775 izmeklējumi = 0,02 euro. Gadā plānots 10 * 0,02 = 0,20 euro.</t>
  </si>
  <si>
    <t>Gada faktiskās izmaksas sastāda 35,21 euro. Paklāju maiņas vidējās izmaksas mēnesī sastāda  35,21 : 12 = 2,93 euro. Izdevumi uz 1 izmeklējumu sastāda 2,93 euro : 23775 = 0,0001 euro. Gadā plānots 10* 0,0001 euro = 0,001 euro.</t>
  </si>
  <si>
    <t>Gada faktiskās izmaksas sastāda 44,45 euro. Vidējie mēneša izdevumi par specapģērbu mazgāšanu sastāda 44,45 : 12 mēneši = 3,70 euro. Izdevumi uz 1 izmeklējumu sastāda 3,70 : 23775 = 0,0002 euro. Gadā plānots 10 * 0,0002 = 0,002 euro.</t>
  </si>
  <si>
    <t>Gada izmaksas sastāda 151,85 euro. Vidējie mēneša izdevumi 12,65 euro (151,85 : 12 = 12,65). Izdevumi uz 1 izmeklējumu sastāda 0,001 euro (12,65 : 23775 =0,001 ). Gadā plānots 0,001 * 10 = 0,01 euro.</t>
  </si>
  <si>
    <t>Izmeklējuma veikšanai izmanto Sistēmu seroloģiskajam skrīningam asins paraugos Cobas 6000. Gada nolietojums sastāda 0 euro. iekārta nodota bez atlīdzības ar 0 vērtību.</t>
  </si>
  <si>
    <t>Gada nolietojums sastāda 261,72 euro. Vidējie mēneša izdevumi 21,81 euro (261,72 : 12 = 21,81). Izdevumi uz 1 izmeklējumi sastāda  0,001 euro (21,81 : 23775 = 0,001). Gadā plānots 0,001* 10 = 0,01 euro.</t>
  </si>
  <si>
    <t xml:space="preserve"> Izmeklējuma veikšanai izmanto Sistēmu seroloģiskajam skrīningam asins paraugos Cobas 6000. Gada nolietojums sastāda 0 euro.Iiekārta nodota bez atlīdzības ar 0 vērtību.</t>
  </si>
  <si>
    <t>1 izmeklējuma veikšanai nepieciešams 0,83 euro, tai skaitā: 1) Elcsys HBsAg Gen.2 1 izm.- 0,67 euro; 2) Preci Control HBsAg Elcsy, Gen.2 1 izm.- 0,004 euro; 3) ProCellM, Clean Cell M, PreClean M, Assay tip/Cup, Probe Wash,PC/CC-CUPS 1 izm.- 0,10 euro; 4) vienreizējās lietošanas cimdi pāris - 0,06 euro. Gadā plānots 10 * 0,83 = 8,30 euro.</t>
  </si>
  <si>
    <t>Gada izmaksas sastāda 151,85 euro. Vidējie mēneša izdevumi 12,65 euro (151,85 : 12 = 12,65 euro). Izdevumi uz 1 izmeklējumu sastāda 0,001 euro (12,65 : 23775 =0,001 ). Gadā plānots 0,001 * 10 = 0,01 euro.</t>
  </si>
  <si>
    <t>1 izmeklējuma veikšanai nepieciešams 2,60 euro, tai skaitā: 1) anti-HCV G2 Elcsys 1 izm. - 2,43euro; 2) Preci Control ANTI-HCV Elcsy, 1 izm.- 0,005 euro; 3) ProCellM, Clean Cell M, PreClean M, Assay tip/Cup, Probe Wash, PC/CC-CUPS 1 izm.- 0,10 euro; 4) vienreizējās lietošanas cimdi pāris - 0,06 euro. Gadā plānots 10 *2,60 = 26,00 euro.</t>
  </si>
  <si>
    <t>Gada faktiskās izmaksas sastāda 8574,98 euro. Vidējie mēneša izdevumi par elektroenerģiju sastāda 8574,98 : 12 = 714,58 euro. Izdevumi uz 1 izmeklējumu 714,58 : 23775 izmeklējumi = 0,03 euro. Gadā plānots 10 * 0,03 = 0,30 euro.</t>
  </si>
  <si>
    <t>Gada izdevumi iekārtu tehniskai apkopei un remontam 9145.72 euro. Vidējie mēneša izdevumi 762,14 euro (9145,72 : 12 = 762,14). Izdevumi uz 1 izmeklējumu sastāda 0,032 euro (762,14 : 23775 = 0,032). Gadā plānots 10 * 0,032 = 0,32 euro.</t>
  </si>
  <si>
    <t>Gada faktiskās izmaksas sastāda 6108,46 euro. Vidējie mēneša izdevumi par apsaimniekošanu sastāda  kopā 6108,46 : 12 = 509,04 euro. Izdevumi uz 1 izmeklējumu 509,04 : 23775 = 0,02 euro. Gadā plānots 10 * 0,02 = 0,20 euro.</t>
  </si>
  <si>
    <t>Administratīvie izdevumi, kas nodrošina iestādes vispārējo darbu, atbilstoši iekšējam normatīvam aktam Nr.1-24.6/14/SIN-002 (09.12.2014.g.) "Uzskaites izcenojumu (pašizmaksa) noteikšana, pārskatīšana un apstiprināšana" izmaksu sadalījums pēc funkcijām (I.līmenis) noteikts, ka no Vadības funkciju veicēju (Centra vadība, Administratīvais departaments, Finanšu departaments) kopējām izmaksām 3.05% tiek sadalīti maksas pakalpojumu veikšanai. Vadības funkciju veicēju kopējās 2014.gada faktiskās izmaksas sastāda 472868,13 euro, kur 3,05 % euro sastāda 14422,48 euro gadā. Administratīvās izmaksas (CV,AD,FD) mēnesī sastāda 1201,87 euro (14422,48 : 12 = 1201,87). Izdevumi uz 1 izmeklējumu sastāda 1201,87 : 23775 izmeklējumi = 0,05 euro. Gadā plānots 10 * 0,05 = 0,50 euro.</t>
  </si>
  <si>
    <t>Gada izmaksas sastāda 151,85 euro. Vidējie mēneša izdevumi 12,65euro (151,85 : 12 = 12,65). Izdevumi uz 1 izmeklējumu sastāda 0,001 euro (12,65 : 23775 =0,001). Gadā plānots 0,001 * 10 = 0,01 euro.</t>
  </si>
  <si>
    <t xml:space="preserve"> Izmeklējuma veikšanai izmanto Sistēmu seroloģiskajam skrīningam asins paraugos Cobas 6000. Gada nolietojums sastāda 0 euro. Iekārta nodota bez atlīdzības ar 0 vērtību.</t>
  </si>
  <si>
    <r>
      <t xml:space="preserve">Maksas pakalpojuma veids: </t>
    </r>
    <r>
      <rPr>
        <sz val="12"/>
        <color theme="1"/>
        <rFont val="Times New Roman"/>
        <family val="1"/>
        <charset val="186"/>
      </rPr>
      <t>1.1.Kursi transfuzioloģijā Asins dienesta ārstiem (4 dienas)</t>
    </r>
  </si>
  <si>
    <r>
      <t>Iestāde:</t>
    </r>
    <r>
      <rPr>
        <sz val="12"/>
        <rFont val="Times New Roman"/>
        <family val="1"/>
        <charset val="186"/>
      </rPr>
      <t xml:space="preserve"> Valsts asinsdonoru centrs</t>
    </r>
    <r>
      <rPr>
        <b/>
        <sz val="12"/>
        <rFont val="Times New Roman"/>
        <family val="1"/>
        <charset val="186"/>
      </rPr>
      <t xml:space="preserve"> </t>
    </r>
  </si>
  <si>
    <r>
      <rPr>
        <b/>
        <sz val="11"/>
        <rFont val="Times New Roman"/>
        <family val="1"/>
        <charset val="186"/>
      </rPr>
      <t>Maksas pakalpojuma veids:</t>
    </r>
    <r>
      <rPr>
        <sz val="11"/>
        <rFont val="Times New Roman"/>
        <family val="1"/>
        <charset val="186"/>
      </rPr>
      <t xml:space="preserve"> 1.2. Seminārs transfuzioloģijā (1 diena)</t>
    </r>
  </si>
  <si>
    <r>
      <t xml:space="preserve">Maksas pakalpojuma veids: </t>
    </r>
    <r>
      <rPr>
        <sz val="12"/>
        <color theme="1"/>
        <rFont val="Times New Roman"/>
        <family val="1"/>
        <charset val="186"/>
      </rPr>
      <t>1.3.Izbraukuma  seminārs transfuzioloģijā (2 dienas)</t>
    </r>
  </si>
  <si>
    <r>
      <rPr>
        <b/>
        <sz val="11"/>
        <rFont val="Times New Roman"/>
        <family val="1"/>
        <charset val="186"/>
      </rPr>
      <t>Laikaposms</t>
    </r>
    <r>
      <rPr>
        <sz val="11"/>
        <rFont val="Times New Roman"/>
        <family val="1"/>
        <charset val="186"/>
      </rPr>
      <t>: 1 gads</t>
    </r>
  </si>
  <si>
    <t>Plānotais pakalpojuma sniegšanas vienību skaits: 10</t>
  </si>
  <si>
    <t>Plānotais pakalpojuma sniegšanas vienību skaits: 40</t>
  </si>
  <si>
    <r>
      <t>Maksas pakalpojuma veids:</t>
    </r>
    <r>
      <rPr>
        <sz val="12"/>
        <rFont val="Times New Roman"/>
        <family val="1"/>
        <charset val="186"/>
      </rPr>
      <t xml:space="preserve"> 1.4.Imūnhematoloģijas apmācības kursi ārstiem ar priekšzināšanām (3 dienas)</t>
    </r>
  </si>
  <si>
    <t>Plānotais pakalpojuma sniegšanas vienību skaits: 20</t>
  </si>
  <si>
    <r>
      <t xml:space="preserve">Maksas pakalpojuma veids: </t>
    </r>
    <r>
      <rPr>
        <sz val="12"/>
        <rFont val="Times New Roman"/>
        <family val="1"/>
        <charset val="186"/>
      </rPr>
      <t>1.5.Imūnhematoloģijas apmācības kursi ārstiem bez priekšzināšanām (10 dienas)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</si>
  <si>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3,9751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- 126,41 euro. Semināru telpas izmaksas vienai dienai 0,35 euro. 10 dienu kursi. 0,35 euro * 10 dienas = 3,50 euro . Plānotais dalībnieku skaits vienā kursā 10. Vienam dalībniekam 3,50 : 10 = 0,35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</si>
  <si>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9,3091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- 296,03 euro. Semināru telpas izmaksas vienai dienai 0,81 euro. 10 dienu kursi. 0,81 euro * 10 dienas = 8,10 euro. Plānotais dalībnieku skaits vienā kursā 10. Vienam dalībniekam 8,10 : 10 = 0,81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</si>
  <si>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0,7425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- 23,61 euro. Semināru telpas izmaksas vienai dienai 0,06 euro. 10 dienu kursi. 0,06 euro * 10 dienas = 0,6 euro. Plānotais dalībnieku skaits vienā kursā 10. Vienam dalībniekam 0,6 : 10 = 0,06 euro.</t>
    </r>
  </si>
  <si>
    <r>
      <t xml:space="preserve">Maksas pakalpojuma veids: </t>
    </r>
    <r>
      <rPr>
        <sz val="12"/>
        <rFont val="Times New Roman"/>
        <family val="1"/>
        <charset val="186"/>
      </rPr>
      <t>1.6.Imūnhematoloģijas apmācības kursi laborantiem  ar priekšzināšanām (3 dienas)</t>
    </r>
  </si>
  <si>
    <r>
      <t xml:space="preserve">Maksas pakalpojuma veids: </t>
    </r>
    <r>
      <rPr>
        <sz val="12"/>
        <rFont val="Times New Roman"/>
        <family val="1"/>
        <charset val="186"/>
      </rPr>
      <t>1.7.Imūnhematoloģijas apmācības kursi laborantiem bez priekšzināšanām (10 dienas)</t>
    </r>
  </si>
  <si>
    <r>
      <t xml:space="preserve">Maksas pakalpojuma veids: </t>
    </r>
    <r>
      <rPr>
        <sz val="12"/>
        <rFont val="Times New Roman"/>
        <family val="1"/>
        <charset val="186"/>
      </rPr>
      <t>1.8.Kursi transfuzioloģijā slimnīcu medicīnas māsām (2 dienas)</t>
    </r>
  </si>
  <si>
    <t>Darba devēja valsts sociālās apdrošināšanas obligātās iemaksas, sociāla rakstura pabalsti un kompensācijas 10,91 * 23,59%.</t>
  </si>
  <si>
    <t>Administratīvie izdevumi, kas nodrošina iestādes vispārējo darbu, lai varētu sniegt pakalpojumus. Administratīvās izmaksas (CV,FD,AD) vidēji uz 1m2 gadā sastāda 1,9903 euro. Semināru telpa -31,8 m2. Semināru telpas gada izmaksas -63,29 euro, vienai dienai - 0,17 euro. 0,17 euro * 2 dienas = 0,34 euro. Plānotais dalībnieku skaits vienā kursā 10. Vienam dalībniekam 0,34 : 10 = 0,03 euro.</t>
  </si>
  <si>
    <r>
      <t xml:space="preserve">Maksas pakalpojuma veids: </t>
    </r>
    <r>
      <rPr>
        <sz val="12"/>
        <rFont val="Times New Roman"/>
        <family val="1"/>
        <charset val="186"/>
      </rPr>
      <t>1.9.Kursi transfuzioloģijā asins dienesta medicīnas māsām (4 dienas)</t>
    </r>
  </si>
  <si>
    <t>Plānotais pakalpojuma sniegšanas vienību skaits: 11</t>
  </si>
  <si>
    <r>
      <t xml:space="preserve">Maksas pakalpojuma veids: </t>
    </r>
    <r>
      <rPr>
        <sz val="12"/>
        <rFont val="Times New Roman"/>
        <family val="1"/>
        <charset val="186"/>
      </rPr>
      <t>1.10. Vienas dienas izbraukuma lekcijas Rīgā</t>
    </r>
  </si>
  <si>
    <t>Plānotais pakalpojuma sniegšanas vienību skaits: 100</t>
  </si>
  <si>
    <r>
      <t xml:space="preserve">Maksas pakalpojuma veids: </t>
    </r>
    <r>
      <rPr>
        <sz val="12"/>
        <color theme="1"/>
        <rFont val="Times New Roman"/>
        <family val="1"/>
        <charset val="186"/>
      </rPr>
      <t>1.11.Vienas dienas izbraukuma  seminārs ārpus Rīgas</t>
    </r>
  </si>
  <si>
    <r>
      <t xml:space="preserve">Maksas pakalpojuma veids: </t>
    </r>
    <r>
      <rPr>
        <sz val="12"/>
        <rFont val="Times New Roman"/>
        <family val="1"/>
        <charset val="186"/>
      </rPr>
      <t>1.12.Kursi "Klīniskā transfuzioloģija" (1 diena)</t>
    </r>
  </si>
  <si>
    <r>
      <t xml:space="preserve">Maksas pakalpojuma veids: </t>
    </r>
    <r>
      <rPr>
        <sz val="12"/>
        <rFont val="Times New Roman"/>
        <family val="1"/>
        <charset val="186"/>
      </rPr>
      <t>1.13.Kursi "Klīniskā transfuzioloģija" (2 dienas)</t>
    </r>
  </si>
  <si>
    <t>Plānotais pakalpojuma sniegšanas vienību skaits: 30</t>
  </si>
  <si>
    <r>
      <t xml:space="preserve">Maksas pakalpojuma veids: </t>
    </r>
    <r>
      <rPr>
        <sz val="12"/>
        <rFont val="Times New Roman"/>
        <family val="1"/>
        <charset val="186"/>
      </rPr>
      <t>1.14. Lekcija (1 stunda)</t>
    </r>
  </si>
  <si>
    <r>
      <rPr>
        <b/>
        <sz val="11"/>
        <rFont val="Times New Roman"/>
        <family val="1"/>
        <charset val="186"/>
      </rPr>
      <t xml:space="preserve">Laikaposms: </t>
    </r>
    <r>
      <rPr>
        <sz val="11"/>
        <rFont val="Times New Roman"/>
        <family val="1"/>
        <charset val="186"/>
      </rPr>
      <t>1 gads</t>
    </r>
  </si>
  <si>
    <r>
      <t xml:space="preserve">Maksas pakalpojuma veids: </t>
    </r>
    <r>
      <rPr>
        <sz val="12"/>
        <rFont val="Times New Roman"/>
        <family val="1"/>
        <charset val="186"/>
      </rPr>
      <t>2.1. Asins grupas noteikšana ABO sistēmā izmantojot plaknes metodi (tiešā reakcija)</t>
    </r>
  </si>
  <si>
    <t>Plānotais pakalpojuma sniegšanas vienību skaits: 300</t>
  </si>
  <si>
    <t>Plānotais pakalpojuma sniegšanas vienību skaits: 1500</t>
  </si>
  <si>
    <t>Plānotais pakalpojuma sniegšanas vienību skaits: 60</t>
  </si>
  <si>
    <t>Plānotais pakalpojuma sniegšanas vienību skaits: 27</t>
  </si>
  <si>
    <t>Plānotais pakalpojuma sniegšanas vienību skaits: 97</t>
  </si>
  <si>
    <t>Kopējās gada izmaksas sastāda 60,30 euro.Vidējās izmaksas mēnesī sastāda 5,03 euro (60,30:12 = 5,03 euro). Izdevumi uz 1 izmeklējumu sastāda 5,03 euro : 18154 izmeklējumi = 0,0003 euro. Gadā plānots 97 *  0,0003 = 0,03 euro.</t>
  </si>
  <si>
    <t>Gada biroja preču izlietojums sastāda 659,92 euro. Vidējie mēneša izdevumi par biroja precēm sastāda 54,99 euro (659,92 : 12 = 54,99 euro). Izdevumi uz 1 izmeklējumu sastāda 54,99 : 18154 izmeklējumi = 0,003 euro. Gadā plānots 97 * 0,003 euro = 0,29 euro.</t>
  </si>
  <si>
    <t>Plānotais pakalpojuma sniegšanas vienību skaits: 150</t>
  </si>
  <si>
    <t>Administratīvie izdevumi, kas nodrošina iestādes vispārējo darbu. Atbilstoši VADC iekšējam normatīvam aktam  Nr.1-24.6/14-2014/SIN-002 (09.12.2014.g.) "Uzskaites izcenojumu (pašizmaksa) noteikšana, pārskatīšana un apstiprināšana" izmaksu sadalījums pēc funkcijām (I.līmenis) noteikts, ka no Vadības funkciju veicēju (Centra vadība, Administratīvais departaments, Finanšu departaments) kopējām izmaksām 3,05 % tiek sadalīti konsultatīvai imūnhematoloģiskajai izmeklēšanai (funkcijas realizācija nav saistīta ar asins, asins komponentu sagatavošanu). Vadības funkciju veicēju kopējās 2014.gada izmaksas sastāda 472868,13 euro, kur 3,05% sastāda 14422,48 euro gadā. Administratīvās izmaksas (CV, FD, AD)  mēnesī sastāda 1201.87 euro (14422,48 euro : 12 mēneši = 1201,87 euro). Izdevumi uz 1 izmeklējumu sastāda 1201,87 : 18154 izmeklējumi = 0,07  euro. Gadā plānots 0,07 euro * 150 = 10,50 euro.</t>
  </si>
  <si>
    <t>Gada faktiskās izmaksas sastāda 372,23 euro. Vidējie mēneša izdevumi par ūdeni un kanalizāciju sastāda 372,23: 12 = 31,02 euro. Izdevumi uz 1 izmeklējumu 31,02: 18154 izmeklējumi = 0,002 euro. Gadā plānots 150 * 0,002 = 0,26 euro.</t>
  </si>
  <si>
    <t>Plānotais pakalpojuma sniegšanas vienību skaits: 180</t>
  </si>
  <si>
    <t>Viena izmeklējuma veikšanu nodrošina sertificēts Ārsts-laborants (atalgojums mēnesī 1057 euro). Darba laika patēriņš 1 izmeklējuma veikšanai 20 minūtes. 1 minūtes darba izmaksas 1057euro : 166,17 stundas (vidējais darba stundu skaits mēnesī 2015.gadā) : 60 minūtes ir 1057 : 166,17 : 60 = 0,11 euro. 1 izmeklējuma veikšanas darba izmaksas 0,11 * 20 minūtes = 2,20 euro. Gadā plānots 180 * 2,20 = 396,00 euro.</t>
  </si>
  <si>
    <t>1 izmeklējuma veikšanai nepieciešams 3,44 euro, tai skaitā: 1) Diulents -2 0,5 ml - 0,18 euro; 2) karte Dia Clon ABO/D+DAT 1 gb. -  3,16 euro; 3) vienreizējās lietošanas cimdi pāris - 0,04 euro; 4) transferpipete 3,5 ml nesterila 1 gb. - 0,02 euro; 5) mēģenes ar apaļu pamatni 1 gb. - 0,01 euro; 6) FT 250 Universal 0,5-250 uL uzgalis 1 gb. - 0,03 euro. Gadā plānots 180 * 3,44 = 619,20 euro.</t>
  </si>
  <si>
    <t>Gada faktiskās izmaksas 3619,08 euro. Vidējie mēneša izdevumi par apkuri sastāda 3619,08 : 12 = 301,59 euro. Izdevumi apkurei uz 1 izmeklējumu 301,59 : 18154 izmeklējumi = 0,02 euro. Gadā 180 * 0,02 = 2,99 euro.</t>
  </si>
  <si>
    <t>Kopējās gada izmaksas sastāda 60,30 euro.Vidējās izmaksas mēnesī sastāda 5,03 euro (60,30 :12 = 5,03 euro). Izdevumi uz 1 izmeklējumu sastāda 5,03 euro : 18154 izmeklējumi = 0,0003 euro. Gadā plānots 1500 *  0,0003 = 0,45 euro.</t>
  </si>
  <si>
    <t>Gada nolietojums sastāda 404,20 euro. Vidējie mēneša izdevumi 33,68 euro (404,20 : 12 = 33,68 euro). Izdevumi uz 1 izmeklējumi sastāda  0,002 euro (33,68 : 18154 izmeklējumi = 0,002 euro). Gadā plānots 0,002 euro * 1500 = 3,00 euro.</t>
  </si>
  <si>
    <t>Gada faktiskās izmaksas 38,20 euro. Vidējās 1 mēneša izmaksas sarunām 38,20 euro : 12 mēneši = 3,18 euro. Vidējais izmeklējumu skaits mēnesī 18154. (2014.gads VADC donori-163073 izmeklējumi ,maksas pakalpojumi-8718,5 izmeklējumi, ASN donori - 4100 izmeklējumi, grūtnieču izmeklējumi -1951,5 izmeklējumi. Kopā 2014.gads 217843 izmeklējumi. Izmaksas uz 1 izmeklējumu 3,18 : 18154 izmeklējumi = 0,0002 euro. Gadā plānots 60 * 0,0002 = 0,01 euro.</t>
  </si>
  <si>
    <t>Administratīvie izdevumi, kas nodrošina iestādes vispārējo darbu. Atbilstoši VADC iekšējam normatīvam aktam  Nr.1-24.6/14-2014/SIN-002 (09.12.2014.g.) "Uzskaites izcenojumu (pašizmaksa) noteikšana, pārskatīšana un apstiprināšana" izmaksu sadalījums pēc funkcijām (I.līmenis) noteikts, ka no Vadības funkciju veicēju (Centra vadība, Administratīvais departaments, Finanšu departaments) kopējām izmaksām 3,05 % tiek sadalīti konsultatīvai imūnhematoloģiskajai izmeklēšanai (funkcijas realizācija nav saistīta ar asins, asins komponentu sagatavošanu). Vadības funkciju veicēju kopējās 2014.gada izmaksas sastāda 472868,13 euro, kur 3,05% sastāda 14422,48 euro gadā. Administratīvās izmaksas (CV, FD, AD)  mēnesī sastāda 1201,87 euro (14422,48 euro : 12 mēneši = 1201,87 euro). Izdevumi uz 1 izmeklējumu sastāda 1201,87 : 18154 izmeklējumi = 0,07 euro. Gadā plānots 0,07 euro * 60 = 4,20 euro.</t>
  </si>
  <si>
    <t>Gada izmaksas sastāda 117,09 euro.  Vidējie mēneša izdevumi par specapģērbu mazgāšanu sastāda 9,76 euro (117,09 : 12 = 9.76 euro). Izdevumi uz 1 izmeklējumu sastāda 9,76 : 18154 izmeklējumi = 0,001 euro. Gada apjoms 60 *  0,001euro = 0,03 euro.</t>
  </si>
  <si>
    <t>Gada izmaksas sastāda 80,22 euro. Vidējie mēneša izdevumi par remonta un uzturēšanas materiāliem sastāda 6,69 euro (80,22 : 12 = 6,69 euro) (papīra dvieļi-16,24 euro,atkritumu maisiem 16,92 euro, universālam mazgāšanas līdzeklim 0,58 euro, lupatām 4,57 euro, švammēm 1,46 euro, tīrīšanas pastai 0,35 euro). Izdevumi uz 1 izmeklējumu sastāda 6,69 euro : 18154 izmeklējumi = 0,0004 euro. Gadā plānots 60 * 0,0004 euro = 0,02 euro.</t>
  </si>
  <si>
    <t>Gada nolietojums sastāda 404,20 euro. Vidējie mēneša izdevumi 33,68 euro (404,20 : 12 = 33,68 euro). Izdevumi uz 1 izmeklējumi sastāda  0,002 euro (33,68 : 18154 izmeklējumi = 0,002 euro). Gadā plānots 0,002 euro * 60 = 0,12 euro.</t>
  </si>
  <si>
    <t>Plānotais pakalpojuma sniegšanas vienību skaits: 700</t>
  </si>
  <si>
    <t>Viena izmeklējuma veikšanu nodrošina sertificēts Ārsts-laborants (atalgojums mēnesī 1057 euro). Darba laika patēriņš 1 izmeklējuma veikšanai 20 minūtes. 1 minūtes darba izmaksas 1057euro : 166,17 stundas (vidējais darba stundu skaits mēnesī 2015.gadā) : 60 minūtes ir 1057 : 166,17 : 60 = 0,11 euro. 1 izmeklējuma veikšanas darba izmaksas 0,11 * 20 minūtes = 2,20 euro. Steidzama izmeklējuma veikšanai papildus nepieciešamas 13 minūtes - 0,11 euro * 13 minūtes = 1,43 euro. Kopā atalgojums 2,20+1,43 = 3,63 euro. Gadā plānots 60 * 3,63= 217,80 euro.</t>
  </si>
  <si>
    <t>1 izmeklējuma veikšanai nepieciešam 4,44 euro, tai skaitā: 1) Karte Diaclon Subgroup +K 1gb. - 4,18 euro; 2) Diulents -2 0,5 ml - 0,18 euro; 3) vienreizējās lietošanas cimdi pāris -0,04 euro; 4) mēģene ar apaļu pamatni  1 gb. - 0,01 euro; 5) FT250 Universal 0,5-250 uL uzgaļi 1 gb. - 0,03 euro. Gadā plānots 60 * 4,44 euro = 266,40 euro.</t>
  </si>
  <si>
    <t>Gada izmaksas sastāda 80,22 euro. Vidējie mēneša izdevumi par remonta un uzturēšanas materiāliem sastāda 6,69 euro (80,22 : 12 = 6,69 euro) (papīra dvieļi-16,24 euro, atkritumu maisiem 16,92 euro, universālam mazgāšanas līdzeklim 0,58 euro, lupatām 4,57 euro, švammēm 1,46 euro, tīrīšanas pastai 0,35 euro). Izdevumi uz 1 izmeklējumu sastāda 6,69 : 18154 izmeklējumi = 0,0004 euro. Gadā plānots 60 * 0,0004 euro = 0,02 euro.</t>
  </si>
  <si>
    <t>Plānotais pakalpojuma sniegšanas vienību skaits: 400</t>
  </si>
  <si>
    <t>Viena izmeklējuma veikšanu nodrošina sertificēts Ārsts-laborants (atalgojums mēnesī 1057 euro). Darba laika patēriņš 1 izmeklējuma veikšanai 20 minūtes. 1 minūtes darba izmaksas 1057 euro : 166,17 stundas (vidējais darba stundu skaits mēnesī 2015.gadā) : 60 minūtes ir 1057 : 166,17 : 60 = 0,11 euro. 1 izmeklējuma veikšanas darba izmaksas 0,11 * 20 minūtes =2,20 euro. Gadā plānots 400 * 2,20 = 880,00 euro.</t>
  </si>
  <si>
    <t>1 izmeklējuma veikšanai nepieciešams 2,64 euro, tai skaitā: Vidējās izmaksas -1) Anti  :M 1 karte - 0,43 euro; N 1 karte -1,28 euro; Cw 1 karte-2,02 euro; Jka 1 karte-1,98 euro; JKb 1 karte - 1,98 euro; K 1 karte - 0,97 euro; k 1 karte - 1,70 euro; P1 1 karte -1,86 euro; Lua- 1,98 euro; Lub 1 karte -1,98 euro; Lea 1 karte -2,23 euro; Leb 1 karte -2,23 euro; Fya  1 karte - 1,05 euro ;Fyb 1 karte - 0,96 euro; +Test sera ID anti Fya 0,05 ml - 1,27 euro; +test sera ID anti Fyb 0,05 ml - 1,19 euro; S 1karte - 0,96 euro; s 1 karte - 1,07 euro; +test sera ID anti S human 0,05 ml - 1,20 euro; +Test sera ID anti s human 0,05 ml - 1,27 ml. Vidējās izmaksas 1,85 euro ; 2) Diulents -2 0,5 ml - 0,18 euro; 3) vienreizējās lietošanas cimdi pāris - 0,04 euro; 4) mēģene ar apaļu pamatni  1 gb-0,01euro; 5) Transferpipete 3,5 ml nesterilas 1 gb.-  0,02 euro; 6) Diulents -1 0,5 ml - 0,54euro. Gadā plānots 400 * 2,64 =1056,00 euro.</t>
  </si>
  <si>
    <t>Gada faktiskās izmaksas 3619,08 euro. Vidējie mēneša izdevumi par apkuri sastāda 3619,08 : 12 = 301,59 euro. Izdevumi apkurei uz 1 izmeklējumu 301,59 : 18154 izmeklējumi = 0,02 euro. Gadā 400 * 0,02 = 6,64 euro.</t>
  </si>
  <si>
    <t>Gada faktiskās izmaksas sastāda 372,23 euro. Vidējie mēneša izdevumi par ūdeni un kanalizāciju sastāda 372,23 : 12 = 31,02 euro. Izdevumi uz 1 izmeklējumu 31,02 : 18154 izmeklējumi = 0,002 euro. Gadā plānots 400 * 0,002 = 0,68 euro.</t>
  </si>
  <si>
    <t>Gada nolietojums sastāda 404,20 euro. Vidējie mēneša izdevumi 33,68 euro (404,20 : 12 = 33,68 euro). Izdevumi uz 1 izmeklējumi sastāda  0,002 euro (33,68 : 18154 izmeklējumi = 0,002 euro). Gadā plānots 0,002 euro * 400 = 0,80 euro.</t>
  </si>
  <si>
    <t>Plānotais pakalpojuma sniegšanas vienību skaits: 200</t>
  </si>
  <si>
    <t>Plānotais pakalpojuma sniegšanas vienību skaits: 900</t>
  </si>
  <si>
    <t>Plānotais pakalpojuma sniegšanas vienību skaits: 99</t>
  </si>
  <si>
    <t>Plānotais pakalpojuma sniegšanas vienību skaits: 2000</t>
  </si>
  <si>
    <t>Plānotais pakalpojuma sniegšanas vienību skaits: 250</t>
  </si>
  <si>
    <t>Plānotais pakalpojuma sniegšanas vienību skaits: 80</t>
  </si>
  <si>
    <t>Plānotais pakalpojuma sniegšanas vienību skaits: 9</t>
  </si>
  <si>
    <t>Plānotais pakalpojuma sniegšanas vienību skaits: 2</t>
  </si>
  <si>
    <t>Plānotais pakalpojuma sniegšanas vienību skaits: 4</t>
  </si>
  <si>
    <t>Plānotais pakalpojuma sniegšanas vienību skaits: 5</t>
  </si>
  <si>
    <t>Antitreponemālo antivielu noteikšana ar ECLIA metodi (Cobas, Roche)</t>
  </si>
  <si>
    <t>Anti-HCV 1/2 un noteikšana ar ECLIA metodi (Cobas, Roche)</t>
  </si>
  <si>
    <t>Anti-HIV 1/2 un p24 antigēna noteikšana ar ECLIA metodi (Cobas, Roche)</t>
  </si>
  <si>
    <t>Izmeklējamo eritrocītu atmazgāšana imūnhenatoloģiskiem testiem (trīskārša)</t>
  </si>
  <si>
    <t>Seruma alloadsorbcija ar enzīmiem apstrādātiem eritrocītiem (bez skrīninga un identifikācijas)</t>
  </si>
  <si>
    <t>Seruma alloadsorbcija ar PEG (divkārša)</t>
  </si>
  <si>
    <t>Seruma autoadsorbcija ar PEG (divkārša)</t>
  </si>
  <si>
    <t>Viena izmeklējuma veikšanu nodrošina sertificēts biomedicīnas laborants (atalgojums mēnesī 795 euro) un laboratorijas vadītājs (atalgojums mēnesī 1482 euro). Darba laika patēriņš 1 izmeklējuma veikšanai 18 minūtes biomedicīnas laborantam un 5 minūtes laboratorijas vadītājam. 1 minūtes darba izmaksas laborantam 795 euro : 166,17 stundas (vidējais darba stundu skaits mēnesī 2015.gadā) : 60 minūtes ir 795 : 166,17 : 60 = 0,08 euro, laboratorijas vadītājam 1482 : 166,17 stundas : 60 minūtes = 0,15 euro. 1 izmeklējuma veikšanas darba izmaksas 0,08 * 18 minūtes + 0,15 * 5 minūtes = 1,44 + 0,75 = 2,19 euro. Gadā plānots 10 *2,19 = 21,90 euro.</t>
  </si>
  <si>
    <r>
      <t>Administratīvie izdevumi, kas nodrošina iestādes vispārējo darbu, lai varētu sniegt pakalpojumus. Administratīvās izmaksas (CV, FD, AD) vidēji uz 1m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 xml:space="preserve"> gadā sastāda 1,9903 euro. Semināru telpa -31,8 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>. Semināru telpas gada izmaksas -63,29 euro, vienai dienai - 0,17 euro. 0,17 euro * 2 dienas = 0,34 euro. Plānotais dalībnieku skaits vienā kursā 15. Vienam dalībniekam 0,34 : 15 = 0,02 euro.  Kursa dalībniekam kafijas pauze 1 euro (tēja, kafija, cepumi, pīrādziņš) x 2 dienas = 2 euro. Kopā : 0,02 euro + 2,00 euro = 2,02 euro</t>
    </r>
  </si>
  <si>
    <t>Gada apsaimniekošanas izmaksas sastāda 4601,30 euro. Vidējie mēneša izdevumi par apsaimniekošanu sastāda  kopā 383,44 euro 4601,30 : 12 = 383,44 euro). Izdevumi uz 1 izmeklējumu 383,44 : 18154 izmeklējumi = 0,02 euro. Gadā plānots 0,02 * 100 = 2,00 euro.</t>
  </si>
  <si>
    <t>Gada izmaksas sastāda 117,09 euro.  Vidējie mēneša izdevumi par specapģērbu mazgāšanu sastāda 9,76 euro (117,09 : 12 = 9.76 euro). Izdevumi uz 1 izmeklējumu sastāda 9,76 : 18154 izmeklējumi = 0,001 euro. Gada apjoms 100 *  0,001 euro = 0,10 euro.</t>
  </si>
  <si>
    <t>Gada faktiskās izmaksas 346,27 euro. Vidējie mēneša izdevumi par atkritumu izvešanu sastāda 346,27 euro: 12 = 28,86 euro. Izdevumi uz 1 izmeklējumu28,86: 18154 izmeklējumi = 0,002 euro. Gadā plānots 1500 *  0,002 = 3,00 euro.</t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</si>
  <si>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9,43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- 299,87 euro. Semināru telpas izmaksas vienai dienai 0,82 euro. 2 dienu kursi  0,82 euro *  2 dienas = 1,64 euro. Plānotais dalībnieku skaits vienā kursā 15. Vienam dalībniekam 1,64 euro : 15 = 0,11 euro.</t>
    </r>
  </si>
  <si>
    <r>
      <t>15 dalībnieki kursu grupā. 4 stundas lekcijas vada VADC darbinieki, 4 stundas vieslektors. Visu VADC 19 lektoru, kas piedalās mācību organizēšanā, mēnešalga kopā 24868,75 euro. Darba dienu skaits vidēji mēnesī ir 21, stundu skaits darba dienā -8. Aprēķins: 24868,75 euro : 19 lektori : 21 darba dienu skaits : 8 stundas = 7,79 euro/ stundā. 7,79 euro/stundā : 15 kursu dalībnieki = 0,52 euro/stundā. Lekcijas teorija 4 stundas (VADC darbinieki) * 0,52 euro/ stundā =</t>
    </r>
    <r>
      <rPr>
        <b/>
        <sz val="11"/>
        <rFont val="Times New Roman"/>
        <family val="1"/>
        <charset val="186"/>
      </rPr>
      <t xml:space="preserve"> 2,08 euro</t>
    </r>
    <r>
      <rPr>
        <sz val="11"/>
        <rFont val="Times New Roman"/>
        <family val="1"/>
        <charset val="186"/>
      </rPr>
      <t>. Vieslektoram izmaksājama autoratlīdzība 45 euro stundā ar nodokļiem. Aprēķins:  15% - 6, 75 euro autora izdevumu apmērs. Aprēķina summu, no kuras rēķina IN 45 euro - 6,75 euro = 38,25 euro. IN (iedzīvotāju ienākuma nodoklis) = 38,25 * 23% (IN) = 8,8 euro. 45,00 euro -8,8 euro = 36,2 euro. 45,00 euro * 4 stundas vieslektora lekcija = 180 euro : 15 kursu dalībnieki = 12 euro.  Kopā: 2,08 + 12,00 =  14,08 euro.</t>
    </r>
  </si>
  <si>
    <t>1 lektors * 12 euro * 2 virzieni = 24 euro                       1 dalībniekam=  24 euro : 10 dalībnieki = 2,40 euro</t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</si>
  <si>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17,9657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- 571,31 euro. Semināru telpas izmaksas vienai dienai 1,57 euro. 2 dienu kursi. 1,57 euro 8 2 dienas = 3,14 euro. Plānotais dalībnieku skaits vienā kursā 10. Vienam dalībniekam 3,14 :10 = 0,31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</si>
  <si>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9,43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- 299,87 euro. Semināru telpas izmaksas vienai dienai 0,82 euro. Plānotais dalībnieku skaits vienā kursā 10. Vienam dalībniekam 0,82 : 10 = 0,08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</si>
  <si>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4,1165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-130,90 euro. Semināru telpas izmaksas vienai dienai 0,36 euro. Plānotais dalībnieku skaits vienā kursā 10. Vienam dalībniekam 0,36 : 10 = 0,04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</si>
  <si>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17,9657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- 571,31 euro. Semināru telpas izmaksas vienai dienai 1,57 euro. 4 dienu kursi. 1,57 euro *  4 dienas = 6,28 euro. Plānotais dalībnieku skaits vienā kursā 10. Vienam dalībniekam 6,28 euro :10 = 0,63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</si>
  <si>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1,0184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- 32,38 euro. Semināru telpas izmaksas vienai dienai 0,09 euro. 4 dienu kursi. 0,09 * 4 dienas = 0,36 euro. Plānotais dalībnieku skaits vienā kursā 10. Vienam dalībniekam 0,36 : 10 = 0,04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</si>
  <si>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4,1165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-130,90 euro. Semināru telpas izmaksas vienai dienai 0,36 euro. 4 dienu kursi. 0,36 * 4 dienas = 1,44 euro. Plānotais dalībnieku skaits vienā kursā 10. Vienam dalībniekam 1,44 : 10 = 0,14 euro.</t>
    </r>
  </si>
  <si>
    <t>Gada izmaksas sastāda 117,09 euro.  Vidējie mēneša izdevumi par specapģērbu mazgāšanu sastāda 9,76 euro (117,09 : 12 = 9.76 euro). Izdevumi uz 1 izmeklējumu sastāda 9,76 : 18154 izmeklējumi = 0,001 euro. Gada apjoms 1500 *  0,001 euro = 0,75 euro.</t>
  </si>
  <si>
    <t>Gada biroja preču izlietojums sastāda 659,92 euro. Vidējie mēneša izdevumi par biroja precēm sastāda 54,99 euro (659,92 : 12 = 54,99 euro). Izdevumi uz 1 izmeklējumu sastāda 54,99 : 18154 izmeklējumi = 0,003 euro. Gadā plānots 1500 * 0,003 euro = 4,50 euro.</t>
  </si>
  <si>
    <t>Gada faktiskās izmaksas 346,27 euro. Vidējie mēneša izdevumi par atkritumu izvešanu sastāda 346,27 euro: 12 = 28,86 euro. Izdevumi uz 1 izmeklējumu 28,86: 18154 izmeklējumi = 0,002 euro. Gadā plānots 60 *  0,002 = 0,12 euro.</t>
  </si>
  <si>
    <t>Gada izmaksas sastāda 117,09 euro.  Vidējie mēneša izdevumi par specapģērbu mazgāšanu sastāda 9,76 euro (117,09 : 12 = 9.76 euro). Izdevumi uz 1 izmeklējumu sastāda 9,76 : 18154 izmeklējumi = 0,001 euro. Gada apjoms 60 * 0,001 euro = 0,03 euro.</t>
  </si>
  <si>
    <t>Gada faktiskās izmaksas 346,27 euro. Vidējie mēneša izdevumi par atkritumu izvešanu sastāda 346,27 euro: 12 = 28,86 euro. Izdevumi uz 1 izmeklējumu28,86: 18154 izmeklējumi = 0,002 euro. Gadā plānots 27 *  0,002 = 0,04 euro.</t>
  </si>
  <si>
    <t>Administratīvie izdevumi, kas nodrošina iestādes vispārējo darbu. Atbilstoši VADC iekšējam normatīvam aktam  Nr.1-24.6/14-2014/SIN-002 (09.12.2014.g.) "Uzskaites izcenojumu (pašizmaksa) noteikšana, pārskatīšana un apstiprināšana" izmaksu sadalījums pēc funkcijām (I.līmenis) noteikts, ka no Vadības funkciju veicēju (Centra vadība, Administratīvais departaments, Finanšu departaments) kopējām izmaksām 3,05 % tiek sadalīti konsultatīvai imūnhematoloģiskajai izmeklēšanai (funkcijas realizācija nav saistīta ar asins, asins komponentu sagatavošanu). Vadības funkciju veicēju kopējās 2014.gada izmaksas sastāda 472868,13 euro, kur 3,05% sastāda 14422,48 euro gadā. Administratīvās izmaksas (CV, FD, AD)  mēnesī sastāda 1201,87 euro (14422,48 euro : 12 mēneši = 1201,87 euro). Izdevumi uz 1 izmeklējumu sastāda 1201,87 : 18154 izmeklējumi = 0,07  euro. Gadā plānots 0,07 euro * 27 = 1,89 euro.</t>
  </si>
  <si>
    <t>Gada izmaksas sastāda 117,09 euro.  Vidējie mēneša izdevumi par specapģērbu mazgāšanu sastāda 9,76 euro (117,09 : 12 = 9.76 euro). Izdevumi uz 1 izmeklējumu sastāda 9,76 : 18154 izmeklējumi = 0,001 euro. Gada apjoms 27 *  0,001euro = 0,01 euro.</t>
  </si>
  <si>
    <t>Gada izmaksas sastāda 80,22 euro. Vidējie mēneša izdevumi par remonta un uzturēšanas materiāliem sastāda 6,69 euro (80,22 : 12 = 6,69 euro) (papīra dvieļi-16,24 euro,atkritumu maisiem 16,92 euro, universālam mazgāšanas līdzeklim 0,58 euro, lupatām 4,57 euro, švammēm 1,46 euro, tīrīšanas pastai 0,35 euro). Izdevumi uz 1 izmeklējumu sastāda 6,69 : 18154 izmeklējumi = 0,0004 euro. Gadā plānots 27 * 0,0004 euro = 0,01 euro.</t>
  </si>
  <si>
    <t>Gada faktiskās izmaksas 346,27 euro. Vidējie mēneša izdevumi par atkritumu izvešanu sastāda 346,27 euro: 12 = 28,86 euro. Izdevumi uz 1 izmeklējumu 28,86 euro: 18154 izmeklējumi = 0,002 euro. Gadā plānots 97 *  0,002 = 0,16 euro.</t>
  </si>
  <si>
    <t>1 izmeklējuma veikšanai nepieciešams 2,74 euro, tai skaitā: 1) Diulents- 2  0,5 ml -0,18 euro; 2) karte Dia Clon ABO/D (VI-)+ reverse grouping -1 gb. - 2,17 euro; 3) vienreizējās lietošanas cimdi pāris - 0,04 euro; 4) 5% standarteritrocītu komplekts ABO asins grupas noteikšanai ar apgriezto reakciju A1; B (Hematest) (3x5) - 0,1 ml.- 0,25 euro; 5) transferpipete 3,5 ml nesterila  1 gb.- 0,02 euro; 6) mēģenes ar apaļu pamatni 1 gb.- 0,01 euro; 7) FT 250 Universal 0,5-250 uL uzgaļi 2 gb.- 0,07 euro. Gadā plānots 20 * 2,74 = 54,80 euro.</t>
  </si>
  <si>
    <t>Izmeklējuma veikšanai izmanto  IDCentrafūgu. Gada nolietojums sastāda 231,92 euro. Vidēji mēnesī 19,33 euro (231,92 : 12 = 19,33 euro). Izdevumi uz 1 izmeklējumu 0,0011 euro (19,33 : 18154 = 0,0011 euro). Gadā plānots 0,001 * 20 = 0,02 euro.</t>
  </si>
  <si>
    <t>Gada izmaksas sastāda 117,09 euro.  Vidējie mēneša izdevumi par specapģērbu mazgāšanu sastāda 9,76 euro (117,09 : 12 = 9.76 euro). Izdevumi uz 1 izmeklējumu sastāda 9,76 : 18154 izmeklējumi = 0,001 euro. Gada apjoms 150 *  0,001 euro = 0,08 euro.</t>
  </si>
  <si>
    <t>Gada biroja preču izlietojums sastāda 659,92 euro. Vidējie mēneša izdevumi par biroja precēm sastāda 54,99 euro (659,92 : 12 = 54,99 euro). Izdevumi uz 1 izmeklējumu sastāda 54,99 : 18154 izmeklējumi = 0,003 euro. Gadā plānots 150 * 0,003 euro = 0,45 euro.</t>
  </si>
  <si>
    <t>Izmeklējuma veikšanai izmanto  IDCentrafūgu. Gada nolietojums sastāda 231,92 euro. Vidēji mēnesī 19,33 euro (231,92 : 12 = 19,33 euro). Izdevumi uz 1 izmeklējumu 0,001 euro (19,33 : 18154 = 0,0011 euro). Gadā plānots 0,0011 * 150 = 0,17 euro.</t>
  </si>
  <si>
    <t>Gada izmaksas sastāda 117,09 euro.  Vidējie mēneša izdevumi par specapģērbu mazgāšanu sastāda 9,76 euro (117,09 : 12 = 9.76 euro). Izdevumi uz 1 izmeklējumu sastāda 9,76 : 18154 izmeklējumi = 0,001 euro. Gada apjoms 180 * 0,001 euro = 0,09 euro.</t>
  </si>
  <si>
    <t>Izmeklējuma veikšanai izmanto  IDCentrafūgu. Gada nolietojums sastāda 231,92 euro. Vidēji mēnesī 19,33 euro (231,92 : 12 = 19,33 euro). Izdevumi uz 1 izmeklējumu 0,001 euro (19,33 : 18154 = 0,001 euro). Gadā plānots 0,001 * 180 = 0,20 euro.</t>
  </si>
  <si>
    <t>Izmeklējuma veikšanai izmanto  IDCentrafūgu. Gada nolietojums sastāda 231,92 euro. Vidēji mēnesī 19,33 euro (231,92 : 12 = 19,33 euro). Izdevumi uz 1 izmeklējumu 0,0011 euro (19,33 : 18154 = 0,0011 euro). Gadā plānots 0,001 * 1500 = 1,65 euro.</t>
  </si>
  <si>
    <t>Gada faktiskās izmaksas 38,20 euro. Vidējās 1 mēneša izmaksas sarunām 38,20 euro : 12 mēneši = 3,18 euro. Vidējais izmeklējumu skaits mēnesī 18154. (2014.gads VADC donori-163073 izmeklējumi, maksas pakalpojumi-8718,5 izmeklējumi, ASN donori - 4100 izmeklējumi, grūtnieču izmeklējumi -1951,5) izmeklējumi. Kopā 2014.gads 217843 izmeklējumi. Izmaksas uz 1 izmeklējumu 3,18 : 18154 izmeklējumi = 0,0002 euro. Gadā plānots 700 * 0,0002 = 0,14 euro.</t>
  </si>
  <si>
    <t>Gada faktiskās izmaksas 346,27 euro. Vidējie mēneša izdevumi par atkritumu izvešanu sastāda 346,27 euro: 12 = 28,86 euro. Izdevumi uz 1 izmeklējumu 28,86: 18154 izmeklējumi = 0,002 euro. Gadā plānots 700 *  0,002 = 1,12 euro.</t>
  </si>
  <si>
    <t>Gada izdevumi iekārtu tehniskai apkopei un remontam 4639,55 euro. Vidējie mēneša izdevumi 386,63 euro (4639,55 : 12 = 386,63 euro). Izdevumi uz 1 izmeklējumu sastāda 0,02 euro (386,63 : 18154 izmeklējumi = 0,02 euro). Gadā plānots 700 * 0,02 euro = 14,70 euro.</t>
  </si>
  <si>
    <t>Gada izmaksas sastāda 117,09 euro.  Vidējie mēneša izdevumi par specapģērbu mazgāšanu sastāda 9,76 euro (117,09 : 12 = 9.76 euro). Izdevumi uz 1 izmeklējumu sastāda 9,76 : 18154 izmeklējumi = 0,001 euro. Gada apjoms 700 *  0,001euro = 0,35 euro.</t>
  </si>
  <si>
    <t>Gada biroja preču izlietojums sastāda 659,92 euro. Vidējie mēneša izdevumi par biroja precēm sastāda 54,99 euro (659,92 : 12 = 54,99 euro). Izdevumi uz 1 izmeklējumu sastāda 54,99 : 18154 izmeklējumi = 0,003 euro. Gadā plānots 700 * 0,003 euro = 2,10 euro.</t>
  </si>
  <si>
    <t>Gada izmaksas sastāda 114,38 euro. Vidējie mēneša izdevumi 9,53 euro (114,38 : 12 = 9,53 euro). Izdevumi uz 1 izmeklējumu sastāda 0,0005 euro (9,53 : 18154 izmeklējumi = 0,0005 euro). Gadā plānots 0,0005 * 700 = 0,35 euro.</t>
  </si>
  <si>
    <t>Gada izdevumi iekārtu tehniskai apkopei un remontam 4639,55 euro. Vidējie mēneša izdevumi 386,63 euro (4639,55 : 12 = 386,63 euro). Izdevumi uz 1 izmeklējumu sastāda 0,02 euro (386,63 : 18154 izmeklējumi = 0,02 euro). Gadā plānots 60 *  0,02 euro = 1,26 euro.</t>
  </si>
  <si>
    <t>Kopējās gada izmaksas sastāda 60,30 euro.Vidējās izmaksas mēnesī sastāda 5,03 euro (60,30 :12 = 5,03 euro). Izdevumi uz 1 izmeklējumu sastāda 5,03 euro : 18154 izmeklējumi = 0,0003 euro. Gadā plānots 400 * 0,0003 = 0,12 euro.</t>
  </si>
  <si>
    <t>Gada faktiskās izmaksas 38,20 euro. Vidējās 1 mēneša izmaksas sarunām 38,20 euro : 12 mēneši = 3,18 euro. Vidējais izmeklējumu skaits mēnesī 18154. (2014.gads VADC donori-163073 izmeklējumi, maksas pakalpojumi-8718,5 izmeklējumi, ASN donori - 4100 izmeklējumi, grūtnieču izmeklējumi -1951,5) izmeklējumi. Kopā 2014.gads 217843 izmeklējumi. Izmaksas uz 1 izmeklējumu 3,18 : 18154 izmeklējumi = 0,0002 euro. Gadā plānots 30 * 0,0002 = 0,01 euro.</t>
  </si>
  <si>
    <t>Izmeklējuma veikšanai izmanto  ID Centrafūgu. Gada nolietojums sastāda 231.92 euro. Vidēji mēnesī 19,33 euro (231,92 : 12 = 19,33 euro) un Termostats, kam gada nolietojums 68,73.Vidēji mēnesī 5,73 euro. Izdevumi uz 1 izmeklējumu 0,001 euro (19,33+5,73 : 18154 izmeklējumi = 0,001). Gadā plānots 0,001 * 30 = 0,03 euro.</t>
  </si>
  <si>
    <t>Gada nolietojums sastāda 404,20 euro. Vidējie mēneša izdevumi 33,68 euro (404,20 : 12 = 33,68 euro). Izdevumi uz 1 izmeklējumi sastāda  0,002 euro (33,68: 18154 izmeklējumi = 0,002 euro). Gadā plānots 0,002 euro * 30 = 0,06 euro.</t>
  </si>
  <si>
    <t>Gada faktiskās izmaksas 38,20 euro. Vidējās 1 mēneša izmaksas sarunām 38,20 euro : 12 mēneši = 3,18 euro. Vidējais izmeklējumu skaits mēnesī 18154. (2014.gads VADC donori-163073 izmeklējumi ,maksas pakalpojumi-8718,5 izmeklējumi, ASN donori - 4100 izmeklējumi, grūtnieču izmeklējumi -1951,5) izmeklējumi. Kopā 2014.gads 217843 izmeklējumi. Izmaksas uz 1 izmeklējumu 3,18 : 18154 izmeklējumi = 0,0002 euro. Gadā plānots 200 * 0,0002 = 0,04 euro.</t>
  </si>
  <si>
    <t>Gada nolietojums sastāda 404,20 euro. Vidējie mēneša izdevumi 33,68 euro (404,20 : 12 = 33,68 euro). Izdevumi uz 1 izmeklējumi sastāda  0,002 euro (33,68: 18154 izmeklējumi = 0,002 euro). Gadā plānots 0,002 euro * 200 = 0,38 euro.</t>
  </si>
  <si>
    <t>Gada faktiskās izmaksas 38,20 euro. Vidējās 1 mēneša izmaksas sarunām 38,20 euro : 12 mēneši = 3,18 euro. Vidējais izmeklējumu skaits mēnesī 18154. (2014.gads VADC donori-163073 izmeklējumi ,maksas pakalpojumi-8718,5 izmeklējumi, ASN donori - 4100 izmeklējumi, grūtnieču izmeklējumi -1951,5) izmeklējumi. Kopā 2014.gads 217843 izmeklējumi. Izmaksas uz 1 izmeklējumu 3,18 : 18154 izmeklējumi = 0,0002 euro. Gadā plānots 10 * 0,0002 = 0,002 euro.</t>
  </si>
  <si>
    <t>1 izmeklējuma veikšanai nepieciešams 2,62 euro, tai skaitā: 1) Karte Na Cl enzyme test (4x12) 0,5 gb - 2,01 euro; 2) 0,8% skrīningeritrocīti ID-Dia Cell I-II-IIIP 0,15 ml - 0,44 euro; 3) vienreizējās lietošanas cimdi pāris - 0,04 euro; 4) mēģene ar apaļu pamatni 1 gb - 0,01 euro; 5) Transferpipete 3,5 ml nesterilas 1 gb - 0,02 euro; 6) FT 250 Universal 0,5-250 uL 3 gb.- 0,10 euro. Gadā plānots 200 * 2,62 euro = 524,00 euro.</t>
  </si>
  <si>
    <t>Kopējās gada izmaksas sastāda 60,30 euro.Vidējās izmaksas mēnesī sastāda 5,03 euro (60,30:12 = 5,03 euro). Izdevumi uz 1 izmeklējumu sastāda 5,03 euro : 18154 izmeklējumi = 0,0003 euro. Gadā plānots 200 * 0,0003 = 0,06 euro.</t>
  </si>
  <si>
    <t>Gada izmaksas sastāda 117,09 euro.  Vidējie mēneša izdevumi par specapģērbu mazgāšanu sastāda 9,76 euro (117,09 : 12 = 9.76 euro). Izdevumi uz 1 izmeklējumu sastāda 9,76 : 18154 izmeklējumi = 0,001 euro. Gada apjoms 200 * 0,001 euro = 0,10 euro.</t>
  </si>
  <si>
    <t>1 izmeklējuma veikšanai nepieciešams 11,12 euro, tai skaitā: 1) Karte Liss Coombs 2 gb - 8,25 euro ; 2) Identifikācijas eritrocīti ID-Dia Panel P (Kumbsa panelis) 0,6 ml - 2,22 euro; 3) Diulents -2 (autokontrolei) 0,5 ml - 0,18 euro; 4) vienreizējās lietošanas cimdi pāris - 0,04 euro; 5) mēģene ar apaļu pamatni 1 gb - 0,01 euro; 6) Transferpipete 3,5 ml nesterilas 1 gb -  0,02 euro; 7) FT 250 Universal 0,5-250 uL 12 gb -0,40 euro. Gadā plānots 900 * 11,12 euro =10008,00 euro.</t>
  </si>
  <si>
    <t>1 izmeklējuma veikšanai nepieciešams 11,12 euro, tai skaitā: 1) Karte Liss Coombs 2 gb - 8,25 euro; 2) Identifikācijas eritrocīti ID-Dia Panel P (Kumbsa panelis) 0,6 ml - 2,22 euro; 3) Diulents -2 (autokontrolei) 0,5 ml - 0,18 euro; 4) vienreizējās lietošanas cimdi pāris - 0,04 euro; 5) mēģene ar apaļu pamatni 1 gb - 0,01 euro; 6) Transferpipete 3,5 ml nesterilas 1 gb -  0,02 euro; 7) FT 250 Universal 0,5-250 uL 12 gb - 0,40 euro. Gadā plānots 99 * 11,12 euro = 1100,88 euro.</t>
  </si>
  <si>
    <t>Gada faktiskās izmaksas 346,27 euro. Vidējie mēneša izdevumi par atkritumu izvešanu sastāda 346,27 euro : 12 = 28,86 euro. Izdevumi uz 1 izmeklējumu28,86 : 18154 izmeklējumi = 0,002 euro. Gadā plānots 99 * 0,002 = 0,16 euro.</t>
  </si>
  <si>
    <t>1 izmeklējuma veikšanai nepieciešams 10,90 euro, tai skaitā: 1) KarteNa Cl enzyme  test 1 karte -  8,03 euro; 2) eritrocīti no ID Dia Panel (enzīmu panelis) 0,6 ml - 2,22 euro; 3) Diulents -2 (autokontrolei) 0,5 ml - 0,18 euro; 4) vienreizējās lietošanas cimdi pāris - 0,04 euro;  5) mēģene ar apaļu pamatni 1 gb -  0,01 euro; 6) Transferpipete 3,5 ml nesterilas 1 gb.- 0,02 euro; 7) FT 250 Universal 0,5-250 uL 12 gb. - 0,40 euro. Gadā plānots 900 * 10,90 euro = 9810,00 euro.</t>
  </si>
  <si>
    <t>Gada izmaksas sastāda 117,09 euro.  Vidējie mēneša izdevumi par specapģērbu mazgāšanu sastāda 9,76 euro (117,09 : 12 = 9.76 euro). Izdevumi uz 1 izmeklējumu sastāda 9,76 : 18154 izmeklējumi = 0,001 euro. Gada apjoms 900*  0,001 euro = 0,45 euro.</t>
  </si>
  <si>
    <t>Gada faktiskās izmaksas 38,20 euro. Vidējās 1 mēneša izmaksas sarunām 38,20 euro : 12 mēneši = 3,18 euro. Vidējais izmeklējumu skaits mēnesī 18154. (2014.gads VADC donori-163073 izmeklējumi, maksas pakalpojumi-8718,5 izmeklējumi, ASN donori - 4100 izmeklējumi, grūtnieču izmeklējumi -1951,5) izmeklējumi. Kopā 2014.gads 217843 izmeklējumi. Izmaksas uz 1 izmeklējumu 3,18 : 18154 izmeklējumi = 0,0002 euro. Gadā plānots 100 * 0,0002 = 0,02 euro.</t>
  </si>
  <si>
    <t>Gada izmaksas sastāda 117,09 euro.  Vidējie mēneša izdevumi par specapģērbu mazgāšanu sastāda 9,76 euro (117,09 : 12 = 9.76 euro). Izdevumi uz 1 izmeklējumu sastāda 9,76 : 18154 izmeklējumi = 0,001 euro. Gada apjoms 100*  0,001 euro = 0,05 euro.</t>
  </si>
  <si>
    <t>Gada izmaksas sastāda 117,09 euro.  Vidējie mēneša izdevumi par specapģērbu mazgāšanu sastāda 9,76 euro (117,09 : 12 = 9,76 euro). Izdevumi uz 1 izmeklējumu sastāda 9,76 : 18154 izmeklējumi = 0,001 euro. Gada apjoms 100 * 0,001euro = 0,05 euro.</t>
  </si>
  <si>
    <t>Kopējās gada izmaksas sastāda 60,30 euro.Vidējās izmaksas mēnesī sastāda 5,03 euro (60,30 :12 = 5,03 euro). Izdevumi uz 1 izmeklējumu sastāda 5,03 euro : 18154 izmeklējumi = 0,0003 euro. Gadā plānots 10 * 0,0003 = 0,003 euro.</t>
  </si>
  <si>
    <t>Gada izmaksas sastāda 117,09 euro.  Vidējie mēneša izdevumi par specapģērbu mazgāšanu sastāda 9,76 euro (117,09 : 12 = 9.76 euro). Izdevumi uz 1 izmeklējumu sastāda 9,76 : 18154 izmeklējumi = 0,001 euro. Gada apjoms 10*  0,001 euro = 0,01 euro.</t>
  </si>
  <si>
    <t>Gada biroja preču izlietojums sastāda 659,92 euro. Vidējie mēneša izdevumi par biroja precēm sastāda 54,99 euro (659,92 : 12 = 54,99 euro). Izdevumi uz 1 izmeklējumu sastāda 54,99 : 18154 izmeklējumi = 0,003euro. Gadā plānots 10 * 0,003 euro = 0,03 euro.</t>
  </si>
  <si>
    <t>Gada izmaksas sastāda 117,09 euro.  Vidējie mēneša izdevumi par specapģērbu mazgāšanu sastāda 9,76 euro (117,09 : 12 = 9.76 euro). Izdevumi uz 1 izmeklējumu sastāda 9,76 : 18154 izmeklējumi = 0,001 euro. Gada apjoms 2000 * 0,001 euro = 1,00 euro.</t>
  </si>
  <si>
    <t>Viena izmeklējuma veikšanu nodrošina sertificēts Ārsts-laborants (atalgojums mēnesī 1057 euro). Darba laika patēriņš 1 izmeklējuma veikšanai 20 minūtes. 1 minūtes darba izmaksas 1057 euro : 166,17 stundas (vidējais darba stundu skaits mēnesī 2015.gadā) : 60 minūtes ir 1057 : 166,17 : 60 = 0,11 euro. 1 izmeklējuma veikšanas darba izmaksas 0,11 * 20 minūtes = 2,20 euro. Steidzama izmeklējuma veikšanai papildus nepieciešamas 13 minūtes - 0,11 euro * 13 minūtes =1,43 euro. Kopā atalgojums 2,20 +1,43 = 3,63 euro. Gadā plānots 250 * 3,63 euro = 907,50 euro.</t>
  </si>
  <si>
    <t>Gada izdevumi iekārtu tehniskai apkopei un remontam 4639,55 euro. Vidējie mēneša izdevumi 386,63 euro (4639,55 : 12 = 386,63 euro). Izdevumi uz 1 izmeklējumu sastāda 0,02 euro (386,63 : 18154 izmeklējumi = 0,02 euro). Gadā plānots 250 * 0,02 euro = 5,33 euro.</t>
  </si>
  <si>
    <t>Gada izmaksas sastāda 117,09 euro.  Vidējie mēneša izdevumi par specapģērbu mazgāšanu sastāda 9,76 euro (117,09 : 12 = 9,76 euro). Izdevumi uz 1 izmeklējumu sastāda 9,76 : 18154 izmeklējumi = 0,001 euro. Gada apjoms 200*0,001 euro = 0,10 euro.</t>
  </si>
  <si>
    <t>1 izmeklējuma veikšanai nepieciešams 9,00 euro, tai skaitā: 1) vienreizējās lietošanas cimdi pāris - 0,04 euro; 2)mēģene ar apaļu pamatni 1 gb.- 0,01 euro; 3) Transferpipete 3,5 ml nesterila 1 gb.- 0,02 euro; 4) FT 250 Universal 0,5 -250 uL uzgaļi 1 gb.- 0,03 euro; 5) Karte DAT Screening 1- 1 gb.- 8,72 euro; 6) Diulents -2  0,5 ml.- 0,18 euro. Gadā plānots 30 * 9,00 = 270,00 euro.</t>
  </si>
  <si>
    <t>Gada izmaksas sastāda 117,09 euro.  Vidējie mēneša izdevumi par specapģērbu mazgāšanu sastāda 9,76 euro (117,09 : 12 = 9,76 euro). Izdevumi uz 1 izmeklējumu sastāda 9,76 : 18154 izmeklējumi = 0,001 euro. Gada apjoms 30*  0,001 euro = 0,02 euro.</t>
  </si>
  <si>
    <t>Izmeklējuma veikšanai izmanto  ID Centrafūgu. Gada nolietojums sastāda 231,92 euro. Vidēji mēnesī 19,33 euro (231,92 : 12 = 19,33 euro) un Termostats, kam gada nolietojums 68,73. Vidēji mēnesī 5,73 euro. Izdevumi uz 1 izmeklējumu 0,001 euro (19,33+5,73 : 18154 izmeklējumi = 0,001). Gadā plānots 0,001 * 30 = 0,03 euro.</t>
  </si>
  <si>
    <t>Kopējās gada izmaksas sastāda 60,30 euro.Vidējās izmaksas mēnesī sastāda 5,03 euro (60,30 :12 = 5,03 euro). Izdevumi uz 1 izmeklējumu sastāda 5,03 euro : 18154 izmeklējumi = 0,0003 euro. Gadā plānots 80 * 0,0003 = 0,02 euro.</t>
  </si>
  <si>
    <t>Gada izmaksas sastāda 114,38 euro. Vidējie mēneša izdevumi 9,53 euro (114,38 : 12 = 9,53 euro). Izdevumi uz 1 izmeklējumu sastāda 0,0005 euro (9,53 : 18154 izmeklējumi = 0,001 euro). Gadā plānots 0,001 * 80 = 0,04 euro.</t>
  </si>
  <si>
    <t>Gada nolietojums sastāda 404,20 euro. Vidējie mēneša izdevumi 33,68 euro (404,20 : 12 = 33,68 euro). Izdevumi uz 1 izmeklējumi sastāda  0,002 euro (33,68 : 18154 izmeklējumi = 0,002 euro). Gadā plānots 0,002 euro * 80 = 0,15 euro.</t>
  </si>
  <si>
    <t>Viena izmeklējuma veikšanu nodrošina sertificēts Ārsts-laborants (atalgojums mēnesī 1057 euro). Darba laika patēriņš 1 izmeklējuma veikšanai 15 minūtes. 1 minūtes darba izmaksas 1057 : 166,17 stundas (vidējais darba stundu skaits mēnesī 2015.gadā) : 60 minūtes ir 1057 : 166,17 : 60 = 0,11 euro. 1 izmeklējuma veikšanas darba izmaksas 0,11 * 15minūtes = 1,65 euro. Steidzama izmeklējuma veikšanai papildus nepieciešamas 13 minūtes - 0,11 * 13 minūtes = 1,43 euro. Kopā atalgojums 1,65 + 1,43 = 3,08 euro. Gadā plānots 9 * 3,08 = 27,72 euro.</t>
  </si>
  <si>
    <t>1 izmeklējuma veikšanai nepieciešams 3,69 euro, tai skaitā: 1) vienreizējās lietošanas cimdi pāris- 0,04 euro; 2) mēģene ar apaļu pamatni 1 gb.- 0,010 euro; 3) Transferpipete 3,5 ml nesterila 1 gb.- 0,02 euro; 4) FT 250 Universal 0,5-250 uL uzgaļi 1 gb.- 0,03 euro; 5) KarteDAT Screening 2 - 0,5 gb.- 3,41euro; 6) Diulents-2 0,5 ml- 0,18 euro. Gadā plānots 9*3,69 = 33,21 euro.</t>
  </si>
  <si>
    <t>Gada faktiskās izmaksas 38,20 euro. Vidējās 1 mēneša izmaksas sarunām 38,20 euro : 12 mēneši = 3,18 euro. Vidējais izmeklējumu skaits mēnesī 18154. (2014.gads VADC donori-163073 izmeklējumi, maksas pakalpojumi-8718,5 izmeklējumi, ASN donori - 4100 izmeklējumi, grūtnieču izmeklējumi -1951,5 izmeklējumi. Kopā 2014.gads 217843 izmeklējumi. Izmaksas uz 1 izmeklējumu 3,18 : 18154 izmeklējumi = 0,0002 euro. Gadā plānots 9 * 0,0002 = 0,002 euro.</t>
  </si>
  <si>
    <t>Gada faktiskās izmaksas sastāda 372,23 euro.Vidējie mēneša izdevumi par ūdeni un kanalizāciju sastāda 372,23 : 12 = 31,02 euro. Izdevumi uz 1 izmeklējumu 31,02 : 18154 izmeklējumi = 0,002 euro. Gadā plānots 9 * 0,002 = 0,02 euro.</t>
  </si>
  <si>
    <t>Gada faktiskās izmaksas 3619,08 euro.Vidējie mēneša izdevumi par apkuri sastāda 3619,08 : 12 = 301,59 euro. Izdevumi apkurei uz 1 izmeklējumu 301,59 : 18154 izmeklējumi = 0,02 euro. Gadā 9 * 0,02 = 0,15 euro.</t>
  </si>
  <si>
    <t>Gada faktiskās izmaksas  6459,25 euro. Vidējie mēneša izdevumi par elektroenerģiju sastāda 6459,25 : 12 = 538,27 euro. Izdevumi uz 1 izmeklējumu 538,27 : 18154 izmeklējumi = 0,03 euro. Gadā plānots 9 * 0,03 = 0,27 euro.</t>
  </si>
  <si>
    <t>Gada faktiskās izmaksas 346,27 euro. Vidējie mēneša izdevumi par atkritumu izvešanu sastāda 346,27 euro : 12 = 28,86 euro. Izdevumi uz 1 izmeklējumu 28,86 euro: 18154 izmeklējumi = 0,002 euro. Gadā plānots 9 * 0,002 = 0,01 euro.</t>
  </si>
  <si>
    <t>Administratīvie izdevumi, kas nodrošina iestādes vispārējo darbu. Atbilstoši VADC iekšējam normatīvam aktam  Nr.1-24.6/14-2014/SIN-002 (09.12.2014.g.) "Uzskaites izcenojumu (pašizmaksa) noteikšana, pārskatīšana un apstiprināšana" izmaksu sadalījums pēc funkcijām (I.līmenis) noteikts , ka no Vadības funkciju veicēju (Centra vadība, Administratīvais departaments, Finanšu departaments) kopējām izmaksām 3,05 % tiek sadalīti konsultatīvai imūnhematoloģiskajai izmeklēšanai (funkcijas realizācija nav saistīta ar asins, asins komponentu sagatavošanu). Vadības funkciju veicēju kopējās 2014.gada izmaksas sastāda 472868,13 euro, kur 3,05% sastāda 14422,48 euro gadā. Administratīvās izmaksas (CV, FD, AD)  mēnesī sastāda 1201,87 euro (14422,48 euro : 12 mēneši = 1201,87 euro). Izdevumi uz 1 izmeklējumu sastāda 1201,87 : 18154 izmeklējumi = 0,07  euro. Gadā plānots 0,07 euro * 9 = 0,63 euro.</t>
  </si>
  <si>
    <t>Gada izdevumi iekārtu tehniskai apkopei un remontam 4639,55 euro. Vidējie mēneša izdevumi 386,63 euro (4639,55 : 12 = 386,63 euro). Izdevumi uz 1 izmeklējumu sastāda 0,02 euro (386,63 : 18154 izmeklējumi = 0,02 euro). Gadā plānots 9 *  0,02 euro = 0,19 euro.</t>
  </si>
  <si>
    <t>Gada apsaimniekošanas izmaksas sastāda 4601,30 euro. Vidējie mēneša izdevumi par apsaimniekošanu sastāda  kopā 383,44 euro (4601,30 : 12 = 383,44 euro). Izdevumi uz 1 izmeklējumu 383,44 : 18154 izmeklējumi = 0,02 euro. Gadā plānots 0,02 * 9 = 0,19 euro.</t>
  </si>
  <si>
    <t>Kopējās gada izmaksas sastāda 60,30 euro.Vidējās izmaksas mēnesī sastāda 5,03 euro (60,30 :12 = 5,03 euro). Izdevumi uz 1 izmeklējumu sastāda 5,03 euro : 18154 izmeklējumi = 0,0003 euro. Gadā plānots 9 * 0,0003 = 0,003 euro.</t>
  </si>
  <si>
    <t>Gada izmaksas sastāda 117,09 euro.  Vidējie mēneša izdevumi par specapģērbu mazgāšanu sastāda 9,76 euro (117,09 : 12 = 9,76 euro). Izdevumi uz 1 izmeklējumu sastāda 9,76 : 18154 izmeklējumi = 0,001 euro. Gada apjoms 9*  0,001 euro = 0,01 euro.</t>
  </si>
  <si>
    <t>Gada biroja preču izlietojums sastāda 659,92 euro. Vidējie mēneša izdevumi par biroja precēm sastāda 54,99 euro (659,92 : 12 = 54,99 euro). Izdevumi uz 1 izmeklējumu sastāda 54,99 : 18154 izmeklējumi = 0,003 euro. Gadā plānots 9 * 0,003 euro = 0,03 euro.</t>
  </si>
  <si>
    <t>Gada izmaksas sastāda 80,22 euro. Vidējie mēneša izdevumi par remonta un uzturēšanas materiāliem sastāda 6,69 euro (80,22 : 12 = 6,69 euro) (papīra dvieļi-16,24 euro, atkritumu maisiem 16,92 euro, universālam mazgāšanas līdzeklim 0,58 euro, lupatām 4,57 euro, švammēm 1,46 euro, tīrīšanas pastai 0,35 euro). Izdevumi uz 1 izmeklējumu sastāda 6,69 euro: 18154 izmeklējumi = 0,0004 euro. Gadā plānots 9 * 0,0004 euro = 0,004 euro.</t>
  </si>
  <si>
    <t>Gada izmaksas sastāda 114,38 euro. Vidējie mēneša izdevumi 9,53 euro (114,38 : 12 = 9,53 euro). Izdevumi uz 1 izmeklējumu sastāda 0,001 euro (9,53 : 18154 izmeklējumi = 0,0005 euro). Gadā plānots 0,001 * 9 = 0,01 euro.</t>
  </si>
  <si>
    <t xml:space="preserve"> Izmeklējuma veikšanai izmanto  ID Centrafūgu. Gada nolietojums sastāda 231,92 euro. Vidēji mēnesī 19,33 euro (231,92 : 12 = 19,33 euro) un Termostats, kam gada nolietojums 68,73. Vidēji mēnesī 5,73 euro. Izdevumi uz 1 izmeklējumu 0,001 euro (19,33+5,73 : 18154 izmeklējumi = 0,001). Gadā plānots 0,001 * 9 = 0,01 euro.</t>
  </si>
  <si>
    <t>1 izmeklējuma veikšanai nepieciešams 3,01 euro, tai skaitā: 1) vienreizējās lietošanas cimdi pāris - 0,04 euro; 2) mēģene ar apaļu pamatni 3 gb.- 0,03 euro; 3) Transferpipete 3,5 ml nesterila 3 gb.- 0,06 euro; 4) Dia Cidel komplekts 0,5 gb.- 2,88 euro. Gadā plānots 30  * 3,01 euro = 90,30 euro.</t>
  </si>
  <si>
    <t>Gada faktiskās izmaksas sastāda 372,23 euro. Vidējie mēneša izdevumi par ūdeni un kanalizāciju sastāda 372,23 : 12 = 31,02 euro. Izdevumi uz 1 izmeklējumu 31,02 : 18154 izmeklējumi = 0,002 euro. Gadā plānots 30 * 0,002 = 0,06 euro.</t>
  </si>
  <si>
    <t>Gada apsaimniekošanas izmaksas sastāda 4601,30 euro. Vidējie mēneša izdevumi par apsaimniekošanu sastāda  kopā 383,44 euro (4601,30 : 12 = 383,44 euro). Izdevumi uz 1 izmeklējumu 383,44 : 18154 izmeklējumi = 0,02 euro. Gadā plānots 0,02 * 30 = 0,60 euro.</t>
  </si>
  <si>
    <t>Gada izmaksas sastāda 117,09 euro.  Vidējie mēneša izdevumi par specapģērbu mazgāšanu sastāda 9,76 euro (117,09 : 12 = 9,76 euro). Izdevumi uz 1 izmeklējumu sastāda 9,76 : 18154 izmeklējumi = 0,001 euro. Gada apjoms 2 * 0,001 euro = 0,001 euro.</t>
  </si>
  <si>
    <t>Gada faktiskās izmaksas 3619,08 euro. Vidējie mēneša izdevumi par apkuri sastāda 3619,08 : 12 = 301,59 euro. Izdevumi apkurei uz 1 izmeklējumu 301,59 : 18154 izmeklējumi = 0,02 euro. Gadā plānots 4 * 0,02 = 0,08 euro.</t>
  </si>
  <si>
    <t>Gada faktiskās izmaksas 346,27 euro. Vidējie mēneša izdevumi par atkritumu izvešanu sastāda 346,27 euro : 12 = 28,86 euro. Izdevumi uz 1 izmeklējumu 28,86 euro : 18154 izmeklējumi = 0,002 euro. Gadā plānots 4* 0,002 = 0,01 euro.</t>
  </si>
  <si>
    <t>Gada izdevumi iekārtu tehniskai apkopei un remontam 4639,55 euro. Vidējie mēneša izdevumi 386,63 euro (4639,55 : 12 = 386,63 euro). Izdevumi uz 1 izmeklējumu sastāda 0,02 euro (386,63 : 18154 izmeklējumi = 0,02 euro). Gadā plānots 4 * 0,02 euro = 0,08 euro.</t>
  </si>
  <si>
    <t>Gada izmaksas sastāda 117,09 euro.  Vidējie mēneša izdevumi par specapģērbu mazgāšanu sastāda 9,76euro (117,09 : 12 = 9,76 euro). Izdevumi uz 1 izmeklējumu sastāda 9,76 : 18154 izmeklējumi = 0,001 euro. Gada apjoms 4 * 0,001 euro = 0,002 euro.</t>
  </si>
  <si>
    <t>Izmeklējuma veikšanai izmanto ID Centrafūgu. Gada nolietojums sastāda 231,92 euro. Vidēji mēnesī 19,33 euro (231,92 : 12 = 19,33 euro) un termostats, kam gada nolietojums 68,73 euro, vidēji mēnesī 5,73 euro, Centrafūga EBA, gada nolietojums 77,88 euro, vidēji mēnesī 6,49 euro. Izdevumi uz 1 izmeklējumu 0,002 euro (19,33 +5,73+ 6,49  : 18154 = 0,002). Gadā plānots 0,002 * 4 = 0,01 euro.</t>
  </si>
  <si>
    <t>Gada nolietojums sastāda 404,20 euro. Vidējie mēneša izdevumi 33,68 euro (404,20 : 12 = 33,68 euro). Izdevumi uz 1 izmeklējumi sastāda  0,002 euro (33,68 : 18154 izmeklējumi = 0,002 euro). Gadā plānots 0,002 euro * 4 = 0,01 euro.</t>
  </si>
  <si>
    <t>Gada faktiskās izmaksas sastāda 372,23 euro. Vidējie mēneša izdevumi par ūdeni un kanalizāciju sastāda 372,23 : 12 = 31,02 euro. Izdevumi uz 1 izmeklējumu 31,02 : 18154 izmeklējumi = 0,002 euro. Gadā plānots 4 * 0,002 = 0,01 euro.</t>
  </si>
  <si>
    <t>Gada izdevumi iekārtu tehniskai apkopei un remontam 4639,55 euro. Vidējie mēneša izdevumi 386,63 euro (4639,55 : 12 = 386,63 euro). Izdevumi uz 1 izmeklējumu sastāda 0,02 euro (386,63 : 18154 izmeklējumi = 0,02 euro). Gadā plānots 5*0,02 euro = 0,10 euro.</t>
  </si>
  <si>
    <t>Gada izmaksas sastāda 117,09 euro.  Vidējie mēneša izdevumi par specapģērbu mazgāšanu sastāda 9,76 euro (117,09 : 12 = 9,76 euro). Izdevumi uz 1 izmeklējumu sastāda 9,76 : 18154 izmeklējumi = 0,001 euro. Gada apjoms 5 * 0,001 euro = 0,003 euro.</t>
  </si>
  <si>
    <t>Gada biroja preču izlietojums sastāda 659,92 euro. Vidējie mēneša izdevumi par biroja precēm sastāda 54,99 euro (659,92 : 12 = 54,99 euro). Izdevumi uz 1 izmeklējumu sastāda 54,99 : 18154 izmeklējumi = 0,003 euro. Gadā plānots 5 * 0,003 euro = 0,02 euro.</t>
  </si>
  <si>
    <t>Gada izmaksas sastāda 114,38 euro. Vidējie mēneša izdevumi 9,53 euro (114,38 : 12 = 9,53 euro). Izdevumi uz 1 izmeklējumu sastāda 0,0005 euro (9,53 : 18154 izmeklējumi = 0,001 euro). Gadā plānots 0,001 * 5 = 0,01 euro.</t>
  </si>
  <si>
    <t>Izmeklējuma veikšanai izmanto ID Centrafūgu. Gada nolietojums sastāda 231,92 euro. Vidēji mēnesī 19,33 euro (231,92 : 12 = 19,33) un termostats, kam gada nolietojums 68,73 euro. vidēji mēnesī 5,73 euro. Centrafūga EBA, gada nolietojums 77,88 euro, vidēji mēnesī 6,49 euro. Izdevumi uz 1 izmeklējumu 0,002 euro (19,33 +5,73+ 6,49  : 18154 = 0,002). Gadā plānots 0,002 * 5 = 0,01 euro.</t>
  </si>
  <si>
    <t>Gada faktiskās izmaksas sastāda 372,23 euro.Vidējie mēneša izdevumi par ūdeni un kanalizāciju sastāda 372,23 : 12 = 31,02 euro). Izdevumi uz 1 izmeklējumu 31,02 : 18154 izmeklējumi = 0,002 euro. Gadā plānots 4 * 0,002 = 0,01 euro.</t>
  </si>
  <si>
    <t>Gada faktiskās izmaksas 346,27 euro. Vidējie mēneša izdevumi par atkritumu izvešanu sastāda 346,27 euro : 12 = 28,86 euro. Izdevumi uz 1 izmeklējumu 28,86 : 18154 izmeklējumi = 0,002 euro. Gadā plānots 4* 0,002 = 0,01 euro.</t>
  </si>
  <si>
    <t>Gada izmaksas sastāda 114,38 euro. Vidējie mēneša izdevumi 9,53 euro (114,38 : 12 = 9,53 euro). Izdevumi uz 1 izmeklējumu sastāda 0,0005 euro ( 9,53 : 18154 izmeklējumi = 0,001 euro). Gadā plānots 0,001 * 4 = 0,004 euro.</t>
  </si>
  <si>
    <t>Izmeklējuma veikšanai izmanto ID Centrafūgu. Gada nolietojums sastāda 231,92 euro. Vidēji mēnesī 19,33euro ( 231,92 : 12 = 19,33 euro) un termostats, kam gada nolietojums 68,73 euro. Vidēji mēnesī 5,73 euro, Centrafūga EBA, gada nolietojums 77,88 euro, vidēji mēnesī 6,49 euro. Izdevumi uz 1 izmeklējumu 0,002 euro (19,33 +5,73+ 6,49  : 18154 = 0,002). Gadā plānots 0,002 * 4 = 0,008 euro.</t>
  </si>
  <si>
    <t>Gada izmaksas sastāda 114,38 euro. Vidējie mēneša izdevumi 9,53 euro (114,38 : 12 = 9,53 euro). Izdevumi uz 1 izmeklējumu sastāda 0,0005 euro (9,53 : 18154 izmeklējumi = 0,001 euro). Gadā plānots 0,001 * 100 = 0,05 euro.</t>
  </si>
  <si>
    <t>Gada izdevumi iekārtu tehniskai apkopei un remontam 4639,55 euro. Vidējie mēneša izdevumi 386,63 euro (4639,55 : 12 = 386,63 euro). Izdevumi uz 1 izmeklējumu sastāda 0,02 euro (386,63 : 18154 =  0,02 euro). Gadā plānots 100 * 0,02 euro = 2,00 euro.</t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</si>
  <si>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1,0184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- 32,38 euro. Semināru telpas izmaksas vienai dienai 0,09 euro, vienai stundai 0,09 euro : 8 d.stundas  =  0,01 euro. Plānotais dalībnieku skaits vienā kursā 10. Vienam dalībniekam 0,01 : 10 = 0,001 euro.</t>
    </r>
  </si>
  <si>
    <t>Gada faktiskās izmaksas 346,27 euro. Vidējie mēneša izdevumi par atkritumu izvešanu sastāda 346,27 euro : 12 = 28,86 euro. Izdevumi uz 1 izmeklējumu 28,86 euro : 18154 izmeklējumi = 0,002 euro. Gadā plānots 20* 0,002 = 0,03 euro.</t>
  </si>
  <si>
    <t>Kopējās gada izmaksas sastāda 60,30 euro. Vidējās izmaksas mēnesī sastāda 5,03 euro (60,30 :12 = 5,03 euro). Izdevumi uz 1 izmeklējumu sastāda 5,03 euro : 18154 izmeklējumi = 0,0003 euro. Gadā plānots 20 * 0,0003 = 0,01 euro.</t>
  </si>
  <si>
    <t>Gada izmaksas sastāda 117,09 euro.  Vidējie mēneša izdevumi par specapģērbu mazgāšanu sastāda 9,76 euro (117,09 : 12 = 9,76 euro). Izdevumi uz 1 izmeklējumu sastāda 9,76 : 18154 izmeklējumi = 0,001 euro. Gada apjoms 20 *  0,001 euro = 0,01 euro.</t>
  </si>
  <si>
    <t>Gada faktiskās izmaksas sastāda 215,87 euro.Vidējie mēneša izdevumi par ūdeni un kanalizāciju sastāda 215,87 : 12 = 17,99 euro. Izdevumi uz 1 izmeklējumu17,99 : 23775 izmeklējumi = 0,001 euro. Gadā plānots 10 * 0,001 = 0,01 euro.</t>
  </si>
  <si>
    <t>Gada faktiskās izmaksas sastāda 199,06 euro.Vidējie mēneša izdevumi par atkritumu izvešanu sastāda 199,06 : 12 mēneši = 16,59 euro. Izdevumi uz 1 izmeklējumu 16,59 : 23775 izmeklējumi = 0,001 euro. Gadā plānots 10 * 0,001 = 0,01 euro.</t>
  </si>
  <si>
    <t>Gada faktiskās  izmaksas sastāda 15,97 euro. Vidējās 1 mēneša izmaksas sarunām 1,33 euro (15,97 : 12mēneši). Vidējais izmeklējumu skaits BVD laboratorijā mēnesī 23775. (2014.gads VADC  -187390 izm., ASN - 97901izm.,  maksas - 7 izm.). Izmaksas uz 1 izmeklējumu  1,33 : 23775 izmeklējumi = 0,0001 euro. Gadā plānots 10 * 0,0001 euro = 0,001 euro.</t>
  </si>
  <si>
    <t>Gada faktiskās izmaksas sastāda 215,87 euro.Vidējie mēneša izdevumi par ūdeni un kanalizāciju sastāda 215,87 : 12 = 17,99 euro. Izdevumi uz 1 izmeklējumu 17,99 : 23775 izmeklējumi = 0,001 euro. Gadā plānots 10 * 0,001 = 0,01 euro.</t>
  </si>
  <si>
    <t>Gada faktiskās izmaksas sastāda 199,06 euro. Vidējie mēneša izdevumi par atkritumu izvešanu sastāda 199,06 : 12 mēneši = 16,59 euro. Izdevumi uz 1 izmeklējumu 16,59 : 23775 izmeklējumi = 0,001 euro. Gadā plānots 10 * 0,001 = 0,01 euro.</t>
  </si>
  <si>
    <t>Gada izdevumi iekārtu tehniskai apkopei un remontam 9145.72 euro. Vidējie mēneša izdevumi 762,14 euro (9145,72 : 12 = 762,14 ). Izdevumi uz 1 izmeklējumu sastāda 0,03 euro (762,14 : 23775 = 0,03). Gadā plānots 10 * 0,03 = 0,30 euro.</t>
  </si>
  <si>
    <t>Gada faktiskās  izmaksas sastāda 15,97 euro. Vidējās 1 mēneša izmaksas sarunām 1,33 euro (15,97 : 12mēneši). Vidējais izmeklējumu skaits BVD laboratorijā mēnesī 23775. (2014.gads VADC  -187390 izm., ASN - 97901 izm.,  maksas - 7 izm.). Izmaksas uz 1 izmeklējumu  1,33 : 23775 izmeklējumi = 0,0001 euro. Gadā plānots 10 * 0,0001 euro = 0,001 euro.</t>
  </si>
  <si>
    <t>Gada faktiskās izmaksas sastāda 215,87 euro. Vidējie mēneša izdevumi par ūdeni un kanalizāciju sastāda 215,87 : 12 = 17,99 euro. Izdevumi uz 1 izmeklējumu 17,99 : 23775 izmeklējumi = 0,001 euro. Gadā plānots 10 * 0,001 = 0,01 euro.</t>
  </si>
  <si>
    <t>Gada faktiskās  izmaksas sastāda 15,97 euro. Vidējās 1 mēneša izmaksas sarunām 1,33 euro (15,97 : 12 mēneši). Vidējais izmeklējumu skaits BVD laboratorijā mēnesī 23775. (2014.gads VADC  -187390 izm., ASN - 97901izm.,  maksas - 7 izm.). Izmaksas uz 1 izmeklējumu  1,33 : 23775 izmeklējumi = 0,0001 euro. Gadā plānots 10 * 0,0001 euro = 0,001 euro.</t>
  </si>
  <si>
    <t>Gada izdevumi iekārtu tehniskai apkopei un remontam 9145.72 euro. Vidējie mēneša izdevumi 762,14 euro (9145,72 : 12 = 762,14). Izdevumi uz 1 izmeklējumu sastāda 0,030 euro (762,14 : 23775 = 0,03). Gadā plānots 10 * 0,03 = 0,30 euro.</t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</si>
  <si>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4,1165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-130,90 euro. Semināru telpas izmaksas vienai dienai 0,36 euro. Plānotais dalībnieku skaits vienā kursā 15. Vienam dalībniekam 0,36 : 15 = 0,02 euro.</t>
    </r>
  </si>
  <si>
    <r>
      <t>Administratīvie izdevumi, kas nodrošina iestādes vispārējo darbu , lai varētu sniegt pakalpojumus. Administratīvās izmaksas (CV,FD,AD) vidēji uz 1m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 xml:space="preserve"> gadā sastāda 1,9903 euro. Semināru telpa -31,8 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>. Semināru telpas gada izmaksas -63,29 euro, vienai dienai - 0,17 euro. Plānotais dalībnieku skaits vienā kursā 15. Vienam dalībniekam 0,17 : 15 = 0,01 euro. Kursa dalībniekam kafijas pauze 1 euro (tēja, kafija, cepumi, pīrādziņš). Kopā : 0,01 euro + 1,00 euro = 1,01 euro.</t>
    </r>
  </si>
  <si>
    <t>Asins grupas noteikšana ABO sistēmā izmantojot plaknes metodi (dubultreakcija)</t>
  </si>
  <si>
    <t>Asins grupas noteikšana ABO sistēmā izmantojot plaknes metodi (tiešā reakcija)</t>
  </si>
  <si>
    <t>ABO asins grupas (tiešā reakcija) un RH(D) noteikšana ar gelkaršu metodi (karte DiaClon ABO/D)</t>
  </si>
  <si>
    <t>ABO asins grupas (tiešā reakcija) un RH(D) un DAT noteikšana ar gelkaršu metodi (karte DiaClon ABO/D+DAT)</t>
  </si>
  <si>
    <t>ABO asins grupas (dubultreakcija) un Rh (D) noteikšana ar gelkaršu metodi (karte ABO/D+reverse grouping)</t>
  </si>
  <si>
    <t>Antieritrocitāro antivielu identifikācija ar gelkaršu metodi, netiešo antiglobulīna testu izmantojot papildus paneli "Column panel 16" (3 kartes Liss/Coombs)</t>
  </si>
  <si>
    <t>Antieritrocitāro antivielu identifikācija ar gelkaršu metodi, netiešo antiglobulīna testu izmantojot papildus paneli "Column panel 16" (3 kartes Liss/Coombs). Steidzami!</t>
  </si>
  <si>
    <t>Antieritrocitāro antivielu titrēšana ar gelkaršu metodi (1 antigēnu, 2 kartes Liss/Coombs)</t>
  </si>
  <si>
    <t>Antieritrocitāro antivielu titrēšana ar gelkaršu metodi (1 antigēnu, 1 karti Liss/Coombs)</t>
  </si>
  <si>
    <t>Hemolīzes tests 0 grupas standarteritrocītiem (Donāta -Landšteinera tests)</t>
  </si>
  <si>
    <t>Recipienta un donora asins saderības tests ar gelkaršu metodi (netiešais antiglobulīna tests)- vienas eritrocītu masas saderināšanai</t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</si>
  <si>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9,3091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- 296,03 euro. Semināru telpas izmaksas vienai dienai 0,81 euro. 4 dienu kursi. 0,81 * 4 dienas = 3,24 euro. Plānotais dalībnieku skaits vienā kursā 10. Vienam dalībniekam 3,24 : 10 = 0,32 euro.</t>
    </r>
  </si>
  <si>
    <r>
      <t>Administratīvie izdevumi, kas nodrošina iestādes vispārējo darbu, lai varētu sniegt pakalpojumus. Administratīvās izmaksas (CV, FD, AD) vidēji uz 1m2 gadā sastāda 1,9903 euro. Semināru telpa -31,8 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>. Semināru telpas gada izmaksas -63,29 euro, vienai dienai - 0,17 euro. 0,17 euro * 3 dienas = 0,51 euro. Plānotais dalībnieku skaits vienā kursā 10. Vienam dalībniekam 0,51 : 10 = 0,05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</si>
  <si>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3,9751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- 126,41 euro. Semināru telpas izmaksas vienai dienai 0,35 euro. 3 dienu kursi. 0,35 euro * 3 dienas = 1,05 euro. Plānotais dalībnieku skaits vienā kursā 10. Vienam dalībniekam 1,05 : 10 = 0,11 euro.</t>
    </r>
  </si>
  <si>
    <t>Administratīvie izdevumi, kas nodrošina iestādes vispārējo darbu , lai varētu sniegt pakalpojumus. Administratīvās izmaksas (CV, FD, AD) vidēji uz 1m2 gadā sastāda 1,9903 euro. Semināru telpa -31,8 m2. Semināru telpas gada izmaksas -63,29 euro, vienai dienai - 0,17 euro. 0,17 euro * 10 dienas = 1,70 euro. Plānotais dalībnieku skaits vienā kursā 10. Vienam dalībniekam 1,70 : 10 = 0,17 euro.</t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</si>
  <si>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3,9751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- 126,41 euro. Semināru telpas izmaksas vienai dienai 0,35 euro. 3 dienu kursi. 0,35 euro * 3 dienas = 1,05 euro. Plānotais dalībnieku skaits vienā kursā 1. Vienam dalībniekam 1,05 : 10 = 0,11 euro.</t>
    </r>
  </si>
  <si>
    <t>Administratīvie izdevumi, kas nodrošina iestādes vispārējo darbu , lai varētu sniegt pakalpojumus. Administratīvās izmaksas (CV, FD, AD) vidēji uz 1m2 gadā sastāda 1,9903 euro. Semināru telpa -31,8 m2 . Semināru telpas gada izmaksas -63,29 euro, vienai dienai - 0,17 euro. 0,17 euro * 3 dienas = 0,51 euro. Plānotais dalībnieku skaits vienā kursā 10. Vienam dalībniekam 0,51 : 10 = 0,05 euro.</t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</si>
  <si>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9,43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- 299,87 euro. Semināru telpas izmaksas vienai dienai 0,82 euro. 3 dienu kursi. 0,82 euro * 3 dienas = 2,46 euro. Plānotais dalībnieku skaits vienā kursā 10. Vienam dalībniekam 2,46 : 10 = 0,25 euro.</t>
    </r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</si>
  <si>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0,7425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- 23,61 euro. Semināru telpas izmaksas vienai dienai 0,06 euro. Plānotais dalībnieku skaits vienā kursā 15. Vienam dalībniekam 0,06 : 15 = 0,004 euro.</t>
    </r>
  </si>
  <si>
    <t>Gada izmaksas sastāda 117,09 euro.  Vidējie mēneša izdevumi par specapģērbu mazgāšanu sastāda 9,76euro (117,09 : 12 = 9.76 euro). Izdevumi uz 1 izmeklējumu sastāda 9,76 : 18154 izmeklējumi = 0,001 euro. Gada apjoms 97 *  0,001 euro = 0,05 euro.</t>
  </si>
  <si>
    <t>Gada izmaksas sastāda 117,09 euro.  Vidējie mēneša izdevumi par specapģērbu mazgāšanu sastāda 9,76euro (117,09 : 12 = 9.76 euro). Izdevumi uz 1 izmeklējumu sastāda 9,76 : 18154 izmeklējumi = 0,001 euro. Gada apjoms 20 * 0,001 euro = 0,01 euro.</t>
  </si>
  <si>
    <t>Kopējās gada izmaksas sastāda 60,30 euro.Vidējās izmaksas mēnesī sastāda 5,03 euro (60,30 :12 = 5,03 euro). Izdevumi uz 1 izmeklējumu sastāda 5,03 euro : 18154 izmeklējumi = 0,0003 euro. Gadā plānots 180 *  0,0003 = 0,05 euro.</t>
  </si>
  <si>
    <t>Izmeklējuma veikšanai izmanto  IDCentrafūgu. Gada nolietojums sastāda 231,92 euro. Vidēji mēnesī 19,33 euro (231,92 : 12 = 19,33 euro). Izdevumi uz 1 izmeklējumu 0,0011 euro (19,33: 18154 = 0,0011 euro). Gadā plānots 0,0011 * 30 = 0,03 euro.</t>
  </si>
  <si>
    <t>Gada izmaksas sastāda 117,09 euro.  Vidējie mēneša izdevumi par specapģērbu mazgāšanu sastāda 9,76 euro (117,09 : 12 = 9.76 euro). Izdevumi uz 1 izmeklējumu sastāda 9,76 : 18154 izmeklējumi = 0,001 euro. Gada apjoms 30 * 0,001 euro = 0,02 euro.</t>
  </si>
  <si>
    <t>Viena izmeklējuma veikšanu nodrošina sertificēts Ārsts-laborants (atalgojums mēnesī 1057 euro). Darba laika patēriņš 1 izmeklējuma veikšanai 20 minūtes. 1 minūtes darba izmaksas 1057 euro: 166,17 stundas (vidējais darba stundu skaits mēnesī 2015.gadā) : 60 minūtes ir 1057 : 166,17: 60 = 0,11 euro. 1 izmeklējuma veikšanas darba izmaksas 0,11 * 20 minūtes = 2,20 euro. Gada plānots 900 * 2,20 euro = 1980,00 euro.</t>
  </si>
  <si>
    <t>Gada izmaksas sastāda 80,22 euro. Vidējie mēneša izdevumi par remonta un uzturēšanas materiāliem sastāda 6,69 euro (80,22 : 12 = 6,69 euro) (papīra dvieļi-16,24 euro, atkritumu maisiem 16,92 euro, universālam mazgāšanas līdzeklim 0,58 euro, lupatām 4,57 euro, švammēm 1,46 euro, tīrīšanas pastai 0,35 euro). Izdevumi uz 1 izmeklējumu sastāda6,69: 18154 izmeklējumi = 0,0004 euro. Gadā plānots 100 * 0,0004 euro = 0,04 euro.</t>
  </si>
  <si>
    <t>Kopējās gada izmaksas sastāda 60,30 euro.Vidējās izmaksas mēnesī sastāda 5,03 euro (60,30 :12 = 5,03 euro). Izdevumi uz 1 izmeklējumu sastāda 5,03 euro : 18154 izmeklējumi = 0,0003 euro. Gadā plānots 20 * 0,0003 = 0,01 euro.</t>
  </si>
  <si>
    <t>Viena izmeklējuma veikšanu nodrošina sertificēts biomedicīnas laborants (atalgojums mēnesī 795 euro) un laboratorijas vadītājs (atalgojums mēnesī 1482 euro). Darba laika patēriņš 1 izmeklējuma veikšanai 18 minūtes biomedicīnas laborantam un 5 minūtes laboratorijas vadītājam. 1 minūtes darba izmaksas laborantam 795 euro : 166,17 stundas (vidējais darba stundu skaits mēnesī 2015.gadā) : 60 minūtes ir 795 : 166,17 : 60 = 0,08 euro, laboratorijas vadītājam 1482 : 166,17stundas : 60minūtes = 0,15 euro. 1 izmeklējuma veikšanas darba izmaksas 0,08 * 18 minūtes + 0,15 * 5 minūtes = 1,44 + 0,75 = 2,19 euro. Gadā plānots 10 *2,19 = 21,90 euro.</t>
  </si>
  <si>
    <t>Kopējās gada izmaksas sastāda 60,30 euro.Vidējās izmaksas mēnesī sastāda 5,03 euro (60,30 :12 = 5,03 euro). Izdevumi uz 1 izmeklējumu sastāda 5,03 euro: 18154 izmeklējumi = 0,0003 euro. Gadā plānots 150 *  0,0003 = 0,05 euro.</t>
  </si>
  <si>
    <t>Gada apsaimniekošanas izmaksas sastāda 4601,30 euro. Vidējie mēneša izdevumi par apsaimniekošanu sastāda  kopā 383,44 euro (4601,30 : 12 = 383,44 euro). Izdevumi uz 1 izmeklējumu 383,44: 18154 izmeklējumi = 0,02 euro. Gadā plānots 0,02 * 10 = 0,21 euro.</t>
  </si>
  <si>
    <t>Gada apsaimniekošanas izmaksas sastāda 4601,30 euro. Vidējie mēneša izdevumi par apsaimniekošanu sastāda  kopā 383,44 euro (4601,30 : 12 = 383,44 euro). Izdevumi uz 1 izmeklējumu 383,44: 18154 izmeklējumi = 0,02 euro. Gadā plānots 0,02 * 900 = 18,90 euro.</t>
  </si>
  <si>
    <t>Viena izmeklējuma veikšanu nodrošina sertificēts Ārsts-laborants (atalgojums mēnesī 1057 euro). Darba laika patēriņš 1 izmeklējuma veikšanai 20 minūtes. 1 minūtes darba izmaksas 1057euro : 166,17 stundas (vidējais darba stundu skaits mēnesī 2015.gadā): 60 minūtes ir 1057 : 166,17 : 60 = 0,11 euro. 1 izmeklējuma veikšanas darba izmaksas 0,11 * 20 minūtes = 2,20 euro. Gadā plānots 100 * 2,20 euro = 220,00 euro.</t>
  </si>
  <si>
    <t>Kopējās gada izmaksas sastāda 60,30 euro.Vidējās izmaksas mēnesī sastāda 5,03 euro (60,30 :12 = 5,03 euro). Izdevumi uz 1 izmeklējumu sastāda 5,03 euro: 18154 izmeklējumi = 0,0003 euro. Gadā plānots 100 * 0,0003 = 0,03 euro.</t>
  </si>
  <si>
    <t>Gada izmaksas sastāda 114,38 euro. Vidējie mēneša izdevumi 9,53 euro (114,38: 12 = 9,53 euro). Izdevumi uz 1 izmeklējumu sastāda 0,0005 euro (9,53: 18154 izmeklējumi = 0,0005 euro). Gadā plānots 0,0005 * 100 = 0,05 euro.</t>
  </si>
  <si>
    <t>Gada faktiskās izmaksas 3619,08 euro. Vidējie mēneša izdevumi par apkuri sastāda 3619,08 : 12 = 301,59 euro. Izdevumi apkurei uz 1 izmeklējumu 301,59 : 18154 izmeklējumi = 0,02 euro. Gadā  20 * 0,02 = 0,33 euro.</t>
  </si>
  <si>
    <t>Gada faktiskās izmaksas 346,27 euro. Vidējie mēneša izdevumi par atkritumu izvešanu sastāda 346,27 euro: 12 = 28,86 euro. Izdevumi uz 1 izmeklējumu 28,86 euro: 18154 izmeklējumi = 0,002 euro. Gadā plānots 100 * 0,002 = 0,16 euro.</t>
  </si>
  <si>
    <t>Kopējās gada izmaksas sastāda 60,30 euro. Vidējās izmaksas mēnesī sastāda 5,03 euro (60,30 :12 = 5,03 euro). Izdevumi uz 1 izmeklējumu sastāda 5,03 euro: 18154 izmeklējumi = 0,0003 euro. Gadā plānots 30 * 0,0003 = 0,01 euro.</t>
  </si>
  <si>
    <t>Viena izmeklējuma veikšanu nodrošina sertificēts Ārsts-laborants (atalgojums mēnesī 1057 euro). Darba laika patēriņš 1 izmeklējuma veikšanai 30 minūtes. 1 minūtes darba izmaksas 1057euro : 166,17 stundas (vidējais darba stundu skaits mēnesī 2015.gadā) : 60 minūtes ir 1057 : 166,17 : 60 = 0,11 euro. 1 izmeklējuma veikšanas darba izmaksas 0,11 * 30 minūtes = 3,30 euro. Gadā plānots 4 * 3,3 euro = 13,20 euro.</t>
  </si>
  <si>
    <t>Gada nolietojums sastāda 404,20 euro. Vidējie mēneša izdevumi 33,68 euro (404,20 : 12 = 33,68 euro). Izdevumi uz 1 izmeklējumi sastāda  0,002 euro (33,68: 18154 izmeklējumi = 0,002 euro). Gadā plānots 0,002 euro * 10 = 0,02 euro.</t>
  </si>
  <si>
    <t>Gada faktiskās izmaksas 346,27 euro. Vidējie mēneša izdevumi par atkritumu izvešanu sastāda 346,27 euro : 12 = 28,86 euro. Izdevumi uz 1 izmeklējumu 28,86 euro : 18154 izmeklējumi = 0,002 euro. Gadā plānots 250 * 0,002 = 0,40 euro.</t>
  </si>
  <si>
    <t>Gada faktiskās izmaksas 346,27 euro. Vidējie mēneša izdevumi par atkritumu izvešanu sastāda 346,27 euro : 12 = 28,86 euro. Izdevumi uz 1 izmeklējumu 28,86 : 18154 izmeklējumi = 0,002 euro. Gadā plānots 2000 * 0,002 = 3,20 euro.</t>
  </si>
  <si>
    <t>Gada nolietojums sastāda 404,20 euro. Vidējie mēneša izdevumi 33,68 euro (404,20: 12 = 33,68 euro). Izdevumi uz 1 izmeklējumi sastāda  0,002 euro (33,68 : 18154 izmeklējumi = 0,002 euro). Gadā plānots 0,002 euro * 10 = 0,02 euro.</t>
  </si>
  <si>
    <t>Gada faktiskās izmaksas 346,27 euro. Vidējie mēneša izdevumi par atkritumu izvešanu sastāda 346,27 euro : 12 = 28,86 euro. Izdevumi uz 1 izmeklējumu 28,86 euro: 18154 izmeklējumi = 0,002 euro. Gadā plānots 20 * 0,002 = 0,03 euro.</t>
  </si>
  <si>
    <t>Gada izmaksas sastāda 117,09 euro.  Vidējie mēneša izdevumi par specapģērbu mazgāšanu sastāda 9,76 euro (117,09 : 12 = 9,76 euro). Izdevumi uz 1 izmeklējumu sastāda 9,76 : 18154 izmeklējumi = 0,001 euro. Gada apjoms 60 * 0,001 euro = 0,03 euro.</t>
  </si>
  <si>
    <t>Gada nolietojums sastāda 404,20 euro. Vidējie mēneša izdevumi 33,68 euro (404,20 : 12 = 33,68 euro). Izdevumi uz 1 izmeklējumi sastāda  0,002 euro (33,68: 18154 izmeklējumi = 0,002 euro). Gadā plānots 0,002 euro * 700 = 1,40 euro.</t>
  </si>
  <si>
    <t>Gada izdevumi iekārtu tehniskai apkopei un remontam 4639,55 euro. Vidējie mēneša izdevumi 386,63 euro (4639,55: 12 = 386,63 euro). Izdevumi uz 1 izmeklējumu sastāda 0,02 euro (386,63 : 18154 izmeklējumi = 0,02 euro). Gadā plānots 20 * 0,02 euro = 0,42 euro.</t>
  </si>
  <si>
    <t>Gada biroja preču izlietojums sastāda 659,92 euro. Vidējie mēneša izdevumi par biroja precēm sastāda 54,99 euro (659,92: 12 = 54,99 euro). Izdevumi uz 1 izmeklējumu sastāda 54,99 : 18154 izmeklējumi = 0,003euro. Gadā plānots 20 * 0,003 euro = 0,06 euro.</t>
  </si>
  <si>
    <t>Gada izdevumi iekārtu tehniskai apkopei un remontam 4639,55 euro. Vidējie mēneša izdevumi 386,63 euro (4639,55: 12 = 386,63 euro). Izdevumi uz 1 izmeklējumu sastāda 0,02 euro (386,63 : 18154 izmeklējumi = 0,02 euro). Gadā plānots 60 * 0,02 euro = 1,26 euro.</t>
  </si>
  <si>
    <t>Kopējās gada izmaksas sastāda 60,30 euro. Vidējās izmaksas mēnesī sastāda 5,03 euro (60,30 :12 = 5,03 euro). Izdevumi uz 1 izmeklējumu sastāda 5,03 euro: 18154 izmeklējumi = 0,0003 euro. Gadā plānots 100 *  0,0003 = 0,03 euro.</t>
  </si>
  <si>
    <t>6 euro par katru komandējuma dienu. 1 diena * 1 lektors * 6 euro  = 6 euro.  1 dalībniekam = 6 euro: 10 dalībniekiem = 0,60 euro.</t>
  </si>
  <si>
    <t>Gada izmaksas sastāda 114,38 euro. Vidējie mēneša izdevumi 9,53 euro (114,38: 12 = 9,53 euro). Izdevumi uz 1 izmeklējumu sastāda 0,0005 euro (9,53:18154 izmeklējumi = 0,0005 euro). Gadā plānots 0,0005 * 60 = 0,03 euro.</t>
  </si>
  <si>
    <t>Gada izdevumi iekārtu tehniskai apkopei un remontam 4639,55 euro. Vidējie mēneša izdevumi 386,63 euro (4639,55 : 12 = 386,63 euro). Izdevumi uz 1 izmeklējumu sastāda 0,02 euro (386,63: 18154 izmeklējumi = 0,02 euro). Gadā plānots 27 *  0,02 euro = 0,57 euro.</t>
  </si>
  <si>
    <t>Gada biroja preču izlietojums sastāda 659,92 euro. Vidējie mēneša izdevumi par biroja precēm sastāda 54,99 euro (659,92 : 12 = 54,99 euro). Izdevumi uz 1 izmeklējumu sastāda 54,99 : 18154 izmeklējumi = 0,003 euro. Gadā plānots 27 * 0,003 euro = 0,08 euro.</t>
  </si>
  <si>
    <t>Gada nolietojums sastāda 404,20 euro. Vidējie mēneša izdevumi 33,68 euro (404,20 : 12 = 33,68 euro). Izdevumi uz 1 izmeklējumi sastāda  0,002 euro (33,68: 18154 izmeklējumi = 0,002 euro). Gadā plānots 0,002 euro * 27 = 0,05 euro.</t>
  </si>
  <si>
    <t>Gada nolietojums sastāda 404,20 euro. Vidējie mēneša izdevumi 33,68 euro (404,20: 12 = 33,68 euro). Izdevumi uz 1 izmeklējumi sastāda  0,002 euro (33,68 : 18154 izmeklējumi = 0,002 euro). Gadā plānots 0,002 euro * 2000 = 3,80 euro.</t>
  </si>
  <si>
    <t>Gada biroja preču izlietojums sastāda 659,92 euro. Vidējie mēneša izdevumi par biroja precēm sastāda 54,99 euro (659,92 : 12 = 54,99 euro). Izdevumi uz 1 izmeklējumu sastāda 54,99 : 18154 izmeklējumi = 0,003 euro. Gadā plānots 4 * 0,003 euro = 0,01 euro.</t>
  </si>
  <si>
    <t>Plānotais pakalpojuma sniegšanas vienību skaits: 337</t>
  </si>
  <si>
    <r>
      <t xml:space="preserve">Maksas pakalpojuma veids: </t>
    </r>
    <r>
      <rPr>
        <sz val="12"/>
        <rFont val="Times New Roman"/>
        <family val="1"/>
        <charset val="186"/>
      </rPr>
      <t>2.2. Vēnas punkcija ar 1 vakutaineri</t>
    </r>
  </si>
  <si>
    <r>
      <t xml:space="preserve">Maksas pakalpojuma veids: </t>
    </r>
    <r>
      <rPr>
        <sz val="12"/>
        <rFont val="Times New Roman"/>
        <family val="1"/>
        <charset val="186"/>
      </rPr>
      <t>2.3. Vēnas punkcija ar 2 vai vairāk vakutaineriem</t>
    </r>
  </si>
  <si>
    <r>
      <t xml:space="preserve">Maksas pakalpojuma veids: </t>
    </r>
    <r>
      <rPr>
        <sz val="12"/>
        <rFont val="Times New Roman"/>
        <family val="1"/>
        <charset val="186"/>
      </rPr>
      <t>2.4. Asins grupas noteikšana ABO sistēmā izmantojot plaknes metodi (dubultreakcija)</t>
    </r>
  </si>
  <si>
    <t>1 izmeklējuma veikšanai nepieciešams 0,77 euro, tai skaitā: 1) vate 2,04 gr. - 0,01 euro; 2) dezinfekcijas līdzeklis 1 procedūrai -  0,005 euro; 3) salvetes sterilas 1 gb. -  0,07 euro; 4) vakumstobra adata 21G ar drošības sistēmu un turētēju 1 gb. - 0,29 euro; 5) vienreizējās lietošanas cimdi  pāris - 0,04 euro; 6) elastīgā saite 0,25 gb. - 0,13 euro; 7) sterili kociņi 1 gb. - 0,06 euro; 8) St/vakutaineri 6 ml  1 gb.- 0,08 euro vai St/vakutaineri 9 ml 1 gb. - 0,09 euro. Vidējās izmaksas vakutaineriem 0,09 euro; 9) vakuma stobriņš EDTA 1 gb. - 0,07 euro. Gadā plānots 0,85 * 337 = 259.49 euro.</t>
  </si>
  <si>
    <t>Gada faktiskās izmaksas 38,20 euro. Vidējās 1 mēneša izmaksas sarunām 38,20 euro : 12 mēneši = 3,18 euro. Vidējais izmeklējumu skaits mēnesī 18154. (2014.gads VADC donori-163073 izmeklējumi, maksas pakalpojumi-8718,5 izmeklējumi, ASN donori - 4100 izmeklējumi, grūtnieču izmeklējumi -1951,5 izmeklējumi. Kopā 2014.gads 217843 izmeklējumi. Izmaksas uz 1 izmeklējumu 3,18 : 18154 izmeklējumi = 0,0002 euro. Gadā plānots 337 * 0,0002 = 0,07 euro.</t>
  </si>
  <si>
    <t>Gada faktiskās izmaksas 3619,08 euro. Vidējie mēneša izdevumi par apkuri sastāda 3619,08 : 12 = 301,59 euro. Izdevumi apkurei uz 1 izmeklējumu 301,59 : 18154 izmeklējumi = 0,02 euro. Gadā 337 * 0,02 = 5,73 euro.</t>
  </si>
  <si>
    <t>Gada faktiskās izmaksas sastāda 372,23 euro. Vidējie mēneša izdevumi par ūdeni un kanalizāciju sastāda 372,23 : 12 = 31,02 euro). Izdevumi uz 1 izmeklējumu 31,02 : 18154 izmeklējumi = 0,002 euro. Gadā plānots 337 * 0,002 = 0,67 euro.</t>
  </si>
  <si>
    <t>Gada faktiskās izmaksas  6459,25 euro. Vidējie mēneša izdevumi par elektroenerģiju sastāda 6459,25: 12 = 538,27 euro. Izdevumi uz 1 izmeklējumu 538,27: 18154 izmeklējumi = 0,03 euro. Gadā plānots 337 * 0,03 = 10,11 euro.</t>
  </si>
  <si>
    <t>Gada faktiskās izmaksas 346,27 euro. Vidējie mēneša izdevumi par atkritumu izvešanu sastāda 346,27 euro: 12 = 28,86 euro. Izdevumi uz 1 izmeklējumu28,86: 18154 izmeklējumi = 0,002 euro. Gadā plānots 337 *  0,002 = 0,67 euro.</t>
  </si>
  <si>
    <t>Administratīvie izdevumi, kas nodrošina iestādes vispārējo darbu. Atbilstoši VADC iekšējam normatīvam aktam  Nr.1-24.6/14-2014/SIN-002 (09.12.2014.g.) "Uzskaites izcenojumu (pašizmaksa) noteikšana, pārskatīšana un apstiprināšana" izmaksu sadalījums pēc funkcijām (I.līmenis) noteikts, ka no Vadības funkciju veicēju (Centra vadība, Administratīvais departaments, Finanšu departaments) kopējām izmaksām 3,05 % tiek sadalīti konsultatīvai imūnhematoloģiskajai izmeklēšanai (funkcijas realizācija nav saistīta ar asins, asins komponentu sagatavošanu). Vadības funkciju veicēju kopējās 2014.gada izmaksas sastāda 472868,13 euro, kur 3,05% sastāda 14422,48 euro gadā. Administratīvās izmaksas (CV, FD, AD)  mēnesī sastāda 1201,87 euro (14422,48 euro : 12 mēneši = 1201,87 euro). Izdevumi uz 1 izmeklējumu sastāda 1201,87 : 18154 izmeklējumi = 0,07  euro. Gadā plānots 0,07 euro * 337 = 23,59 euro.</t>
  </si>
  <si>
    <t>Gada izdevumi iekārtu tehniskai apkopei un remontam 4639,55 euro. Vidējie mēneša izdevumi 386,63 euro (4639,55 : 12 = 386,63 euro). Izdevumi uz 1 izmeklējumu sastāda 0,02 euro (386,63 : 18154 izmeklējumi = 0,02 euro). Gadā plānots 337 * 0,02 euro = 7,08 euro.</t>
  </si>
  <si>
    <t>Gada apsaimniekošanas izmaksas sastāda 4601,30 euro. Vidējie mēneša izdevumi par apsaimniekošanu sastāda  kopā 383,44 euro (4601,30 : 12 = 383,44 euro). Izdevumi uz 1 izmeklējumu 383,44 : 18154 izmeklējumi = 0,02euro. Gadā plānots 0,02 * 337 = 7,11 euro.</t>
  </si>
  <si>
    <t>Kopējās gada izmaksas sastāda 60,30 euro.Vidējās izmaksas mēnesī sastāda 5,03 euro (60,30 :12 = 5,03 euro). Izdevumi uz 1 izmeklējumu sastāda 5,03 euro : 18154 izmeklējumi = 0,0003 euro. Gadā plānots 337 *  0,0003 = 0,10 euro.</t>
  </si>
  <si>
    <t>Gada izmaksas sastāda 117,09 euro.  Vidējie mēneša izdevumi par specapģērbu mazgāšanu sastāda 9,76 euro (117,09 : 12 = 9.76 euro). Izdevumi uz 1 izmeklējumu sastāda 9,76 : 18154 izmeklējumi = 0,001 euro. Gada apjoms 337 *  0,001 euro = 0,17 euro.</t>
  </si>
  <si>
    <t>Gada biroja preču izlietojums sastāda 659,92 euro. Vidējie mēneša izdevumi par biroja precēm sastāda 54,99 euro (659,92 : 12 = 54,99 euro). Izdevumi uz 1 izmeklējumu sastāda 54,99 : 18154 izmeklējumi = 0,003 euro. Gadā plānots 337* 0,003 euro =1,01 euro.</t>
  </si>
  <si>
    <t>Gada izmaksas sastāda 80,22 euro. Vidējie mēneša izdevumi par remonta un uzturēšanas materiāliem sastāda 6,69euro ( 80,22 : 12 = 6,69 euro) (papīra dvieļi-16,24 euro,atkritumu maisiem 16,92 euro,universālam mazgāšanas līdzeklim 0,58 euro, lupatām 4,57 euro, švammēm 1,46 euro, tīrīšanas pastai 0,35 euro). Izdevumi uz 1 izmeklējumu sastāda6,69 : 18154 izmeklējumi = 0,0004 euro. Gadā plānots 337 * 0,0004 euro = 0,13 euro.</t>
  </si>
  <si>
    <t>Gada izmaksas sastāda 114,38 euro. Vidējie mēneša izdevumi 9,53 euro (114,38 : 12 = 9,53 euro). Izdevumi uz 1 izmeklējumu sastāda 0,0005 euro (9,53: 18154 izmeklējumi = 0,0005 euro). Gadā plānots 0,0005 * 337 = 0,17 euro.</t>
  </si>
  <si>
    <t>Gada nolietojums sastāda 404,20 euro. Vidējie mēneša izdevumi 33,68 euro (404,20 : 12 = 33,68 euro). Izdevumi uz 1 izmeklējumi sastāda  0,002 euro (33,68 : 18154 izmeklējumi = 0,002 euro). Gadā plānots 0,002 euro * 337 = 0,67 euro.</t>
  </si>
  <si>
    <t>Viena izmeklējuma veikšanu nodrošina sertificēts biomedicīnas laborants (atalgojums mēnesī 795 euro). Darba laika patēriņš 1 izmeklējuma veikšanai 10 minūtes. 1 minūtes darba izmaksas 795 euro : 166,17 stundas (vidējais darba stundu skaits mēnesī 2015.gadā) : 60  minūtes ir 795 : 166,17 : 60 = 0,08 euro. 1 izmeklējuma veikšanas darba izmaksas 0,08 *10minūtes = 0,80 euro. Gada apjoms 337. Gadā plānots 337 * 0,80 = 269,60 euro.</t>
  </si>
  <si>
    <r>
      <t>Antieritrocitāro antivielu skrīnings (37</t>
    </r>
    <r>
      <rPr>
        <vertAlign val="superscript"/>
        <sz val="12"/>
        <color theme="1"/>
        <rFont val="Times New Roman"/>
        <family val="1"/>
        <charset val="186"/>
      </rPr>
      <t>o</t>
    </r>
    <r>
      <rPr>
        <sz val="12"/>
        <color theme="1"/>
        <rFont val="Times New Roman"/>
        <family val="1"/>
        <charset val="186"/>
      </rPr>
      <t>vai 4</t>
    </r>
    <r>
      <rPr>
        <vertAlign val="superscript"/>
        <sz val="12"/>
        <color theme="1"/>
        <rFont val="Times New Roman"/>
        <family val="1"/>
        <charset val="186"/>
      </rPr>
      <t>o</t>
    </r>
    <r>
      <rPr>
        <sz val="12"/>
        <color theme="1"/>
        <rFont val="Times New Roman"/>
        <family val="1"/>
        <charset val="186"/>
      </rPr>
      <t xml:space="preserve"> , vai 20</t>
    </r>
    <r>
      <rPr>
        <vertAlign val="superscript"/>
        <sz val="12"/>
        <color theme="1"/>
        <rFont val="Times New Roman"/>
        <family val="1"/>
        <charset val="186"/>
      </rPr>
      <t>o</t>
    </r>
    <r>
      <rPr>
        <sz val="12"/>
        <color theme="1"/>
        <rFont val="Times New Roman"/>
        <family val="1"/>
        <charset val="186"/>
      </rPr>
      <t>)</t>
    </r>
    <r>
      <rPr>
        <vertAlign val="superscript"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>ar gelkaršu metodi ,enzīmu testu (1/2 karte Na Cl enzyme)</t>
    </r>
  </si>
  <si>
    <r>
      <t>Antieritrocitāro antivielu identifikācija (37</t>
    </r>
    <r>
      <rPr>
        <vertAlign val="superscript"/>
        <sz val="12"/>
        <color theme="1"/>
        <rFont val="Times New Roman"/>
        <family val="1"/>
        <charset val="186"/>
      </rPr>
      <t xml:space="preserve">o </t>
    </r>
    <r>
      <rPr>
        <sz val="12"/>
        <color theme="1"/>
        <rFont val="Times New Roman"/>
        <family val="1"/>
        <charset val="186"/>
      </rPr>
      <t>vai 4</t>
    </r>
    <r>
      <rPr>
        <vertAlign val="superscript"/>
        <sz val="12"/>
        <color theme="1"/>
        <rFont val="Times New Roman"/>
        <family val="1"/>
        <charset val="186"/>
      </rPr>
      <t>o</t>
    </r>
    <r>
      <rPr>
        <sz val="12"/>
        <color theme="1"/>
        <rFont val="Times New Roman"/>
        <family val="1"/>
        <charset val="186"/>
      </rPr>
      <t>, vai 20</t>
    </r>
    <r>
      <rPr>
        <vertAlign val="superscript"/>
        <sz val="12"/>
        <color theme="1"/>
        <rFont val="Times New Roman"/>
        <family val="1"/>
        <charset val="186"/>
      </rPr>
      <t>o)</t>
    </r>
    <r>
      <rPr>
        <sz val="12"/>
        <color theme="1"/>
        <rFont val="Times New Roman"/>
        <family val="1"/>
        <charset val="186"/>
      </rPr>
      <t>ar gelkaršu metodi, enzīmu testu (2 kartes Na Cl enzyme)</t>
    </r>
  </si>
  <si>
    <t xml:space="preserve">Visu 19 lektoru, kas piedalās mācību organizēšanā mēnešalga kopā 24868,75 euro. Darba dienu skaits vidēji mēnesī ir 21, stundu skaits darba dienā -8. Aprēķins: 24868,75 euro: 19 lektori: 21 darba dienu skaits: 8 stundas = 7,79 euro/ stundā. 7,79 euro/stundā: 10 dalībnieki = 0,78 euro/stundā. Lekcijas teorija 26,5 stundas * 0,78 euro/ stundā = 20,67 euro. Praktiskais, pastāvīgais darbs 5,5 stundas * 0,78 /euro stundā = 4,29 euro. Kopā:  20,67 + 4,29 =  24,96 euro. </t>
  </si>
  <si>
    <t>Darba devēja valsts sociālās apdrošināšanas obligātās iemaksas, sociāla rakstura pabalsti un kompensācijas 24,96 * 23,59%</t>
  </si>
  <si>
    <t xml:space="preserve">Visus 19 lektoru, kas piedalās mācību organizēšanā, mēnešalga kopā 24868,75 euro. Darba dienu skaits vidēji mēnesī ir 21, stundu skaits darba dienā -8. Aprēķins: 24868,75 euro: 19 lektori: 21 darba dienu skaits: 8 stundas = 7,79 euro/ stundā. 7,79 euro/ stundā: 10 dalībnieki = 0,78 euro/stundā. Lekcijas teorija 8 stundas * 0,78 euro/ stundā = 6,24 euro.  </t>
  </si>
  <si>
    <t>Darba devēja valsts sociālās apdrošināšanas obligātās iemaksas, sociāla rakstura pabalsti un kompensācijas 6,24 * 23,59%</t>
  </si>
  <si>
    <t xml:space="preserve">Visu 19 lektoru, kas piedalās mācību organizēšanā, mēnešalga kopā 24868,75 euro. Darba dienu skaits vidēji mēnesī ir 21, stundu skaits darba dienā -8. Aprēķins: 24868,75 euro: 19 lektori : 21 darba dienu skaits : 8 stundas = 7,79 euro/ stundā. 7,79 euro/stundā: 10 dalībnieki = 0,78 euro/stundā. Lekcijas teorija 21 stundas * 0,78 euro/ stundā = 16,38 euro. </t>
  </si>
  <si>
    <t>Darba devēja valsts sociālās apdrošināšanas obligātās iemaksas, sociāla rakstura pabalsti un kompensācijas 16,38 * 23,59%</t>
  </si>
  <si>
    <t xml:space="preserve">Visu 19 lektoru, kas piedalās mācību organizēšanā, mēnešalga kopā 24868,75 euro. Darba dienu skaits vidēji mēnesī ir 21, stundu skaits darba dienā -8. Aprēķins:  24868,75 euro: 19 lektori : 21 darba dienu skaits : 8 stundas = 7,79 euro/ stundā. 7,79 euro/stundā : 10 dalībnieki = 0,78 euro/stundā. Lekcijas teorija 27 stundas * 0,78 euro/ stundā = 21,06 euro. Praktiskais darbs 33 stundas * 0,78 /euro stundā = 25,74 euro. Kopā: 21,06 + 25,74 = 46,80 euro </t>
  </si>
  <si>
    <t>Darba devēja valsts sociālās apdrošināšanas obligātās iemaksas, sociāla rakstura pabalsti un kompensācijas 46,80 * 23,59%</t>
  </si>
  <si>
    <t>Visu 19 lektoru, kas piedalās mācību organizēšanā, mēnešalga kopā 24868,75 euro. Darba dienu skaits vidēji mēnesī ir 21, stundu skaits darba dienā -8. Aprēķins: 24868,75 euro : 19 lektori : 21 darba dienu skaits: 8 stundas = 7,79 euro/ stundā. 7,79 euro/stundā : 10 dalībnieki = 0,78 euro/stundā. Lekcijas teorija 15 stundas * 0,78 euro/ stundā = 11,70 euro. Praktiskais, pastāvīgais darbs 6 stundas * 0,78 /euro stundā = 4,68 euro. Kopā: 11,70 + 4,68  =  16,38 euro.</t>
  </si>
  <si>
    <t>Darba devēja valsts sociālās apdrošināšanas obligātās iemaksas, sociāla rakstura pabalsti un kompensācijas 16,38 * 23,59%.</t>
  </si>
  <si>
    <t xml:space="preserve">Visu 19 lektoru, kas piedalās mācību organizēšanā, mēnešalga kopā 24868,75 euro. Darba dienu skaits vidēji mēnesī ir 21, stundu skaits darba dienā -8. Aprēķins: 24868,75 euro : 19 lektori : 21 darba dienu skaits: 8 stundas = 7,79 euro/ stundā. 7,79 euro/stundā : 10 dalībnieki = 0,78 euro/stundā. Lekcijas teorija 30 stundas * 0,78 euro/ stundā = 23,40 euro. Praktiskais, pastāvīgais darbs 40 stundas * 0,78 /euro stundā = 31,20 euro. Kopā: 23,40 + 31,20 = 54,60 euro </t>
  </si>
  <si>
    <t>Darba devēja valsts sociālās apdrošināšanas obligātās iemaksas, sociāla rakstura pabalsti un kompensācijas 54,60 * 23,59%</t>
  </si>
  <si>
    <t>10 dalībnieki kursu grupā. 14 stundas lekcijas vada VADC darbinieki, 2 stundas vieslektors. Visu VADC 19 lektoru, kas piedalās mācību organizēšanā, mēnešalga kopā 24868,75 euro. Darba dienu skaits vidēji mēnesī ir 21, stundu skaits darba dienā -8. Aprēķins: 24868,75 euro : 19 lektori : 21 darba dienu skaits : 8 stundas = 7,79 euro/ stundā. 7,79 euro/stundā : 10 dalībnieki = 0,78 euro/stundā. Lekcijas teorija 14 stundas (VADC darbinieki) * 0,78 euro/ stundā = 109,06 :10 dalībniekiem = 10,91 euro. Vieslektoram izmaksājama autoratlīdzība 45 euro stundā ar nodokļiem. Aprēķins:  15% - 6,75 euro autora izdevumu apmērs. Aprēķina summu, no kuras rēķina IN. 45 euro - 6,75 euro= 38,25 euro. IN (iedz. ienākuma nodoklis) = 38,25*23% (IN) = 8,8 euro. 45 euro -8,8 euro = 36,2 euro. 45 euro * 2 stundas vieslektora lekcija = 90 : 10 kursu dalībnieki = 9 euro.  Kopā: 10,91 + 9 = 19,91 euro.</t>
  </si>
  <si>
    <r>
      <t xml:space="preserve">10 dalībnieki kursu grupā. 21 stundas lekcijas vada VADC darbinieki, 3 stundas vieslektors. Visu VADC 19 lektoru, kas piedalās mācību organizēšanā, mēnešalga kopā 24868,75 euro. Darba dienu skaits vidēji mēnesī ir 21, stundu skaits darba dienā -8. Aprēķins: 24868,75 euro: 19 lektori: 21 darba dienu skaits : 8 stundas = 7,79 euro/ stundā. 7,79 euro/stundā : 10 dalībnieki = 0,78 euro/stundā. Lekcijas teorija 21 stundas (VADC darbinieki) *  0,78 euro/ stundā = </t>
    </r>
    <r>
      <rPr>
        <b/>
        <sz val="11"/>
        <rFont val="Times New Roman"/>
        <family val="1"/>
        <charset val="186"/>
      </rPr>
      <t>16,38 euro</t>
    </r>
    <r>
      <rPr>
        <sz val="11"/>
        <rFont val="Times New Roman"/>
        <family val="1"/>
        <charset val="186"/>
      </rPr>
      <t xml:space="preserve">.  Praktiskais, pastāvīgais darbs 6 stundas * 0,78 /euro stundā = 4,68 euro. Vieslektoram izmaksājama autoratlīdzība 45 euro stundā ar nodokļiem. Aprēķins:  15% - 6, 75 euro autora izdevumu apmērs. Aprēķina summu, no kuras rēķina IN. 45 euro - 6,75 euro= 38,25 euro. IN (iedz. ienākuma nodoklis) = 38,25*23% (IN) = 8,8 euro. 45 euro -8,8 euro = 36,2 euro. 45 euro * 3  stundas vieslektora lekcija = 135 euro : 10 kursu dalībnieki = 13,5 euro . Kopā: 16,38 + 4,68 + 13,5= 34,56 euro </t>
    </r>
  </si>
  <si>
    <t>Darba devēja valsts sociālās apdrošināšanas obligātās iemaksas, sociāla rakstura pabalsti un kompensācijas 16,38 * 23,9%</t>
  </si>
  <si>
    <t xml:space="preserve">Visu 19 lektoru, kas piedalās mācību organizēšanā,  mēnešalga kopā 24868,75 euro. Darba dienu skaits vidēji mēnesī ir 21, stundu skaits darba dienā -8. Aprēķins: 24868,75 euro : 19 lektori : 21 darba dienu skaits: 8 stundas = 7,79 euro/ stundā. 7,79 euro/stundā : 10 dalībnieki = 0,78 euro/stundā. Lekcijas teorija 8 stundas * 0,78 euro/ stundā = 6,24 euro.  </t>
  </si>
  <si>
    <t xml:space="preserve">Visus 19 lektoru, kas piedalās mācību organizēšanā,  mēnešalga kopā 24868,75 euro. Darba dienu skaits vidēji mēnesī ir 21, stundu skaits darba dienā -8. Aprēķins: 24868,75 euro: 19 lektori: 21 darba dienu skaits: 8 stundas = 7,79 euro/ stundā. 7,79 euro/stundā: 10 dalībnieki = 0,78 euro/stundā. Lekcijas teorija 8 stundas * 0,78 euro/ stundā = 6,24 euro.  </t>
  </si>
  <si>
    <t xml:space="preserve">Visu 19 lektoru, kas piedalās mācību organizēšanā, mēnešalga kopā 24868,75 euro. Darba dienu skaits vidēji mēnesī ir 21, stundu skaits darba dienā - 8. Aprēķins: 24868,75 euro : 19 lektori : 21 darba dienu skaits : 8 stundas = 7,79 euro/ stundā. 7,79 euro/stundā : 10 dalībnieki = 0,78 euro/stundā. Lekcijas teorija 1 stunda *  0,78 euro/stundā = 0,78 euro. </t>
  </si>
  <si>
    <r>
      <t>VADC vidējās  izmaksas uz 1m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 xml:space="preserve"> gadā 4,1165 euro. Semināru telpa - 31,8 m</t>
    </r>
    <r>
      <rPr>
        <sz val="11"/>
        <rFont val="Calibri"/>
        <family val="2"/>
        <charset val="186"/>
      </rPr>
      <t>²</t>
    </r>
    <r>
      <rPr>
        <sz val="11"/>
        <rFont val="Times New Roman"/>
        <family val="1"/>
        <charset val="186"/>
      </rPr>
      <t>. Semināru telpas gada izmaksas -130,90 euro. Semināru telpas izmaksas vienai dienai 0,36 euro; vienai stundai 0,36 euro : 8 d.stundas = 0,045 euro.  Plānotais dalībnieku skaits vienā kursā 10. Vienam dalībniekam 0,045 : 10 = 0,01 euro.</t>
    </r>
  </si>
  <si>
    <t>Plānotais pakalpojuma sniegšanas vienību skaits: 3</t>
  </si>
  <si>
    <r>
      <t xml:space="preserve">Maksas pakalpojuma veids: </t>
    </r>
    <r>
      <rPr>
        <sz val="12"/>
        <rFont val="Times New Roman"/>
        <family val="1"/>
        <charset val="186"/>
      </rPr>
      <t>2.6. A apakšgrupas (A1 un A2) precizēšana ABO sistēmā ar lektīniem, stobriņu metode</t>
    </r>
  </si>
  <si>
    <r>
      <t xml:space="preserve">Maksas pakalpojuma veids: </t>
    </r>
    <r>
      <rPr>
        <sz val="12"/>
        <rFont val="Times New Roman"/>
        <family val="1"/>
        <charset val="186"/>
      </rPr>
      <t>2.7. ABO asins grupas (dubultreakcija) Rh (D) noteikšana ar gelkaršu metodi (karte ABO/D+reverse grouping)</t>
    </r>
  </si>
  <si>
    <r>
      <t xml:space="preserve">Maksas pakalpojuma veids: </t>
    </r>
    <r>
      <rPr>
        <sz val="12"/>
        <rFont val="Times New Roman"/>
        <family val="1"/>
        <charset val="186"/>
      </rPr>
      <t>2.9. ABO asins grupas (tiešā reakcija) Rh (D) noteikšana ar gelkaršu metodi (karte DiaClon ABO/D)</t>
    </r>
  </si>
  <si>
    <r>
      <t xml:space="preserve">Maksas pakalpojuma veids: </t>
    </r>
    <r>
      <rPr>
        <sz val="12"/>
        <rFont val="Times New Roman"/>
        <family val="1"/>
        <charset val="186"/>
      </rPr>
      <t>2.10. ABO asins grupas (tiešā reakcija) Rh (D) noteikšana ar gelkaršu metodi (karte DiaClon ABO/D+DAT)</t>
    </r>
  </si>
  <si>
    <r>
      <t xml:space="preserve">Maksas pakalpojuma veids: </t>
    </r>
    <r>
      <rPr>
        <sz val="12"/>
        <rFont val="Times New Roman"/>
        <family val="1"/>
        <charset val="186"/>
      </rPr>
      <t>2.11. Rh (D) noteikšana ar plaknes metodi</t>
    </r>
  </si>
  <si>
    <r>
      <t xml:space="preserve">Maksas pakalpojuma veids: </t>
    </r>
    <r>
      <rPr>
        <sz val="12"/>
        <rFont val="Times New Roman"/>
        <family val="1"/>
        <charset val="186"/>
      </rPr>
      <t>2.13. Rh fenotipa CcEe un Kell antigēna noteikšana ar gelkaršu metodi</t>
    </r>
  </si>
  <si>
    <r>
      <t xml:space="preserve">Maksas pakalpojuma veids: </t>
    </r>
    <r>
      <rPr>
        <sz val="12"/>
        <rFont val="Times New Roman"/>
        <family val="1"/>
        <charset val="186"/>
      </rPr>
      <t>2.15. Eritrocitāra antigēna noteikšana ar gelkaršu metodi</t>
    </r>
  </si>
  <si>
    <r>
      <t xml:space="preserve">Maksas pakalpojuma veids: </t>
    </r>
    <r>
      <rPr>
        <sz val="12"/>
        <rFont val="Times New Roman"/>
        <family val="1"/>
        <charset val="186"/>
      </rPr>
      <t>2.16. Eritrocitāru antigēnu P1, Lea, Leb, Lua, Lub, vai K, Kpa, Kpb, ka, kb kompleksa noteikšana ar gelkaršu metodi (ag profils I vai II)</t>
    </r>
  </si>
  <si>
    <r>
      <t xml:space="preserve">Maksas pakalpojuma veids: </t>
    </r>
    <r>
      <rPr>
        <sz val="12"/>
        <rFont val="Times New Roman"/>
        <family val="1"/>
        <charset val="186"/>
      </rPr>
      <t>2.17. Eritrocitāru antigēnu M, N, S, s, Fya, Fyb kompleksa noteikšana ar gelkaršu metodi (ag profils III)</t>
    </r>
  </si>
  <si>
    <r>
      <t xml:space="preserve">Maksas pakalpojuma veids: </t>
    </r>
    <r>
      <rPr>
        <sz val="12"/>
        <rFont val="Times New Roman"/>
        <family val="1"/>
        <charset val="186"/>
      </rPr>
      <t>2.18. D antigēna apstiprināšana ar gelkaršu metodi, netiešo antiglobulīna testu, ar karti Coombs anti IgG un parciālā D antigēna noteikšanas komplektu.</t>
    </r>
  </si>
  <si>
    <r>
      <t xml:space="preserve">Maksas pakalpojuma veids: </t>
    </r>
    <r>
      <rPr>
        <sz val="12"/>
        <rFont val="Times New Roman"/>
        <family val="1"/>
        <charset val="186"/>
      </rPr>
      <t>2.19. Antieritrocitāro antivielu skrīnings ar gelkaršu metodi, netiešo antiglobulīna testu (1/2 karte Liss Coombs)</t>
    </r>
  </si>
  <si>
    <r>
      <t xml:space="preserve">Maksas pakalpojuma veids: </t>
    </r>
    <r>
      <rPr>
        <sz val="12"/>
        <rFont val="Times New Roman"/>
        <family val="1"/>
        <charset val="186"/>
      </rPr>
      <t>2.21. Antieritrocitāro antivielu skrīnings identifikācija (37° vai 4°, vai 20°) ar gelkaršu metodi, enzīmu testu (1/2/ karte Na Cl enzyme)</t>
    </r>
  </si>
  <si>
    <r>
      <t xml:space="preserve">Maksas pakalpojuma veids: </t>
    </r>
    <r>
      <rPr>
        <sz val="12"/>
        <rFont val="Times New Roman"/>
        <family val="1"/>
        <charset val="186"/>
      </rPr>
      <t>2.22. Antieritrocitāro antivielu identifikācija ar gelkaršu metodi, netiešais antiglobulīna tests (2 kartes Liss/Coombs)</t>
    </r>
  </si>
  <si>
    <r>
      <t xml:space="preserve">Maksas pakalpojuma veids: </t>
    </r>
    <r>
      <rPr>
        <sz val="12"/>
        <rFont val="Times New Roman"/>
        <family val="1"/>
        <charset val="186"/>
      </rPr>
      <t>2.24. Antieritrocitāro antivielu identifikācija (37° vai 4°, vai 20°) ar gelkaršu metodi, enzīmu testu (2 kartes Na Cl enzyme)</t>
    </r>
  </si>
  <si>
    <r>
      <t xml:space="preserve">Maksas pakalpojuma veids: </t>
    </r>
    <r>
      <rPr>
        <sz val="12"/>
        <rFont val="Times New Roman"/>
        <family val="1"/>
        <charset val="186"/>
      </rPr>
      <t>2.26. Antieritrocitāro antivielu identifikācija ar gelkaršu metodi, netiešais antiglobulīna tests izmantojot ppaildus paneli ID Dia Panel Plus (1 karte Liss/Coombs)</t>
    </r>
  </si>
  <si>
    <r>
      <t xml:space="preserve">Maksas pakalpojuma veids: </t>
    </r>
    <r>
      <rPr>
        <sz val="12"/>
        <rFont val="Times New Roman"/>
        <family val="1"/>
        <charset val="186"/>
      </rPr>
      <t>2.28. Antieritrocitāro antivielu identifikācija ar gelkaršu metodi, netiešo antiglobulīna testu izmantojot papildus "Column panel 16" (3 kartes Liss/Coombs).</t>
    </r>
  </si>
  <si>
    <r>
      <t xml:space="preserve">Maksas pakalpojuma veids: </t>
    </r>
    <r>
      <rPr>
        <sz val="12"/>
        <rFont val="Times New Roman"/>
        <family val="1"/>
        <charset val="186"/>
      </rPr>
      <t>2.30. Recipienta un donora asins saderības tests ar gelkaršu metodi (netiešais antiglobulīna tests) vienas eritrocīta masas saderināšanai</t>
    </r>
  </si>
  <si>
    <r>
      <t xml:space="preserve">Maksas pakalpojuma veids: </t>
    </r>
    <r>
      <rPr>
        <sz val="12"/>
        <rFont val="Times New Roman"/>
        <family val="1"/>
        <charset val="186"/>
      </rPr>
      <t>2.32. Antieritrocitāro antivielu titrēšana ar gelkaršu metodi (1 antigēnu, 2 kartes Liss/Coombs)</t>
    </r>
  </si>
  <si>
    <r>
      <t xml:space="preserve">Maksas pakalpojuma veids: </t>
    </r>
    <r>
      <rPr>
        <sz val="12"/>
        <rFont val="Times New Roman"/>
        <family val="1"/>
        <charset val="186"/>
      </rPr>
      <t>2.33. Antieritrocitāro antivielu titrēšana ar gelkaršu metodi (1 antigēnu, 1 karti Liss/Coombs)</t>
    </r>
  </si>
  <si>
    <r>
      <t xml:space="preserve">Maksas pakalpojuma veids: </t>
    </r>
    <r>
      <rPr>
        <sz val="12"/>
        <rFont val="Times New Roman"/>
        <family val="1"/>
        <charset val="186"/>
      </rPr>
      <t>2.34. Hemolīzes tests 0 grupas standarteritrocītiem (Donāta - Landšteinera tests)</t>
    </r>
  </si>
  <si>
    <r>
      <t xml:space="preserve">Maksas pakalpojuma veids: </t>
    </r>
    <r>
      <rPr>
        <sz val="12"/>
        <rFont val="Times New Roman"/>
        <family val="1"/>
        <charset val="186"/>
      </rPr>
      <t>2.35. Tiešais antiglobulīna tests (DAT) ar gelkaršu metodi</t>
    </r>
  </si>
  <si>
    <r>
      <t xml:space="preserve">Maksas pakalpojuma veids: </t>
    </r>
    <r>
      <rPr>
        <sz val="12"/>
        <rFont val="Times New Roman"/>
        <family val="1"/>
        <charset val="186"/>
      </rPr>
      <t>2.37. Tiešā antiglobulīna diferencēšana (IgG; IgA; IgM; C3c; C3d; ctl) ar gelkaršu metodi</t>
    </r>
  </si>
  <si>
    <r>
      <t xml:space="preserve">Maksas pakalpojuma veids: </t>
    </r>
    <r>
      <rPr>
        <sz val="12"/>
        <rFont val="Times New Roman"/>
        <family val="1"/>
        <charset val="186"/>
      </rPr>
      <t>2.38. Tiešā antiglobulīna diferencēšana IgG; C3d; ctl ar gelkaršu metodi</t>
    </r>
  </si>
  <si>
    <r>
      <t xml:space="preserve">Maksas pakalpojuma veids: </t>
    </r>
    <r>
      <rPr>
        <sz val="12"/>
        <rFont val="Times New Roman"/>
        <family val="1"/>
        <charset val="186"/>
      </rPr>
      <t>2.40. Eluāta iegūšana no DAT pozitīviem eritrocītiem ar Dia Cidel</t>
    </r>
  </si>
  <si>
    <r>
      <t xml:space="preserve">Maksas pakalpojuma veids: </t>
    </r>
    <r>
      <rPr>
        <sz val="12"/>
        <rFont val="Times New Roman"/>
        <family val="1"/>
        <charset val="186"/>
      </rPr>
      <t>2.42. Seruma autoadsorbcija ar PEG (divkārša)</t>
    </r>
  </si>
  <si>
    <r>
      <t xml:space="preserve">Maksas pakalpojuma veids: </t>
    </r>
    <r>
      <rPr>
        <sz val="12"/>
        <rFont val="Times New Roman"/>
        <family val="1"/>
        <charset val="186"/>
      </rPr>
      <t>2.43. Seruma alloadsorbcija ar PEG (divkārša)</t>
    </r>
  </si>
  <si>
    <r>
      <t xml:space="preserve">Maksas pakalpojuma veids: </t>
    </r>
    <r>
      <rPr>
        <sz val="12"/>
        <rFont val="Times New Roman"/>
        <family val="1"/>
        <charset val="186"/>
      </rPr>
      <t>2.44. Seruma alloadsorbcija ar enzīmiem apstrādātiem eritrocītiem (bez skrīninga un identifikācijas)</t>
    </r>
  </si>
  <si>
    <r>
      <t xml:space="preserve">Maksas pakalpojuma veids: </t>
    </r>
    <r>
      <rPr>
        <sz val="12"/>
        <rFont val="Times New Roman"/>
        <family val="1"/>
        <charset val="186"/>
      </rPr>
      <t>2.45. Izmeklējamo eritrocītu atmazgāšana imūnhenatoloģiskiem testiem (trīskārša)</t>
    </r>
  </si>
  <si>
    <r>
      <t xml:space="preserve">Maksas pakalpojuma veids: </t>
    </r>
    <r>
      <rPr>
        <sz val="12"/>
        <rFont val="Times New Roman"/>
        <family val="1"/>
        <charset val="186"/>
      </rPr>
      <t>2.46. Anti-HIV 1/2 un p24 antigēna noteikšana ar ECLIA metodi (Cobas, Roche)</t>
    </r>
  </si>
  <si>
    <r>
      <t xml:space="preserve">Maksas pakalpojuma veids: </t>
    </r>
    <r>
      <rPr>
        <sz val="12"/>
        <rFont val="Times New Roman"/>
        <family val="1"/>
        <charset val="186"/>
      </rPr>
      <t>2.47. HBsAg noteikšana ar ECLIA metodi (Cobas, Roche)</t>
    </r>
  </si>
  <si>
    <r>
      <t xml:space="preserve">Maksas pakalpojuma veids: </t>
    </r>
    <r>
      <rPr>
        <sz val="12"/>
        <rFont val="Times New Roman"/>
        <family val="1"/>
        <charset val="186"/>
      </rPr>
      <t>2.48. Anti-HCV 1/2 un noteikšana ar ECLIA metodi (Cobas, Roche)</t>
    </r>
  </si>
  <si>
    <r>
      <t xml:space="preserve">Maksas pakalpojuma veids: </t>
    </r>
    <r>
      <rPr>
        <sz val="12"/>
        <rFont val="Times New Roman"/>
        <family val="1"/>
        <charset val="186"/>
      </rPr>
      <t>2.49. Antitreponemālo antivielu noteikšana ar ECLIA metodi (Cobas, Roche)</t>
    </r>
  </si>
  <si>
    <t>2.37.</t>
  </si>
  <si>
    <t>2.38.</t>
  </si>
  <si>
    <t>2.39.</t>
  </si>
  <si>
    <t>2.40.</t>
  </si>
  <si>
    <t>2.41.</t>
  </si>
  <si>
    <t>2.42.</t>
  </si>
  <si>
    <t>2.43.</t>
  </si>
  <si>
    <t>2.44.</t>
  </si>
  <si>
    <t>2.45.</t>
  </si>
  <si>
    <t>2.46.</t>
  </si>
  <si>
    <t>2.47.</t>
  </si>
  <si>
    <t>2.48.</t>
  </si>
  <si>
    <t>2.49.</t>
  </si>
  <si>
    <t>Asins grupas noteikšana ABO sistēmā izmantojot plaknes metodi (dubultreakcija). Neatliekami.</t>
  </si>
  <si>
    <t>ABO asins grupas (dubultreakcija) un Rh (D) noteikšana ar gelkaršu metodi (karte ABO/D + reverse grouping).Neatliekami.</t>
  </si>
  <si>
    <t>Rh(D) noteikšana ar plaknes metodi. Neatliekami.</t>
  </si>
  <si>
    <t>Rh fenotipa CcEe un Kell antigēna noteikšana ar gelkaršu metodi. Neatliekami.</t>
  </si>
  <si>
    <t>Antieritrocitāro antivielu skrīnings ar gelkaršu metodi, netiešo antiglobulīna testu (1/2 karte Liss Coombs). Neatliekami.</t>
  </si>
  <si>
    <t>Antieritrocitāro antivielu identifikācija ar gelkaršu metodi, netiešais antiglobulīna tests (2 kartes Liss/Coombs). Neatliekami.</t>
  </si>
  <si>
    <r>
      <t>Antieritrocitāro antivielu identifikācija (37</t>
    </r>
    <r>
      <rPr>
        <vertAlign val="superscript"/>
        <sz val="12"/>
        <color theme="1"/>
        <rFont val="Times New Roman"/>
        <family val="1"/>
        <charset val="186"/>
      </rPr>
      <t xml:space="preserve">o </t>
    </r>
    <r>
      <rPr>
        <sz val="12"/>
        <color theme="1"/>
        <rFont val="Times New Roman"/>
        <family val="1"/>
        <charset val="186"/>
      </rPr>
      <t>vai 4</t>
    </r>
    <r>
      <rPr>
        <vertAlign val="superscript"/>
        <sz val="12"/>
        <color theme="1"/>
        <rFont val="Times New Roman"/>
        <family val="1"/>
        <charset val="186"/>
      </rPr>
      <t>o</t>
    </r>
    <r>
      <rPr>
        <sz val="12"/>
        <color theme="1"/>
        <rFont val="Times New Roman"/>
        <family val="1"/>
        <charset val="186"/>
      </rPr>
      <t>, vai 20</t>
    </r>
    <r>
      <rPr>
        <vertAlign val="superscript"/>
        <sz val="12"/>
        <color theme="1"/>
        <rFont val="Times New Roman"/>
        <family val="1"/>
        <charset val="186"/>
      </rPr>
      <t>o)</t>
    </r>
    <r>
      <rPr>
        <sz val="12"/>
        <color theme="1"/>
        <rFont val="Times New Roman"/>
        <family val="1"/>
        <charset val="186"/>
      </rPr>
      <t>ar gelkaršu metodi, enzīmu testu (2 kartes Na Cl enzyme). Neatliekami.</t>
    </r>
  </si>
  <si>
    <t>Recipienta un donora asins saderības tests ar gelkaršu metodi (netiešais antiglobulīna tests)- vienas eritrocītu masas saderināšanai. Neatliekami.</t>
  </si>
  <si>
    <t>Tiešais antiglobulīna tests (DAT) ar gelkaršu metodi. Neatliekami.</t>
  </si>
  <si>
    <t>Tiešā antiglobulīna testa diferencēšana IgG;C3d,ctl ar gelkaršu metodi. Neatliekami.</t>
  </si>
  <si>
    <t>Eluāta iegūšana no DAT pozitīviem eritrocītiem ar Dia Cidel. Neatliekami.</t>
  </si>
  <si>
    <r>
      <t xml:space="preserve">Maksas pakalpojuma veids: </t>
    </r>
    <r>
      <rPr>
        <sz val="12"/>
        <rFont val="Times New Roman"/>
        <family val="1"/>
        <charset val="186"/>
      </rPr>
      <t>2.5. Asins grupas noteikšana ABO sistēmā izmantojot plaknes metodi (dubultreakcija). Neatliekami.</t>
    </r>
  </si>
  <si>
    <r>
      <t xml:space="preserve">Maksas pakalpojuma veids: </t>
    </r>
    <r>
      <rPr>
        <sz val="12"/>
        <rFont val="Times New Roman"/>
        <family val="1"/>
        <charset val="186"/>
      </rPr>
      <t>2.8. ABO asins grupas (dubultreakcija) Rh (D) noteikšana ar gelkaršu metodi (karte ABO/D+reverse grouping). Neatliekami.</t>
    </r>
  </si>
  <si>
    <r>
      <t xml:space="preserve">Maksas pakalpojuma veids: </t>
    </r>
    <r>
      <rPr>
        <sz val="12"/>
        <rFont val="Times New Roman"/>
        <family val="1"/>
        <charset val="186"/>
      </rPr>
      <t>2.12. Rh (D) noteikšana ar plaknes metodi. Neatliekami.</t>
    </r>
  </si>
  <si>
    <r>
      <t xml:space="preserve">Maksas pakalpojuma veids: </t>
    </r>
    <r>
      <rPr>
        <sz val="12"/>
        <rFont val="Times New Roman"/>
        <family val="1"/>
        <charset val="186"/>
      </rPr>
      <t>2.14. Rh fenotipa CcEe un Kell antigēna noteikšana ar gelkaršu metodi. Neatliekami.</t>
    </r>
  </si>
  <si>
    <r>
      <t xml:space="preserve">Maksas pakalpojuma veids: </t>
    </r>
    <r>
      <rPr>
        <sz val="12"/>
        <rFont val="Times New Roman"/>
        <family val="1"/>
        <charset val="186"/>
      </rPr>
      <t>2.20. Antieritrocitāro antivielu skrīnings ar gelkaršu metodi, netiešo antiglobulīna testu (1/2 karte Liss Coombs). Neatliekami.</t>
    </r>
  </si>
  <si>
    <r>
      <t xml:space="preserve">Maksas pakalpojuma veids: </t>
    </r>
    <r>
      <rPr>
        <sz val="12"/>
        <rFont val="Times New Roman"/>
        <family val="1"/>
        <charset val="186"/>
      </rPr>
      <t>2.23. Antieritrocitāro antivielu identifikācija ar gelkaršu metodi, netiešais antiglobulīna tests (2 kartes Liss/Coombs). Neatliekami.</t>
    </r>
  </si>
  <si>
    <r>
      <t xml:space="preserve">Maksas pakalpojuma veids: </t>
    </r>
    <r>
      <rPr>
        <sz val="12"/>
        <rFont val="Times New Roman"/>
        <family val="1"/>
        <charset val="186"/>
      </rPr>
      <t>2.25. Antieritrocitāro antivielu identifikācija (37° vai 4°, vai 20°) ar gelkaršu metodi, enzīmu testu (2 kartes Na Cl enzyme). Neatliekami.</t>
    </r>
  </si>
  <si>
    <r>
      <t xml:space="preserve">Maksas pakalpojuma veids: </t>
    </r>
    <r>
      <rPr>
        <sz val="12"/>
        <rFont val="Times New Roman"/>
        <family val="1"/>
        <charset val="186"/>
      </rPr>
      <t>2.27. Antieritrocitāro antivielu identifikācija ar gelkaršu metodi, netiešais antiglobulīna tests izmantojot papildus paneli ID Dia Panel Plus (1 karte Liss/Coombs). Neatliekami.</t>
    </r>
  </si>
  <si>
    <r>
      <t xml:space="preserve">Maksas pakalpojuma veids: </t>
    </r>
    <r>
      <rPr>
        <sz val="12"/>
        <rFont val="Times New Roman"/>
        <family val="1"/>
        <charset val="186"/>
      </rPr>
      <t>2.29. Antieritrocitāro antivielu identifikācija ar gelkaršu metodi, netiešo antiglobulīna testu izmantojot papildus "Column panel 16" (3 kartes Liss/Coombs). Neatliekami.</t>
    </r>
  </si>
  <si>
    <r>
      <t xml:space="preserve">Maksas pakalpojuma veids: </t>
    </r>
    <r>
      <rPr>
        <sz val="12"/>
        <rFont val="Times New Roman"/>
        <family val="1"/>
        <charset val="186"/>
      </rPr>
      <t>2.31. Recipienta un donora asins saderības tests ar gelkaršu metodi (netiešais antiglobulīna tests) vienas eritrocīta masas saderināšanai. Neatliekami.</t>
    </r>
  </si>
  <si>
    <r>
      <t xml:space="preserve">Maksas pakalpojuma veids: </t>
    </r>
    <r>
      <rPr>
        <sz val="12"/>
        <rFont val="Times New Roman"/>
        <family val="1"/>
        <charset val="186"/>
      </rPr>
      <t>2.36. Tiešais antiglobulīna tests (DAT) ar gelkaršu metodi. Neatliekami.</t>
    </r>
  </si>
  <si>
    <r>
      <t xml:space="preserve">Maksas pakalpojuma veids: </t>
    </r>
    <r>
      <rPr>
        <sz val="12"/>
        <rFont val="Times New Roman"/>
        <family val="1"/>
        <charset val="186"/>
      </rPr>
      <t>2.39. Tiešā antiglobulīna diferencēšana IgG; C3d; ctl ar gelkaršu metodi. Neatliekami.</t>
    </r>
  </si>
  <si>
    <r>
      <t xml:space="preserve">Maksas pakalpojuma veids: </t>
    </r>
    <r>
      <rPr>
        <sz val="12"/>
        <rFont val="Times New Roman"/>
        <family val="1"/>
        <charset val="186"/>
      </rPr>
      <t>2.41. Eluāta iegūšana no DAT pozitīviem eritrocītiem ar Dia Cidel. Neatliekami.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</si>
</sst>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"/>
  </numFmts>
  <fonts count="29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u/>
      <sz val="11"/>
      <name val="Times New Roman"/>
      <family val="1"/>
      <charset val="186"/>
    </font>
    <font>
      <sz val="11"/>
      <name val="Arial"/>
      <family val="2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i/>
      <sz val="11"/>
      <name val="Times New Roman"/>
      <family val="1"/>
      <charset val="186"/>
    </font>
    <font>
      <sz val="14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FF0000"/>
      <name val="Times New Roman"/>
      <family val="1"/>
      <charset val="186"/>
    </font>
    <font>
      <b/>
      <sz val="11"/>
      <color rgb="FFFF0000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Calibri"/>
      <family val="2"/>
      <charset val="186"/>
    </font>
    <font>
      <vertAlign val="superscript"/>
      <sz val="1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u/>
      <sz val="10"/>
      <color theme="10"/>
      <name val="Times New Roman"/>
      <family val="1"/>
      <charset val="186"/>
    </font>
    <font>
      <u/>
      <sz val="12"/>
      <color theme="10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6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282">
    <xf numFmtId="0" fontId="0" fillId="0" borderId="0" xfId="0"/>
    <xf numFmtId="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Border="1" applyAlignment="1">
      <alignment horizontal="left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vertical="top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6" fillId="0" borderId="1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1" applyFont="1" applyBorder="1"/>
    <xf numFmtId="0" fontId="3" fillId="0" borderId="0" xfId="1" applyFont="1"/>
    <xf numFmtId="0" fontId="5" fillId="0" borderId="0" xfId="0" applyFont="1" applyAlignment="1">
      <alignment vertical="justify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9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165" fontId="3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Alignment="1"/>
    <xf numFmtId="0" fontId="3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0" fillId="0" borderId="0" xfId="0" applyAlignment="1"/>
    <xf numFmtId="0" fontId="11" fillId="0" borderId="0" xfId="0" applyFont="1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2" fontId="6" fillId="0" borderId="1" xfId="0" applyNumberFormat="1" applyFont="1" applyBorder="1" applyAlignment="1">
      <alignment horizontal="center" vertical="top"/>
    </xf>
    <xf numFmtId="10" fontId="0" fillId="0" borderId="0" xfId="0" applyNumberFormat="1"/>
    <xf numFmtId="2" fontId="3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12" fillId="0" borderId="0" xfId="0" applyFont="1"/>
    <xf numFmtId="0" fontId="14" fillId="0" borderId="0" xfId="0" applyFont="1"/>
    <xf numFmtId="0" fontId="10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15" fillId="0" borderId="0" xfId="0" applyFont="1" applyBorder="1" applyAlignment="1">
      <alignment vertical="center" wrapText="1"/>
    </xf>
    <xf numFmtId="0" fontId="13" fillId="0" borderId="0" xfId="1" applyFont="1"/>
    <xf numFmtId="0" fontId="3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/>
    <xf numFmtId="2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1" applyFont="1" applyBorder="1" applyAlignment="1">
      <alignment horizontal="center"/>
    </xf>
    <xf numFmtId="0" fontId="3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right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0" xfId="1" applyFont="1" applyFill="1"/>
    <xf numFmtId="0" fontId="5" fillId="0" borderId="0" xfId="0" applyFont="1" applyFill="1" applyAlignment="1">
      <alignment vertical="justify"/>
    </xf>
    <xf numFmtId="0" fontId="0" fillId="0" borderId="0" xfId="0" applyFill="1"/>
    <xf numFmtId="164" fontId="0" fillId="0" borderId="0" xfId="0" applyNumberFormat="1"/>
    <xf numFmtId="165" fontId="3" fillId="0" borderId="1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right" vertical="top"/>
    </xf>
    <xf numFmtId="0" fontId="0" fillId="0" borderId="0" xfId="0" applyAlignment="1">
      <alignment wrapText="1"/>
    </xf>
    <xf numFmtId="0" fontId="6" fillId="0" borderId="0" xfId="0" applyFont="1" applyBorder="1" applyAlignment="1"/>
    <xf numFmtId="2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wrapText="1"/>
    </xf>
    <xf numFmtId="165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165" fontId="0" fillId="0" borderId="0" xfId="0" applyNumberFormat="1"/>
    <xf numFmtId="0" fontId="6" fillId="0" borderId="1" xfId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0" fillId="4" borderId="0" xfId="0" applyFill="1"/>
    <xf numFmtId="0" fontId="0" fillId="0" borderId="0" xfId="0" applyAlignment="1">
      <alignment horizontal="left" vertical="center" wrapText="1"/>
    </xf>
    <xf numFmtId="0" fontId="19" fillId="0" borderId="0" xfId="0" applyFont="1" applyAlignment="1">
      <alignment horizontal="right"/>
    </xf>
    <xf numFmtId="0" fontId="0" fillId="0" borderId="0" xfId="0"/>
    <xf numFmtId="0" fontId="1" fillId="0" borderId="0" xfId="1" applyFont="1"/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 applyFont="1" applyAlignment="1">
      <alignment horizontal="right"/>
    </xf>
    <xf numFmtId="0" fontId="21" fillId="0" borderId="0" xfId="0" applyFont="1"/>
    <xf numFmtId="0" fontId="10" fillId="0" borderId="0" xfId="0" applyFont="1" applyAlignment="1"/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vertical="top" wrapText="1"/>
    </xf>
    <xf numFmtId="0" fontId="3" fillId="0" borderId="0" xfId="1" applyFont="1" applyFill="1" applyAlignment="1">
      <alignment horizontal="right"/>
    </xf>
    <xf numFmtId="0" fontId="3" fillId="0" borderId="0" xfId="1" applyFont="1" applyAlignment="1">
      <alignment horizontal="right" vertical="top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2" fontId="6" fillId="0" borderId="0" xfId="0" applyNumberFormat="1" applyFont="1" applyBorder="1" applyAlignment="1">
      <alignment horizontal="center" vertical="top"/>
    </xf>
    <xf numFmtId="0" fontId="5" fillId="0" borderId="0" xfId="0" applyFont="1" applyBorder="1"/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16" fillId="0" borderId="0" xfId="0" applyFont="1" applyAlignment="1"/>
    <xf numFmtId="0" fontId="2" fillId="0" borderId="0" xfId="0" applyFont="1" applyBorder="1" applyAlignment="1">
      <alignment vertical="center" wrapText="1"/>
    </xf>
    <xf numFmtId="0" fontId="16" fillId="0" borderId="0" xfId="0" applyFont="1" applyAlignment="1">
      <alignment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Alignment="1">
      <alignment wrapText="1"/>
    </xf>
    <xf numFmtId="2" fontId="6" fillId="3" borderId="1" xfId="0" applyNumberFormat="1" applyFont="1" applyFill="1" applyBorder="1" applyAlignment="1">
      <alignment horizontal="center" vertical="top"/>
    </xf>
    <xf numFmtId="2" fontId="6" fillId="3" borderId="1" xfId="1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top"/>
    </xf>
    <xf numFmtId="0" fontId="5" fillId="0" borderId="0" xfId="0" applyFont="1" applyAlignment="1"/>
    <xf numFmtId="0" fontId="23" fillId="0" borderId="0" xfId="2" applyFont="1" applyAlignment="1" applyProtection="1"/>
    <xf numFmtId="0" fontId="2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3" fillId="0" borderId="0" xfId="1" applyFont="1" applyAlignment="1">
      <alignment vertical="top" wrapText="1"/>
    </xf>
    <xf numFmtId="0" fontId="9" fillId="0" borderId="0" xfId="1" applyFont="1"/>
    <xf numFmtId="0" fontId="9" fillId="0" borderId="0" xfId="1" applyFont="1" applyAlignment="1">
      <alignment horizontal="right"/>
    </xf>
    <xf numFmtId="0" fontId="19" fillId="0" borderId="0" xfId="0" applyFont="1"/>
    <xf numFmtId="0" fontId="25" fillId="0" borderId="0" xfId="0" applyFont="1"/>
    <xf numFmtId="0" fontId="3" fillId="0" borderId="0" xfId="1" applyFont="1" applyBorder="1" applyAlignment="1">
      <alignment vertical="top" wrapText="1"/>
    </xf>
    <xf numFmtId="2" fontId="6" fillId="0" borderId="0" xfId="1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9" fillId="0" borderId="1" xfId="0" applyFont="1" applyBorder="1"/>
    <xf numFmtId="0" fontId="19" fillId="0" borderId="1" xfId="0" applyFont="1" applyBorder="1" applyAlignment="1">
      <alignment vertical="top"/>
    </xf>
    <xf numFmtId="0" fontId="19" fillId="0" borderId="1" xfId="0" applyFont="1" applyBorder="1" applyAlignment="1">
      <alignment vertical="center"/>
    </xf>
    <xf numFmtId="0" fontId="19" fillId="0" borderId="1" xfId="0" applyFont="1" applyFill="1" applyBorder="1"/>
    <xf numFmtId="0" fontId="28" fillId="0" borderId="0" xfId="1" applyFont="1"/>
    <xf numFmtId="0" fontId="28" fillId="0" borderId="0" xfId="1" applyFont="1" applyAlignment="1">
      <alignment horizontal="right"/>
    </xf>
    <xf numFmtId="0" fontId="21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9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23" fillId="0" borderId="0" xfId="2" applyFont="1" applyAlignment="1" applyProtection="1">
      <alignment horizontal="left"/>
    </xf>
    <xf numFmtId="0" fontId="20" fillId="0" borderId="0" xfId="0" applyFont="1" applyBorder="1" applyAlignment="1">
      <alignment horizontal="left"/>
    </xf>
    <xf numFmtId="0" fontId="3" fillId="0" borderId="0" xfId="1" applyFont="1" applyAlignment="1">
      <alignment wrapText="1"/>
    </xf>
    <xf numFmtId="0" fontId="3" fillId="0" borderId="3" xfId="1" applyFont="1" applyBorder="1" applyAlignment="1">
      <alignment wrapText="1"/>
    </xf>
    <xf numFmtId="0" fontId="3" fillId="0" borderId="0" xfId="1" applyFont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/>
    <xf numFmtId="0" fontId="3" fillId="0" borderId="0" xfId="1" applyFont="1" applyFill="1" applyAlignment="1">
      <alignment wrapText="1"/>
    </xf>
    <xf numFmtId="0" fontId="3" fillId="0" borderId="3" xfId="1" applyFont="1" applyFill="1" applyBorder="1" applyAlignment="1">
      <alignment wrapText="1"/>
    </xf>
    <xf numFmtId="0" fontId="3" fillId="0" borderId="0" xfId="1" applyFont="1" applyFill="1" applyAlignment="1">
      <alignment vertical="top" wrapText="1"/>
    </xf>
    <xf numFmtId="0" fontId="3" fillId="0" borderId="3" xfId="1" applyFont="1" applyFill="1" applyBorder="1" applyAlignment="1">
      <alignment vertical="top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center" wrapText="1"/>
    </xf>
    <xf numFmtId="0" fontId="16" fillId="3" borderId="0" xfId="0" applyFont="1" applyFill="1" applyAlignment="1">
      <alignment horizontal="center"/>
    </xf>
    <xf numFmtId="0" fontId="19" fillId="0" borderId="0" xfId="0" applyFont="1" applyAlignment="1">
      <alignment horizontal="left"/>
    </xf>
    <xf numFmtId="0" fontId="24" fillId="0" borderId="0" xfId="2" applyFont="1" applyAlignment="1" applyProtection="1">
      <alignment horizontal="left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usernames" Target="revisions/userNames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72" Type="http://schemas.openxmlformats.org/officeDocument/2006/relationships/revisionLog" Target="revisionLog8.xml"/><Relationship Id="rId68" Type="http://schemas.openxmlformats.org/officeDocument/2006/relationships/revisionLog" Target="NULL"/><Relationship Id="rId67" Type="http://schemas.openxmlformats.org/officeDocument/2006/relationships/revisionLog" Target="NULL"/><Relationship Id="rId71" Type="http://schemas.openxmlformats.org/officeDocument/2006/relationships/revisionLog" Target="NULL"/><Relationship Id="rId70" Type="http://schemas.openxmlformats.org/officeDocument/2006/relationships/revisionLog" Target="NULL"/><Relationship Id="rId75" Type="http://schemas.openxmlformats.org/officeDocument/2006/relationships/revisionLog" Target="revisionLog3.xml"/><Relationship Id="rId66" Type="http://schemas.openxmlformats.org/officeDocument/2006/relationships/revisionLog" Target="NULL"/><Relationship Id="rId74" Type="http://schemas.openxmlformats.org/officeDocument/2006/relationships/revisionLog" Target="revisionLog2.xml"/><Relationship Id="rId65" Type="http://schemas.openxmlformats.org/officeDocument/2006/relationships/revisionLog" Target="NULL"/><Relationship Id="rId73" Type="http://schemas.openxmlformats.org/officeDocument/2006/relationships/revisionLog" Target="revisionLog1.xml"/><Relationship Id="rId69" Type="http://schemas.openxmlformats.org/officeDocument/2006/relationships/revisionLog" Target="NUL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71D56E8-9587-4C08-9985-C412BD8E5D72}" diskRevisions="1" revisionId="2148" version="3">
  <header guid="{5FF3EB4C-8EAF-4D93-9612-0B351B2344E0}" dateTime="2017-05-12T11:16:01" maxSheetId="67" userName="Regina Filipova" r:id="rId65" minRId="1555" maxRId="1560">
    <sheetIdMap count="6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17"/>
    </sheetIdMap>
  </header>
  <header guid="{94D973A8-DCDC-4949-B307-175C8DDCF886}" dateTime="2017-05-12T11:26:37" maxSheetId="67" userName="Regina Filipova" r:id="rId66" minRId="1561" maxRId="1566">
    <sheetIdMap count="6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17"/>
    </sheetIdMap>
  </header>
  <header guid="{C8E4D8A0-D8B1-4664-AA77-476838D73946}" dateTime="2017-05-12T11:31:49" maxSheetId="67" userName="Regina Filipova" r:id="rId67" minRId="1567" maxRId="1569">
    <sheetIdMap count="6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17"/>
    </sheetIdMap>
  </header>
  <header guid="{097AE1C8-6AD0-4F34-8C85-C4A0CA3A715D}" dateTime="2017-05-12T11:36:37" maxSheetId="67" userName="Regina Filipova" r:id="rId68" minRId="1570" maxRId="1572">
    <sheetIdMap count="6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17"/>
    </sheetIdMap>
  </header>
  <header guid="{ED502714-15E1-43BF-9EA9-F218E23EF7B9}" dateTime="2017-05-12T11:49:17" maxSheetId="67" userName="Regina Filipova" r:id="rId69" minRId="1573" maxRId="1576">
    <sheetIdMap count="6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17"/>
    </sheetIdMap>
  </header>
  <header guid="{D116B571-A6DA-4434-B77A-C278944FFE89}" dateTime="2017-05-12T11:59:37" maxSheetId="67" userName="Regina Filipova" r:id="rId70" minRId="1577" maxRId="1586">
    <sheetIdMap count="6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17"/>
    </sheetIdMap>
  </header>
  <header guid="{7EF5E543-7BBE-4798-BEB6-022C4D85814A}" dateTime="2017-05-12T12:23:24" maxSheetId="67" userName="Regina Filipova" r:id="rId71">
    <sheetIdMap count="6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17"/>
    </sheetIdMap>
  </header>
  <header guid="{0B0B7FB0-83BC-4C16-BBD3-92C7CCF808FD}" dateTime="2017-05-12T16:20:22" maxSheetId="67" userName="lzandberga" r:id="rId72" minRId="1682" maxRId="1708">
    <sheetIdMap count="6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17"/>
    </sheetIdMap>
  </header>
  <header guid="{F073F81F-9BC0-4945-B713-77295482EF6A}" dateTime="2017-05-12T16:20:34" maxSheetId="67" userName="lzandberga" r:id="rId73" minRId="1802">
    <sheetIdMap count="6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17"/>
    </sheetIdMap>
  </header>
  <header guid="{44C2A0A8-E9B3-4520-A14A-C09ABBC0BFB7}" dateTime="2017-05-15T15:14:52" maxSheetId="67" userName="lzandberga" r:id="rId74" minRId="1803" maxRId="2031">
    <sheetIdMap count="6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17"/>
    </sheetIdMap>
  </header>
  <header guid="{871D56E8-9587-4C08-9985-C412BD8E5D72}" dateTime="2017-05-15T15:21:41" maxSheetId="67" userName="lzandberga" r:id="rId75" minRId="2032" maxRId="2055">
    <sheetIdMap count="6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17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2" sId="15">
    <oc r="A10" t="inlineStr">
      <is>
        <t>Plānotais pakalpojuma sniegšanas vienību skaits: 10</t>
      </is>
    </oc>
    <nc r="A10" t="inlineStr">
      <is>
        <t>Plānotais pakalpojuma sniegšanas vienību skaits: 3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3" sId="21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2.4.1. Asins grupas noteikšana ABO sistēmā izmantojot plaknes metodi (dubultreakcija) Steidzami!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2.5. Asins grupas noteikšana ABO sistēmā izmantojot plaknes metodi (dubultreakcija) Steidzami!</t>
        </r>
      </is>
    </nc>
  </rcc>
  <rcc rId="1804" sId="22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2.5. A apakšgrupas (A1 un A2) precizēšana ABO sistēmā ar lektīniem, stobriņu metode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2.6. A apakšgrupas (A1 un A2) precizēšana ABO sistēmā ar lektīniem, stobriņu metode</t>
        </r>
      </is>
    </nc>
  </rcc>
  <rcc rId="1805" sId="23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2.6. ABO asins grupas (dubultreakcija) Rh (D) noteikšana ar gelkaršu metodi (karte ABO/D+reverse grouping)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2.7. ABO asins grupas (dubultreakcija) Rh (D) noteikšana ar gelkaršu metodi (karte ABO/D+reverse grouping)</t>
        </r>
      </is>
    </nc>
  </rcc>
  <rcc rId="1806" sId="24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2.6.1. ABO asins grupas (dubultreakcija) Rh (D) noteikšana ar gelkaršu metodi (karte ABO/D+reverse grouping). Steidzami!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2.8. ABO asins grupas (dubultreakcija) Rh (D) noteikšana ar gelkaršu metodi (karte ABO/D+reverse grouping). Steidzami!</t>
        </r>
      </is>
    </nc>
  </rcc>
  <rcc rId="1807" sId="25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2.7. ABO asins grupas (tiešā reakcija) Rh (D) noteikšana ar gelkaršu metodi (karte DiaClon ABO/D)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2.9. ABO asins grupas (tiešā reakcija) Rh (D) noteikšana ar gelkaršu metodi (karte DiaClon ABO/D)</t>
        </r>
      </is>
    </nc>
  </rcc>
  <rcc rId="1808" sId="26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2.8. ABO asins grupas (tiešā reakcija) Rh (D) noteikšana ar gelkaršu metodi (karte DiaClon ABO/D+DAT)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2.10. ABO asins grupas (tiešā reakcija) Rh (D) noteikšana ar gelkaršu metodi (karte DiaClon ABO/D+DAT)</t>
        </r>
      </is>
    </nc>
  </rcc>
  <rcc rId="1809" sId="35">
    <oc r="B53" t="inlineStr">
      <is>
        <t>Pakalpojumu izmaksas kopā</t>
      </is>
    </oc>
    <nc r="B53">
      <v>9876</v>
    </nc>
  </rcc>
  <rcc rId="1810" sId="27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2.9. Rh (D) noteikšana ar plaknes metodi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2.11. Rh (D) noteikšana ar plaknes metodi</t>
        </r>
      </is>
    </nc>
  </rcc>
  <rcc rId="1811" sId="28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2.9.1. Rh (D) noteikšana ar plaknes metodi. Steidzami!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2.12. Rh (D) noteikšana ar plaknes metodi. Steidzami!</t>
        </r>
      </is>
    </nc>
  </rcc>
  <rcc rId="1812" sId="29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2.10. Rh fenotipa CcEe un Kell antigēna noteikšana ar gelkaršu metodi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2.13. Rh fenotipa CcEe un Kell antigēna noteikšana ar gelkaršu metodi</t>
        </r>
      </is>
    </nc>
  </rcc>
  <rcc rId="1813" sId="30">
    <oc r="A9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2.10.1. Rh fenotipa CcEe un Kell antigēna noteikšana ar gelkaršu metodi. Steidzami!</t>
        </r>
      </is>
    </oc>
    <nc r="A9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2.14. Rh fenotipa CcEe un Kell antigēna noteikšana ar gelkaršu metodi. Steidzami!</t>
        </r>
      </is>
    </nc>
  </rcc>
  <rcc rId="1814" sId="31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2.11. Eritrocitāra antigēna noteikšana ar gelkaršu metodi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2.15. Eritrocitāra antigēna noteikšana ar gelkaršu metodi</t>
        </r>
      </is>
    </nc>
  </rcc>
  <rcc rId="1815" sId="32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2.12. Eritrocitāru antigēnu P1, Lea, Leb, Lua, Lub, vai K, Kpa, Kpb, ka, kb kompleksa noteikšana ar gelkaršu metodi (ag profils I vai II)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2.16. Eritrocitāru antigēnu P1, Lea, Leb, Lua, Lub, vai K, Kpa, Kpb, ka, kb kompleksa noteikšana ar gelkaršu metodi (ag profils I vai II)</t>
        </r>
      </is>
    </nc>
  </rcc>
  <rcc rId="1816" sId="33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2.13. Eritrocitāru antigēnu M, N, S, s, Fya, Fyb kompleksa noteikšana ar gelkaršu metodi (ag profils III)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2.17. Eritrocitāru antigēnu M, N, S, s, Fya, Fyb kompleksa noteikšana ar gelkaršu metodi (ag profils III)</t>
        </r>
      </is>
    </nc>
  </rcc>
  <rcc rId="1817" sId="34">
    <oc r="A9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2.14. D antigēna apstiprināšana ar gelkaršu metodi, netiešo antiglobulīna testu, ar karti Coombs anti IgG un parciālā D antigēna noteikšanas komplektu.</t>
        </r>
      </is>
    </oc>
    <nc r="A9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2.18. D antigēna apstiprināšana ar gelkaršu metodi, netiešo antiglobulīna testu, ar karti Coombs anti IgG un parciālā D antigēna noteikšanas komplektu.</t>
        </r>
      </is>
    </nc>
  </rcc>
  <rcc rId="1818" sId="35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2.15. Antieritrocitāro antivielu skrīnings ar gelkaršu metodi, netiešo antiglobulīna testu (1/2 karte Liss Coombs)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2.19. Antieritrocitāro antivielu skrīnings ar gelkaršu metodi, netiešo antiglobulīna testu (1/2 karte Liss Coombs)</t>
        </r>
      </is>
    </nc>
  </rcc>
  <rcc rId="1819" sId="36">
    <oc r="A9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2.15.1. Antieritrocitāro antivielu skrīnings ar gelkaršu metodi, netiešo antiglobulīna testu (1/2 karte Liss Coombs). Steidzami!</t>
        </r>
      </is>
    </oc>
    <nc r="A9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2.20. Antieritrocitāro antivielu skrīnings ar gelkaršu metodi, netiešo antiglobulīna testu (1/2 karte Liss Coombs). Steidzami!</t>
        </r>
      </is>
    </nc>
  </rcc>
  <rcc rId="1820" sId="37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2.16. Antieritrocitāro antivielu skrīnings identifikācija (37° vai 4°, vai 20°) ar gelkaršu metodi, enzīmu testu (1/2/ karte Na Cl enzyme)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2.21. Antieritrocitāro antivielu skrīnings identifikācija (37° vai 4°, vai 20°) ar gelkaršu metodi, enzīmu testu (1/2/ karte Na Cl enzyme)</t>
        </r>
      </is>
    </nc>
  </rcc>
  <rcc rId="1821" sId="38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2.17. Antieritrocitāro antivielu identifikācija ar gelkaršu metodi, netiešais antiglobulīna tests (2 kartes Liss/Coombs)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2.22. Antieritrocitāro antivielu identifikācija ar gelkaršu metodi, netiešais antiglobulīna tests (2 kartes Liss/Coombs)</t>
        </r>
      </is>
    </nc>
  </rcc>
  <rcc rId="1822" sId="39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2.17.1. Antieritrocitāro antivielu identifikācija ar gelkaršu metodi, netiešais antiglobulīna tests (2 kartes Liss/Coombs). Steidzami!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2.23. Antieritrocitāro antivielu identifikācija ar gelkaršu metodi, netiešais antiglobulīna tests (2 kartes Liss/Coombs). Steidzami!</t>
        </r>
      </is>
    </nc>
  </rcc>
  <rcc rId="1823" sId="40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2.18. Antieritrocitāro antivielu identifikācija (37° vai 4°, vai 20°) ar gelkaršu metodi, enzīmu testu (2 kartes Na Cl enzyme)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2.24. Antieritrocitāro antivielu identifikācija (37° vai 4°, vai 20°) ar gelkaršu metodi, enzīmu testu (2 kartes Na Cl enzyme)</t>
        </r>
      </is>
    </nc>
  </rcc>
  <rcc rId="1824" sId="41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2.18.1. Antieritrocitāro antivielu identifikācija (37° vai 4°, vai 20°) ar gelkaršu metodi, enzīmu testu (2 kartes Na Cl enzyme). Steidzami!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2.25. Antieritrocitāro antivielu identifikācija (37° vai 4°, vai 20°) ar gelkaršu metodi, enzīmu testu (2 kartes Na Cl enzyme). Steidzami!</t>
        </r>
      </is>
    </nc>
  </rcc>
  <rcc rId="1825" sId="42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2.19. Antieritrocitāro antivielu identifikācija ar gelkaršu metodi, netiešais antiglobulīna tests izmantojot ppaildus paneli ID Dia Panel Plus (1 karte Liss/Coombs)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2.26. Antieritrocitāro antivielu identifikācija ar gelkaršu metodi, netiešais antiglobulīna tests izmantojot ppaildus paneli ID Dia Panel Plus (1 karte Liss/Coombs)</t>
        </r>
      </is>
    </nc>
  </rcc>
  <rcc rId="1826" sId="43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2.19.1. Antieritrocitāro antivielu identifikācija ar gelkaršu metodi, netiešais antiglobulīna tests izmantojot papildus paneli ID Dia Panel Plus (1 karte Liss/Coombs). Steidzami!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2.27. Antieritrocitāro antivielu identifikācija ar gelkaršu metodi, netiešais antiglobulīna tests izmantojot papildus paneli ID Dia Panel Plus (1 karte Liss/Coombs). Steidzami!</t>
        </r>
      </is>
    </nc>
  </rcc>
  <rcc rId="1827" sId="44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2.20. Antieritrocitāro antivielu identifikācija ar gelkaršu metodi, netiešo antiglobulīna testu izmantojot papildus "Column panel 16" (3 kartes Liss/Coombs).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2.28. Antieritrocitāro antivielu identifikācija ar gelkaršu metodi, netiešo antiglobulīna testu izmantojot papildus "Column panel 16" (3 kartes Liss/Coombs).</t>
        </r>
      </is>
    </nc>
  </rcc>
  <rcc rId="1828" sId="45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2.20.1. Antieritrocitāro antivielu identifikācija ar gelkaršu metodi, netiešo antiglobulīna testu izmantojot papildus "Column panel 16" (3 kartes Liss/Coombs). Steidzami!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2.29. Antieritrocitāro antivielu identifikācija ar gelkaršu metodi, netiešo antiglobulīna testu izmantojot papildus "Column panel 16" (3 kartes Liss/Coombs). Steidzami!</t>
        </r>
      </is>
    </nc>
  </rcc>
  <rcc rId="1829" sId="46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2.21. Recipienta un donora asins saderības tests ar gelkaršu metodi (netiešais antiglobulīna tests) vienas eritrocīta masas saderināšanai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2.30. Recipienta un donora asins saderības tests ar gelkaršu metodi (netiešais antiglobulīna tests) vienas eritrocīta masas saderināšanai</t>
        </r>
      </is>
    </nc>
  </rcc>
  <rcc rId="1830" sId="47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2.21.1. Recipienta un donora asins saderības tests ar gelkaršu metodi (netiešais antiglobulīna tests) vienas eritrocīta masas saderināšanai. Steidzami!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2.31. Recipienta un donora asins saderības tests ar gelkaršu metodi (netiešais antiglobulīna tests) vienas eritrocīta masas saderināšanai. Steidzami!</t>
        </r>
      </is>
    </nc>
  </rcc>
  <rcc rId="1831" sId="48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2.22. Antieritrocitāro antivielu titrēšana ar gelkaršu metodi (1 antigēnu, 2 kartes Liss/Coombs)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2.32. Antieritrocitāro antivielu titrēšana ar gelkaršu metodi (1 antigēnu, 2 kartes Liss/Coombs)</t>
        </r>
      </is>
    </nc>
  </rcc>
  <rcc rId="1832" sId="49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2.23. Antieritrocitāro antivielu titrēšana ar gelkaršu metodi (1 antigēnu, 1 karti Liss/Coombs)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2.33. Antieritrocitāro antivielu titrēšana ar gelkaršu metodi (1 antigēnu, 1 karti Liss/Coombs)</t>
        </r>
      </is>
    </nc>
  </rcc>
  <rcc rId="1833" sId="50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2.24. Hemolīzes tests 0 grupas standarteritrocītiem (Donāta - Landšteinera tests)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2.34. Hemolīzes tests 0 grupas standarteritrocītiem (Donāta - Landšteinera tests)</t>
        </r>
      </is>
    </nc>
  </rcc>
  <rcc rId="1834" sId="51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2.25. Tiešais antiglobulīna tests (DAT) ar gelkaršu metodi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2.35. Tiešais antiglobulīna tests (DAT) ar gelkaršu metodi</t>
        </r>
      </is>
    </nc>
  </rcc>
  <rcc rId="1835" sId="52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2.25.1. Tiešais antiglobulīna tests (DAT) ar gelkaršu metodi. Steidzami!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2.36. Tiešais antiglobulīna tests (DAT) ar gelkaršu metodi. Steidzami!</t>
        </r>
      </is>
    </nc>
  </rcc>
  <rcc rId="1836" sId="53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2.26. Tiešā antiglobulīna diferencēšana (IgG; IgA; IgM; C3c; C3d; ctl) ar gelkaršu metodi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2.37. Tiešā antiglobulīna diferencēšana (IgG; IgA; IgM; C3c; C3d; ctl) ar gelkaršu metodi</t>
        </r>
      </is>
    </nc>
  </rcc>
  <rcc rId="1837" sId="54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2.27. Tiešā antiglobulīna diferencēšana IgG; C3d; ctl ar gelkaršu metodi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2.38. Tiešā antiglobulīna diferencēšana IgG; C3d; ctl ar gelkaršu metodi</t>
        </r>
      </is>
    </nc>
  </rcc>
  <rcc rId="1838" sId="55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2.27.1. Tiešā antiglobulīna diferencēšana IgG; C3d; ctl ar gelkaršu metodi. Steidzami!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2.39. Tiešā antiglobulīna diferencēšana IgG; C3d; ctl ar gelkaršu metodi. Steidzami!</t>
        </r>
      </is>
    </nc>
  </rcc>
  <rcc rId="1839" sId="56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2.28. Eluāta iegūšana no DAT pozitīviem eritrocītiem ar Dia Cidel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2.40. Eluāta iegūšana no DAT pozitīviem eritrocītiem ar Dia Cidel</t>
        </r>
      </is>
    </nc>
  </rcc>
  <rcc rId="1840" sId="57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2.28.1. Eluāta iegūšana no DAT pozitīviem eritrocītiem ar Dia Cidel. Steidzami!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2.41. Eluāta iegūšana no DAT pozitīviem eritrocītiem ar Dia Cidel. Steidzami!</t>
        </r>
      </is>
    </nc>
  </rcc>
  <rcc rId="1841" sId="58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2.29. Seruma autoadsorbcija ar PEG (divkārša)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2.42. Seruma autoadsorbcija ar PEG (divkārša)</t>
        </r>
      </is>
    </nc>
  </rcc>
  <rcc rId="1842" sId="59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2.30. Seruma alloadsorbcija ar PEG (divkārša)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2.43. Seruma alloadsorbcija ar PEG (divkārša)</t>
        </r>
      </is>
    </nc>
  </rcc>
  <rcc rId="1843" sId="60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2.31. Seruma alloadsorbcija ar enzīmiem apstrādātiem eritrocītiem (bez skrīninga un identifikācijas)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2.44. Seruma alloadsorbcija ar enzīmiem apstrādātiem eritrocītiem (bez skrīninga un identifikācijas)</t>
        </r>
      </is>
    </nc>
  </rcc>
  <rcc rId="1844" sId="61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2.32. Izmeklējamo eritrocītu atmazgāšana imūnhenatoloģiskiem testiem (trīskārša)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2.45. Izmeklējamo eritrocītu atmazgāšana imūnhenatoloģiskiem testiem (trīskārša)</t>
        </r>
      </is>
    </nc>
  </rcc>
  <rcc rId="1845" sId="62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2.33. Anti-HIV 1/2 un p24 antigēna noteikšana ar ECLIA metodi (Cobas, Roche)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2.46. Anti-HIV 1/2 un p24 antigēna noteikšana ar ECLIA metodi (Cobas, Roche)</t>
        </r>
      </is>
    </nc>
  </rcc>
  <rcc rId="1846" sId="63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2.34. HBsAg noteikšana ar ECLIA metodi (Cobas, Roche)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2.47. HBsAg noteikšana ar ECLIA metodi (Cobas, Roche)</t>
        </r>
      </is>
    </nc>
  </rcc>
  <rcc rId="1847" sId="64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2.35. Anti-HCV 1/2 un noteikšana ar ECLIA metodi (Cobas, Roche)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2.48. Anti-HCV 1/2 un noteikšana ar ECLIA metodi (Cobas, Roche)</t>
        </r>
      </is>
    </nc>
  </rcc>
  <rcc rId="1848" sId="65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2.36. Antitreponemālo antivielu noteikšana ar ECLIA metodi (Cobas, Roche)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2.49. Antitreponemālo antivielu noteikšana ar ECLIA metodi (Cobas, Roche)</t>
        </r>
      </is>
    </nc>
  </rcc>
  <rcc rId="1849" sId="1">
    <oc r="A29" t="inlineStr">
      <is>
        <t>2.4.1.</t>
      </is>
    </oc>
    <nc r="A29" t="inlineStr">
      <is>
        <t>2.5.</t>
      </is>
    </nc>
  </rcc>
  <rcc rId="1850" sId="1">
    <oc r="A30" t="inlineStr">
      <is>
        <t>2.5.</t>
      </is>
    </oc>
    <nc r="A30" t="inlineStr">
      <is>
        <t>2.6.</t>
      </is>
    </nc>
  </rcc>
  <rcc rId="1851" sId="1">
    <oc r="A31" t="inlineStr">
      <is>
        <t>2.6.</t>
      </is>
    </oc>
    <nc r="A31" t="inlineStr">
      <is>
        <t>2.7.</t>
      </is>
    </nc>
  </rcc>
  <rcc rId="1852" sId="1">
    <oc r="A32" t="inlineStr">
      <is>
        <t>2.6.1.</t>
      </is>
    </oc>
    <nc r="A32" t="inlineStr">
      <is>
        <t>2.8.</t>
      </is>
    </nc>
  </rcc>
  <rcc rId="1853" sId="1">
    <oc r="A33" t="inlineStr">
      <is>
        <t>2.7.</t>
      </is>
    </oc>
    <nc r="A33" t="inlineStr">
      <is>
        <t>2.9.</t>
      </is>
    </nc>
  </rcc>
  <rcc rId="1854" sId="1">
    <oc r="A34" t="inlineStr">
      <is>
        <t>2.8.</t>
      </is>
    </oc>
    <nc r="A34" t="inlineStr">
      <is>
        <t>2.10.</t>
      </is>
    </nc>
  </rcc>
  <rcc rId="1855" sId="1">
    <oc r="A35" t="inlineStr">
      <is>
        <t>2.9.</t>
      </is>
    </oc>
    <nc r="A35" t="inlineStr">
      <is>
        <t>2.11.</t>
      </is>
    </nc>
  </rcc>
  <rcc rId="1856" sId="1">
    <oc r="A36" t="inlineStr">
      <is>
        <t>2.9.1.</t>
      </is>
    </oc>
    <nc r="A36" t="inlineStr">
      <is>
        <t>2.12.</t>
      </is>
    </nc>
  </rcc>
  <rcc rId="1857" sId="1">
    <oc r="A37" t="inlineStr">
      <is>
        <t>2.10.</t>
      </is>
    </oc>
    <nc r="A37" t="inlineStr">
      <is>
        <t>2.13.</t>
      </is>
    </nc>
  </rcc>
  <rcc rId="1858" sId="1">
    <oc r="A38" t="inlineStr">
      <is>
        <t>2.10.1.</t>
      </is>
    </oc>
    <nc r="A38" t="inlineStr">
      <is>
        <t>2.14.</t>
      </is>
    </nc>
  </rcc>
  <rcc rId="1859" sId="1">
    <oc r="A39" t="inlineStr">
      <is>
        <t>2.11.</t>
      </is>
    </oc>
    <nc r="A39" t="inlineStr">
      <is>
        <t>2.15.</t>
      </is>
    </nc>
  </rcc>
  <rcc rId="1860" sId="1">
    <oc r="A40" t="inlineStr">
      <is>
        <t>2.12.</t>
      </is>
    </oc>
    <nc r="A40" t="inlineStr">
      <is>
        <t>2.16.</t>
      </is>
    </nc>
  </rcc>
  <rcc rId="1861" sId="1">
    <oc r="A41" t="inlineStr">
      <is>
        <t>2.13.</t>
      </is>
    </oc>
    <nc r="A41" t="inlineStr">
      <is>
        <t>2.17.</t>
      </is>
    </nc>
  </rcc>
  <rcc rId="1862" sId="1">
    <oc r="A42" t="inlineStr">
      <is>
        <t>2.14.</t>
      </is>
    </oc>
    <nc r="A42" t="inlineStr">
      <is>
        <t>2.18.</t>
      </is>
    </nc>
  </rcc>
  <rcc rId="1863" sId="1">
    <oc r="A43" t="inlineStr">
      <is>
        <t>2.15.</t>
      </is>
    </oc>
    <nc r="A43" t="inlineStr">
      <is>
        <t>2.19.</t>
      </is>
    </nc>
  </rcc>
  <rcc rId="1864" sId="1">
    <oc r="A44" t="inlineStr">
      <is>
        <t>2.15.1.</t>
      </is>
    </oc>
    <nc r="A44" t="inlineStr">
      <is>
        <t>2.20.</t>
      </is>
    </nc>
  </rcc>
  <rcc rId="1865" sId="1">
    <oc r="A45" t="inlineStr">
      <is>
        <t>2.16.</t>
      </is>
    </oc>
    <nc r="A45" t="inlineStr">
      <is>
        <t>2.21.</t>
      </is>
    </nc>
  </rcc>
  <rcc rId="1866" sId="1">
    <oc r="A46" t="inlineStr">
      <is>
        <t>2.17.</t>
      </is>
    </oc>
    <nc r="A46" t="inlineStr">
      <is>
        <t>2.22.</t>
      </is>
    </nc>
  </rcc>
  <rcc rId="1867" sId="1">
    <oc r="A47" t="inlineStr">
      <is>
        <t>2.17.1.</t>
      </is>
    </oc>
    <nc r="A47" t="inlineStr">
      <is>
        <t>2.23.</t>
      </is>
    </nc>
  </rcc>
  <rcc rId="1868" sId="1">
    <oc r="A48" t="inlineStr">
      <is>
        <t>2.18.</t>
      </is>
    </oc>
    <nc r="A48" t="inlineStr">
      <is>
        <t>2.24.</t>
      </is>
    </nc>
  </rcc>
  <rcc rId="1869" sId="1">
    <oc r="A49" t="inlineStr">
      <is>
        <t>2.18.1.</t>
      </is>
    </oc>
    <nc r="A49" t="inlineStr">
      <is>
        <t>2.25.</t>
      </is>
    </nc>
  </rcc>
  <rcc rId="1870" sId="1">
    <oc r="A50" t="inlineStr">
      <is>
        <t>2.19.</t>
      </is>
    </oc>
    <nc r="A50" t="inlineStr">
      <is>
        <t>2.26.</t>
      </is>
    </nc>
  </rcc>
  <rcc rId="1871" sId="1">
    <oc r="A51" t="inlineStr">
      <is>
        <t>2.19.1.</t>
      </is>
    </oc>
    <nc r="A51" t="inlineStr">
      <is>
        <t>2.27.</t>
      </is>
    </nc>
  </rcc>
  <rcc rId="1872" sId="1">
    <oc r="A52" t="inlineStr">
      <is>
        <t>2.20.</t>
      </is>
    </oc>
    <nc r="A52" t="inlineStr">
      <is>
        <t>2.28.</t>
      </is>
    </nc>
  </rcc>
  <rcc rId="1873" sId="1">
    <oc r="A53" t="inlineStr">
      <is>
        <t>2.20.1.</t>
      </is>
    </oc>
    <nc r="A53" t="inlineStr">
      <is>
        <t>2.29.</t>
      </is>
    </nc>
  </rcc>
  <rcc rId="1874" sId="1">
    <oc r="A54" t="inlineStr">
      <is>
        <t>2.21.</t>
      </is>
    </oc>
    <nc r="A54" t="inlineStr">
      <is>
        <t>2.30.</t>
      </is>
    </nc>
  </rcc>
  <rcc rId="1875" sId="1">
    <oc r="A55" t="inlineStr">
      <is>
        <t>2.21.1.</t>
      </is>
    </oc>
    <nc r="A55" t="inlineStr">
      <is>
        <t>2.31.</t>
      </is>
    </nc>
  </rcc>
  <rcc rId="1876" sId="1">
    <oc r="A56" t="inlineStr">
      <is>
        <t>2.22.</t>
      </is>
    </oc>
    <nc r="A56" t="inlineStr">
      <is>
        <t>2.32.</t>
      </is>
    </nc>
  </rcc>
  <rcc rId="1877" sId="1">
    <oc r="A57" t="inlineStr">
      <is>
        <t>2.23.</t>
      </is>
    </oc>
    <nc r="A57" t="inlineStr">
      <is>
        <t>2.33.</t>
      </is>
    </nc>
  </rcc>
  <rcc rId="1878" sId="1">
    <oc r="A58" t="inlineStr">
      <is>
        <t>2.24.</t>
      </is>
    </oc>
    <nc r="A58" t="inlineStr">
      <is>
        <t>2.34.</t>
      </is>
    </nc>
  </rcc>
  <rcc rId="1879" sId="1">
    <oc r="A59" t="inlineStr">
      <is>
        <t>2.25.</t>
      </is>
    </oc>
    <nc r="A59" t="inlineStr">
      <is>
        <t>2.35.</t>
      </is>
    </nc>
  </rcc>
  <rcc rId="1880" sId="1">
    <oc r="A60" t="inlineStr">
      <is>
        <t>2.25.1.</t>
      </is>
    </oc>
    <nc r="A60" t="inlineStr">
      <is>
        <t>2.36.</t>
      </is>
    </nc>
  </rcc>
  <rcc rId="1881" sId="1">
    <oc r="A61" t="inlineStr">
      <is>
        <t>2.26.</t>
      </is>
    </oc>
    <nc r="A61" t="inlineStr">
      <is>
        <t>2.37.</t>
      </is>
    </nc>
  </rcc>
  <rcc rId="1882" sId="1">
    <oc r="A62" t="inlineStr">
      <is>
        <t>2.27.</t>
      </is>
    </oc>
    <nc r="A62" t="inlineStr">
      <is>
        <t>2.38.</t>
      </is>
    </nc>
  </rcc>
  <rcc rId="1883" sId="1">
    <oc r="A63" t="inlineStr">
      <is>
        <t>2.27.1.</t>
      </is>
    </oc>
    <nc r="A63" t="inlineStr">
      <is>
        <t>2.39.</t>
      </is>
    </nc>
  </rcc>
  <rcc rId="1884" sId="1">
    <oc r="A64" t="inlineStr">
      <is>
        <t>2.28.</t>
      </is>
    </oc>
    <nc r="A64" t="inlineStr">
      <is>
        <t>2.40.</t>
      </is>
    </nc>
  </rcc>
  <rcc rId="1885" sId="1">
    <oc r="A65" t="inlineStr">
      <is>
        <t>2.28.1.</t>
      </is>
    </oc>
    <nc r="A65" t="inlineStr">
      <is>
        <t>2.41.</t>
      </is>
    </nc>
  </rcc>
  <rcc rId="1886" sId="1">
    <oc r="A66" t="inlineStr">
      <is>
        <t>2.29.</t>
      </is>
    </oc>
    <nc r="A66" t="inlineStr">
      <is>
        <t>2.42.</t>
      </is>
    </nc>
  </rcc>
  <rcc rId="1887" sId="1">
    <oc r="A67" t="inlineStr">
      <is>
        <t>2.30.</t>
      </is>
    </oc>
    <nc r="A67" t="inlineStr">
      <is>
        <t>2.43.</t>
      </is>
    </nc>
  </rcc>
  <rcc rId="1888" sId="1">
    <oc r="A68" t="inlineStr">
      <is>
        <t>2.31.</t>
      </is>
    </oc>
    <nc r="A68" t="inlineStr">
      <is>
        <t>2.44.</t>
      </is>
    </nc>
  </rcc>
  <rcc rId="1889" sId="1">
    <oc r="A69" t="inlineStr">
      <is>
        <t>2.32.</t>
      </is>
    </oc>
    <nc r="A69" t="inlineStr">
      <is>
        <t>2.45.</t>
      </is>
    </nc>
  </rcc>
  <rcc rId="1890" sId="1">
    <oc r="A70" t="inlineStr">
      <is>
        <t>2.33.</t>
      </is>
    </oc>
    <nc r="A70" t="inlineStr">
      <is>
        <t>2.46.</t>
      </is>
    </nc>
  </rcc>
  <rcc rId="1891" sId="1">
    <oc r="A71" t="inlineStr">
      <is>
        <t>2.34.</t>
      </is>
    </oc>
    <nc r="A71" t="inlineStr">
      <is>
        <t>2.47.</t>
      </is>
    </nc>
  </rcc>
  <rcc rId="1892" sId="1">
    <oc r="A72" t="inlineStr">
      <is>
        <t>2.35.</t>
      </is>
    </oc>
    <nc r="A72" t="inlineStr">
      <is>
        <t>2.48.</t>
      </is>
    </nc>
  </rcc>
  <rcc rId="1893" sId="1">
    <oc r="A73" t="inlineStr">
      <is>
        <t>2.36.</t>
      </is>
    </oc>
    <nc r="A73" t="inlineStr">
      <is>
        <t>2.49.</t>
      </is>
    </nc>
  </rcc>
  <rcv guid="{2CF5EF93-C226-48EA-959E-36D142677DAA}" action="delete"/>
  <rdn rId="0" localSheetId="1" customView="1" name="Z_2CF5EF93_C226_48EA_959E_36D142677DAA_.wvu.PrintArea" hidden="1" oldHidden="1">
    <formula>Saturs!$A$1:$I$73</formula>
    <oldFormula>Saturs!$A$1:$I$73</oldFormula>
  </rdn>
  <rdn rId="0" localSheetId="2" customView="1" name="Z_2CF5EF93_C226_48EA_959E_36D142677DAA_.wvu.PrintArea" hidden="1" oldHidden="1">
    <formula>'1.1.'!$A$1:$D$43</formula>
    <oldFormula>'1.1.'!$A$1:$D$43</oldFormula>
  </rdn>
  <rdn rId="0" localSheetId="3" customView="1" name="Z_2CF5EF93_C226_48EA_959E_36D142677DAA_.wvu.PrintArea" hidden="1" oldHidden="1">
    <formula>'1.2.'!$A$1:$D$41</formula>
    <oldFormula>'1.2.'!$A$1:$D$41</oldFormula>
  </rdn>
  <rdn rId="0" localSheetId="4" customView="1" name="Z_2CF5EF93_C226_48EA_959E_36D142677DAA_.wvu.PrintArea" hidden="1" oldHidden="1">
    <formula>'1.3.'!$A$1:$D$31</formula>
    <oldFormula>'1.3.'!$A$1:$D$31</oldFormula>
  </rdn>
  <rdn rId="0" localSheetId="5" customView="1" name="Z_2CF5EF93_C226_48EA_959E_36D142677DAA_.wvu.PrintArea" hidden="1" oldHidden="1">
    <formula>'1.4.'!$A$1:$D$42</formula>
    <oldFormula>'1.4.'!$A$1:$D$42</oldFormula>
  </rdn>
  <rdn rId="0" localSheetId="6" customView="1" name="Z_2CF5EF93_C226_48EA_959E_36D142677DAA_.wvu.PrintArea" hidden="1" oldHidden="1">
    <formula>'1.5.'!$A$1:$D$44</formula>
    <oldFormula>'1.5.'!$A$1:$D$44</oldFormula>
  </rdn>
  <rdn rId="0" localSheetId="7" customView="1" name="Z_2CF5EF93_C226_48EA_959E_36D142677DAA_.wvu.PrintArea" hidden="1" oldHidden="1">
    <formula>'1.6.'!$A$1:$D$44</formula>
    <oldFormula>'1.6.'!$A$1:$D$44</oldFormula>
  </rdn>
  <rdn rId="0" localSheetId="8" customView="1" name="Z_2CF5EF93_C226_48EA_959E_36D142677DAA_.wvu.PrintArea" hidden="1" oldHidden="1">
    <formula>'1.7.'!$A$1:$D$44</formula>
    <oldFormula>'1.7.'!$A$1:$D$44</oldFormula>
  </rdn>
  <rdn rId="0" localSheetId="9" customView="1" name="Z_2CF5EF93_C226_48EA_959E_36D142677DAA_.wvu.PrintArea" hidden="1" oldHidden="1">
    <formula>'1.8.'!$A$1:$D$44</formula>
    <oldFormula>'1.8.'!$A$1:$D$44</oldFormula>
  </rdn>
  <rdn rId="0" localSheetId="10" customView="1" name="Z_2CF5EF93_C226_48EA_959E_36D142677DAA_.wvu.PrintArea" hidden="1" oldHidden="1">
    <formula>'1.9.'!$A$1:$D$44</formula>
    <oldFormula>'1.9.'!$A$1:$D$44</oldFormula>
  </rdn>
  <rdn rId="0" localSheetId="11" customView="1" name="Z_2CF5EF93_C226_48EA_959E_36D142677DAA_.wvu.PrintArea" hidden="1" oldHidden="1">
    <formula>'1.10.'!$A$1:$D$28</formula>
    <oldFormula>'1.10.'!$A$1:$D$28</oldFormula>
  </rdn>
  <rdn rId="0" localSheetId="12" customView="1" name="Z_2CF5EF93_C226_48EA_959E_36D142677DAA_.wvu.PrintArea" hidden="1" oldHidden="1">
    <formula>'1.11.'!$A$1:$D$30</formula>
    <oldFormula>'1.11.'!$A$1:$D$30</oldFormula>
  </rdn>
  <rdn rId="0" localSheetId="13" customView="1" name="Z_2CF5EF93_C226_48EA_959E_36D142677DAA_.wvu.PrintArea" hidden="1" oldHidden="1">
    <formula>'1.12.'!$A$1:$D$42</formula>
    <oldFormula>'1.12.'!$A$1:$D$42</oldFormula>
  </rdn>
  <rdn rId="0" localSheetId="14" customView="1" name="Z_2CF5EF93_C226_48EA_959E_36D142677DAA_.wvu.PrintArea" hidden="1" oldHidden="1">
    <formula>'1.13.'!$A$1:$D$42</formula>
    <oldFormula>'1.13.'!$A$1:$D$42</oldFormula>
  </rdn>
  <rdn rId="0" localSheetId="15" customView="1" name="Z_2CF5EF93_C226_48EA_959E_36D142677DAA_.wvu.PrintArea" hidden="1" oldHidden="1">
    <formula>'1.14.'!$A$1:$D$42</formula>
    <oldFormula>'1.14.'!$A$1:$D$42</oldFormula>
  </rdn>
  <rdn rId="0" localSheetId="16" customView="1" name="Z_2CF5EF93_C226_48EA_959E_36D142677DAA_.wvu.PrintArea" hidden="1" oldHidden="1">
    <formula>'2.1.'!$A$1:$G$54</formula>
    <oldFormula>'2.1.'!$A$1:$G$54</oldFormula>
  </rdn>
  <rdn rId="0" localSheetId="16" customView="1" name="Z_2CF5EF93_C226_48EA_959E_36D142677DAA_.wvu.Cols" hidden="1" oldHidden="1">
    <formula>'2.1.'!$E:$G</formula>
    <oldFormula>'2.1.'!$E:$G</oldFormula>
  </rdn>
  <rdn rId="0" localSheetId="18" customView="1" name="Z_2CF5EF93_C226_48EA_959E_36D142677DAA_.wvu.PrintArea" hidden="1" oldHidden="1">
    <formula>'2.2.'!$A$1:$D$54</formula>
    <oldFormula>'2.2.'!$A$1:$D$54</oldFormula>
  </rdn>
  <rdn rId="0" localSheetId="19" customView="1" name="Z_2CF5EF93_C226_48EA_959E_36D142677DAA_.wvu.PrintArea" hidden="1" oldHidden="1">
    <formula>'2.3.'!$A$1:$D$54</formula>
    <oldFormula>'2.3.'!$A$1:$D$54</oldFormula>
  </rdn>
  <rdn rId="0" localSheetId="20" customView="1" name="Z_2CF5EF93_C226_48EA_959E_36D142677DAA_.wvu.PrintArea" hidden="1" oldHidden="1">
    <formula>'2.4.'!$A$1:$D$55</formula>
    <oldFormula>'2.4.'!$A$1:$D$55</oldFormula>
  </rdn>
  <rdn rId="0" localSheetId="20" customView="1" name="Z_2CF5EF93_C226_48EA_959E_36D142677DAA_.wvu.Rows" hidden="1" oldHidden="1">
    <formula>'2.4.'!$19:$19</formula>
    <oldFormula>'2.4.'!$19:$19</oldFormula>
  </rdn>
  <rdn rId="0" localSheetId="21" customView="1" name="Z_2CF5EF93_C226_48EA_959E_36D142677DAA_.wvu.PrintArea" hidden="1" oldHidden="1">
    <formula>'2.5.'!$A$1:$D$56</formula>
    <oldFormula>'2.5.'!$A$1:$D$56</oldFormula>
  </rdn>
  <rdn rId="0" localSheetId="21" customView="1" name="Z_2CF5EF93_C226_48EA_959E_36D142677DAA_.wvu.Rows" hidden="1" oldHidden="1">
    <formula>'2.5.'!$19:$20</formula>
    <oldFormula>'2.5.'!$19:$20</oldFormula>
  </rdn>
  <rdn rId="0" localSheetId="22" customView="1" name="Z_2CF5EF93_C226_48EA_959E_36D142677DAA_.wvu.PrintArea" hidden="1" oldHidden="1">
    <formula>'2.6.'!$A$1:$D$56</formula>
    <oldFormula>'2.6.'!$A$1:$D$56</oldFormula>
  </rdn>
  <rdn rId="0" localSheetId="22" customView="1" name="Z_2CF5EF93_C226_48EA_959E_36D142677DAA_.wvu.Rows" hidden="1" oldHidden="1">
    <formula>'2.6.'!$19:$19</formula>
    <oldFormula>'2.6.'!$19:$19</oldFormula>
  </rdn>
  <rdn rId="0" localSheetId="23" customView="1" name="Z_2CF5EF93_C226_48EA_959E_36D142677DAA_.wvu.PrintArea" hidden="1" oldHidden="1">
    <formula>'2.7.'!$A$1:$D$57</formula>
    <oldFormula>'2.7.'!$A$1:$D$57</oldFormula>
  </rdn>
  <rdn rId="0" localSheetId="23" customView="1" name="Z_2CF5EF93_C226_48EA_959E_36D142677DAA_.wvu.Rows" hidden="1" oldHidden="1">
    <formula>'2.7.'!$11:$11,'2.7.'!$20:$20</formula>
    <oldFormula>'2.7.'!$11:$11,'2.7.'!$20:$20</oldFormula>
  </rdn>
  <rdn rId="0" localSheetId="24" customView="1" name="Z_2CF5EF93_C226_48EA_959E_36D142677DAA_.wvu.PrintArea" hidden="1" oldHidden="1">
    <formula>'2.8.'!$A$1:$D$56</formula>
    <oldFormula>'2.8.'!$A$1:$D$56</oldFormula>
  </rdn>
  <rdn rId="0" localSheetId="24" customView="1" name="Z_2CF5EF93_C226_48EA_959E_36D142677DAA_.wvu.Rows" hidden="1" oldHidden="1">
    <formula>'2.8.'!$19:$19</formula>
    <oldFormula>'2.8.'!$19:$19</oldFormula>
  </rdn>
  <rdn rId="0" localSheetId="25" customView="1" name="Z_2CF5EF93_C226_48EA_959E_36D142677DAA_.wvu.PrintArea" hidden="1" oldHidden="1">
    <formula>'2.9.'!$A$1:$D$55</formula>
    <oldFormula>'2.9.'!$A$1:$D$55</oldFormula>
  </rdn>
  <rdn rId="0" localSheetId="26" customView="1" name="Z_2CF5EF93_C226_48EA_959E_36D142677DAA_.wvu.PrintArea" hidden="1" oldHidden="1">
    <formula>'2.10.'!$A$1:$D$55</formula>
    <oldFormula>'2.10.'!$A$1:$D$55</oldFormula>
  </rdn>
  <rdn rId="0" localSheetId="27" customView="1" name="Z_2CF5EF93_C226_48EA_959E_36D142677DAA_.wvu.PrintArea" hidden="1" oldHidden="1">
    <formula>'2.11.'!$A$1:$D$55</formula>
    <oldFormula>'2.11.'!$A$1:$D$55</oldFormula>
  </rdn>
  <rdn rId="0" localSheetId="28" customView="1" name="Z_2CF5EF93_C226_48EA_959E_36D142677DAA_.wvu.PrintArea" hidden="1" oldHidden="1">
    <formula>'2.12.'!$A$1:$D$56</formula>
    <oldFormula>'2.12.'!$A$1:$D$56</oldFormula>
  </rdn>
  <rdn rId="0" localSheetId="28" customView="1" name="Z_2CF5EF93_C226_48EA_959E_36D142677DAA_.wvu.Rows" hidden="1" oldHidden="1">
    <formula>'2.12.'!$19:$19</formula>
    <oldFormula>'2.12.'!$19:$19</oldFormula>
  </rdn>
  <rdn rId="0" localSheetId="29" customView="1" name="Z_2CF5EF93_C226_48EA_959E_36D142677DAA_.wvu.PrintArea" hidden="1" oldHidden="1">
    <formula>'2.13.'!$A$1:$D$56</formula>
    <oldFormula>'2.13.'!$A$1:$D$56</oldFormula>
  </rdn>
  <rdn rId="0" localSheetId="29" customView="1" name="Z_2CF5EF93_C226_48EA_959E_36D142677DAA_.wvu.Rows" hidden="1" oldHidden="1">
    <formula>'2.13.'!$19:$19</formula>
    <oldFormula>'2.13.'!$19:$19</oldFormula>
  </rdn>
  <rdn rId="0" localSheetId="30" customView="1" name="Z_2CF5EF93_C226_48EA_959E_36D142677DAA_.wvu.PrintArea" hidden="1" oldHidden="1">
    <formula>'2.14.'!$A$4:$D$61</formula>
    <oldFormula>'2.14.'!$A$4:$D$61</oldFormula>
  </rdn>
  <rdn rId="0" localSheetId="30" customView="1" name="Z_2CF5EF93_C226_48EA_959E_36D142677DAA_.wvu.Rows" hidden="1" oldHidden="1">
    <formula>'2.14.'!$1:$3,'2.14.'!$14:$14,'2.14.'!$23:$24</formula>
    <oldFormula>'2.14.'!$1:$3,'2.14.'!$14:$14,'2.14.'!$23:$24</oldFormula>
  </rdn>
  <rdn rId="0" localSheetId="31" customView="1" name="Z_2CF5EF93_C226_48EA_959E_36D142677DAA_.wvu.PrintArea" hidden="1" oldHidden="1">
    <formula>'2.15.'!$A$1:$D$56</formula>
    <oldFormula>'2.15.'!$A$1:$D$56</oldFormula>
  </rdn>
  <rdn rId="0" localSheetId="31" customView="1" name="Z_2CF5EF93_C226_48EA_959E_36D142677DAA_.wvu.Rows" hidden="1" oldHidden="1">
    <formula>'2.15.'!$10:$10</formula>
    <oldFormula>'2.15.'!$10:$10</oldFormula>
  </rdn>
  <rdn rId="0" localSheetId="32" customView="1" name="Z_2CF5EF93_C226_48EA_959E_36D142677DAA_.wvu.PrintArea" hidden="1" oldHidden="1">
    <formula>'2.16.'!$A$1:$D$55</formula>
    <oldFormula>'2.16.'!$A$1:$D$55</oldFormula>
  </rdn>
  <rdn rId="0" localSheetId="33" customView="1" name="Z_2CF5EF93_C226_48EA_959E_36D142677DAA_.wvu.PrintArea" hidden="1" oldHidden="1">
    <formula>'2.17.'!$A$1:$D$55</formula>
    <oldFormula>'2.17.'!$A$1:$D$55</oldFormula>
  </rdn>
  <rdn rId="0" localSheetId="34" customView="1" name="Z_2CF5EF93_C226_48EA_959E_36D142677DAA_.wvu.PrintArea" hidden="1" oldHidden="1">
    <formula>'2.18.'!$A$1:$D$59</formula>
    <oldFormula>'2.18.'!$A$1:$D$59</oldFormula>
  </rdn>
  <rdn rId="0" localSheetId="34" customView="1" name="Z_2CF5EF93_C226_48EA_959E_36D142677DAA_.wvu.Rows" hidden="1" oldHidden="1">
    <formula>'2.18.'!$1:$3,'2.18.'!$14:$14</formula>
    <oldFormula>'2.18.'!$1:$3,'2.18.'!$14:$14</oldFormula>
  </rdn>
  <rdn rId="0" localSheetId="35" customView="1" name="Z_2CF5EF93_C226_48EA_959E_36D142677DAA_.wvu.PrintArea" hidden="1" oldHidden="1">
    <formula>'2.19.'!$A$1:$D$57</formula>
    <oldFormula>'2.19.'!$A$1:$D$57</oldFormula>
  </rdn>
  <rdn rId="0" localSheetId="35" customView="1" name="Z_2CF5EF93_C226_48EA_959E_36D142677DAA_.wvu.Rows" hidden="1" oldHidden="1">
    <formula>'2.19.'!$11:$11,'2.19.'!$20:$20</formula>
    <oldFormula>'2.19.'!$11:$11,'2.19.'!$20:$20</oldFormula>
  </rdn>
  <rdn rId="0" localSheetId="36" customView="1" name="Z_2CF5EF93_C226_48EA_959E_36D142677DAA_.wvu.PrintArea" hidden="1" oldHidden="1">
    <formula>'2.20.'!$A$4:$D$61</formula>
    <oldFormula>'2.20.'!$A$4:$D$61</oldFormula>
  </rdn>
  <rdn rId="0" localSheetId="36" customView="1" name="Z_2CF5EF93_C226_48EA_959E_36D142677DAA_.wvu.Rows" hidden="1" oldHidden="1">
    <formula>'2.20.'!$1:$3,'2.20.'!$14:$14,'2.20.'!$23:$24</formula>
    <oldFormula>'2.20.'!$1:$3,'2.20.'!$14:$14,'2.20.'!$23:$24</oldFormula>
  </rdn>
  <rdn rId="0" localSheetId="37" customView="1" name="Z_2CF5EF93_C226_48EA_959E_36D142677DAA_.wvu.PrintArea" hidden="1" oldHidden="1">
    <formula>'2.21.'!$A$1:$D$55</formula>
    <oldFormula>'2.21.'!$A$1:$D$55</oldFormula>
  </rdn>
  <rdn rId="0" localSheetId="38" customView="1" name="Z_2CF5EF93_C226_48EA_959E_36D142677DAA_.wvu.PrintArea" hidden="1" oldHidden="1">
    <formula>'2.22.'!$A$1:$D$56</formula>
    <oldFormula>'2.22.'!$A$1:$D$56</oldFormula>
  </rdn>
  <rdn rId="0" localSheetId="38" customView="1" name="Z_2CF5EF93_C226_48EA_959E_36D142677DAA_.wvu.Rows" hidden="1" oldHidden="1">
    <formula>'2.22.'!$19:$19</formula>
    <oldFormula>'2.22.'!$19:$19</oldFormula>
  </rdn>
  <rdn rId="0" localSheetId="39" customView="1" name="Z_2CF5EF93_C226_48EA_959E_36D142677DAA_.wvu.PrintArea" hidden="1" oldHidden="1">
    <formula>'2.23.'!$A$1:$D$57</formula>
    <oldFormula>'2.23.'!$A$1:$D$57</oldFormula>
  </rdn>
  <rdn rId="0" localSheetId="39" customView="1" name="Z_2CF5EF93_C226_48EA_959E_36D142677DAA_.wvu.Rows" hidden="1" oldHidden="1">
    <formula>'2.23.'!$19:$20</formula>
    <oldFormula>'2.23.'!$19:$20</oldFormula>
  </rdn>
  <rdn rId="0" localSheetId="40" customView="1" name="Z_2CF5EF93_C226_48EA_959E_36D142677DAA_.wvu.PrintArea" hidden="1" oldHidden="1">
    <formula>'2.24.'!$A$1:$D$56</formula>
    <oldFormula>'2.24.'!$A$1:$D$56</oldFormula>
  </rdn>
  <rdn rId="0" localSheetId="41" customView="1" name="Z_2CF5EF93_C226_48EA_959E_36D142677DAA_.wvu.PrintArea" hidden="1" oldHidden="1">
    <formula>'2.25.'!$A$1:$E$57</formula>
    <oldFormula>'2.25.'!$A$1:$E$57</oldFormula>
  </rdn>
  <rdn rId="0" localSheetId="41" customView="1" name="Z_2CF5EF93_C226_48EA_959E_36D142677DAA_.wvu.Rows" hidden="1" oldHidden="1">
    <formula>'2.25.'!$19:$20</formula>
    <oldFormula>'2.25.'!$19:$20</oldFormula>
  </rdn>
  <rdn rId="0" localSheetId="41" customView="1" name="Z_2CF5EF93_C226_48EA_959E_36D142677DAA_.wvu.Cols" hidden="1" oldHidden="1">
    <formula>'2.25.'!$D:$D</formula>
    <oldFormula>'2.25.'!$D:$D</oldFormula>
  </rdn>
  <rdn rId="0" localSheetId="42" customView="1" name="Z_2CF5EF93_C226_48EA_959E_36D142677DAA_.wvu.PrintArea" hidden="1" oldHidden="1">
    <formula>'2.26.'!$A$1:$D$55</formula>
    <oldFormula>'2.26.'!$A$1:$D$55</oldFormula>
  </rdn>
  <rdn rId="0" localSheetId="43" customView="1" name="Z_2CF5EF93_C226_48EA_959E_36D142677DAA_.wvu.PrintArea" hidden="1" oldHidden="1">
    <formula>'2.27.'!$A$1:$D$55</formula>
    <oldFormula>'2.27.'!$A$1:$D$55</oldFormula>
  </rdn>
  <rdn rId="0" localSheetId="44" customView="1" name="Z_2CF5EF93_C226_48EA_959E_36D142677DAA_.wvu.PrintArea" hidden="1" oldHidden="1">
    <formula>'2.28.'!$A$1:$D$56</formula>
    <oldFormula>'2.28.'!$A$1:$D$56</oldFormula>
  </rdn>
  <rdn rId="0" localSheetId="44" customView="1" name="Z_2CF5EF93_C226_48EA_959E_36D142677DAA_.wvu.Rows" hidden="1" oldHidden="1">
    <formula>'2.28.'!$10:$10</formula>
    <oldFormula>'2.28.'!$10:$10</oldFormula>
  </rdn>
  <rdn rId="0" localSheetId="45" customView="1" name="Z_2CF5EF93_C226_48EA_959E_36D142677DAA_.wvu.PrintArea" hidden="1" oldHidden="1">
    <formula>'2.29.'!$A$1:$D$56</formula>
    <oldFormula>'2.29.'!$A$1:$D$56</oldFormula>
  </rdn>
  <rdn rId="0" localSheetId="45" customView="1" name="Z_2CF5EF93_C226_48EA_959E_36D142677DAA_.wvu.Rows" hidden="1" oldHidden="1">
    <formula>'2.29.'!$10:$10</formula>
    <oldFormula>'2.29.'!$10:$10</oldFormula>
  </rdn>
  <rdn rId="0" localSheetId="46" customView="1" name="Z_2CF5EF93_C226_48EA_959E_36D142677DAA_.wvu.PrintArea" hidden="1" oldHidden="1">
    <formula>'2.30.'!$A$1:$D$56</formula>
    <oldFormula>'2.30.'!$A$1:$D$56</oldFormula>
  </rdn>
  <rdn rId="0" localSheetId="46" customView="1" name="Z_2CF5EF93_C226_48EA_959E_36D142677DAA_.wvu.Rows" hidden="1" oldHidden="1">
    <formula>'2.30.'!$19:$19</formula>
    <oldFormula>'2.30.'!$19:$19</oldFormula>
  </rdn>
  <rdn rId="0" localSheetId="47" customView="1" name="Z_2CF5EF93_C226_48EA_959E_36D142677DAA_.wvu.PrintArea" hidden="1" oldHidden="1">
    <formula>'2.31.'!$A$1:$D$57</formula>
    <oldFormula>'2.31.'!$A$1:$D$57</oldFormula>
  </rdn>
  <rdn rId="0" localSheetId="47" customView="1" name="Z_2CF5EF93_C226_48EA_959E_36D142677DAA_.wvu.Rows" hidden="1" oldHidden="1">
    <formula>'2.31.'!$19:$20</formula>
    <oldFormula>'2.31.'!$19:$20</oldFormula>
  </rdn>
  <rdn rId="0" localSheetId="48" customView="1" name="Z_2CF5EF93_C226_48EA_959E_36D142677DAA_.wvu.PrintArea" hidden="1" oldHidden="1">
    <formula>'2.32.'!$A$1:$D$56</formula>
    <oldFormula>'2.32.'!$A$1:$D$56</oldFormula>
  </rdn>
  <rdn rId="0" localSheetId="48" customView="1" name="Z_2CF5EF93_C226_48EA_959E_36D142677DAA_.wvu.Rows" hidden="1" oldHidden="1">
    <formula>'2.32.'!$19:$19</formula>
    <oldFormula>'2.32.'!$19:$19</oldFormula>
  </rdn>
  <rdn rId="0" localSheetId="49" customView="1" name="Z_2CF5EF93_C226_48EA_959E_36D142677DAA_.wvu.PrintArea" hidden="1" oldHidden="1">
    <formula>'2.33.'!$A$1:$D$56</formula>
    <oldFormula>'2.33.'!$A$1:$D$56</oldFormula>
  </rdn>
  <rdn rId="0" localSheetId="49" customView="1" name="Z_2CF5EF93_C226_48EA_959E_36D142677DAA_.wvu.Rows" hidden="1" oldHidden="1">
    <formula>'2.33.'!$19:$19</formula>
    <oldFormula>'2.33.'!$19:$19</oldFormula>
  </rdn>
  <rdn rId="0" localSheetId="50" customView="1" name="Z_2CF5EF93_C226_48EA_959E_36D142677DAA_.wvu.PrintArea" hidden="1" oldHidden="1">
    <formula>'2.34.'!$A$1:$D$56</formula>
    <oldFormula>'2.34.'!$A$1:$D$56</oldFormula>
  </rdn>
  <rdn rId="0" localSheetId="50" customView="1" name="Z_2CF5EF93_C226_48EA_959E_36D142677DAA_.wvu.Rows" hidden="1" oldHidden="1">
    <formula>'2.34.'!$10:$10</formula>
    <oldFormula>'2.34.'!$10:$10</oldFormula>
  </rdn>
  <rdn rId="0" localSheetId="51" customView="1" name="Z_2CF5EF93_C226_48EA_959E_36D142677DAA_.wvu.PrintArea" hidden="1" oldHidden="1">
    <formula>'2.35.'!$A$1:$D$56</formula>
    <oldFormula>'2.35.'!$A$1:$D$56</oldFormula>
  </rdn>
  <rdn rId="0" localSheetId="51" customView="1" name="Z_2CF5EF93_C226_48EA_959E_36D142677DAA_.wvu.Rows" hidden="1" oldHidden="1">
    <formula>'2.35.'!$19:$19</formula>
    <oldFormula>'2.35.'!$19:$19</oldFormula>
  </rdn>
  <rdn rId="0" localSheetId="52" customView="1" name="Z_2CF5EF93_C226_48EA_959E_36D142677DAA_.wvu.PrintArea" hidden="1" oldHidden="1">
    <formula>'2.36.'!$A$1:$D$58</formula>
    <oldFormula>'2.36.'!$A$1:$D$58</oldFormula>
  </rdn>
  <rdn rId="0" localSheetId="52" customView="1" name="Z_2CF5EF93_C226_48EA_959E_36D142677DAA_.wvu.Rows" hidden="1" oldHidden="1">
    <formula>'2.36.'!$10:$10,'2.36.'!$20:$21</formula>
    <oldFormula>'2.36.'!$10:$10,'2.36.'!$20:$21</oldFormula>
  </rdn>
  <rdn rId="0" localSheetId="53" customView="1" name="Z_2CF5EF93_C226_48EA_959E_36D142677DAA_.wvu.PrintArea" hidden="1" oldHidden="1">
    <formula>'2.37.'!$A$1:$D$56</formula>
    <oldFormula>'2.37.'!$A$1:$D$56</oldFormula>
  </rdn>
  <rdn rId="0" localSheetId="53" customView="1" name="Z_2CF5EF93_C226_48EA_959E_36D142677DAA_.wvu.Rows" hidden="1" oldHidden="1">
    <formula>'2.37.'!$19:$19</formula>
    <oldFormula>'2.37.'!$19:$19</oldFormula>
  </rdn>
  <rdn rId="0" localSheetId="54" customView="1" name="Z_2CF5EF93_C226_48EA_959E_36D142677DAA_.wvu.PrintArea" hidden="1" oldHidden="1">
    <formula>'2.38.'!$A$1:$D$59</formula>
    <oldFormula>'2.38.'!$A$1:$D$59</oldFormula>
  </rdn>
  <rdn rId="0" localSheetId="54" customView="1" name="Z_2CF5EF93_C226_48EA_959E_36D142677DAA_.wvu.Rows" hidden="1" oldHidden="1">
    <formula>'2.38.'!$11:$12,'2.38.'!$21:$21,'2.38.'!$55:$55</formula>
    <oldFormula>'2.38.'!$11:$12,'2.38.'!$21:$21,'2.38.'!$55:$55</oldFormula>
  </rdn>
  <rdn rId="0" localSheetId="55" customView="1" name="Z_2CF5EF93_C226_48EA_959E_36D142677DAA_.wvu.PrintArea" hidden="1" oldHidden="1">
    <formula>'2.39.'!$A$1:$D$55</formula>
    <oldFormula>'2.39.'!$A$1:$D$55</oldFormula>
  </rdn>
  <rdn rId="0" localSheetId="56" customView="1" name="Z_2CF5EF93_C226_48EA_959E_36D142677DAA_.wvu.PrintArea" hidden="1" oldHidden="1">
    <formula>'2.40.'!$A$1:$D$55</formula>
    <oldFormula>'2.40.'!$A$1:$D$55</oldFormula>
  </rdn>
  <rdn rId="0" localSheetId="57" customView="1" name="Z_2CF5EF93_C226_48EA_959E_36D142677DAA_.wvu.PrintArea" hidden="1" oldHidden="1">
    <formula>'2.41.'!$A$1:$D$57</formula>
    <oldFormula>'2.41.'!$A$1:$D$57</oldFormula>
  </rdn>
  <rdn rId="0" localSheetId="57" customView="1" name="Z_2CF5EF93_C226_48EA_959E_36D142677DAA_.wvu.PrintTitles" hidden="1" oldHidden="1">
    <formula>'2.41.'!$13:$13</formula>
    <oldFormula>'2.41.'!$13:$13</oldFormula>
  </rdn>
  <rdn rId="0" localSheetId="57" customView="1" name="Z_2CF5EF93_C226_48EA_959E_36D142677DAA_.wvu.Rows" hidden="1" oldHidden="1">
    <formula>'2.41.'!$11:$12</formula>
    <oldFormula>'2.41.'!$11:$12</oldFormula>
  </rdn>
  <rdn rId="0" localSheetId="58" customView="1" name="Z_2CF5EF93_C226_48EA_959E_36D142677DAA_.wvu.PrintArea" hidden="1" oldHidden="1">
    <formula>'2.42.'!$A$1:$D$55</formula>
    <oldFormula>'2.42.'!$A$1:$D$55</oldFormula>
  </rdn>
  <rdn rId="0" localSheetId="59" customView="1" name="Z_2CF5EF93_C226_48EA_959E_36D142677DAA_.wvu.PrintArea" hidden="1" oldHidden="1">
    <formula>'2.43.'!$A$1:$D$55</formula>
    <oldFormula>'2.43.'!$A$1:$D$55</oldFormula>
  </rdn>
  <rdn rId="0" localSheetId="60" customView="1" name="Z_2CF5EF93_C226_48EA_959E_36D142677DAA_.wvu.PrintArea" hidden="1" oldHidden="1">
    <formula>'2.44.'!$A$1:$D$55</formula>
    <oldFormula>'2.44.'!$A$1:$D$55</oldFormula>
  </rdn>
  <rdn rId="0" localSheetId="61" customView="1" name="Z_2CF5EF93_C226_48EA_959E_36D142677DAA_.wvu.PrintArea" hidden="1" oldHidden="1">
    <formula>'2.45.'!$A$1:$D$55</formula>
    <oldFormula>'2.45.'!$A$1:$D$55</oldFormula>
  </rdn>
  <rdn rId="0" localSheetId="62" customView="1" name="Z_2CF5EF93_C226_48EA_959E_36D142677DAA_.wvu.PrintArea" hidden="1" oldHidden="1">
    <formula>'2.46.'!$A$1:$D$55</formula>
    <oldFormula>'2.46.'!$A$1:$D$55</oldFormula>
  </rdn>
  <rdn rId="0" localSheetId="63" customView="1" name="Z_2CF5EF93_C226_48EA_959E_36D142677DAA_.wvu.PrintArea" hidden="1" oldHidden="1">
    <formula>'2.47.'!$A$1:$D$55</formula>
    <oldFormula>'2.47.'!$A$1:$D$55</oldFormula>
  </rdn>
  <rdn rId="0" localSheetId="64" customView="1" name="Z_2CF5EF93_C226_48EA_959E_36D142677DAA_.wvu.PrintArea" hidden="1" oldHidden="1">
    <formula>'2.48.'!$A$1:$D$55</formula>
    <oldFormula>'2.48.'!$A$1:$D$55</oldFormula>
  </rdn>
  <rcv guid="{2CF5EF93-C226-48EA-959E-36D142677DAA}" action="add"/>
  <rsnm rId="1987" sheetId="21" oldName="[VManotp3_120517_VADCmaks-1.xlsx]2.4.1." newName="[VManotp3_150517_VADCmaks.xlsx]2.5."/>
  <rsnm rId="1988" sheetId="22" oldName="[VManotp3_120517_VADCmaks-1.xlsx]2.5." newName="[VManotp3_150517_VADCmaks.xlsx]2.6."/>
  <rsnm rId="1989" sheetId="23" oldName="[VManotp3_120517_VADCmaks-1.xlsx]2.6." newName="[VManotp3_150517_VADCmaks.xlsx]2.7."/>
  <rsnm rId="1990" sheetId="24" oldName="[VManotp3_120517_VADCmaks-1.xlsx]2.6.1." newName="[VManotp3_150517_VADCmaks.xlsx]2.8."/>
  <rsnm rId="1991" sheetId="25" oldName="[VManotp3_120517_VADCmaks-1.xlsx]2.7." newName="[VManotp3_150517_VADCmaks.xlsx]2.9."/>
  <rsnm rId="1992" sheetId="26" oldName="[VManotp3_120517_VADCmaks-1.xlsx]2.8." newName="[VManotp3_150517_VADCmaks.xlsx]2.10."/>
  <rsnm rId="1993" sheetId="27" oldName="[VManotp3_120517_VADCmaks-1.xlsx]2.9." newName="[VManotp3_150517_VADCmaks.xlsx]2.11."/>
  <rsnm rId="1994" sheetId="28" oldName="[VManotp3_120517_VADCmaks-1.xlsx]2.9.1." newName="[VManotp3_150517_VADCmaks.xlsx]2.12."/>
  <rsnm rId="1995" sheetId="29" oldName="[VManotp3_120517_VADCmaks-1.xlsx]2.10." newName="[VManotp3_150517_VADCmaks.xlsx]2.13."/>
  <rsnm rId="1996" sheetId="30" oldName="[VManotp3_120517_VADCmaks-1.xlsx]2.10.1." newName="[VManotp3_150517_VADCmaks.xlsx]2.14."/>
  <rsnm rId="1997" sheetId="31" oldName="[VManotp3_120517_VADCmaks-1.xlsx]2.11." newName="[VManotp3_150517_VADCmaks.xlsx]2.15."/>
  <rsnm rId="1998" sheetId="32" oldName="[VManotp3_120517_VADCmaks-1.xlsx]2.12." newName="[VManotp3_150517_VADCmaks.xlsx]2.16."/>
  <rsnm rId="1999" sheetId="33" oldName="[VManotp3_120517_VADCmaks-1.xlsx]2.13." newName="[VManotp3_150517_VADCmaks.xlsx]2.17."/>
  <rsnm rId="2000" sheetId="34" oldName="[VManotp3_120517_VADCmaks-1.xlsx]2.14." newName="[VManotp3_150517_VADCmaks.xlsx]2.18."/>
  <rsnm rId="2001" sheetId="35" oldName="[VManotp3_120517_VADCmaks-1.xlsx]2.15." newName="[VManotp3_150517_VADCmaks.xlsx]2.19."/>
  <rsnm rId="2002" sheetId="36" oldName="[VManotp3_120517_VADCmaks-1.xlsx]2.15.1." newName="[VManotp3_150517_VADCmaks.xlsx]2.20."/>
  <rsnm rId="2003" sheetId="37" oldName="[VManotp3_120517_VADCmaks-1.xlsx]2.16." newName="[VManotp3_150517_VADCmaks.xlsx]2.21."/>
  <rsnm rId="2004" sheetId="38" oldName="[VManotp3_120517_VADCmaks-1.xlsx]2.17." newName="[VManotp3_150517_VADCmaks.xlsx]2.22."/>
  <rsnm rId="2005" sheetId="39" oldName="[VManotp3_120517_VADCmaks-1.xlsx]2.17.1." newName="[VManotp3_150517_VADCmaks.xlsx]2.23."/>
  <rsnm rId="2006" sheetId="40" oldName="[VManotp3_120517_VADCmaks-1.xlsx]2.18." newName="[VManotp3_150517_VADCmaks.xlsx]2.24."/>
  <rsnm rId="2007" sheetId="41" oldName="[VManotp3_120517_VADCmaks-1.xlsx]2.18.1." newName="[VManotp3_150517_VADCmaks.xlsx]2.25."/>
  <rsnm rId="2008" sheetId="42" oldName="[VManotp3_120517_VADCmaks-1.xlsx]2.19." newName="[VManotp3_150517_VADCmaks.xlsx]2.26."/>
  <rsnm rId="2009" sheetId="43" oldName="[VManotp3_120517_VADCmaks-1.xlsx]2.19.1." newName="[VManotp3_150517_VADCmaks.xlsx]2.27."/>
  <rsnm rId="2010" sheetId="44" oldName="[VManotp3_120517_VADCmaks-1.xlsx]2.20." newName="[VManotp3_150517_VADCmaks.xlsx]2.28."/>
  <rsnm rId="2011" sheetId="45" oldName="[VManotp3_120517_VADCmaks-1.xlsx]2.20.1." newName="[VManotp3_150517_VADCmaks.xlsx]2.29."/>
  <rsnm rId="2012" sheetId="46" oldName="[VManotp3_120517_VADCmaks-1.xlsx]2.21." newName="[VManotp3_150517_VADCmaks.xlsx]2.30."/>
  <rsnm rId="2013" sheetId="47" oldName="[VManotp3_120517_VADCmaks-1.xlsx]2.21.1." newName="[VManotp3_150517_VADCmaks.xlsx]2.31."/>
  <rsnm rId="2014" sheetId="48" oldName="[VManotp3_120517_VADCmaks-1.xlsx]2.22." newName="[VManotp3_150517_VADCmaks.xlsx]2.32."/>
  <rsnm rId="2015" sheetId="49" oldName="[VManotp3_120517_VADCmaks-1.xlsx]2.23." newName="[VManotp3_150517_VADCmaks.xlsx]2.33."/>
  <rsnm rId="2016" sheetId="50" oldName="[VManotp3_120517_VADCmaks-1.xlsx]2.24." newName="[VManotp3_150517_VADCmaks.xlsx]2.34."/>
  <rsnm rId="2017" sheetId="51" oldName="[VManotp3_120517_VADCmaks-1.xlsx]2.25." newName="[VManotp3_150517_VADCmaks.xlsx]2.35."/>
  <rsnm rId="2018" sheetId="52" oldName="[VManotp3_120517_VADCmaks-1.xlsx]2.25.1." newName="[VManotp3_150517_VADCmaks.xlsx]2.36."/>
  <rsnm rId="2019" sheetId="53" oldName="[VManotp3_120517_VADCmaks-1.xlsx]2.26." newName="[VManotp3_150517_VADCmaks.xlsx]2.37."/>
  <rsnm rId="2020" sheetId="54" oldName="[VManotp3_120517_VADCmaks-1.xlsx]2.27." newName="[VManotp3_150517_VADCmaks.xlsx]2.38."/>
  <rsnm rId="2021" sheetId="55" oldName="[VManotp3_120517_VADCmaks-1.xlsx]2.27.1." newName="[VManotp3_150517_VADCmaks.xlsx]2.39."/>
  <rsnm rId="2022" sheetId="56" oldName="[VManotp3_120517_VADCmaks-1.xlsx]2.28." newName="[VManotp3_150517_VADCmaks.xlsx]2.40."/>
  <rsnm rId="2023" sheetId="57" oldName="[VManotp3_120517_VADCmaks-1.xlsx]2.28.1." newName="[VManotp3_150517_VADCmaks.xlsx]2.41."/>
  <rsnm rId="2024" sheetId="58" oldName="[VManotp3_120517_VADCmaks-1.xlsx]2.29." newName="[VManotp3_150517_VADCmaks.xlsx]2.42."/>
  <rsnm rId="2025" sheetId="59" oldName="[VManotp3_120517_VADCmaks-1.xlsx]2.30." newName="[VManotp3_150517_VADCmaks.xlsx]2.43."/>
  <rsnm rId="2026" sheetId="60" oldName="[VManotp3_120517_VADCmaks-1.xlsx]2.31." newName="[VManotp3_150517_VADCmaks.xlsx]2.44."/>
  <rsnm rId="2027" sheetId="61" oldName="[VManotp3_120517_VADCmaks-1.xlsx]2.32." newName="[VManotp3_150517_VADCmaks.xlsx]2.45."/>
  <rsnm rId="2028" sheetId="62" oldName="[VManotp3_120517_VADCmaks-1.xlsx]2.33." newName="[VManotp3_150517_VADCmaks.xlsx]2.46."/>
  <rsnm rId="2029" sheetId="63" oldName="[VManotp3_120517_VADCmaks-1.xlsx]2.34" newName="[VManotp3_150517_VADCmaks.xlsx]2.47."/>
  <rsnm rId="2030" sheetId="64" oldName="[VManotp3_120517_VADCmaks-1.xlsx]2.35." newName="[VManotp3_150517_VADCmaks.xlsx]2.48."/>
  <rsnm rId="2031" sheetId="65" oldName="[VManotp3_120517_VADCmaks-1.xlsx]2.36." newName="[VManotp3_150517_VADCmaks.xlsx]2.49.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2" sId="1">
    <oc r="B29" t="inlineStr">
      <is>
        <t>Asins grupas noteikšana ABO sistēmā izmantojot plaknes metodi (dubultreakcija). Steidzami!</t>
      </is>
    </oc>
    <nc r="B29" t="inlineStr">
      <is>
        <t>Asins grupas noteikšana ABO sistēmā izmantojot plaknes metodi (dubultreakcija). Neatliekami.</t>
      </is>
    </nc>
  </rcc>
  <rcc rId="2033" sId="1">
    <oc r="B32" t="inlineStr">
      <is>
        <t>ABO asins grupas (dubultreakcija) un Rh (D) noteikšana ar gelkaršu metodi (karte ABO/D + reverse grouping). Steidzami!</t>
      </is>
    </oc>
    <nc r="B32" t="inlineStr">
      <is>
        <t>ABO asins grupas (dubultreakcija) un Rh (D) noteikšana ar gelkaršu metodi (karte ABO/D + reverse grouping).Neatliekami.</t>
      </is>
    </nc>
  </rcc>
  <rcc rId="2034" sId="1">
    <oc r="B36" t="inlineStr">
      <is>
        <t>Rh(D) noteikšana ar plaknes metodi. Steidzami!</t>
      </is>
    </oc>
    <nc r="B36" t="inlineStr">
      <is>
        <t>Rh(D) noteikšana ar plaknes metodi. Neatliekami.</t>
      </is>
    </nc>
  </rcc>
  <rcc rId="2035" sId="1">
    <oc r="B38" t="inlineStr">
      <is>
        <t>Rh fenotipa CcEe un Kell antigēna noteikšana ar gelkaršu metodi.Steidzami!</t>
      </is>
    </oc>
    <nc r="B38" t="inlineStr">
      <is>
        <t>Rh fenotipa CcEe un Kell antigēna noteikšana ar gelkaršu metodi. Neatliekami.</t>
      </is>
    </nc>
  </rcc>
  <rcc rId="2036" sId="1">
    <oc r="B44" t="inlineStr">
      <is>
        <t>Antieritrocitāro antivielu skrīnings ar gelkaršu metodi, netiešo antiglobulīna testu (1/2 karte Liss Coombs). Steidzami!</t>
      </is>
    </oc>
    <nc r="B44" t="inlineStr">
      <is>
        <t>Antieritrocitāro antivielu skrīnings ar gelkaršu metodi, netiešo antiglobulīna testu (1/2 karte Liss Coombs). Neatliekami.</t>
      </is>
    </nc>
  </rcc>
  <rcc rId="2037" sId="1">
    <oc r="B47" t="inlineStr">
      <is>
        <t>Antieritrocitāro antivielu identifikācija ar gelkaršu metodi, netiešais antiglobulīna tests (2 kartes Liss/Coombs). Steidzami!</t>
      </is>
    </oc>
    <nc r="B47" t="inlineStr">
      <is>
        <t>Antieritrocitāro antivielu identifikācija ar gelkaršu metodi, netiešais antiglobulīna tests (2 kartes Liss/Coombs). Neatliekami.</t>
      </is>
    </nc>
  </rcc>
  <rcc rId="2038" sId="1">
    <oc r="B49" t="inlineStr">
      <is>
        <r>
          <t>Antieritrocitāro antivielu identifikācija (37</t>
        </r>
        <r>
          <rPr>
            <vertAlign val="superscript"/>
            <sz val="12"/>
            <color theme="1"/>
            <rFont val="Times New Roman"/>
            <family val="1"/>
            <charset val="186"/>
          </rPr>
          <t xml:space="preserve">o </t>
        </r>
        <r>
          <rPr>
            <sz val="12"/>
            <color theme="1"/>
            <rFont val="Times New Roman"/>
            <family val="1"/>
            <charset val="186"/>
          </rPr>
          <t>vai 4</t>
        </r>
        <r>
          <rPr>
            <vertAlign val="superscript"/>
            <sz val="12"/>
            <color theme="1"/>
            <rFont val="Times New Roman"/>
            <family val="1"/>
            <charset val="186"/>
          </rPr>
          <t>o</t>
        </r>
        <r>
          <rPr>
            <sz val="12"/>
            <color theme="1"/>
            <rFont val="Times New Roman"/>
            <family val="1"/>
            <charset val="186"/>
          </rPr>
          <t>, vai 20</t>
        </r>
        <r>
          <rPr>
            <vertAlign val="superscript"/>
            <sz val="12"/>
            <color theme="1"/>
            <rFont val="Times New Roman"/>
            <family val="1"/>
            <charset val="186"/>
          </rPr>
          <t>o)</t>
        </r>
        <r>
          <rPr>
            <sz val="12"/>
            <color theme="1"/>
            <rFont val="Times New Roman"/>
            <family val="1"/>
            <charset val="186"/>
          </rPr>
          <t>ar gelkaršu metodi, enzīmu testu (2 kartes Na Cl enzyme).Steidzami!</t>
        </r>
      </is>
    </oc>
    <nc r="B49" t="inlineStr">
      <is>
        <r>
          <t>Antieritrocitāro antivielu identifikācija (37</t>
        </r>
        <r>
          <rPr>
            <vertAlign val="superscript"/>
            <sz val="12"/>
            <color theme="1"/>
            <rFont val="Times New Roman"/>
            <family val="1"/>
            <charset val="186"/>
          </rPr>
          <t xml:space="preserve">o </t>
        </r>
        <r>
          <rPr>
            <sz val="12"/>
            <color theme="1"/>
            <rFont val="Times New Roman"/>
            <family val="1"/>
            <charset val="186"/>
          </rPr>
          <t>vai 4</t>
        </r>
        <r>
          <rPr>
            <vertAlign val="superscript"/>
            <sz val="12"/>
            <color theme="1"/>
            <rFont val="Times New Roman"/>
            <family val="1"/>
            <charset val="186"/>
          </rPr>
          <t>o</t>
        </r>
        <r>
          <rPr>
            <sz val="12"/>
            <color theme="1"/>
            <rFont val="Times New Roman"/>
            <family val="1"/>
            <charset val="186"/>
          </rPr>
          <t>, vai 20</t>
        </r>
        <r>
          <rPr>
            <vertAlign val="superscript"/>
            <sz val="12"/>
            <color theme="1"/>
            <rFont val="Times New Roman"/>
            <family val="1"/>
            <charset val="186"/>
          </rPr>
          <t>o)</t>
        </r>
        <r>
          <rPr>
            <sz val="12"/>
            <color theme="1"/>
            <rFont val="Times New Roman"/>
            <family val="1"/>
            <charset val="186"/>
          </rPr>
          <t>ar gelkaršu metodi, enzīmu testu (2 kartes Na Cl enzyme). Neatliekami.</t>
        </r>
      </is>
    </nc>
  </rcc>
  <rcc rId="2039" sId="1">
    <oc r="B55" t="inlineStr">
      <is>
        <t>Recipienta un donora asins saderības tests ar gelkaršu metodi (netiešais antiglobulīna tests)- vienas eritrocītu masas saderināšanai. Steidzami!</t>
      </is>
    </oc>
    <nc r="B55" t="inlineStr">
      <is>
        <t>Recipienta un donora asins saderības tests ar gelkaršu metodi (netiešais antiglobulīna tests)- vienas eritrocītu masas saderināšanai. Neatliekami.</t>
      </is>
    </nc>
  </rcc>
  <rcc rId="2040" sId="1">
    <oc r="B60" t="inlineStr">
      <is>
        <t>Tiešais antiglobulīna tests (DAT) ar gelkaršu metodi. Steidzami!</t>
      </is>
    </oc>
    <nc r="B60" t="inlineStr">
      <is>
        <t>Tiešais antiglobulīna tests (DAT) ar gelkaršu metodi. Neatliekami.</t>
      </is>
    </nc>
  </rcc>
  <rcc rId="2041" sId="1">
    <oc r="B63" t="inlineStr">
      <is>
        <t>Tiešā antiglobulīna testa diferencēšana IgG;C3d,ctl ar gelkaršu metodi. Steidzami!</t>
      </is>
    </oc>
    <nc r="B63" t="inlineStr">
      <is>
        <t>Tiešā antiglobulīna testa diferencēšana IgG;C3d,ctl ar gelkaršu metodi. Neatliekami.</t>
      </is>
    </nc>
  </rcc>
  <rcc rId="2042" sId="1">
    <oc r="B65" t="inlineStr">
      <is>
        <t>Eluāta iegūšana no DAT pozitīviem eritrocītiem ar Dia Cidel. Steidzami!</t>
      </is>
    </oc>
    <nc r="B65" t="inlineStr">
      <is>
        <t>Eluāta iegūšana no DAT pozitīviem eritrocītiem ar Dia Cidel. Neatliekami.</t>
      </is>
    </nc>
  </rcc>
  <rcc rId="2043" sId="21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2.5. Asins grupas noteikšana ABO sistēmā izmantojot plaknes metodi (dubultreakcija) Steidzami!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2.5. Asins grupas noteikšana ABO sistēmā izmantojot plaknes metodi (dubultreakcija). Neatliekami.</t>
        </r>
      </is>
    </nc>
  </rcc>
  <rcc rId="2044" sId="24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2.8. ABO asins grupas (dubultreakcija) Rh (D) noteikšana ar gelkaršu metodi (karte ABO/D+reverse grouping). Steidzami!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2.8. ABO asins grupas (dubultreakcija) Rh (D) noteikšana ar gelkaršu metodi (karte ABO/D+reverse grouping). Neatliekami.</t>
        </r>
      </is>
    </nc>
  </rcc>
  <rcc rId="2045" sId="28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2.12. Rh (D) noteikšana ar plaknes metodi. Steidzami!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2.12. Rh (D) noteikšana ar plaknes metodi. Neatliekami.</t>
        </r>
      </is>
    </nc>
  </rcc>
  <rfmt sheetId="29" sqref="A6:D6">
    <dxf>
      <alignment vertical="top"/>
    </dxf>
  </rfmt>
  <rcc rId="2046" sId="30">
    <oc r="A9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2.14. Rh fenotipa CcEe un Kell antigēna noteikšana ar gelkaršu metodi. Steidzami!</t>
        </r>
      </is>
    </oc>
    <nc r="A9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2.14. Rh fenotipa CcEe un Kell antigēna noteikšana ar gelkaršu metodi. Neatliekami.</t>
        </r>
      </is>
    </nc>
  </rcc>
  <rcc rId="2047" sId="36">
    <oc r="A9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2.20. Antieritrocitāro antivielu skrīnings ar gelkaršu metodi, netiešo antiglobulīna testu (1/2 karte Liss Coombs). Steidzami!</t>
        </r>
      </is>
    </oc>
    <nc r="A9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2.20. Antieritrocitāro antivielu skrīnings ar gelkaršu metodi, netiešo antiglobulīna testu (1/2 karte Liss Coombs). Neatliekami.</t>
        </r>
      </is>
    </nc>
  </rcc>
  <rcc rId="2048" sId="39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2.23. Antieritrocitāro antivielu identifikācija ar gelkaršu metodi, netiešais antiglobulīna tests (2 kartes Liss/Coombs). Steidzami!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2.23. Antieritrocitāro antivielu identifikācija ar gelkaršu metodi, netiešais antiglobulīna tests (2 kartes Liss/Coombs). Neatliekami.</t>
        </r>
      </is>
    </nc>
  </rcc>
  <rcc rId="2049" sId="41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2.25. Antieritrocitāro antivielu identifikācija (37° vai 4°, vai 20°) ar gelkaršu metodi, enzīmu testu (2 kartes Na Cl enzyme). Steidzami!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2.25. Antieritrocitāro antivielu identifikācija (37° vai 4°, vai 20°) ar gelkaršu metodi, enzīmu testu (2 kartes Na Cl enzyme). Neatliekami.</t>
        </r>
      </is>
    </nc>
  </rcc>
  <rcc rId="2050" sId="43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2.27. Antieritrocitāro antivielu identifikācija ar gelkaršu metodi, netiešais antiglobulīna tests izmantojot papildus paneli ID Dia Panel Plus (1 karte Liss/Coombs). Steidzami!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2.27. Antieritrocitāro antivielu identifikācija ar gelkaršu metodi, netiešais antiglobulīna tests izmantojot papildus paneli ID Dia Panel Plus (1 karte Liss/Coombs). Neatliekami.</t>
        </r>
      </is>
    </nc>
  </rcc>
  <rcc rId="2051" sId="45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2.29. Antieritrocitāro antivielu identifikācija ar gelkaršu metodi, netiešo antiglobulīna testu izmantojot papildus "Column panel 16" (3 kartes Liss/Coombs). Steidzami!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2.29. Antieritrocitāro antivielu identifikācija ar gelkaršu metodi, netiešo antiglobulīna testu izmantojot papildus "Column panel 16" (3 kartes Liss/Coombs). Neatliekami.</t>
        </r>
      </is>
    </nc>
  </rcc>
  <rfmt sheetId="45" sqref="A6:D6">
    <dxf>
      <alignment vertical="top"/>
    </dxf>
  </rfmt>
  <rcc rId="2052" sId="47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2.31. Recipienta un donora asins saderības tests ar gelkaršu metodi (netiešais antiglobulīna tests) vienas eritrocīta masas saderināšanai. Steidzami!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2.31. Recipienta un donora asins saderības tests ar gelkaršu metodi (netiešais antiglobulīna tests) vienas eritrocīta masas saderināšanai. Neatliekami.</t>
        </r>
      </is>
    </nc>
  </rcc>
  <rcc rId="2053" sId="52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2.36. Tiešais antiglobulīna tests (DAT) ar gelkaršu metodi. Steidzami!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2.36. Tiešais antiglobulīna tests (DAT) ar gelkaršu metodi. Neatliekami.</t>
        </r>
      </is>
    </nc>
  </rcc>
  <rfmt sheetId="52" sqref="A6:D6">
    <dxf>
      <alignment vertical="top"/>
    </dxf>
  </rfmt>
  <rcc rId="2054" sId="55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2.39. Tiešā antiglobulīna diferencēšana IgG; C3d; ctl ar gelkaršu metodi. Steidzami!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2.39. Tiešā antiglobulīna diferencēšana IgG; C3d; ctl ar gelkaršu metodi. Neatliekami.</t>
        </r>
      </is>
    </nc>
  </rcc>
  <rcc rId="2055" sId="57">
    <o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2.41. Eluāta iegūšana no DAT pozitīviem eritrocītiem ar Dia Cidel. Steidzami!</t>
        </r>
      </is>
    </oc>
    <nc r="A6" t="inlineStr">
      <is>
        <r>
          <t xml:space="preserve">Maksas pakalpojuma veids: </t>
        </r>
        <r>
          <rPr>
            <sz val="12"/>
            <rFont val="Times New Roman"/>
            <family val="1"/>
            <charset val="186"/>
          </rPr>
          <t>2.41. Eluāta iegūšana no DAT pozitīviem eritrocītiem ar Dia Cidel. Neatliekami.</t>
        </r>
      </is>
    </nc>
  </rcc>
  <rcv guid="{2CF5EF93-C226-48EA-959E-36D142677DAA}" action="delete"/>
  <rdn rId="0" localSheetId="1" customView="1" name="Z_2CF5EF93_C226_48EA_959E_36D142677DAA_.wvu.PrintArea" hidden="1" oldHidden="1">
    <formula>Saturs!$A$1:$I$73</formula>
    <oldFormula>Saturs!$A$1:$I$73</oldFormula>
  </rdn>
  <rdn rId="0" localSheetId="2" customView="1" name="Z_2CF5EF93_C226_48EA_959E_36D142677DAA_.wvu.PrintArea" hidden="1" oldHidden="1">
    <formula>'1.1.'!$A$1:$D$43</formula>
    <oldFormula>'1.1.'!$A$1:$D$43</oldFormula>
  </rdn>
  <rdn rId="0" localSheetId="3" customView="1" name="Z_2CF5EF93_C226_48EA_959E_36D142677DAA_.wvu.PrintArea" hidden="1" oldHidden="1">
    <formula>'1.2.'!$A$1:$D$41</formula>
    <oldFormula>'1.2.'!$A$1:$D$41</oldFormula>
  </rdn>
  <rdn rId="0" localSheetId="4" customView="1" name="Z_2CF5EF93_C226_48EA_959E_36D142677DAA_.wvu.PrintArea" hidden="1" oldHidden="1">
    <formula>'1.3.'!$A$1:$D$31</formula>
    <oldFormula>'1.3.'!$A$1:$D$31</oldFormula>
  </rdn>
  <rdn rId="0" localSheetId="5" customView="1" name="Z_2CF5EF93_C226_48EA_959E_36D142677DAA_.wvu.PrintArea" hidden="1" oldHidden="1">
    <formula>'1.4.'!$A$1:$D$42</formula>
    <oldFormula>'1.4.'!$A$1:$D$42</oldFormula>
  </rdn>
  <rdn rId="0" localSheetId="6" customView="1" name="Z_2CF5EF93_C226_48EA_959E_36D142677DAA_.wvu.PrintArea" hidden="1" oldHidden="1">
    <formula>'1.5.'!$A$1:$D$44</formula>
    <oldFormula>'1.5.'!$A$1:$D$44</oldFormula>
  </rdn>
  <rdn rId="0" localSheetId="7" customView="1" name="Z_2CF5EF93_C226_48EA_959E_36D142677DAA_.wvu.PrintArea" hidden="1" oldHidden="1">
    <formula>'1.6.'!$A$1:$D$44</formula>
    <oldFormula>'1.6.'!$A$1:$D$44</oldFormula>
  </rdn>
  <rdn rId="0" localSheetId="8" customView="1" name="Z_2CF5EF93_C226_48EA_959E_36D142677DAA_.wvu.PrintArea" hidden="1" oldHidden="1">
    <formula>'1.7.'!$A$1:$D$44</formula>
    <oldFormula>'1.7.'!$A$1:$D$44</oldFormula>
  </rdn>
  <rdn rId="0" localSheetId="9" customView="1" name="Z_2CF5EF93_C226_48EA_959E_36D142677DAA_.wvu.PrintArea" hidden="1" oldHidden="1">
    <formula>'1.8.'!$A$1:$D$44</formula>
    <oldFormula>'1.8.'!$A$1:$D$44</oldFormula>
  </rdn>
  <rdn rId="0" localSheetId="10" customView="1" name="Z_2CF5EF93_C226_48EA_959E_36D142677DAA_.wvu.PrintArea" hidden="1" oldHidden="1">
    <formula>'1.9.'!$A$1:$D$44</formula>
    <oldFormula>'1.9.'!$A$1:$D$44</oldFormula>
  </rdn>
  <rdn rId="0" localSheetId="11" customView="1" name="Z_2CF5EF93_C226_48EA_959E_36D142677DAA_.wvu.PrintArea" hidden="1" oldHidden="1">
    <formula>'1.10.'!$A$1:$D$28</formula>
    <oldFormula>'1.10.'!$A$1:$D$28</oldFormula>
  </rdn>
  <rdn rId="0" localSheetId="12" customView="1" name="Z_2CF5EF93_C226_48EA_959E_36D142677DAA_.wvu.PrintArea" hidden="1" oldHidden="1">
    <formula>'1.11.'!$A$1:$D$30</formula>
    <oldFormula>'1.11.'!$A$1:$D$30</oldFormula>
  </rdn>
  <rdn rId="0" localSheetId="13" customView="1" name="Z_2CF5EF93_C226_48EA_959E_36D142677DAA_.wvu.PrintArea" hidden="1" oldHidden="1">
    <formula>'1.12.'!$A$1:$D$42</formula>
    <oldFormula>'1.12.'!$A$1:$D$42</oldFormula>
  </rdn>
  <rdn rId="0" localSheetId="14" customView="1" name="Z_2CF5EF93_C226_48EA_959E_36D142677DAA_.wvu.PrintArea" hidden="1" oldHidden="1">
    <formula>'1.13.'!$A$1:$D$42</formula>
    <oldFormula>'1.13.'!$A$1:$D$42</oldFormula>
  </rdn>
  <rdn rId="0" localSheetId="15" customView="1" name="Z_2CF5EF93_C226_48EA_959E_36D142677DAA_.wvu.PrintArea" hidden="1" oldHidden="1">
    <formula>'1.14.'!$A$1:$D$42</formula>
    <oldFormula>'1.14.'!$A$1:$D$42</oldFormula>
  </rdn>
  <rdn rId="0" localSheetId="16" customView="1" name="Z_2CF5EF93_C226_48EA_959E_36D142677DAA_.wvu.PrintArea" hidden="1" oldHidden="1">
    <formula>'2.1.'!$A$1:$G$54</formula>
    <oldFormula>'2.1.'!$A$1:$G$54</oldFormula>
  </rdn>
  <rdn rId="0" localSheetId="16" customView="1" name="Z_2CF5EF93_C226_48EA_959E_36D142677DAA_.wvu.Cols" hidden="1" oldHidden="1">
    <formula>'2.1.'!$E:$G</formula>
    <oldFormula>'2.1.'!$E:$G</oldFormula>
  </rdn>
  <rdn rId="0" localSheetId="18" customView="1" name="Z_2CF5EF93_C226_48EA_959E_36D142677DAA_.wvu.PrintArea" hidden="1" oldHidden="1">
    <formula>'2.2.'!$A$1:$D$54</formula>
    <oldFormula>'2.2.'!$A$1:$D$54</oldFormula>
  </rdn>
  <rdn rId="0" localSheetId="19" customView="1" name="Z_2CF5EF93_C226_48EA_959E_36D142677DAA_.wvu.PrintArea" hidden="1" oldHidden="1">
    <formula>'2.3.'!$A$1:$D$54</formula>
    <oldFormula>'2.3.'!$A$1:$D$54</oldFormula>
  </rdn>
  <rdn rId="0" localSheetId="20" customView="1" name="Z_2CF5EF93_C226_48EA_959E_36D142677DAA_.wvu.PrintArea" hidden="1" oldHidden="1">
    <formula>'2.4.'!$A$1:$D$55</formula>
    <oldFormula>'2.4.'!$A$1:$D$55</oldFormula>
  </rdn>
  <rdn rId="0" localSheetId="20" customView="1" name="Z_2CF5EF93_C226_48EA_959E_36D142677DAA_.wvu.Rows" hidden="1" oldHidden="1">
    <formula>'2.4.'!$19:$19</formula>
    <oldFormula>'2.4.'!$19:$19</oldFormula>
  </rdn>
  <rdn rId="0" localSheetId="21" customView="1" name="Z_2CF5EF93_C226_48EA_959E_36D142677DAA_.wvu.PrintArea" hidden="1" oldHidden="1">
    <formula>'2.5.'!$A$1:$D$56</formula>
    <oldFormula>'2.5.'!$A$1:$D$56</oldFormula>
  </rdn>
  <rdn rId="0" localSheetId="21" customView="1" name="Z_2CF5EF93_C226_48EA_959E_36D142677DAA_.wvu.Rows" hidden="1" oldHidden="1">
    <formula>'2.5.'!$19:$20</formula>
    <oldFormula>'2.5.'!$19:$20</oldFormula>
  </rdn>
  <rdn rId="0" localSheetId="22" customView="1" name="Z_2CF5EF93_C226_48EA_959E_36D142677DAA_.wvu.PrintArea" hidden="1" oldHidden="1">
    <formula>'2.6.'!$A$1:$D$56</formula>
    <oldFormula>'2.6.'!$A$1:$D$56</oldFormula>
  </rdn>
  <rdn rId="0" localSheetId="22" customView="1" name="Z_2CF5EF93_C226_48EA_959E_36D142677DAA_.wvu.Rows" hidden="1" oldHidden="1">
    <formula>'2.6.'!$19:$19</formula>
    <oldFormula>'2.6.'!$19:$19</oldFormula>
  </rdn>
  <rdn rId="0" localSheetId="23" customView="1" name="Z_2CF5EF93_C226_48EA_959E_36D142677DAA_.wvu.PrintArea" hidden="1" oldHidden="1">
    <formula>'2.7.'!$A$1:$D$57</formula>
    <oldFormula>'2.7.'!$A$1:$D$57</oldFormula>
  </rdn>
  <rdn rId="0" localSheetId="23" customView="1" name="Z_2CF5EF93_C226_48EA_959E_36D142677DAA_.wvu.Rows" hidden="1" oldHidden="1">
    <formula>'2.7.'!$11:$11,'2.7.'!$20:$20</formula>
    <oldFormula>'2.7.'!$11:$11,'2.7.'!$20:$20</oldFormula>
  </rdn>
  <rdn rId="0" localSheetId="24" customView="1" name="Z_2CF5EF93_C226_48EA_959E_36D142677DAA_.wvu.PrintArea" hidden="1" oldHidden="1">
    <formula>'2.8.'!$A$1:$D$56</formula>
    <oldFormula>'2.8.'!$A$1:$D$56</oldFormula>
  </rdn>
  <rdn rId="0" localSheetId="24" customView="1" name="Z_2CF5EF93_C226_48EA_959E_36D142677DAA_.wvu.Rows" hidden="1" oldHidden="1">
    <formula>'2.8.'!$19:$19</formula>
    <oldFormula>'2.8.'!$19:$19</oldFormula>
  </rdn>
  <rdn rId="0" localSheetId="25" customView="1" name="Z_2CF5EF93_C226_48EA_959E_36D142677DAA_.wvu.PrintArea" hidden="1" oldHidden="1">
    <formula>'2.9.'!$A$1:$D$55</formula>
    <oldFormula>'2.9.'!$A$1:$D$55</oldFormula>
  </rdn>
  <rdn rId="0" localSheetId="26" customView="1" name="Z_2CF5EF93_C226_48EA_959E_36D142677DAA_.wvu.PrintArea" hidden="1" oldHidden="1">
    <formula>'2.10.'!$A$1:$D$55</formula>
    <oldFormula>'2.10.'!$A$1:$D$55</oldFormula>
  </rdn>
  <rdn rId="0" localSheetId="27" customView="1" name="Z_2CF5EF93_C226_48EA_959E_36D142677DAA_.wvu.PrintArea" hidden="1" oldHidden="1">
    <formula>'2.11.'!$A$1:$D$55</formula>
    <oldFormula>'2.11.'!$A$1:$D$55</oldFormula>
  </rdn>
  <rdn rId="0" localSheetId="28" customView="1" name="Z_2CF5EF93_C226_48EA_959E_36D142677DAA_.wvu.PrintArea" hidden="1" oldHidden="1">
    <formula>'2.12.'!$A$1:$D$56</formula>
    <oldFormula>'2.12.'!$A$1:$D$56</oldFormula>
  </rdn>
  <rdn rId="0" localSheetId="28" customView="1" name="Z_2CF5EF93_C226_48EA_959E_36D142677DAA_.wvu.Rows" hidden="1" oldHidden="1">
    <formula>'2.12.'!$19:$19</formula>
    <oldFormula>'2.12.'!$19:$19</oldFormula>
  </rdn>
  <rdn rId="0" localSheetId="29" customView="1" name="Z_2CF5EF93_C226_48EA_959E_36D142677DAA_.wvu.PrintArea" hidden="1" oldHidden="1">
    <formula>'2.13.'!$A$1:$D$56</formula>
    <oldFormula>'2.13.'!$A$1:$D$56</oldFormula>
  </rdn>
  <rdn rId="0" localSheetId="29" customView="1" name="Z_2CF5EF93_C226_48EA_959E_36D142677DAA_.wvu.Rows" hidden="1" oldHidden="1">
    <formula>'2.13.'!$19:$19</formula>
    <oldFormula>'2.13.'!$19:$19</oldFormula>
  </rdn>
  <rdn rId="0" localSheetId="30" customView="1" name="Z_2CF5EF93_C226_48EA_959E_36D142677DAA_.wvu.PrintArea" hidden="1" oldHidden="1">
    <formula>'2.14.'!$A$4:$D$61</formula>
    <oldFormula>'2.14.'!$A$4:$D$61</oldFormula>
  </rdn>
  <rdn rId="0" localSheetId="30" customView="1" name="Z_2CF5EF93_C226_48EA_959E_36D142677DAA_.wvu.Rows" hidden="1" oldHidden="1">
    <formula>'2.14.'!$1:$3,'2.14.'!$14:$14,'2.14.'!$23:$24</formula>
    <oldFormula>'2.14.'!$1:$3,'2.14.'!$14:$14,'2.14.'!$23:$24</oldFormula>
  </rdn>
  <rdn rId="0" localSheetId="31" customView="1" name="Z_2CF5EF93_C226_48EA_959E_36D142677DAA_.wvu.PrintArea" hidden="1" oldHidden="1">
    <formula>'2.15.'!$A$1:$D$56</formula>
    <oldFormula>'2.15.'!$A$1:$D$56</oldFormula>
  </rdn>
  <rdn rId="0" localSheetId="31" customView="1" name="Z_2CF5EF93_C226_48EA_959E_36D142677DAA_.wvu.Rows" hidden="1" oldHidden="1">
    <formula>'2.15.'!$10:$10</formula>
    <oldFormula>'2.15.'!$10:$10</oldFormula>
  </rdn>
  <rdn rId="0" localSheetId="32" customView="1" name="Z_2CF5EF93_C226_48EA_959E_36D142677DAA_.wvu.PrintArea" hidden="1" oldHidden="1">
    <formula>'2.16.'!$A$1:$D$55</formula>
    <oldFormula>'2.16.'!$A$1:$D$55</oldFormula>
  </rdn>
  <rdn rId="0" localSheetId="33" customView="1" name="Z_2CF5EF93_C226_48EA_959E_36D142677DAA_.wvu.PrintArea" hidden="1" oldHidden="1">
    <formula>'2.17.'!$A$1:$D$55</formula>
    <oldFormula>'2.17.'!$A$1:$D$55</oldFormula>
  </rdn>
  <rdn rId="0" localSheetId="34" customView="1" name="Z_2CF5EF93_C226_48EA_959E_36D142677DAA_.wvu.PrintArea" hidden="1" oldHidden="1">
    <formula>'2.18.'!$A$1:$D$59</formula>
    <oldFormula>'2.18.'!$A$1:$D$59</oldFormula>
  </rdn>
  <rdn rId="0" localSheetId="34" customView="1" name="Z_2CF5EF93_C226_48EA_959E_36D142677DAA_.wvu.Rows" hidden="1" oldHidden="1">
    <formula>'2.18.'!$1:$3,'2.18.'!$14:$14</formula>
    <oldFormula>'2.18.'!$1:$3,'2.18.'!$14:$14</oldFormula>
  </rdn>
  <rdn rId="0" localSheetId="35" customView="1" name="Z_2CF5EF93_C226_48EA_959E_36D142677DAA_.wvu.PrintArea" hidden="1" oldHidden="1">
    <formula>'2.19.'!$A$1:$D$57</formula>
    <oldFormula>'2.19.'!$A$1:$D$57</oldFormula>
  </rdn>
  <rdn rId="0" localSheetId="35" customView="1" name="Z_2CF5EF93_C226_48EA_959E_36D142677DAA_.wvu.Rows" hidden="1" oldHidden="1">
    <formula>'2.19.'!$11:$11,'2.19.'!$20:$20</formula>
    <oldFormula>'2.19.'!$11:$11,'2.19.'!$20:$20</oldFormula>
  </rdn>
  <rdn rId="0" localSheetId="36" customView="1" name="Z_2CF5EF93_C226_48EA_959E_36D142677DAA_.wvu.PrintArea" hidden="1" oldHidden="1">
    <formula>'2.20.'!$A$4:$D$61</formula>
    <oldFormula>'2.20.'!$A$4:$D$61</oldFormula>
  </rdn>
  <rdn rId="0" localSheetId="36" customView="1" name="Z_2CF5EF93_C226_48EA_959E_36D142677DAA_.wvu.Rows" hidden="1" oldHidden="1">
    <formula>'2.20.'!$1:$3,'2.20.'!$14:$14,'2.20.'!$23:$24</formula>
    <oldFormula>'2.20.'!$1:$3,'2.20.'!$14:$14,'2.20.'!$23:$24</oldFormula>
  </rdn>
  <rdn rId="0" localSheetId="37" customView="1" name="Z_2CF5EF93_C226_48EA_959E_36D142677DAA_.wvu.PrintArea" hidden="1" oldHidden="1">
    <formula>'2.21.'!$A$1:$D$55</formula>
    <oldFormula>'2.21.'!$A$1:$D$55</oldFormula>
  </rdn>
  <rdn rId="0" localSheetId="38" customView="1" name="Z_2CF5EF93_C226_48EA_959E_36D142677DAA_.wvu.PrintArea" hidden="1" oldHidden="1">
    <formula>'2.22.'!$A$1:$D$56</formula>
    <oldFormula>'2.22.'!$A$1:$D$56</oldFormula>
  </rdn>
  <rdn rId="0" localSheetId="38" customView="1" name="Z_2CF5EF93_C226_48EA_959E_36D142677DAA_.wvu.Rows" hidden="1" oldHidden="1">
    <formula>'2.22.'!$19:$19</formula>
    <oldFormula>'2.22.'!$19:$19</oldFormula>
  </rdn>
  <rdn rId="0" localSheetId="39" customView="1" name="Z_2CF5EF93_C226_48EA_959E_36D142677DAA_.wvu.PrintArea" hidden="1" oldHidden="1">
    <formula>'2.23.'!$A$1:$D$57</formula>
    <oldFormula>'2.23.'!$A$1:$D$57</oldFormula>
  </rdn>
  <rdn rId="0" localSheetId="39" customView="1" name="Z_2CF5EF93_C226_48EA_959E_36D142677DAA_.wvu.Rows" hidden="1" oldHidden="1">
    <formula>'2.23.'!$19:$20</formula>
    <oldFormula>'2.23.'!$19:$20</oldFormula>
  </rdn>
  <rdn rId="0" localSheetId="40" customView="1" name="Z_2CF5EF93_C226_48EA_959E_36D142677DAA_.wvu.PrintArea" hidden="1" oldHidden="1">
    <formula>'2.24.'!$A$1:$D$56</formula>
    <oldFormula>'2.24.'!$A$1:$D$56</oldFormula>
  </rdn>
  <rdn rId="0" localSheetId="41" customView="1" name="Z_2CF5EF93_C226_48EA_959E_36D142677DAA_.wvu.PrintArea" hidden="1" oldHidden="1">
    <formula>'2.25.'!$A$1:$E$57</formula>
    <oldFormula>'2.25.'!$A$1:$E$57</oldFormula>
  </rdn>
  <rdn rId="0" localSheetId="41" customView="1" name="Z_2CF5EF93_C226_48EA_959E_36D142677DAA_.wvu.Rows" hidden="1" oldHidden="1">
    <formula>'2.25.'!$19:$20</formula>
    <oldFormula>'2.25.'!$19:$20</oldFormula>
  </rdn>
  <rdn rId="0" localSheetId="41" customView="1" name="Z_2CF5EF93_C226_48EA_959E_36D142677DAA_.wvu.Cols" hidden="1" oldHidden="1">
    <formula>'2.25.'!$D:$D</formula>
    <oldFormula>'2.25.'!$D:$D</oldFormula>
  </rdn>
  <rdn rId="0" localSheetId="42" customView="1" name="Z_2CF5EF93_C226_48EA_959E_36D142677DAA_.wvu.PrintArea" hidden="1" oldHidden="1">
    <formula>'2.26.'!$A$1:$D$55</formula>
    <oldFormula>'2.26.'!$A$1:$D$55</oldFormula>
  </rdn>
  <rdn rId="0" localSheetId="43" customView="1" name="Z_2CF5EF93_C226_48EA_959E_36D142677DAA_.wvu.PrintArea" hidden="1" oldHidden="1">
    <formula>'2.27.'!$A$1:$D$55</formula>
    <oldFormula>'2.27.'!$A$1:$D$55</oldFormula>
  </rdn>
  <rdn rId="0" localSheetId="44" customView="1" name="Z_2CF5EF93_C226_48EA_959E_36D142677DAA_.wvu.PrintArea" hidden="1" oldHidden="1">
    <formula>'2.28.'!$A$1:$D$56</formula>
    <oldFormula>'2.28.'!$A$1:$D$56</oldFormula>
  </rdn>
  <rdn rId="0" localSheetId="44" customView="1" name="Z_2CF5EF93_C226_48EA_959E_36D142677DAA_.wvu.Rows" hidden="1" oldHidden="1">
    <formula>'2.28.'!$10:$10</formula>
    <oldFormula>'2.28.'!$10:$10</oldFormula>
  </rdn>
  <rdn rId="0" localSheetId="45" customView="1" name="Z_2CF5EF93_C226_48EA_959E_36D142677DAA_.wvu.PrintArea" hidden="1" oldHidden="1">
    <formula>'2.29.'!$A$1:$D$56</formula>
    <oldFormula>'2.29.'!$A$1:$D$56</oldFormula>
  </rdn>
  <rdn rId="0" localSheetId="45" customView="1" name="Z_2CF5EF93_C226_48EA_959E_36D142677DAA_.wvu.Rows" hidden="1" oldHidden="1">
    <formula>'2.29.'!$10:$10</formula>
    <oldFormula>'2.29.'!$10:$10</oldFormula>
  </rdn>
  <rdn rId="0" localSheetId="46" customView="1" name="Z_2CF5EF93_C226_48EA_959E_36D142677DAA_.wvu.PrintArea" hidden="1" oldHidden="1">
    <formula>'2.30.'!$A$1:$D$56</formula>
    <oldFormula>'2.30.'!$A$1:$D$56</oldFormula>
  </rdn>
  <rdn rId="0" localSheetId="46" customView="1" name="Z_2CF5EF93_C226_48EA_959E_36D142677DAA_.wvu.Rows" hidden="1" oldHidden="1">
    <formula>'2.30.'!$19:$19</formula>
    <oldFormula>'2.30.'!$19:$19</oldFormula>
  </rdn>
  <rdn rId="0" localSheetId="47" customView="1" name="Z_2CF5EF93_C226_48EA_959E_36D142677DAA_.wvu.PrintArea" hidden="1" oldHidden="1">
    <formula>'2.31.'!$A$1:$D$57</formula>
    <oldFormula>'2.31.'!$A$1:$D$57</oldFormula>
  </rdn>
  <rdn rId="0" localSheetId="47" customView="1" name="Z_2CF5EF93_C226_48EA_959E_36D142677DAA_.wvu.Rows" hidden="1" oldHidden="1">
    <formula>'2.31.'!$19:$20</formula>
    <oldFormula>'2.31.'!$19:$20</oldFormula>
  </rdn>
  <rdn rId="0" localSheetId="48" customView="1" name="Z_2CF5EF93_C226_48EA_959E_36D142677DAA_.wvu.PrintArea" hidden="1" oldHidden="1">
    <formula>'2.32.'!$A$1:$D$56</formula>
    <oldFormula>'2.32.'!$A$1:$D$56</oldFormula>
  </rdn>
  <rdn rId="0" localSheetId="48" customView="1" name="Z_2CF5EF93_C226_48EA_959E_36D142677DAA_.wvu.Rows" hidden="1" oldHidden="1">
    <formula>'2.32.'!$19:$19</formula>
    <oldFormula>'2.32.'!$19:$19</oldFormula>
  </rdn>
  <rdn rId="0" localSheetId="49" customView="1" name="Z_2CF5EF93_C226_48EA_959E_36D142677DAA_.wvu.PrintArea" hidden="1" oldHidden="1">
    <formula>'2.33.'!$A$1:$D$56</formula>
    <oldFormula>'2.33.'!$A$1:$D$56</oldFormula>
  </rdn>
  <rdn rId="0" localSheetId="49" customView="1" name="Z_2CF5EF93_C226_48EA_959E_36D142677DAA_.wvu.Rows" hidden="1" oldHidden="1">
    <formula>'2.33.'!$19:$19</formula>
    <oldFormula>'2.33.'!$19:$19</oldFormula>
  </rdn>
  <rdn rId="0" localSheetId="50" customView="1" name="Z_2CF5EF93_C226_48EA_959E_36D142677DAA_.wvu.PrintArea" hidden="1" oldHidden="1">
    <formula>'2.34.'!$A$1:$D$56</formula>
    <oldFormula>'2.34.'!$A$1:$D$56</oldFormula>
  </rdn>
  <rdn rId="0" localSheetId="50" customView="1" name="Z_2CF5EF93_C226_48EA_959E_36D142677DAA_.wvu.Rows" hidden="1" oldHidden="1">
    <formula>'2.34.'!$10:$10</formula>
    <oldFormula>'2.34.'!$10:$10</oldFormula>
  </rdn>
  <rdn rId="0" localSheetId="51" customView="1" name="Z_2CF5EF93_C226_48EA_959E_36D142677DAA_.wvu.PrintArea" hidden="1" oldHidden="1">
    <formula>'2.35.'!$A$1:$D$56</formula>
    <oldFormula>'2.35.'!$A$1:$D$56</oldFormula>
  </rdn>
  <rdn rId="0" localSheetId="51" customView="1" name="Z_2CF5EF93_C226_48EA_959E_36D142677DAA_.wvu.Rows" hidden="1" oldHidden="1">
    <formula>'2.35.'!$19:$19</formula>
    <oldFormula>'2.35.'!$19:$19</oldFormula>
  </rdn>
  <rdn rId="0" localSheetId="52" customView="1" name="Z_2CF5EF93_C226_48EA_959E_36D142677DAA_.wvu.PrintArea" hidden="1" oldHidden="1">
    <formula>'2.36.'!$A$1:$D$58</formula>
    <oldFormula>'2.36.'!$A$1:$D$58</oldFormula>
  </rdn>
  <rdn rId="0" localSheetId="52" customView="1" name="Z_2CF5EF93_C226_48EA_959E_36D142677DAA_.wvu.Rows" hidden="1" oldHidden="1">
    <formula>'2.36.'!$10:$10,'2.36.'!$20:$21</formula>
    <oldFormula>'2.36.'!$10:$10,'2.36.'!$20:$21</oldFormula>
  </rdn>
  <rdn rId="0" localSheetId="53" customView="1" name="Z_2CF5EF93_C226_48EA_959E_36D142677DAA_.wvu.PrintArea" hidden="1" oldHidden="1">
    <formula>'2.37.'!$A$1:$D$56</formula>
    <oldFormula>'2.37.'!$A$1:$D$56</oldFormula>
  </rdn>
  <rdn rId="0" localSheetId="53" customView="1" name="Z_2CF5EF93_C226_48EA_959E_36D142677DAA_.wvu.Rows" hidden="1" oldHidden="1">
    <formula>'2.37.'!$19:$19</formula>
    <oldFormula>'2.37.'!$19:$19</oldFormula>
  </rdn>
  <rdn rId="0" localSheetId="54" customView="1" name="Z_2CF5EF93_C226_48EA_959E_36D142677DAA_.wvu.PrintArea" hidden="1" oldHidden="1">
    <formula>'2.38.'!$A$1:$D$59</formula>
    <oldFormula>'2.38.'!$A$1:$D$59</oldFormula>
  </rdn>
  <rdn rId="0" localSheetId="54" customView="1" name="Z_2CF5EF93_C226_48EA_959E_36D142677DAA_.wvu.Rows" hidden="1" oldHidden="1">
    <formula>'2.38.'!$11:$12,'2.38.'!$21:$21,'2.38.'!$55:$55</formula>
    <oldFormula>'2.38.'!$11:$12,'2.38.'!$21:$21,'2.38.'!$55:$55</oldFormula>
  </rdn>
  <rdn rId="0" localSheetId="55" customView="1" name="Z_2CF5EF93_C226_48EA_959E_36D142677DAA_.wvu.PrintArea" hidden="1" oldHidden="1">
    <formula>'2.39.'!$A$1:$D$55</formula>
    <oldFormula>'2.39.'!$A$1:$D$55</oldFormula>
  </rdn>
  <rdn rId="0" localSheetId="56" customView="1" name="Z_2CF5EF93_C226_48EA_959E_36D142677DAA_.wvu.PrintArea" hidden="1" oldHidden="1">
    <formula>'2.40.'!$A$1:$D$55</formula>
    <oldFormula>'2.40.'!$A$1:$D$55</oldFormula>
  </rdn>
  <rdn rId="0" localSheetId="57" customView="1" name="Z_2CF5EF93_C226_48EA_959E_36D142677DAA_.wvu.PrintArea" hidden="1" oldHidden="1">
    <formula>'2.41.'!$A$1:$D$57</formula>
    <oldFormula>'2.41.'!$A$1:$D$57</oldFormula>
  </rdn>
  <rdn rId="0" localSheetId="57" customView="1" name="Z_2CF5EF93_C226_48EA_959E_36D142677DAA_.wvu.PrintTitles" hidden="1" oldHidden="1">
    <formula>'2.41.'!$13:$13</formula>
    <oldFormula>'2.41.'!$13:$13</oldFormula>
  </rdn>
  <rdn rId="0" localSheetId="57" customView="1" name="Z_2CF5EF93_C226_48EA_959E_36D142677DAA_.wvu.Rows" hidden="1" oldHidden="1">
    <formula>'2.41.'!$11:$12</formula>
    <oldFormula>'2.41.'!$11:$12</oldFormula>
  </rdn>
  <rdn rId="0" localSheetId="58" customView="1" name="Z_2CF5EF93_C226_48EA_959E_36D142677DAA_.wvu.PrintArea" hidden="1" oldHidden="1">
    <formula>'2.42.'!$A$1:$D$55</formula>
    <oldFormula>'2.42.'!$A$1:$D$55</oldFormula>
  </rdn>
  <rdn rId="0" localSheetId="59" customView="1" name="Z_2CF5EF93_C226_48EA_959E_36D142677DAA_.wvu.PrintArea" hidden="1" oldHidden="1">
    <formula>'2.43.'!$A$1:$D$55</formula>
    <oldFormula>'2.43.'!$A$1:$D$55</oldFormula>
  </rdn>
  <rdn rId="0" localSheetId="60" customView="1" name="Z_2CF5EF93_C226_48EA_959E_36D142677DAA_.wvu.PrintArea" hidden="1" oldHidden="1">
    <formula>'2.44.'!$A$1:$D$55</formula>
    <oldFormula>'2.44.'!$A$1:$D$55</oldFormula>
  </rdn>
  <rdn rId="0" localSheetId="61" customView="1" name="Z_2CF5EF93_C226_48EA_959E_36D142677DAA_.wvu.PrintArea" hidden="1" oldHidden="1">
    <formula>'2.45.'!$A$1:$D$55</formula>
    <oldFormula>'2.45.'!$A$1:$D$55</oldFormula>
  </rdn>
  <rdn rId="0" localSheetId="62" customView="1" name="Z_2CF5EF93_C226_48EA_959E_36D142677DAA_.wvu.PrintArea" hidden="1" oldHidden="1">
    <formula>'2.46.'!$A$1:$D$55</formula>
    <oldFormula>'2.46.'!$A$1:$D$55</oldFormula>
  </rdn>
  <rdn rId="0" localSheetId="63" customView="1" name="Z_2CF5EF93_C226_48EA_959E_36D142677DAA_.wvu.PrintArea" hidden="1" oldHidden="1">
    <formula>'2.47.'!$A$1:$D$55</formula>
    <oldFormula>'2.47.'!$A$1:$D$55</oldFormula>
  </rdn>
  <rdn rId="0" localSheetId="64" customView="1" name="Z_2CF5EF93_C226_48EA_959E_36D142677DAA_.wvu.PrintArea" hidden="1" oldHidden="1">
    <formula>'2.48.'!$A$1:$D$55</formula>
    <oldFormula>'2.48.'!$A$1:$D$55</oldFormula>
  </rdn>
  <rcv guid="{2CF5EF93-C226-48EA-959E-36D142677DAA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2" sId="15">
    <oc r="C37">
      <f>ROUND(C36*0.21,3)</f>
    </oc>
    <nc r="C37">
      <f>ROUND(C36*0.21,2)</f>
    </nc>
  </rcc>
  <rcc rId="1683" sId="15">
    <nc r="D35">
      <f>(D20+D22+D24+D26+D28+D30+D32+D34)</f>
    </nc>
  </rcc>
  <rcc rId="1684" sId="15">
    <oc r="C35">
      <f>ROUND(C20+C22+C24+C26+C28+C30+C32+C34,3)</f>
    </oc>
    <nc r="C35">
      <f>ROUND(C20+C22+C24+C26+C28+C30+C32+C34,2)</f>
    </nc>
  </rcc>
  <rfmt sheetId="15" sqref="C35">
    <dxf>
      <numFmt numFmtId="166" formatCode="0.0"/>
    </dxf>
  </rfmt>
  <rfmt sheetId="15" sqref="C35">
    <dxf>
      <numFmt numFmtId="2" formatCode="0.00"/>
    </dxf>
  </rfmt>
  <rfmt sheetId="15" sqref="C35">
    <dxf>
      <numFmt numFmtId="164" formatCode="0.000"/>
    </dxf>
  </rfmt>
  <rfmt sheetId="15" sqref="C35">
    <dxf>
      <numFmt numFmtId="165" formatCode="0.0000"/>
    </dxf>
  </rfmt>
  <rfmt sheetId="15" sqref="C35">
    <dxf>
      <numFmt numFmtId="164" formatCode="0.000"/>
    </dxf>
  </rfmt>
  <rfmt sheetId="15" sqref="C35">
    <dxf>
      <numFmt numFmtId="2" formatCode="0.00"/>
    </dxf>
  </rfmt>
  <rcc rId="1685" sId="15">
    <nc r="D34">
      <f>ROUND(C34*C41,2)</f>
    </nc>
  </rcc>
  <rcc rId="1686" sId="15">
    <nc r="D34">
      <f>ROUND(C34*C41,3)</f>
    </nc>
  </rcc>
  <rcc rId="1687" sId="15">
    <nc r="D34">
      <f>(C34*C41)</f>
    </nc>
  </rcc>
  <rcc rId="1688" sId="15">
    <nc r="D34">
      <f>C34*10</f>
    </nc>
  </rcc>
  <rcc rId="1689" sId="15">
    <oc r="B34" t="inlineStr">
      <is>
        <r>
          <t>VADC vidējās  izmaksas uz 1m</t>
        </r>
        <r>
          <rPr>
            <sz val="11"/>
            <rFont val="Calibri"/>
            <family val="2"/>
            <charset val="186"/>
          </rPr>
          <t>²</t>
        </r>
        <r>
          <rPr>
            <sz val="11"/>
            <rFont val="Times New Roman"/>
            <family val="1"/>
            <charset val="186"/>
          </rPr>
          <t xml:space="preserve"> gadā 4,1165 euro. Semināru telpa - 31,8 m</t>
        </r>
        <r>
          <rPr>
            <sz val="11"/>
            <rFont val="Calibri"/>
            <family val="2"/>
            <charset val="186"/>
          </rPr>
          <t>²</t>
        </r>
        <r>
          <rPr>
            <sz val="11"/>
            <rFont val="Times New Roman"/>
            <family val="1"/>
            <charset val="186"/>
          </rPr>
          <t>. Semināru telpas gada izmaksas -130,90 euro. Semināru telpas izmaksas vienai dienai 0,36 euro; vienai stundai 0,36 euro : 8 d.stundas = 0,05 euro.  Plānotais dalībnieku skaits vienā kursā 10. Vienam dalībniekam 0,05 : 10 = 0,01 euro.</t>
        </r>
      </is>
    </oc>
    <nc r="B34" t="inlineStr">
      <is>
        <r>
          <t>VADC vidējās  izmaksas uz 1m</t>
        </r>
        <r>
          <rPr>
            <sz val="11"/>
            <rFont val="Calibri"/>
            <family val="2"/>
            <charset val="186"/>
          </rPr>
          <t>²</t>
        </r>
        <r>
          <rPr>
            <sz val="11"/>
            <rFont val="Times New Roman"/>
            <family val="1"/>
            <charset val="186"/>
          </rPr>
          <t xml:space="preserve"> gadā 4,1165 euro. Semināru telpa - 31,8 m</t>
        </r>
        <r>
          <rPr>
            <sz val="11"/>
            <rFont val="Calibri"/>
            <family val="2"/>
            <charset val="186"/>
          </rPr>
          <t>²</t>
        </r>
        <r>
          <rPr>
            <sz val="11"/>
            <rFont val="Times New Roman"/>
            <family val="1"/>
            <charset val="186"/>
          </rPr>
          <t>. Semināru telpas gada izmaksas -130,90 euro. Semināru telpas izmaksas vienai dienai 0,36 euro; vienai stundai 0,36 euro : 8 d.stundas = 0,045 euro.  Plānotais dalībnieku skaits vienā kursā 10. Vienam dalībniekam 0,045 : 10 = 0,01 euro.</t>
        </r>
      </is>
    </nc>
  </rcc>
  <rcc rId="1690" sId="15">
    <oc r="C34">
      <f>ROUND(0.36/8/10,3)</f>
    </oc>
    <nc r="C34">
      <f>ROUND(0.045/10,3)</f>
    </nc>
  </rcc>
  <rcc rId="1691" sId="15">
    <nc r="D34">
      <f>ROUND(C34*10,3)</f>
    </nc>
  </rcc>
  <rfmt sheetId="15" sqref="D34">
    <dxf>
      <numFmt numFmtId="166" formatCode="0.0"/>
    </dxf>
  </rfmt>
  <rfmt sheetId="15" sqref="D34">
    <dxf>
      <numFmt numFmtId="2" formatCode="0.00"/>
    </dxf>
  </rfmt>
  <rfmt sheetId="15" sqref="D34">
    <dxf>
      <numFmt numFmtId="164" formatCode="0.000"/>
    </dxf>
  </rfmt>
  <rfmt sheetId="15" sqref="D34">
    <dxf>
      <numFmt numFmtId="2" formatCode="0.00"/>
    </dxf>
  </rfmt>
  <rfmt sheetId="15" sqref="C35">
    <dxf>
      <numFmt numFmtId="166" formatCode="0.0"/>
    </dxf>
  </rfmt>
  <rfmt sheetId="15" sqref="C35">
    <dxf>
      <numFmt numFmtId="2" formatCode="0.00"/>
    </dxf>
  </rfmt>
  <rfmt sheetId="15" sqref="C35">
    <dxf>
      <numFmt numFmtId="164" formatCode="0.000"/>
    </dxf>
  </rfmt>
  <rfmt sheetId="15" sqref="C35">
    <dxf>
      <numFmt numFmtId="2" formatCode="0.00"/>
    </dxf>
  </rfmt>
  <rcc rId="1692" sId="15">
    <nc r="D34">
      <f>ROUND(C34*10,4)</f>
    </nc>
  </rcc>
  <rcc rId="1693" sId="15">
    <nc r="D34">
      <f>ROUND(C34*10,5)</f>
    </nc>
  </rcc>
  <rcc rId="1694" sId="15">
    <oc r="D34">
      <f>C34*C41</f>
    </oc>
    <nc r="D34">
      <f>(C34*10)</f>
    </nc>
  </rcc>
  <rcc rId="1695" sId="15">
    <nc r="D37">
      <f>ROUND(D36*0.21,1)</f>
    </nc>
  </rcc>
  <rcc rId="1696" sId="15">
    <oc r="C41">
      <v>10</v>
    </oc>
    <nc r="C41">
      <v>3</v>
    </nc>
  </rcc>
  <rcc rId="1697" sId="15">
    <oc r="D32">
      <f>C32*C41</f>
    </oc>
    <nc r="D32">
      <f>ROUND(C32*C41,4)</f>
    </nc>
  </rcc>
  <rfmt sheetId="15" sqref="D24">
    <dxf>
      <numFmt numFmtId="164" formatCode="0.000"/>
    </dxf>
  </rfmt>
  <rfmt sheetId="15" sqref="D32">
    <dxf>
      <numFmt numFmtId="166" formatCode="0.0"/>
    </dxf>
  </rfmt>
  <rfmt sheetId="15" sqref="D32">
    <dxf>
      <numFmt numFmtId="2" formatCode="0.00"/>
    </dxf>
  </rfmt>
  <rfmt sheetId="15" sqref="D32">
    <dxf>
      <numFmt numFmtId="164" formatCode="0.000"/>
    </dxf>
  </rfmt>
  <rcc rId="1698" sId="15">
    <nc r="D37">
      <f>(D36*0.21)</f>
    </nc>
  </rcc>
  <rcc rId="1699" sId="15">
    <nc r="D36">
      <f>ROUND(D35+D17,4)</f>
    </nc>
  </rcc>
  <rcc rId="1700" sId="15">
    <nc r="D37">
      <f>rpund(D36*0.21,4)</f>
    </nc>
  </rcc>
  <rcc rId="1701" sId="15">
    <nc r="D37">
      <f>rund(D36*0.21,4)</f>
    </nc>
  </rcc>
  <rcc rId="1702" sId="15">
    <nc r="D37">
      <f>ROUND(D36*0.21,4)</f>
    </nc>
  </rcc>
  <rcc rId="1703" sId="15">
    <oc r="D38">
      <f>D36+D37</f>
    </oc>
    <nc r="D38">
      <f>ROUND(D36+D37,4)</f>
    </nc>
  </rcc>
  <rcc rId="1704" sId="15">
    <nc r="D35" t="inlineStr">
      <is>
        <t>=</t>
      </is>
    </nc>
  </rcc>
  <rcc rId="1705" sId="15">
    <oc r="D35">
      <f>ROUND(D20+D22+D24+D26+D28+D30+D32+D34,3)</f>
    </oc>
    <nc r="D35">
      <f>C35*3</f>
    </nc>
  </rcc>
  <rcc rId="1706" sId="15">
    <nc r="D36">
      <f>(D35+D17)</f>
    </nc>
  </rcc>
  <rcc rId="1707" sId="15">
    <oc r="D36">
      <f>D35+D17</f>
    </oc>
    <nc r="D36">
      <f>C36*3</f>
    </nc>
  </rcc>
  <rcc rId="1708" sId="15">
    <oc r="D37">
      <f>ROUND(D36*0.21,3)</f>
    </oc>
    <nc r="D37">
      <f>(D36*0.21)</f>
    </nc>
  </rcc>
  <rcv guid="{2CF5EF93-C226-48EA-959E-36D142677DAA}" action="delete"/>
  <rdn rId="0" localSheetId="1" customView="1" name="Z_2CF5EF93_C226_48EA_959E_36D142677DAA_.wvu.PrintArea" hidden="1" oldHidden="1">
    <formula>Saturs!$A$1:$I$73</formula>
    <oldFormula>Saturs!$A$1:$I$73</oldFormula>
  </rdn>
  <rdn rId="0" localSheetId="2" customView="1" name="Z_2CF5EF93_C226_48EA_959E_36D142677DAA_.wvu.PrintArea" hidden="1" oldHidden="1">
    <formula>'1.1.'!$A$1:$D$43</formula>
    <oldFormula>'1.1.'!$A$1:$D$43</oldFormula>
  </rdn>
  <rdn rId="0" localSheetId="3" customView="1" name="Z_2CF5EF93_C226_48EA_959E_36D142677DAA_.wvu.PrintArea" hidden="1" oldHidden="1">
    <formula>'1.2.'!$A$1:$D$41</formula>
    <oldFormula>'1.2.'!$A$1:$D$41</oldFormula>
  </rdn>
  <rdn rId="0" localSheetId="4" customView="1" name="Z_2CF5EF93_C226_48EA_959E_36D142677DAA_.wvu.PrintArea" hidden="1" oldHidden="1">
    <formula>'1.3.'!$A$1:$D$31</formula>
    <oldFormula>'1.3.'!$A$1:$D$31</oldFormula>
  </rdn>
  <rdn rId="0" localSheetId="5" customView="1" name="Z_2CF5EF93_C226_48EA_959E_36D142677DAA_.wvu.PrintArea" hidden="1" oldHidden="1">
    <formula>'1.4.'!$A$1:$D$42</formula>
    <oldFormula>'1.4.'!$A$1:$D$42</oldFormula>
  </rdn>
  <rdn rId="0" localSheetId="6" customView="1" name="Z_2CF5EF93_C226_48EA_959E_36D142677DAA_.wvu.PrintArea" hidden="1" oldHidden="1">
    <formula>'1.5.'!$A$1:$D$44</formula>
    <oldFormula>'1.5.'!$A$1:$D$44</oldFormula>
  </rdn>
  <rdn rId="0" localSheetId="7" customView="1" name="Z_2CF5EF93_C226_48EA_959E_36D142677DAA_.wvu.PrintArea" hidden="1" oldHidden="1">
    <formula>'1.6.'!$A$1:$D$44</formula>
    <oldFormula>'1.6.'!$A$1:$D$44</oldFormula>
  </rdn>
  <rdn rId="0" localSheetId="8" customView="1" name="Z_2CF5EF93_C226_48EA_959E_36D142677DAA_.wvu.PrintArea" hidden="1" oldHidden="1">
    <formula>'1.7.'!$A$1:$D$44</formula>
    <oldFormula>'1.7.'!$A$1:$D$44</oldFormula>
  </rdn>
  <rdn rId="0" localSheetId="9" customView="1" name="Z_2CF5EF93_C226_48EA_959E_36D142677DAA_.wvu.PrintArea" hidden="1" oldHidden="1">
    <formula>'1.8.'!$A$1:$D$44</formula>
    <oldFormula>'1.8.'!$A$1:$D$44</oldFormula>
  </rdn>
  <rdn rId="0" localSheetId="10" customView="1" name="Z_2CF5EF93_C226_48EA_959E_36D142677DAA_.wvu.PrintArea" hidden="1" oldHidden="1">
    <formula>'1.9.'!$A$1:$D$44</formula>
    <oldFormula>'1.9.'!$A$1:$D$44</oldFormula>
  </rdn>
  <rdn rId="0" localSheetId="11" customView="1" name="Z_2CF5EF93_C226_48EA_959E_36D142677DAA_.wvu.PrintArea" hidden="1" oldHidden="1">
    <formula>'1.10.'!$A$1:$D$28</formula>
    <oldFormula>'1.10.'!$A$1:$D$28</oldFormula>
  </rdn>
  <rdn rId="0" localSheetId="12" customView="1" name="Z_2CF5EF93_C226_48EA_959E_36D142677DAA_.wvu.PrintArea" hidden="1" oldHidden="1">
    <formula>'1.11.'!$A$1:$D$30</formula>
    <oldFormula>'1.11.'!$A$1:$D$30</oldFormula>
  </rdn>
  <rdn rId="0" localSheetId="13" customView="1" name="Z_2CF5EF93_C226_48EA_959E_36D142677DAA_.wvu.PrintArea" hidden="1" oldHidden="1">
    <formula>'1.12.'!$A$1:$D$42</formula>
    <oldFormula>'1.12.'!$A$1:$D$42</oldFormula>
  </rdn>
  <rdn rId="0" localSheetId="14" customView="1" name="Z_2CF5EF93_C226_48EA_959E_36D142677DAA_.wvu.PrintArea" hidden="1" oldHidden="1">
    <formula>'1.13.'!$A$1:$D$42</formula>
    <oldFormula>'1.13.'!$A$1:$D$42</oldFormula>
  </rdn>
  <rdn rId="0" localSheetId="15" customView="1" name="Z_2CF5EF93_C226_48EA_959E_36D142677DAA_.wvu.PrintArea" hidden="1" oldHidden="1">
    <formula>'1.14.'!$A$1:$D$42</formula>
    <oldFormula>'1.14.'!$A$1:$D$42</oldFormula>
  </rdn>
  <rdn rId="0" localSheetId="16" customView="1" name="Z_2CF5EF93_C226_48EA_959E_36D142677DAA_.wvu.PrintArea" hidden="1" oldHidden="1">
    <formula>'2.1.'!$A$1:$G$54</formula>
    <oldFormula>'2.1.'!$A$1:$G$54</oldFormula>
  </rdn>
  <rdn rId="0" localSheetId="16" customView="1" name="Z_2CF5EF93_C226_48EA_959E_36D142677DAA_.wvu.Cols" hidden="1" oldHidden="1">
    <formula>'2.1.'!$E:$G</formula>
    <oldFormula>'2.1.'!$E:$G</oldFormula>
  </rdn>
  <rdn rId="0" localSheetId="18" customView="1" name="Z_2CF5EF93_C226_48EA_959E_36D142677DAA_.wvu.PrintArea" hidden="1" oldHidden="1">
    <formula>'2.2.'!$A$1:$D$54</formula>
    <oldFormula>'2.2.'!$A$1:$D$54</oldFormula>
  </rdn>
  <rdn rId="0" localSheetId="19" customView="1" name="Z_2CF5EF93_C226_48EA_959E_36D142677DAA_.wvu.PrintArea" hidden="1" oldHidden="1">
    <formula>'2.3.'!$A$1:$D$54</formula>
    <oldFormula>'2.3.'!$A$1:$D$54</oldFormula>
  </rdn>
  <rdn rId="0" localSheetId="20" customView="1" name="Z_2CF5EF93_C226_48EA_959E_36D142677DAA_.wvu.PrintArea" hidden="1" oldHidden="1">
    <formula>'2.4.'!$A$1:$D$55</formula>
    <oldFormula>'2.4.'!$A$1:$D$55</oldFormula>
  </rdn>
  <rdn rId="0" localSheetId="20" customView="1" name="Z_2CF5EF93_C226_48EA_959E_36D142677DAA_.wvu.Rows" hidden="1" oldHidden="1">
    <formula>'2.4.'!$19:$19</formula>
    <oldFormula>'2.4.'!$19:$19</oldFormula>
  </rdn>
  <rdn rId="0" localSheetId="21" customView="1" name="Z_2CF5EF93_C226_48EA_959E_36D142677DAA_.wvu.PrintArea" hidden="1" oldHidden="1">
    <formula>'2.4.1.'!$A$1:$D$56</formula>
    <oldFormula>'2.4.1.'!$A$1:$D$56</oldFormula>
  </rdn>
  <rdn rId="0" localSheetId="21" customView="1" name="Z_2CF5EF93_C226_48EA_959E_36D142677DAA_.wvu.Rows" hidden="1" oldHidden="1">
    <formula>'2.4.1.'!$19:$20</formula>
    <oldFormula>'2.4.1.'!$19:$20</oldFormula>
  </rdn>
  <rdn rId="0" localSheetId="22" customView="1" name="Z_2CF5EF93_C226_48EA_959E_36D142677DAA_.wvu.PrintArea" hidden="1" oldHidden="1">
    <formula>'2.5.'!$A$1:$D$56</formula>
    <oldFormula>'2.5.'!$A$1:$D$56</oldFormula>
  </rdn>
  <rdn rId="0" localSheetId="22" customView="1" name="Z_2CF5EF93_C226_48EA_959E_36D142677DAA_.wvu.Rows" hidden="1" oldHidden="1">
    <formula>'2.5.'!$19:$19</formula>
    <oldFormula>'2.5.'!$19:$19</oldFormula>
  </rdn>
  <rdn rId="0" localSheetId="23" customView="1" name="Z_2CF5EF93_C226_48EA_959E_36D142677DAA_.wvu.PrintArea" hidden="1" oldHidden="1">
    <formula>'2.6.'!$A$1:$D$57</formula>
    <oldFormula>'2.6.'!$A$1:$D$57</oldFormula>
  </rdn>
  <rdn rId="0" localSheetId="23" customView="1" name="Z_2CF5EF93_C226_48EA_959E_36D142677DAA_.wvu.Rows" hidden="1" oldHidden="1">
    <formula>'2.6.'!$11:$11,'2.6.'!$20:$20</formula>
    <oldFormula>'2.6.'!$11:$11,'2.6.'!$20:$20</oldFormula>
  </rdn>
  <rdn rId="0" localSheetId="24" customView="1" name="Z_2CF5EF93_C226_48EA_959E_36D142677DAA_.wvu.PrintArea" hidden="1" oldHidden="1">
    <formula>'2.6.1.'!$A$1:$D$56</formula>
    <oldFormula>'2.6.1.'!$A$1:$D$56</oldFormula>
  </rdn>
  <rdn rId="0" localSheetId="24" customView="1" name="Z_2CF5EF93_C226_48EA_959E_36D142677DAA_.wvu.Rows" hidden="1" oldHidden="1">
    <formula>'2.6.1.'!$19:$19</formula>
    <oldFormula>'2.6.1.'!$19:$19</oldFormula>
  </rdn>
  <rdn rId="0" localSheetId="25" customView="1" name="Z_2CF5EF93_C226_48EA_959E_36D142677DAA_.wvu.PrintArea" hidden="1" oldHidden="1">
    <formula>'2.7.'!$A$1:$D$55</formula>
    <oldFormula>'2.7.'!$A$1:$D$55</oldFormula>
  </rdn>
  <rdn rId="0" localSheetId="26" customView="1" name="Z_2CF5EF93_C226_48EA_959E_36D142677DAA_.wvu.PrintArea" hidden="1" oldHidden="1">
    <formula>'2.8.'!$A$1:$D$55</formula>
    <oldFormula>'2.8.'!$A$1:$D$55</oldFormula>
  </rdn>
  <rdn rId="0" localSheetId="27" customView="1" name="Z_2CF5EF93_C226_48EA_959E_36D142677DAA_.wvu.PrintArea" hidden="1" oldHidden="1">
    <formula>'2.9.'!$A$1:$D$55</formula>
    <oldFormula>'2.9.'!$A$1:$D$55</oldFormula>
  </rdn>
  <rdn rId="0" localSheetId="28" customView="1" name="Z_2CF5EF93_C226_48EA_959E_36D142677DAA_.wvu.PrintArea" hidden="1" oldHidden="1">
    <formula>'2.9.1.'!$A$1:$D$56</formula>
    <oldFormula>'2.9.1.'!$A$1:$D$56</oldFormula>
  </rdn>
  <rdn rId="0" localSheetId="28" customView="1" name="Z_2CF5EF93_C226_48EA_959E_36D142677DAA_.wvu.Rows" hidden="1" oldHidden="1">
    <formula>'2.9.1.'!$19:$19</formula>
    <oldFormula>'2.9.1.'!$19:$19</oldFormula>
  </rdn>
  <rdn rId="0" localSheetId="29" customView="1" name="Z_2CF5EF93_C226_48EA_959E_36D142677DAA_.wvu.PrintArea" hidden="1" oldHidden="1">
    <formula>'2.10.'!$A$1:$D$56</formula>
    <oldFormula>'2.10.'!$A$1:$D$56</oldFormula>
  </rdn>
  <rdn rId="0" localSheetId="29" customView="1" name="Z_2CF5EF93_C226_48EA_959E_36D142677DAA_.wvu.Rows" hidden="1" oldHidden="1">
    <formula>'2.10.'!$19:$19</formula>
    <oldFormula>'2.10.'!$19:$19</oldFormula>
  </rdn>
  <rdn rId="0" localSheetId="30" customView="1" name="Z_2CF5EF93_C226_48EA_959E_36D142677DAA_.wvu.PrintArea" hidden="1" oldHidden="1">
    <formula>'2.10.1.'!$A$4:$D$61</formula>
    <oldFormula>'2.10.1.'!$A$4:$D$61</oldFormula>
  </rdn>
  <rdn rId="0" localSheetId="30" customView="1" name="Z_2CF5EF93_C226_48EA_959E_36D142677DAA_.wvu.Rows" hidden="1" oldHidden="1">
    <formula>'2.10.1.'!$1:$3,'2.10.1.'!$14:$14,'2.10.1.'!$23:$24</formula>
    <oldFormula>'2.10.1.'!$1:$3,'2.10.1.'!$14:$14,'2.10.1.'!$23:$24</oldFormula>
  </rdn>
  <rdn rId="0" localSheetId="31" customView="1" name="Z_2CF5EF93_C226_48EA_959E_36D142677DAA_.wvu.PrintArea" hidden="1" oldHidden="1">
    <formula>'2.11.'!$A$1:$D$56</formula>
    <oldFormula>'2.11.'!$A$1:$D$56</oldFormula>
  </rdn>
  <rdn rId="0" localSheetId="31" customView="1" name="Z_2CF5EF93_C226_48EA_959E_36D142677DAA_.wvu.Rows" hidden="1" oldHidden="1">
    <formula>'2.11.'!$10:$10</formula>
    <oldFormula>'2.11.'!$10:$10</oldFormula>
  </rdn>
  <rdn rId="0" localSheetId="32" customView="1" name="Z_2CF5EF93_C226_48EA_959E_36D142677DAA_.wvu.PrintArea" hidden="1" oldHidden="1">
    <formula>'2.12.'!$A$1:$D$55</formula>
    <oldFormula>'2.12.'!$A$1:$D$55</oldFormula>
  </rdn>
  <rdn rId="0" localSheetId="33" customView="1" name="Z_2CF5EF93_C226_48EA_959E_36D142677DAA_.wvu.PrintArea" hidden="1" oldHidden="1">
    <formula>'2.13.'!$A$1:$D$55</formula>
    <oldFormula>'2.13.'!$A$1:$D$55</oldFormula>
  </rdn>
  <rdn rId="0" localSheetId="34" customView="1" name="Z_2CF5EF93_C226_48EA_959E_36D142677DAA_.wvu.PrintArea" hidden="1" oldHidden="1">
    <formula>'2.14.'!$A$1:$D$59</formula>
    <oldFormula>'2.14.'!$A$1:$D$59</oldFormula>
  </rdn>
  <rdn rId="0" localSheetId="34" customView="1" name="Z_2CF5EF93_C226_48EA_959E_36D142677DAA_.wvu.Rows" hidden="1" oldHidden="1">
    <formula>'2.14.'!$1:$3,'2.14.'!$14:$14</formula>
    <oldFormula>'2.14.'!$1:$3,'2.14.'!$14:$14</oldFormula>
  </rdn>
  <rdn rId="0" localSheetId="35" customView="1" name="Z_2CF5EF93_C226_48EA_959E_36D142677DAA_.wvu.PrintArea" hidden="1" oldHidden="1">
    <formula>'2.15.'!$A$1:$D$57</formula>
    <oldFormula>'2.15.'!$A$1:$D$57</oldFormula>
  </rdn>
  <rdn rId="0" localSheetId="35" customView="1" name="Z_2CF5EF93_C226_48EA_959E_36D142677DAA_.wvu.Rows" hidden="1" oldHidden="1">
    <formula>'2.15.'!$11:$11,'2.15.'!$20:$20</formula>
    <oldFormula>'2.15.'!$11:$11,'2.15.'!$20:$20</oldFormula>
  </rdn>
  <rdn rId="0" localSheetId="36" customView="1" name="Z_2CF5EF93_C226_48EA_959E_36D142677DAA_.wvu.PrintArea" hidden="1" oldHidden="1">
    <formula>'2.15.1.'!$A$4:$D$61</formula>
    <oldFormula>'2.15.1.'!$A$4:$D$61</oldFormula>
  </rdn>
  <rdn rId="0" localSheetId="36" customView="1" name="Z_2CF5EF93_C226_48EA_959E_36D142677DAA_.wvu.Rows" hidden="1" oldHidden="1">
    <formula>'2.15.1.'!$1:$3,'2.15.1.'!$14:$14,'2.15.1.'!$23:$24</formula>
    <oldFormula>'2.15.1.'!$1:$3,'2.15.1.'!$14:$14,'2.15.1.'!$23:$24</oldFormula>
  </rdn>
  <rdn rId="0" localSheetId="37" customView="1" name="Z_2CF5EF93_C226_48EA_959E_36D142677DAA_.wvu.PrintArea" hidden="1" oldHidden="1">
    <formula>'2.16.'!$A$1:$D$55</formula>
    <oldFormula>'2.16.'!$A$1:$D$55</oldFormula>
  </rdn>
  <rdn rId="0" localSheetId="38" customView="1" name="Z_2CF5EF93_C226_48EA_959E_36D142677DAA_.wvu.PrintArea" hidden="1" oldHidden="1">
    <formula>'2.17.'!$A$1:$D$56</formula>
    <oldFormula>'2.17.'!$A$1:$D$56</oldFormula>
  </rdn>
  <rdn rId="0" localSheetId="38" customView="1" name="Z_2CF5EF93_C226_48EA_959E_36D142677DAA_.wvu.Rows" hidden="1" oldHidden="1">
    <formula>'2.17.'!$19:$19</formula>
    <oldFormula>'2.17.'!$19:$19</oldFormula>
  </rdn>
  <rdn rId="0" localSheetId="39" customView="1" name="Z_2CF5EF93_C226_48EA_959E_36D142677DAA_.wvu.PrintArea" hidden="1" oldHidden="1">
    <formula>'2.17.1.'!$A$1:$D$57</formula>
    <oldFormula>'2.17.1.'!$A$1:$D$57</oldFormula>
  </rdn>
  <rdn rId="0" localSheetId="39" customView="1" name="Z_2CF5EF93_C226_48EA_959E_36D142677DAA_.wvu.Rows" hidden="1" oldHidden="1">
    <formula>'2.17.1.'!$19:$20</formula>
    <oldFormula>'2.17.1.'!$19:$20</oldFormula>
  </rdn>
  <rdn rId="0" localSheetId="40" customView="1" name="Z_2CF5EF93_C226_48EA_959E_36D142677DAA_.wvu.PrintArea" hidden="1" oldHidden="1">
    <formula>'2.18.'!$A$1:$D$56</formula>
    <oldFormula>'2.18.'!$A$1:$D$56</oldFormula>
  </rdn>
  <rdn rId="0" localSheetId="41" customView="1" name="Z_2CF5EF93_C226_48EA_959E_36D142677DAA_.wvu.PrintArea" hidden="1" oldHidden="1">
    <formula>'2.18.1.'!$A$1:$E$57</formula>
    <oldFormula>'2.18.1.'!$A$1:$E$57</oldFormula>
  </rdn>
  <rdn rId="0" localSheetId="41" customView="1" name="Z_2CF5EF93_C226_48EA_959E_36D142677DAA_.wvu.Rows" hidden="1" oldHidden="1">
    <formula>'2.18.1.'!$19:$20</formula>
    <oldFormula>'2.18.1.'!$19:$20</oldFormula>
  </rdn>
  <rdn rId="0" localSheetId="41" customView="1" name="Z_2CF5EF93_C226_48EA_959E_36D142677DAA_.wvu.Cols" hidden="1" oldHidden="1">
    <formula>'2.18.1.'!$D:$D</formula>
    <oldFormula>'2.18.1.'!$D:$D</oldFormula>
  </rdn>
  <rdn rId="0" localSheetId="42" customView="1" name="Z_2CF5EF93_C226_48EA_959E_36D142677DAA_.wvu.PrintArea" hidden="1" oldHidden="1">
    <formula>'2.19.'!$A$1:$D$55</formula>
    <oldFormula>'2.19.'!$A$1:$D$55</oldFormula>
  </rdn>
  <rdn rId="0" localSheetId="43" customView="1" name="Z_2CF5EF93_C226_48EA_959E_36D142677DAA_.wvu.PrintArea" hidden="1" oldHidden="1">
    <formula>'2.19.1.'!$A$1:$D$55</formula>
    <oldFormula>'2.19.1.'!$A$1:$D$55</oldFormula>
  </rdn>
  <rdn rId="0" localSheetId="44" customView="1" name="Z_2CF5EF93_C226_48EA_959E_36D142677DAA_.wvu.PrintArea" hidden="1" oldHidden="1">
    <formula>'2.20.'!$A$1:$D$56</formula>
    <oldFormula>'2.20.'!$A$1:$D$56</oldFormula>
  </rdn>
  <rdn rId="0" localSheetId="44" customView="1" name="Z_2CF5EF93_C226_48EA_959E_36D142677DAA_.wvu.Rows" hidden="1" oldHidden="1">
    <formula>'2.20.'!$10:$10</formula>
    <oldFormula>'2.20.'!$10:$10</oldFormula>
  </rdn>
  <rdn rId="0" localSheetId="45" customView="1" name="Z_2CF5EF93_C226_48EA_959E_36D142677DAA_.wvu.PrintArea" hidden="1" oldHidden="1">
    <formula>'2.20.1.'!$A$1:$D$56</formula>
    <oldFormula>'2.20.1.'!$A$1:$D$56</oldFormula>
  </rdn>
  <rdn rId="0" localSheetId="45" customView="1" name="Z_2CF5EF93_C226_48EA_959E_36D142677DAA_.wvu.Rows" hidden="1" oldHidden="1">
    <formula>'2.20.1.'!$10:$10</formula>
    <oldFormula>'2.20.1.'!$10:$10</oldFormula>
  </rdn>
  <rdn rId="0" localSheetId="46" customView="1" name="Z_2CF5EF93_C226_48EA_959E_36D142677DAA_.wvu.PrintArea" hidden="1" oldHidden="1">
    <formula>'2.21.'!$A$1:$D$56</formula>
    <oldFormula>'2.21.'!$A$1:$D$56</oldFormula>
  </rdn>
  <rdn rId="0" localSheetId="46" customView="1" name="Z_2CF5EF93_C226_48EA_959E_36D142677DAA_.wvu.Rows" hidden="1" oldHidden="1">
    <formula>'2.21.'!$19:$19</formula>
    <oldFormula>'2.21.'!$19:$19</oldFormula>
  </rdn>
  <rdn rId="0" localSheetId="47" customView="1" name="Z_2CF5EF93_C226_48EA_959E_36D142677DAA_.wvu.PrintArea" hidden="1" oldHidden="1">
    <formula>'2.21.1.'!$A$1:$D$57</formula>
    <oldFormula>'2.21.1.'!$A$1:$D$57</oldFormula>
  </rdn>
  <rdn rId="0" localSheetId="47" customView="1" name="Z_2CF5EF93_C226_48EA_959E_36D142677DAA_.wvu.Rows" hidden="1" oldHidden="1">
    <formula>'2.21.1.'!$19:$20</formula>
    <oldFormula>'2.21.1.'!$19:$20</oldFormula>
  </rdn>
  <rdn rId="0" localSheetId="48" customView="1" name="Z_2CF5EF93_C226_48EA_959E_36D142677DAA_.wvu.PrintArea" hidden="1" oldHidden="1">
    <formula>'2.22.'!$A$1:$D$56</formula>
    <oldFormula>'2.22.'!$A$1:$D$56</oldFormula>
  </rdn>
  <rdn rId="0" localSheetId="48" customView="1" name="Z_2CF5EF93_C226_48EA_959E_36D142677DAA_.wvu.Rows" hidden="1" oldHidden="1">
    <formula>'2.22.'!$19:$19</formula>
    <oldFormula>'2.22.'!$19:$19</oldFormula>
  </rdn>
  <rdn rId="0" localSheetId="49" customView="1" name="Z_2CF5EF93_C226_48EA_959E_36D142677DAA_.wvu.PrintArea" hidden="1" oldHidden="1">
    <formula>'2.23.'!$A$1:$D$56</formula>
    <oldFormula>'2.23.'!$A$1:$D$56</oldFormula>
  </rdn>
  <rdn rId="0" localSheetId="49" customView="1" name="Z_2CF5EF93_C226_48EA_959E_36D142677DAA_.wvu.Rows" hidden="1" oldHidden="1">
    <formula>'2.23.'!$19:$19</formula>
    <oldFormula>'2.23.'!$19:$19</oldFormula>
  </rdn>
  <rdn rId="0" localSheetId="50" customView="1" name="Z_2CF5EF93_C226_48EA_959E_36D142677DAA_.wvu.PrintArea" hidden="1" oldHidden="1">
    <formula>'2.24.'!$A$1:$D$56</formula>
    <oldFormula>'2.24.'!$A$1:$D$56</oldFormula>
  </rdn>
  <rdn rId="0" localSheetId="50" customView="1" name="Z_2CF5EF93_C226_48EA_959E_36D142677DAA_.wvu.Rows" hidden="1" oldHidden="1">
    <formula>'2.24.'!$10:$10</formula>
    <oldFormula>'2.24.'!$10:$10</oldFormula>
  </rdn>
  <rdn rId="0" localSheetId="51" customView="1" name="Z_2CF5EF93_C226_48EA_959E_36D142677DAA_.wvu.PrintArea" hidden="1" oldHidden="1">
    <formula>'2.25.'!$A$1:$D$56</formula>
    <oldFormula>'2.25.'!$A$1:$D$56</oldFormula>
  </rdn>
  <rdn rId="0" localSheetId="51" customView="1" name="Z_2CF5EF93_C226_48EA_959E_36D142677DAA_.wvu.Rows" hidden="1" oldHidden="1">
    <formula>'2.25.'!$19:$19</formula>
    <oldFormula>'2.25.'!$19:$19</oldFormula>
  </rdn>
  <rdn rId="0" localSheetId="52" customView="1" name="Z_2CF5EF93_C226_48EA_959E_36D142677DAA_.wvu.PrintArea" hidden="1" oldHidden="1">
    <formula>'2.25.1.'!$A$1:$D$58</formula>
    <oldFormula>'2.25.1.'!$A$1:$D$58</oldFormula>
  </rdn>
  <rdn rId="0" localSheetId="52" customView="1" name="Z_2CF5EF93_C226_48EA_959E_36D142677DAA_.wvu.Rows" hidden="1" oldHidden="1">
    <formula>'2.25.1.'!$10:$10,'2.25.1.'!$20:$21</formula>
    <oldFormula>'2.25.1.'!$10:$10,'2.25.1.'!$20:$21</oldFormula>
  </rdn>
  <rdn rId="0" localSheetId="53" customView="1" name="Z_2CF5EF93_C226_48EA_959E_36D142677DAA_.wvu.PrintArea" hidden="1" oldHidden="1">
    <formula>'2.26.'!$A$1:$D$56</formula>
    <oldFormula>'2.26.'!$A$1:$D$56</oldFormula>
  </rdn>
  <rdn rId="0" localSheetId="53" customView="1" name="Z_2CF5EF93_C226_48EA_959E_36D142677DAA_.wvu.Rows" hidden="1" oldHidden="1">
    <formula>'2.26.'!$19:$19</formula>
    <oldFormula>'2.26.'!$19:$19</oldFormula>
  </rdn>
  <rdn rId="0" localSheetId="54" customView="1" name="Z_2CF5EF93_C226_48EA_959E_36D142677DAA_.wvu.PrintArea" hidden="1" oldHidden="1">
    <formula>'2.27.'!$A$1:$D$59</formula>
    <oldFormula>'2.27.'!$A$1:$D$59</oldFormula>
  </rdn>
  <rdn rId="0" localSheetId="54" customView="1" name="Z_2CF5EF93_C226_48EA_959E_36D142677DAA_.wvu.Rows" hidden="1" oldHidden="1">
    <formula>'2.27.'!$11:$12,'2.27.'!$21:$21,'2.27.'!$55:$55</formula>
    <oldFormula>'2.27.'!$11:$12,'2.27.'!$21:$21,'2.27.'!$55:$55</oldFormula>
  </rdn>
  <rdn rId="0" localSheetId="55" customView="1" name="Z_2CF5EF93_C226_48EA_959E_36D142677DAA_.wvu.PrintArea" hidden="1" oldHidden="1">
    <formula>'2.27.1.'!$A$1:$D$55</formula>
    <oldFormula>'2.27.1.'!$A$1:$D$55</oldFormula>
  </rdn>
  <rdn rId="0" localSheetId="56" customView="1" name="Z_2CF5EF93_C226_48EA_959E_36D142677DAA_.wvu.PrintArea" hidden="1" oldHidden="1">
    <formula>'2.28.'!$A$1:$D$55</formula>
    <oldFormula>'2.28.'!$A$1:$D$55</oldFormula>
  </rdn>
  <rdn rId="0" localSheetId="57" customView="1" name="Z_2CF5EF93_C226_48EA_959E_36D142677DAA_.wvu.PrintArea" hidden="1" oldHidden="1">
    <formula>'2.28.1.'!$A$1:$D$57</formula>
    <oldFormula>'2.28.1.'!$A$1:$D$57</oldFormula>
  </rdn>
  <rdn rId="0" localSheetId="57" customView="1" name="Z_2CF5EF93_C226_48EA_959E_36D142677DAA_.wvu.PrintTitles" hidden="1" oldHidden="1">
    <formula>'2.28.1.'!$13:$13</formula>
    <oldFormula>'2.28.1.'!$13:$13</oldFormula>
  </rdn>
  <rdn rId="0" localSheetId="57" customView="1" name="Z_2CF5EF93_C226_48EA_959E_36D142677DAA_.wvu.Rows" hidden="1" oldHidden="1">
    <formula>'2.28.1.'!$11:$12</formula>
    <oldFormula>'2.28.1.'!$11:$12</oldFormula>
  </rdn>
  <rdn rId="0" localSheetId="58" customView="1" name="Z_2CF5EF93_C226_48EA_959E_36D142677DAA_.wvu.PrintArea" hidden="1" oldHidden="1">
    <formula>'2.29.'!$A$1:$D$55</formula>
    <oldFormula>'2.29.'!$A$1:$D$55</oldFormula>
  </rdn>
  <rdn rId="0" localSheetId="59" customView="1" name="Z_2CF5EF93_C226_48EA_959E_36D142677DAA_.wvu.PrintArea" hidden="1" oldHidden="1">
    <formula>'2.30.'!$A$1:$D$55</formula>
    <oldFormula>'2.30.'!$A$1:$D$55</oldFormula>
  </rdn>
  <rdn rId="0" localSheetId="60" customView="1" name="Z_2CF5EF93_C226_48EA_959E_36D142677DAA_.wvu.PrintArea" hidden="1" oldHidden="1">
    <formula>'2.31.'!$A$1:$D$55</formula>
    <oldFormula>'2.31.'!$A$1:$D$55</oldFormula>
  </rdn>
  <rdn rId="0" localSheetId="61" customView="1" name="Z_2CF5EF93_C226_48EA_959E_36D142677DAA_.wvu.PrintArea" hidden="1" oldHidden="1">
    <formula>'2.32.'!$A$1:$D$55</formula>
    <oldFormula>'2.32.'!$A$1:$D$55</oldFormula>
  </rdn>
  <rdn rId="0" localSheetId="62" customView="1" name="Z_2CF5EF93_C226_48EA_959E_36D142677DAA_.wvu.PrintArea" hidden="1" oldHidden="1">
    <formula>'2.33.'!$A$1:$D$55</formula>
    <oldFormula>'2.33.'!$A$1:$D$55</oldFormula>
  </rdn>
  <rdn rId="0" localSheetId="63" customView="1" name="Z_2CF5EF93_C226_48EA_959E_36D142677DAA_.wvu.PrintArea" hidden="1" oldHidden="1">
    <formula>'2.34'!$A$1:$D$55</formula>
    <oldFormula>'2.34'!$A$1:$D$55</oldFormula>
  </rdn>
  <rdn rId="0" localSheetId="64" customView="1" name="Z_2CF5EF93_C226_48EA_959E_36D142677DAA_.wvu.PrintArea" hidden="1" oldHidden="1">
    <formula>'2.35.'!$A$1:$D$55</formula>
    <oldFormula>'2.35.'!$A$1:$D$55</oldFormula>
  </rdn>
  <rcv guid="{2CF5EF93-C226-48EA-959E-36D142677DAA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6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8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7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7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8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8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9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6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100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4" Type="http://schemas.openxmlformats.org/officeDocument/2006/relationships/printerSettings" Target="../printerSettings/printerSettings104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6.bin"/><Relationship Id="rId1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8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1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4" Type="http://schemas.openxmlformats.org/officeDocument/2006/relationships/printerSettings" Target="../printerSettings/printerSettings112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5.bin"/><Relationship Id="rId2" Type="http://schemas.openxmlformats.org/officeDocument/2006/relationships/printerSettings" Target="../printerSettings/printerSettings114.bin"/><Relationship Id="rId1" Type="http://schemas.openxmlformats.org/officeDocument/2006/relationships/printerSettings" Target="../printerSettings/printerSettings113.bin"/><Relationship Id="rId4" Type="http://schemas.openxmlformats.org/officeDocument/2006/relationships/printerSettings" Target="../printerSettings/printerSettings11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9.bin"/><Relationship Id="rId2" Type="http://schemas.openxmlformats.org/officeDocument/2006/relationships/printerSettings" Target="../printerSettings/printerSettings118.bin"/><Relationship Id="rId1" Type="http://schemas.openxmlformats.org/officeDocument/2006/relationships/printerSettings" Target="../printerSettings/printerSettings117.bin"/><Relationship Id="rId4" Type="http://schemas.openxmlformats.org/officeDocument/2006/relationships/printerSettings" Target="../printerSettings/printerSettings12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4" Type="http://schemas.openxmlformats.org/officeDocument/2006/relationships/printerSettings" Target="../printerSettings/printerSettings124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6.bin"/><Relationship Id="rId1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8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1.bin"/><Relationship Id="rId2" Type="http://schemas.openxmlformats.org/officeDocument/2006/relationships/printerSettings" Target="../printerSettings/printerSettings130.bin"/><Relationship Id="rId1" Type="http://schemas.openxmlformats.org/officeDocument/2006/relationships/printerSettings" Target="../printerSettings/printerSettings129.bin"/><Relationship Id="rId4" Type="http://schemas.openxmlformats.org/officeDocument/2006/relationships/printerSettings" Target="../printerSettings/printerSettings1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5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4" Type="http://schemas.openxmlformats.org/officeDocument/2006/relationships/printerSettings" Target="../printerSettings/printerSettings136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9.bin"/><Relationship Id="rId2" Type="http://schemas.openxmlformats.org/officeDocument/2006/relationships/printerSettings" Target="../printerSettings/printerSettings138.bin"/><Relationship Id="rId1" Type="http://schemas.openxmlformats.org/officeDocument/2006/relationships/printerSettings" Target="../printerSettings/printerSettings137.bin"/><Relationship Id="rId4" Type="http://schemas.openxmlformats.org/officeDocument/2006/relationships/printerSettings" Target="../printerSettings/printerSettings140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3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4" Type="http://schemas.openxmlformats.org/officeDocument/2006/relationships/printerSettings" Target="../printerSettings/printerSettings144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6.bin"/><Relationship Id="rId1" Type="http://schemas.openxmlformats.org/officeDocument/2006/relationships/printerSettings" Target="../printerSettings/printerSettings145.bin"/><Relationship Id="rId4" Type="http://schemas.openxmlformats.org/officeDocument/2006/relationships/printerSettings" Target="../printerSettings/printerSettings148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1.bin"/><Relationship Id="rId2" Type="http://schemas.openxmlformats.org/officeDocument/2006/relationships/printerSettings" Target="../printerSettings/printerSettings150.bin"/><Relationship Id="rId1" Type="http://schemas.openxmlformats.org/officeDocument/2006/relationships/printerSettings" Target="../printerSettings/printerSettings149.bin"/><Relationship Id="rId4" Type="http://schemas.openxmlformats.org/officeDocument/2006/relationships/printerSettings" Target="../printerSettings/printerSettings152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5.bin"/><Relationship Id="rId2" Type="http://schemas.openxmlformats.org/officeDocument/2006/relationships/printerSettings" Target="../printerSettings/printerSettings154.bin"/><Relationship Id="rId1" Type="http://schemas.openxmlformats.org/officeDocument/2006/relationships/printerSettings" Target="../printerSettings/printerSettings153.bin"/><Relationship Id="rId4" Type="http://schemas.openxmlformats.org/officeDocument/2006/relationships/printerSettings" Target="../printerSettings/printerSettings15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9.bin"/><Relationship Id="rId2" Type="http://schemas.openxmlformats.org/officeDocument/2006/relationships/printerSettings" Target="../printerSettings/printerSettings158.bin"/><Relationship Id="rId1" Type="http://schemas.openxmlformats.org/officeDocument/2006/relationships/printerSettings" Target="../printerSettings/printerSettings157.bin"/><Relationship Id="rId4" Type="http://schemas.openxmlformats.org/officeDocument/2006/relationships/printerSettings" Target="../printerSettings/printerSettings16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3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4" Type="http://schemas.openxmlformats.org/officeDocument/2006/relationships/printerSettings" Target="../printerSettings/printerSettings164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6.bin"/><Relationship Id="rId1" Type="http://schemas.openxmlformats.org/officeDocument/2006/relationships/printerSettings" Target="../printerSettings/printerSettings165.bin"/><Relationship Id="rId4" Type="http://schemas.openxmlformats.org/officeDocument/2006/relationships/printerSettings" Target="../printerSettings/printerSettings168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1.bin"/><Relationship Id="rId2" Type="http://schemas.openxmlformats.org/officeDocument/2006/relationships/printerSettings" Target="../printerSettings/printerSettings170.bin"/><Relationship Id="rId1" Type="http://schemas.openxmlformats.org/officeDocument/2006/relationships/printerSettings" Target="../printerSettings/printerSettings169.bin"/><Relationship Id="rId4" Type="http://schemas.openxmlformats.org/officeDocument/2006/relationships/printerSettings" Target="../printerSettings/printerSettings172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5.bin"/><Relationship Id="rId2" Type="http://schemas.openxmlformats.org/officeDocument/2006/relationships/printerSettings" Target="../printerSettings/printerSettings174.bin"/><Relationship Id="rId1" Type="http://schemas.openxmlformats.org/officeDocument/2006/relationships/printerSettings" Target="../printerSettings/printerSettings173.bin"/><Relationship Id="rId4" Type="http://schemas.openxmlformats.org/officeDocument/2006/relationships/printerSettings" Target="../printerSettings/printerSettings176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9.bin"/><Relationship Id="rId2" Type="http://schemas.openxmlformats.org/officeDocument/2006/relationships/printerSettings" Target="../printerSettings/printerSettings178.bin"/><Relationship Id="rId1" Type="http://schemas.openxmlformats.org/officeDocument/2006/relationships/printerSettings" Target="../printerSettings/printerSettings177.bin"/><Relationship Id="rId4" Type="http://schemas.openxmlformats.org/officeDocument/2006/relationships/printerSettings" Target="../printerSettings/printerSettings180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3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4" Type="http://schemas.openxmlformats.org/officeDocument/2006/relationships/printerSettings" Target="../printerSettings/printerSettings184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86.bin"/><Relationship Id="rId1" Type="http://schemas.openxmlformats.org/officeDocument/2006/relationships/printerSettings" Target="../printerSettings/printerSettings185.bin"/><Relationship Id="rId4" Type="http://schemas.openxmlformats.org/officeDocument/2006/relationships/printerSettings" Target="../printerSettings/printerSettings188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1.bin"/><Relationship Id="rId2" Type="http://schemas.openxmlformats.org/officeDocument/2006/relationships/printerSettings" Target="../printerSettings/printerSettings190.bin"/><Relationship Id="rId1" Type="http://schemas.openxmlformats.org/officeDocument/2006/relationships/printerSettings" Target="../printerSettings/printerSettings189.bin"/><Relationship Id="rId4" Type="http://schemas.openxmlformats.org/officeDocument/2006/relationships/printerSettings" Target="../printerSettings/printerSettings192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5.bin"/><Relationship Id="rId2" Type="http://schemas.openxmlformats.org/officeDocument/2006/relationships/printerSettings" Target="../printerSettings/printerSettings194.bin"/><Relationship Id="rId1" Type="http://schemas.openxmlformats.org/officeDocument/2006/relationships/printerSettings" Target="../printerSettings/printerSettings193.bin"/><Relationship Id="rId4" Type="http://schemas.openxmlformats.org/officeDocument/2006/relationships/printerSettings" Target="../printerSettings/printerSettings19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9.bin"/><Relationship Id="rId2" Type="http://schemas.openxmlformats.org/officeDocument/2006/relationships/printerSettings" Target="../printerSettings/printerSettings198.bin"/><Relationship Id="rId1" Type="http://schemas.openxmlformats.org/officeDocument/2006/relationships/printerSettings" Target="../printerSettings/printerSettings197.bin"/><Relationship Id="rId4" Type="http://schemas.openxmlformats.org/officeDocument/2006/relationships/printerSettings" Target="../printerSettings/printerSettings20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3.bin"/><Relationship Id="rId2" Type="http://schemas.openxmlformats.org/officeDocument/2006/relationships/printerSettings" Target="../printerSettings/printerSettings202.bin"/><Relationship Id="rId1" Type="http://schemas.openxmlformats.org/officeDocument/2006/relationships/printerSettings" Target="../printerSettings/printerSettings201.bin"/><Relationship Id="rId4" Type="http://schemas.openxmlformats.org/officeDocument/2006/relationships/printerSettings" Target="../printerSettings/printerSettings204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7.bin"/><Relationship Id="rId2" Type="http://schemas.openxmlformats.org/officeDocument/2006/relationships/printerSettings" Target="../printerSettings/printerSettings206.bin"/><Relationship Id="rId1" Type="http://schemas.openxmlformats.org/officeDocument/2006/relationships/printerSettings" Target="../printerSettings/printerSettings205.bin"/><Relationship Id="rId4" Type="http://schemas.openxmlformats.org/officeDocument/2006/relationships/printerSettings" Target="../printerSettings/printerSettings208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1.bin"/><Relationship Id="rId2" Type="http://schemas.openxmlformats.org/officeDocument/2006/relationships/printerSettings" Target="../printerSettings/printerSettings210.bin"/><Relationship Id="rId1" Type="http://schemas.openxmlformats.org/officeDocument/2006/relationships/printerSettings" Target="../printerSettings/printerSettings209.bin"/><Relationship Id="rId4" Type="http://schemas.openxmlformats.org/officeDocument/2006/relationships/printerSettings" Target="../printerSettings/printerSettings212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5.bin"/><Relationship Id="rId2" Type="http://schemas.openxmlformats.org/officeDocument/2006/relationships/printerSettings" Target="../printerSettings/printerSettings214.bin"/><Relationship Id="rId1" Type="http://schemas.openxmlformats.org/officeDocument/2006/relationships/printerSettings" Target="../printerSettings/printerSettings213.bin"/><Relationship Id="rId4" Type="http://schemas.openxmlformats.org/officeDocument/2006/relationships/printerSettings" Target="../printerSettings/printerSettings216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9.bin"/><Relationship Id="rId2" Type="http://schemas.openxmlformats.org/officeDocument/2006/relationships/printerSettings" Target="../printerSettings/printerSettings218.bin"/><Relationship Id="rId1" Type="http://schemas.openxmlformats.org/officeDocument/2006/relationships/printerSettings" Target="../printerSettings/printerSettings217.bin"/><Relationship Id="rId4" Type="http://schemas.openxmlformats.org/officeDocument/2006/relationships/printerSettings" Target="../printerSettings/printerSettings220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3.bin"/><Relationship Id="rId2" Type="http://schemas.openxmlformats.org/officeDocument/2006/relationships/printerSettings" Target="../printerSettings/printerSettings222.bin"/><Relationship Id="rId1" Type="http://schemas.openxmlformats.org/officeDocument/2006/relationships/printerSettings" Target="../printerSettings/printerSettings221.bin"/><Relationship Id="rId4" Type="http://schemas.openxmlformats.org/officeDocument/2006/relationships/printerSettings" Target="../printerSettings/printerSettings224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7.bin"/><Relationship Id="rId2" Type="http://schemas.openxmlformats.org/officeDocument/2006/relationships/printerSettings" Target="../printerSettings/printerSettings226.bin"/><Relationship Id="rId1" Type="http://schemas.openxmlformats.org/officeDocument/2006/relationships/printerSettings" Target="../printerSettings/printerSettings225.bin"/><Relationship Id="rId4" Type="http://schemas.openxmlformats.org/officeDocument/2006/relationships/printerSettings" Target="../printerSettings/printerSettings228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1.bin"/><Relationship Id="rId2" Type="http://schemas.openxmlformats.org/officeDocument/2006/relationships/printerSettings" Target="../printerSettings/printerSettings230.bin"/><Relationship Id="rId1" Type="http://schemas.openxmlformats.org/officeDocument/2006/relationships/printerSettings" Target="../printerSettings/printerSettings229.bin"/><Relationship Id="rId4" Type="http://schemas.openxmlformats.org/officeDocument/2006/relationships/printerSettings" Target="../printerSettings/printerSettings232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5.bin"/><Relationship Id="rId2" Type="http://schemas.openxmlformats.org/officeDocument/2006/relationships/printerSettings" Target="../printerSettings/printerSettings234.bin"/><Relationship Id="rId1" Type="http://schemas.openxmlformats.org/officeDocument/2006/relationships/printerSettings" Target="../printerSettings/printerSettings233.bin"/><Relationship Id="rId4" Type="http://schemas.openxmlformats.org/officeDocument/2006/relationships/printerSettings" Target="../printerSettings/printerSettings23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9.bin"/><Relationship Id="rId2" Type="http://schemas.openxmlformats.org/officeDocument/2006/relationships/printerSettings" Target="../printerSettings/printerSettings238.bin"/><Relationship Id="rId1" Type="http://schemas.openxmlformats.org/officeDocument/2006/relationships/printerSettings" Target="../printerSettings/printerSettings237.bin"/><Relationship Id="rId4" Type="http://schemas.openxmlformats.org/officeDocument/2006/relationships/printerSettings" Target="../printerSettings/printerSettings240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3.bin"/><Relationship Id="rId2" Type="http://schemas.openxmlformats.org/officeDocument/2006/relationships/printerSettings" Target="../printerSettings/printerSettings242.bin"/><Relationship Id="rId1" Type="http://schemas.openxmlformats.org/officeDocument/2006/relationships/printerSettings" Target="../printerSettings/printerSettings241.bin"/><Relationship Id="rId4" Type="http://schemas.openxmlformats.org/officeDocument/2006/relationships/printerSettings" Target="../printerSettings/printerSettings244.bin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7.bin"/><Relationship Id="rId2" Type="http://schemas.openxmlformats.org/officeDocument/2006/relationships/printerSettings" Target="../printerSettings/printerSettings246.bin"/><Relationship Id="rId1" Type="http://schemas.openxmlformats.org/officeDocument/2006/relationships/printerSettings" Target="../printerSettings/printerSettings245.bin"/><Relationship Id="rId4" Type="http://schemas.openxmlformats.org/officeDocument/2006/relationships/printerSettings" Target="../printerSettings/printerSettings248.bin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1.bin"/><Relationship Id="rId2" Type="http://schemas.openxmlformats.org/officeDocument/2006/relationships/printerSettings" Target="../printerSettings/printerSettings250.bin"/><Relationship Id="rId1" Type="http://schemas.openxmlformats.org/officeDocument/2006/relationships/printerSettings" Target="../printerSettings/printerSettings249.bin"/><Relationship Id="rId4" Type="http://schemas.openxmlformats.org/officeDocument/2006/relationships/printerSettings" Target="../printerSettings/printerSettings252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5.bin"/><Relationship Id="rId2" Type="http://schemas.openxmlformats.org/officeDocument/2006/relationships/printerSettings" Target="../printerSettings/printerSettings254.bin"/><Relationship Id="rId1" Type="http://schemas.openxmlformats.org/officeDocument/2006/relationships/printerSettings" Target="../printerSettings/printerSettings253.bin"/><Relationship Id="rId6" Type="http://schemas.openxmlformats.org/officeDocument/2006/relationships/printerSettings" Target="../printerSettings/printerSettings256.bin"/><Relationship Id="rId5" Type="http://schemas.openxmlformats.org/officeDocument/2006/relationships/hyperlink" Target="mailto:lasma.zandberga@vm.gov.lv" TargetMode="External"/><Relationship Id="rId4" Type="http://schemas.openxmlformats.org/officeDocument/2006/relationships/hyperlink" Target="mailto:zaiga.lange@vadc.gov.lv" TargetMode="Externa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9.bin"/><Relationship Id="rId2" Type="http://schemas.openxmlformats.org/officeDocument/2006/relationships/printerSettings" Target="../printerSettings/printerSettings258.bin"/><Relationship Id="rId1" Type="http://schemas.openxmlformats.org/officeDocument/2006/relationships/printerSettings" Target="../printerSettings/printerSettings257.bin"/><Relationship Id="rId4" Type="http://schemas.openxmlformats.org/officeDocument/2006/relationships/printerSettings" Target="../printerSettings/printerSettings260.bin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3.bin"/><Relationship Id="rId2" Type="http://schemas.openxmlformats.org/officeDocument/2006/relationships/printerSettings" Target="../printerSettings/printerSettings262.bin"/><Relationship Id="rId1" Type="http://schemas.openxmlformats.org/officeDocument/2006/relationships/printerSettings" Target="../printerSettings/printerSettings261.bin"/><Relationship Id="rId4" Type="http://schemas.openxmlformats.org/officeDocument/2006/relationships/printerSettings" Target="../printerSettings/printerSettings26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view="pageLayout" topLeftCell="A13" zoomScaleNormal="100" workbookViewId="0">
      <selection activeCell="B63" sqref="B63:I63"/>
    </sheetView>
  </sheetViews>
  <sheetFormatPr defaultRowHeight="15" x14ac:dyDescent="0.25"/>
  <cols>
    <col min="1" max="1" width="6.42578125" style="41" customWidth="1"/>
    <col min="2" max="8" width="9.140625" style="41"/>
    <col min="9" max="9" width="15.85546875" style="41" customWidth="1"/>
    <col min="10" max="10" width="6" style="41" customWidth="1"/>
    <col min="11" max="16384" width="9.140625" style="41"/>
  </cols>
  <sheetData>
    <row r="1" spans="1:13" x14ac:dyDescent="0.25">
      <c r="H1" s="232" t="s">
        <v>316</v>
      </c>
      <c r="I1" s="232"/>
      <c r="J1" s="155"/>
    </row>
    <row r="2" spans="1:13" x14ac:dyDescent="0.25">
      <c r="F2" s="232" t="s">
        <v>304</v>
      </c>
      <c r="G2" s="232"/>
      <c r="H2" s="232"/>
      <c r="I2" s="232"/>
    </row>
    <row r="3" spans="1:13" ht="15.75" x14ac:dyDescent="0.25">
      <c r="A3" s="239" t="s">
        <v>315</v>
      </c>
      <c r="B3" s="239"/>
      <c r="C3" s="239"/>
      <c r="D3" s="239"/>
      <c r="E3" s="239"/>
      <c r="F3" s="239"/>
      <c r="G3" s="239"/>
      <c r="H3" s="239"/>
      <c r="I3" s="239"/>
      <c r="J3" s="1"/>
    </row>
    <row r="4" spans="1:13" ht="15.75" x14ac:dyDescent="0.25">
      <c r="A4" s="240" t="s">
        <v>306</v>
      </c>
      <c r="B4" s="240"/>
      <c r="C4" s="240"/>
      <c r="D4" s="240"/>
      <c r="E4" s="240"/>
      <c r="F4" s="240"/>
      <c r="G4" s="240"/>
      <c r="H4" s="240"/>
      <c r="I4" s="240"/>
      <c r="J4" s="2"/>
    </row>
    <row r="5" spans="1:13" x14ac:dyDescent="0.25">
      <c r="A5" s="232" t="s">
        <v>305</v>
      </c>
      <c r="B5" s="232"/>
      <c r="C5" s="232"/>
      <c r="D5" s="232"/>
      <c r="E5" s="232"/>
      <c r="F5" s="232"/>
      <c r="G5" s="232"/>
      <c r="H5" s="232"/>
      <c r="I5" s="232"/>
    </row>
    <row r="6" spans="1:13" x14ac:dyDescent="0.25">
      <c r="A6" s="61"/>
      <c r="B6" s="61"/>
      <c r="C6" s="61"/>
      <c r="D6" s="61"/>
      <c r="E6" s="61"/>
      <c r="F6" s="61"/>
      <c r="G6" s="61"/>
      <c r="H6" s="61"/>
      <c r="I6" s="61"/>
    </row>
    <row r="7" spans="1:13" ht="15.75" x14ac:dyDescent="0.25">
      <c r="A7" s="241" t="s">
        <v>12</v>
      </c>
      <c r="B7" s="241"/>
      <c r="C7" s="241"/>
    </row>
    <row r="8" spans="1:13" ht="15.75" x14ac:dyDescent="0.25">
      <c r="A8" s="76"/>
      <c r="B8" s="76"/>
      <c r="C8" s="76"/>
    </row>
    <row r="9" spans="1:13" ht="15" customHeight="1" x14ac:dyDescent="0.25">
      <c r="A9" s="62" t="s">
        <v>84</v>
      </c>
      <c r="B9" s="236" t="s">
        <v>98</v>
      </c>
      <c r="C9" s="236"/>
      <c r="D9" s="236"/>
      <c r="E9" s="236"/>
      <c r="F9" s="236"/>
      <c r="G9" s="236"/>
      <c r="H9" s="236"/>
      <c r="I9" s="236"/>
      <c r="J9" s="3"/>
      <c r="K9" s="3"/>
      <c r="L9" s="3"/>
      <c r="M9" s="3"/>
    </row>
    <row r="10" spans="1:13" ht="15" customHeight="1" x14ac:dyDescent="0.25">
      <c r="A10" s="225" t="s">
        <v>85</v>
      </c>
      <c r="B10" s="243" t="s">
        <v>99</v>
      </c>
      <c r="C10" s="243"/>
      <c r="D10" s="243"/>
      <c r="E10" s="243"/>
      <c r="F10" s="243"/>
      <c r="G10" s="243"/>
      <c r="H10" s="243"/>
      <c r="I10" s="243"/>
      <c r="J10" s="79"/>
      <c r="K10" s="79"/>
      <c r="L10" s="79"/>
      <c r="M10" s="79"/>
    </row>
    <row r="11" spans="1:13" ht="15.75" customHeight="1" x14ac:dyDescent="0.25">
      <c r="A11" s="62" t="s">
        <v>86</v>
      </c>
      <c r="B11" s="243" t="s">
        <v>100</v>
      </c>
      <c r="C11" s="243"/>
      <c r="D11" s="243"/>
      <c r="E11" s="243"/>
      <c r="F11" s="243"/>
      <c r="G11" s="243"/>
      <c r="H11" s="243"/>
      <c r="I11" s="243"/>
      <c r="J11" s="79"/>
      <c r="K11" s="79"/>
      <c r="L11" s="79"/>
      <c r="M11" s="79"/>
    </row>
    <row r="12" spans="1:13" ht="15.75" customHeight="1" x14ac:dyDescent="0.25">
      <c r="A12" s="62" t="s">
        <v>87</v>
      </c>
      <c r="B12" s="243" t="s">
        <v>101</v>
      </c>
      <c r="C12" s="243"/>
      <c r="D12" s="243"/>
      <c r="E12" s="243"/>
      <c r="F12" s="243"/>
      <c r="G12" s="243"/>
      <c r="H12" s="243"/>
      <c r="I12" s="243"/>
      <c r="J12" s="79"/>
      <c r="K12" s="79"/>
      <c r="L12" s="79"/>
      <c r="M12" s="79"/>
    </row>
    <row r="13" spans="1:13" ht="15.75" customHeight="1" x14ac:dyDescent="0.25">
      <c r="A13" s="62" t="s">
        <v>88</v>
      </c>
      <c r="B13" s="242" t="s">
        <v>102</v>
      </c>
      <c r="C13" s="242"/>
      <c r="D13" s="242"/>
      <c r="E13" s="242"/>
      <c r="F13" s="242"/>
      <c r="G13" s="242"/>
      <c r="H13" s="242"/>
      <c r="I13" s="242"/>
      <c r="J13" s="79"/>
      <c r="K13" s="79"/>
      <c r="L13" s="79"/>
      <c r="M13" s="79"/>
    </row>
    <row r="14" spans="1:13" ht="15.75" customHeight="1" x14ac:dyDescent="0.25">
      <c r="A14" s="62" t="s">
        <v>89</v>
      </c>
      <c r="B14" s="242" t="s">
        <v>103</v>
      </c>
      <c r="C14" s="242"/>
      <c r="D14" s="242"/>
      <c r="E14" s="242"/>
      <c r="F14" s="242"/>
      <c r="G14" s="242"/>
      <c r="H14" s="242"/>
      <c r="I14" s="242"/>
      <c r="J14" s="79"/>
      <c r="K14" s="79"/>
      <c r="L14" s="79"/>
      <c r="M14" s="79"/>
    </row>
    <row r="15" spans="1:13" ht="15.75" customHeight="1" x14ac:dyDescent="0.25">
      <c r="A15" s="62" t="s">
        <v>90</v>
      </c>
      <c r="B15" s="242" t="s">
        <v>104</v>
      </c>
      <c r="C15" s="242"/>
      <c r="D15" s="242"/>
      <c r="E15" s="242"/>
      <c r="F15" s="242"/>
      <c r="G15" s="242"/>
      <c r="H15" s="242"/>
      <c r="I15" s="242"/>
      <c r="J15" s="79"/>
      <c r="K15" s="79"/>
      <c r="L15" s="79"/>
      <c r="M15" s="79"/>
    </row>
    <row r="16" spans="1:13" ht="15.75" customHeight="1" x14ac:dyDescent="0.25">
      <c r="A16" s="62" t="s">
        <v>91</v>
      </c>
      <c r="B16" s="242" t="s">
        <v>105</v>
      </c>
      <c r="C16" s="242"/>
      <c r="D16" s="242"/>
      <c r="E16" s="242"/>
      <c r="F16" s="242"/>
      <c r="G16" s="242"/>
      <c r="H16" s="242"/>
      <c r="I16" s="242"/>
      <c r="J16" s="79"/>
      <c r="K16" s="79"/>
      <c r="L16" s="79"/>
      <c r="M16" s="79"/>
    </row>
    <row r="17" spans="1:13" ht="15.75" customHeight="1" x14ac:dyDescent="0.25">
      <c r="A17" s="224" t="s">
        <v>92</v>
      </c>
      <c r="B17" s="242" t="s">
        <v>106</v>
      </c>
      <c r="C17" s="242"/>
      <c r="D17" s="242"/>
      <c r="E17" s="242"/>
      <c r="F17" s="242"/>
      <c r="G17" s="242"/>
      <c r="H17" s="242"/>
      <c r="I17" s="242"/>
      <c r="J17" s="79"/>
      <c r="K17" s="79"/>
      <c r="L17" s="79"/>
      <c r="M17" s="79"/>
    </row>
    <row r="18" spans="1:13" ht="15.75" customHeight="1" x14ac:dyDescent="0.25">
      <c r="A18" s="224" t="s">
        <v>93</v>
      </c>
      <c r="B18" s="242" t="s">
        <v>107</v>
      </c>
      <c r="C18" s="242"/>
      <c r="D18" s="242"/>
      <c r="E18" s="242"/>
      <c r="F18" s="242"/>
      <c r="G18" s="242"/>
      <c r="H18" s="242"/>
      <c r="I18" s="242"/>
      <c r="J18" s="79"/>
      <c r="K18" s="79"/>
      <c r="L18" s="79"/>
      <c r="M18" s="79"/>
    </row>
    <row r="19" spans="1:13" ht="15.75" customHeight="1" x14ac:dyDescent="0.25">
      <c r="A19" s="224" t="s">
        <v>94</v>
      </c>
      <c r="B19" s="242" t="s">
        <v>108</v>
      </c>
      <c r="C19" s="242"/>
      <c r="D19" s="242"/>
      <c r="E19" s="242"/>
      <c r="F19" s="242"/>
      <c r="G19" s="242"/>
      <c r="H19" s="242"/>
      <c r="I19" s="242"/>
      <c r="J19" s="79"/>
      <c r="K19" s="79"/>
      <c r="L19" s="79"/>
      <c r="M19" s="79"/>
    </row>
    <row r="20" spans="1:13" ht="15" customHeight="1" x14ac:dyDescent="0.25">
      <c r="A20" s="225" t="s">
        <v>95</v>
      </c>
      <c r="B20" s="243" t="s">
        <v>109</v>
      </c>
      <c r="C20" s="243"/>
      <c r="D20" s="243"/>
      <c r="E20" s="243"/>
      <c r="F20" s="243"/>
      <c r="G20" s="243"/>
      <c r="H20" s="243"/>
      <c r="I20" s="243"/>
      <c r="J20" s="78"/>
      <c r="K20" s="78"/>
      <c r="L20" s="78"/>
      <c r="M20" s="78"/>
    </row>
    <row r="21" spans="1:13" ht="15" customHeight="1" x14ac:dyDescent="0.25">
      <c r="A21" s="225" t="s">
        <v>96</v>
      </c>
      <c r="B21" s="242" t="s">
        <v>110</v>
      </c>
      <c r="C21" s="242"/>
      <c r="D21" s="242"/>
      <c r="E21" s="242"/>
      <c r="F21" s="242"/>
      <c r="G21" s="242"/>
      <c r="H21" s="242"/>
      <c r="I21" s="242"/>
      <c r="J21" s="79"/>
      <c r="K21" s="79"/>
      <c r="L21" s="79"/>
      <c r="M21" s="79"/>
    </row>
    <row r="22" spans="1:13" ht="15" customHeight="1" x14ac:dyDescent="0.25">
      <c r="A22" s="225" t="s">
        <v>97</v>
      </c>
      <c r="B22" s="236" t="s">
        <v>111</v>
      </c>
      <c r="C22" s="236"/>
      <c r="D22" s="236"/>
      <c r="E22" s="236"/>
      <c r="F22" s="236"/>
      <c r="G22" s="236"/>
      <c r="H22" s="236"/>
      <c r="I22" s="236"/>
      <c r="J22" s="77"/>
      <c r="K22" s="77"/>
      <c r="L22" s="77"/>
      <c r="M22" s="77"/>
    </row>
    <row r="23" spans="1:13" ht="15" customHeight="1" x14ac:dyDescent="0.25">
      <c r="A23" s="225" t="s">
        <v>138</v>
      </c>
      <c r="B23" s="244" t="s">
        <v>139</v>
      </c>
      <c r="C23" s="245"/>
      <c r="D23" s="245"/>
      <c r="E23" s="245"/>
      <c r="F23" s="245"/>
      <c r="G23" s="245"/>
      <c r="H23" s="245"/>
      <c r="I23" s="246"/>
      <c r="J23" s="131"/>
      <c r="K23" s="131"/>
      <c r="L23" s="131"/>
      <c r="M23" s="131"/>
    </row>
    <row r="24" spans="1:13" ht="14.25" customHeight="1" x14ac:dyDescent="0.25">
      <c r="A24" s="62" t="s">
        <v>112</v>
      </c>
      <c r="B24" s="236" t="s">
        <v>113</v>
      </c>
      <c r="C24" s="236"/>
      <c r="D24" s="236"/>
      <c r="E24" s="236"/>
      <c r="F24" s="236"/>
      <c r="G24" s="236"/>
      <c r="H24" s="236"/>
      <c r="I24" s="236"/>
    </row>
    <row r="25" spans="1:13" ht="15" customHeight="1" x14ac:dyDescent="0.25">
      <c r="A25" s="225" t="s">
        <v>11</v>
      </c>
      <c r="B25" s="235" t="s">
        <v>923</v>
      </c>
      <c r="C25" s="235"/>
      <c r="D25" s="235"/>
      <c r="E25" s="235"/>
      <c r="F25" s="235"/>
      <c r="G25" s="235"/>
      <c r="H25" s="235"/>
      <c r="I25" s="235"/>
      <c r="J25" s="64"/>
      <c r="K25" s="56"/>
      <c r="L25" s="56"/>
      <c r="M25" s="56"/>
    </row>
    <row r="26" spans="1:13" ht="15.75" customHeight="1" x14ac:dyDescent="0.25">
      <c r="A26" s="223" t="s">
        <v>25</v>
      </c>
      <c r="B26" s="235" t="s">
        <v>27</v>
      </c>
      <c r="C26" s="235"/>
      <c r="D26" s="235"/>
      <c r="E26" s="235"/>
      <c r="F26" s="235"/>
      <c r="G26" s="235"/>
      <c r="H26" s="235"/>
      <c r="I26" s="235"/>
      <c r="J26" s="65"/>
      <c r="K26" s="56"/>
      <c r="L26" s="56"/>
      <c r="M26" s="56"/>
    </row>
    <row r="27" spans="1:13" ht="15.75" customHeight="1" x14ac:dyDescent="0.25">
      <c r="A27" s="62" t="s">
        <v>26</v>
      </c>
      <c r="B27" s="236" t="s">
        <v>29</v>
      </c>
      <c r="C27" s="236"/>
      <c r="D27" s="236"/>
      <c r="E27" s="236"/>
      <c r="F27" s="236"/>
      <c r="G27" s="236"/>
      <c r="H27" s="236"/>
      <c r="I27" s="236"/>
      <c r="J27" s="65"/>
      <c r="K27" s="56"/>
      <c r="L27" s="56"/>
      <c r="M27" s="56"/>
    </row>
    <row r="28" spans="1:13" ht="15.75" customHeight="1" x14ac:dyDescent="0.25">
      <c r="A28" s="62" t="s">
        <v>28</v>
      </c>
      <c r="B28" s="236" t="s">
        <v>922</v>
      </c>
      <c r="C28" s="236"/>
      <c r="D28" s="236"/>
      <c r="E28" s="236"/>
      <c r="F28" s="236"/>
      <c r="G28" s="236"/>
      <c r="H28" s="236"/>
      <c r="I28" s="236"/>
      <c r="J28" s="64"/>
      <c r="K28" s="56"/>
      <c r="L28" s="56"/>
      <c r="M28" s="56"/>
    </row>
    <row r="29" spans="1:13" ht="31.5" customHeight="1" x14ac:dyDescent="0.25">
      <c r="A29" s="63" t="s">
        <v>30</v>
      </c>
      <c r="B29" s="236" t="s">
        <v>1065</v>
      </c>
      <c r="C29" s="236"/>
      <c r="D29" s="236"/>
      <c r="E29" s="236"/>
      <c r="F29" s="236"/>
      <c r="G29" s="236"/>
      <c r="H29" s="236"/>
      <c r="I29" s="236"/>
      <c r="J29" s="64"/>
      <c r="K29" s="51"/>
      <c r="L29" s="51"/>
      <c r="M29" s="51"/>
    </row>
    <row r="30" spans="1:13" ht="15.75" x14ac:dyDescent="0.25">
      <c r="A30" s="62" t="s">
        <v>31</v>
      </c>
      <c r="B30" s="238" t="s">
        <v>32</v>
      </c>
      <c r="C30" s="238"/>
      <c r="D30" s="238"/>
      <c r="E30" s="238"/>
      <c r="F30" s="238"/>
      <c r="G30" s="238"/>
      <c r="H30" s="238"/>
      <c r="I30" s="238"/>
      <c r="J30" s="51"/>
      <c r="K30" s="51"/>
      <c r="L30" s="51"/>
      <c r="M30" s="51"/>
    </row>
    <row r="31" spans="1:13" ht="31.5" customHeight="1" x14ac:dyDescent="0.25">
      <c r="A31" s="62" t="s">
        <v>33</v>
      </c>
      <c r="B31" s="236" t="s">
        <v>926</v>
      </c>
      <c r="C31" s="236"/>
      <c r="D31" s="236"/>
      <c r="E31" s="236"/>
      <c r="F31" s="236"/>
      <c r="G31" s="236"/>
      <c r="H31" s="236"/>
      <c r="I31" s="236"/>
      <c r="J31" s="66"/>
      <c r="K31" s="57"/>
      <c r="L31" s="57"/>
      <c r="M31" s="57"/>
    </row>
    <row r="32" spans="1:13" ht="33.75" customHeight="1" x14ac:dyDescent="0.25">
      <c r="A32" s="62" t="s">
        <v>34</v>
      </c>
      <c r="B32" s="236" t="s">
        <v>1066</v>
      </c>
      <c r="C32" s="236"/>
      <c r="D32" s="236"/>
      <c r="E32" s="236"/>
      <c r="F32" s="236"/>
      <c r="G32" s="236"/>
      <c r="H32" s="236"/>
      <c r="I32" s="236"/>
      <c r="J32" s="66"/>
      <c r="K32" s="56"/>
      <c r="L32" s="56"/>
      <c r="M32" s="56"/>
    </row>
    <row r="33" spans="1:13" ht="33" customHeight="1" x14ac:dyDescent="0.25">
      <c r="A33" s="224" t="s">
        <v>35</v>
      </c>
      <c r="B33" s="236" t="s">
        <v>924</v>
      </c>
      <c r="C33" s="236"/>
      <c r="D33" s="236"/>
      <c r="E33" s="236"/>
      <c r="F33" s="236"/>
      <c r="G33" s="236"/>
      <c r="H33" s="236"/>
      <c r="I33" s="236"/>
      <c r="J33" s="56"/>
      <c r="K33" s="56"/>
      <c r="L33" s="56"/>
      <c r="M33" s="56"/>
    </row>
    <row r="34" spans="1:13" ht="33" customHeight="1" x14ac:dyDescent="0.25">
      <c r="A34" s="224" t="s">
        <v>36</v>
      </c>
      <c r="B34" s="236" t="s">
        <v>925</v>
      </c>
      <c r="C34" s="236"/>
      <c r="D34" s="236"/>
      <c r="E34" s="236"/>
      <c r="F34" s="236"/>
      <c r="G34" s="236"/>
      <c r="H34" s="236"/>
      <c r="I34" s="236"/>
      <c r="J34" s="56"/>
      <c r="K34" s="56"/>
      <c r="L34" s="56"/>
      <c r="M34" s="56"/>
    </row>
    <row r="35" spans="1:13" ht="15.75" customHeight="1" x14ac:dyDescent="0.25">
      <c r="A35" s="224" t="s">
        <v>38</v>
      </c>
      <c r="B35" s="236" t="s">
        <v>37</v>
      </c>
      <c r="C35" s="236"/>
      <c r="D35" s="236"/>
      <c r="E35" s="236"/>
      <c r="F35" s="236"/>
      <c r="G35" s="236"/>
      <c r="H35" s="236"/>
      <c r="I35" s="236"/>
      <c r="J35" s="64"/>
      <c r="K35" s="64"/>
      <c r="L35" s="56"/>
      <c r="M35" s="56"/>
    </row>
    <row r="36" spans="1:13" ht="15.75" customHeight="1" x14ac:dyDescent="0.25">
      <c r="A36" s="224" t="s">
        <v>40</v>
      </c>
      <c r="B36" s="236" t="s">
        <v>1067</v>
      </c>
      <c r="C36" s="236"/>
      <c r="D36" s="236"/>
      <c r="E36" s="236"/>
      <c r="F36" s="236"/>
      <c r="G36" s="236"/>
      <c r="H36" s="236"/>
      <c r="I36" s="236"/>
      <c r="J36" s="64"/>
      <c r="K36" s="56"/>
      <c r="L36" s="56"/>
      <c r="M36" s="56"/>
    </row>
    <row r="37" spans="1:13" ht="15" customHeight="1" x14ac:dyDescent="0.25">
      <c r="A37" s="225" t="s">
        <v>42</v>
      </c>
      <c r="B37" s="235" t="s">
        <v>39</v>
      </c>
      <c r="C37" s="235"/>
      <c r="D37" s="235"/>
      <c r="E37" s="235"/>
      <c r="F37" s="235"/>
      <c r="G37" s="235"/>
      <c r="H37" s="235"/>
      <c r="I37" s="235"/>
      <c r="J37" s="56"/>
      <c r="K37" s="56"/>
      <c r="L37" s="56"/>
      <c r="M37" s="56"/>
    </row>
    <row r="38" spans="1:13" ht="15" customHeight="1" x14ac:dyDescent="0.25">
      <c r="A38" s="225" t="s">
        <v>43</v>
      </c>
      <c r="B38" s="235" t="s">
        <v>1068</v>
      </c>
      <c r="C38" s="235"/>
      <c r="D38" s="235"/>
      <c r="E38" s="235"/>
      <c r="F38" s="235"/>
      <c r="G38" s="235"/>
      <c r="H38" s="235"/>
      <c r="I38" s="235"/>
      <c r="J38" s="56"/>
      <c r="K38" s="56"/>
      <c r="L38" s="56"/>
      <c r="M38" s="56"/>
    </row>
    <row r="39" spans="1:13" ht="15" customHeight="1" x14ac:dyDescent="0.25">
      <c r="A39" s="225" t="s">
        <v>44</v>
      </c>
      <c r="B39" s="235" t="s">
        <v>41</v>
      </c>
      <c r="C39" s="235"/>
      <c r="D39" s="235"/>
      <c r="E39" s="235"/>
      <c r="F39" s="235"/>
      <c r="G39" s="235"/>
      <c r="H39" s="235"/>
      <c r="I39" s="235"/>
      <c r="J39" s="56"/>
      <c r="K39" s="56"/>
      <c r="L39" s="56"/>
      <c r="M39" s="56"/>
    </row>
    <row r="40" spans="1:13" ht="33" customHeight="1" x14ac:dyDescent="0.25">
      <c r="A40" s="225" t="s">
        <v>46</v>
      </c>
      <c r="B40" s="235" t="s">
        <v>81</v>
      </c>
      <c r="C40" s="235"/>
      <c r="D40" s="235"/>
      <c r="E40" s="235"/>
      <c r="F40" s="235"/>
      <c r="G40" s="235"/>
      <c r="H40" s="235"/>
      <c r="I40" s="235"/>
      <c r="J40" s="56"/>
      <c r="K40" s="56"/>
      <c r="L40" s="56"/>
      <c r="M40" s="56"/>
    </row>
    <row r="41" spans="1:13" ht="17.25" customHeight="1" x14ac:dyDescent="0.25">
      <c r="A41" s="226" t="s">
        <v>48</v>
      </c>
      <c r="B41" s="235" t="s">
        <v>80</v>
      </c>
      <c r="C41" s="235"/>
      <c r="D41" s="235"/>
      <c r="E41" s="235"/>
      <c r="F41" s="235"/>
      <c r="G41" s="235"/>
      <c r="H41" s="235"/>
      <c r="I41" s="235"/>
      <c r="J41" s="56"/>
      <c r="K41" s="56"/>
      <c r="L41" s="56"/>
      <c r="M41" s="56"/>
    </row>
    <row r="42" spans="1:13" ht="30" customHeight="1" x14ac:dyDescent="0.25">
      <c r="A42" s="227" t="s">
        <v>49</v>
      </c>
      <c r="B42" s="235" t="s">
        <v>45</v>
      </c>
      <c r="C42" s="235"/>
      <c r="D42" s="235"/>
      <c r="E42" s="235"/>
      <c r="F42" s="235"/>
      <c r="G42" s="235"/>
      <c r="H42" s="235"/>
      <c r="I42" s="235"/>
      <c r="J42" s="56"/>
      <c r="K42" s="56"/>
      <c r="L42" s="56"/>
      <c r="M42" s="56"/>
    </row>
    <row r="43" spans="1:13" ht="30" customHeight="1" x14ac:dyDescent="0.25">
      <c r="A43" s="225" t="s">
        <v>50</v>
      </c>
      <c r="B43" s="235" t="s">
        <v>47</v>
      </c>
      <c r="C43" s="235"/>
      <c r="D43" s="235"/>
      <c r="E43" s="235"/>
      <c r="F43" s="235"/>
      <c r="G43" s="235"/>
      <c r="H43" s="235"/>
      <c r="I43" s="235"/>
      <c r="J43" s="56"/>
      <c r="K43" s="56"/>
      <c r="L43" s="56"/>
      <c r="M43" s="56"/>
    </row>
    <row r="44" spans="1:13" ht="33" customHeight="1" x14ac:dyDescent="0.25">
      <c r="A44" s="225" t="s">
        <v>51</v>
      </c>
      <c r="B44" s="235" t="s">
        <v>1069</v>
      </c>
      <c r="C44" s="235"/>
      <c r="D44" s="235"/>
      <c r="E44" s="235"/>
      <c r="F44" s="235"/>
      <c r="G44" s="235"/>
      <c r="H44" s="235"/>
      <c r="I44" s="235"/>
      <c r="J44" s="56"/>
      <c r="K44" s="56"/>
      <c r="L44" s="56"/>
      <c r="M44" s="56"/>
    </row>
    <row r="45" spans="1:13" ht="29.25" customHeight="1" x14ac:dyDescent="0.25">
      <c r="A45" s="225" t="s">
        <v>53</v>
      </c>
      <c r="B45" s="237" t="s">
        <v>998</v>
      </c>
      <c r="C45" s="237"/>
      <c r="D45" s="237"/>
      <c r="E45" s="237"/>
      <c r="F45" s="237"/>
      <c r="G45" s="237"/>
      <c r="H45" s="237"/>
      <c r="I45" s="237"/>
      <c r="J45" s="56"/>
      <c r="K45" s="56"/>
      <c r="L45" s="56"/>
      <c r="M45" s="56"/>
    </row>
    <row r="46" spans="1:13" ht="30" customHeight="1" x14ac:dyDescent="0.25">
      <c r="A46" s="225" t="s">
        <v>54</v>
      </c>
      <c r="B46" s="235" t="s">
        <v>78</v>
      </c>
      <c r="C46" s="235"/>
      <c r="D46" s="235"/>
      <c r="E46" s="235"/>
      <c r="F46" s="235"/>
      <c r="G46" s="235"/>
      <c r="H46" s="235"/>
      <c r="I46" s="235"/>
      <c r="J46" s="56"/>
      <c r="K46" s="56"/>
      <c r="L46" s="56"/>
      <c r="M46" s="56"/>
    </row>
    <row r="47" spans="1:13" ht="30.75" customHeight="1" x14ac:dyDescent="0.25">
      <c r="A47" s="228" t="s">
        <v>55</v>
      </c>
      <c r="B47" s="243" t="s">
        <v>1070</v>
      </c>
      <c r="C47" s="243"/>
      <c r="D47" s="243"/>
      <c r="E47" s="243"/>
      <c r="F47" s="243"/>
      <c r="G47" s="243"/>
      <c r="H47" s="243"/>
      <c r="I47" s="243"/>
      <c r="J47" s="120"/>
      <c r="K47" s="120"/>
      <c r="L47" s="120"/>
      <c r="M47" s="120"/>
    </row>
    <row r="48" spans="1:13" ht="34.5" customHeight="1" x14ac:dyDescent="0.25">
      <c r="A48" s="225" t="s">
        <v>56</v>
      </c>
      <c r="B48" s="235" t="s">
        <v>999</v>
      </c>
      <c r="C48" s="235"/>
      <c r="D48" s="235"/>
      <c r="E48" s="235"/>
      <c r="F48" s="235"/>
      <c r="G48" s="235"/>
      <c r="H48" s="235"/>
      <c r="I48" s="235"/>
      <c r="J48" s="56"/>
      <c r="K48" s="56"/>
      <c r="L48" s="56"/>
      <c r="M48" s="56"/>
    </row>
    <row r="49" spans="1:13" ht="33" customHeight="1" x14ac:dyDescent="0.25">
      <c r="A49" s="225" t="s">
        <v>57</v>
      </c>
      <c r="B49" s="235" t="s">
        <v>1071</v>
      </c>
      <c r="C49" s="235"/>
      <c r="D49" s="235"/>
      <c r="E49" s="235"/>
      <c r="F49" s="235"/>
      <c r="G49" s="235"/>
      <c r="H49" s="235"/>
      <c r="I49" s="235"/>
      <c r="J49" s="56"/>
      <c r="K49" s="56"/>
      <c r="L49" s="56"/>
      <c r="M49" s="56"/>
    </row>
    <row r="50" spans="1:13" ht="29.25" customHeight="1" x14ac:dyDescent="0.25">
      <c r="A50" s="227" t="s">
        <v>58</v>
      </c>
      <c r="B50" s="235" t="s">
        <v>79</v>
      </c>
      <c r="C50" s="235"/>
      <c r="D50" s="235"/>
      <c r="E50" s="235"/>
      <c r="F50" s="235"/>
      <c r="G50" s="235"/>
      <c r="H50" s="235"/>
      <c r="I50" s="235"/>
      <c r="J50" s="56"/>
      <c r="K50" s="56"/>
      <c r="L50" s="56"/>
      <c r="M50" s="56"/>
    </row>
    <row r="51" spans="1:13" ht="30" customHeight="1" x14ac:dyDescent="0.25">
      <c r="A51" s="227" t="s">
        <v>60</v>
      </c>
      <c r="B51" s="235" t="s">
        <v>52</v>
      </c>
      <c r="C51" s="235"/>
      <c r="D51" s="235"/>
      <c r="E51" s="235"/>
      <c r="F51" s="235"/>
      <c r="G51" s="235"/>
      <c r="H51" s="235"/>
      <c r="I51" s="235"/>
      <c r="J51" s="56"/>
      <c r="K51" s="56"/>
      <c r="L51" s="56"/>
      <c r="M51" s="56"/>
    </row>
    <row r="52" spans="1:13" ht="30.75" customHeight="1" x14ac:dyDescent="0.25">
      <c r="A52" s="227" t="s">
        <v>61</v>
      </c>
      <c r="B52" s="235" t="s">
        <v>927</v>
      </c>
      <c r="C52" s="235"/>
      <c r="D52" s="235"/>
      <c r="E52" s="235"/>
      <c r="F52" s="235"/>
      <c r="G52" s="235"/>
      <c r="H52" s="235"/>
      <c r="I52" s="235"/>
      <c r="J52" s="56"/>
      <c r="K52" s="56"/>
      <c r="L52" s="56"/>
      <c r="M52" s="56"/>
    </row>
    <row r="53" spans="1:13" ht="30" customHeight="1" x14ac:dyDescent="0.25">
      <c r="A53" s="225" t="s">
        <v>63</v>
      </c>
      <c r="B53" s="235" t="s">
        <v>928</v>
      </c>
      <c r="C53" s="235"/>
      <c r="D53" s="235"/>
      <c r="E53" s="235"/>
      <c r="F53" s="235"/>
      <c r="G53" s="235"/>
      <c r="H53" s="235"/>
      <c r="I53" s="235"/>
      <c r="J53" s="56"/>
      <c r="K53" s="56"/>
      <c r="L53" s="56"/>
      <c r="M53" s="56"/>
    </row>
    <row r="54" spans="1:13" ht="30" customHeight="1" x14ac:dyDescent="0.25">
      <c r="A54" s="225" t="s">
        <v>65</v>
      </c>
      <c r="B54" s="235" t="s">
        <v>932</v>
      </c>
      <c r="C54" s="235"/>
      <c r="D54" s="235"/>
      <c r="E54" s="235"/>
      <c r="F54" s="235"/>
      <c r="G54" s="235"/>
      <c r="H54" s="235"/>
      <c r="I54" s="235"/>
      <c r="J54" s="56"/>
      <c r="K54" s="56"/>
      <c r="L54" s="56"/>
      <c r="M54" s="56"/>
    </row>
    <row r="55" spans="1:13" ht="29.25" customHeight="1" x14ac:dyDescent="0.25">
      <c r="A55" s="225" t="s">
        <v>66</v>
      </c>
      <c r="B55" s="235" t="s">
        <v>1072</v>
      </c>
      <c r="C55" s="235"/>
      <c r="D55" s="235"/>
      <c r="E55" s="235"/>
      <c r="F55" s="235"/>
      <c r="G55" s="235"/>
      <c r="H55" s="235"/>
      <c r="I55" s="235"/>
      <c r="J55" s="56"/>
      <c r="K55" s="56"/>
      <c r="L55" s="56"/>
      <c r="M55" s="56"/>
    </row>
    <row r="56" spans="1:13" ht="15" customHeight="1" x14ac:dyDescent="0.25">
      <c r="A56" s="225" t="s">
        <v>67</v>
      </c>
      <c r="B56" s="235" t="s">
        <v>929</v>
      </c>
      <c r="C56" s="235"/>
      <c r="D56" s="235"/>
      <c r="E56" s="235"/>
      <c r="F56" s="235"/>
      <c r="G56" s="235"/>
      <c r="H56" s="235"/>
      <c r="I56" s="235"/>
      <c r="J56" s="56"/>
      <c r="K56" s="56"/>
      <c r="L56" s="56"/>
      <c r="M56" s="56"/>
    </row>
    <row r="57" spans="1:13" ht="15" customHeight="1" x14ac:dyDescent="0.25">
      <c r="A57" s="225" t="s">
        <v>68</v>
      </c>
      <c r="B57" s="235" t="s">
        <v>930</v>
      </c>
      <c r="C57" s="235"/>
      <c r="D57" s="235"/>
      <c r="E57" s="235"/>
      <c r="F57" s="235"/>
      <c r="G57" s="235"/>
      <c r="H57" s="235"/>
      <c r="I57" s="235"/>
      <c r="J57" s="56"/>
      <c r="K57" s="56"/>
      <c r="L57" s="56"/>
      <c r="M57" s="56"/>
    </row>
    <row r="58" spans="1:13" ht="15" customHeight="1" x14ac:dyDescent="0.25">
      <c r="A58" s="225" t="s">
        <v>70</v>
      </c>
      <c r="B58" s="235" t="s">
        <v>931</v>
      </c>
      <c r="C58" s="235"/>
      <c r="D58" s="235"/>
      <c r="E58" s="235"/>
      <c r="F58" s="235"/>
      <c r="G58" s="235"/>
      <c r="H58" s="235"/>
      <c r="I58" s="235"/>
      <c r="J58" s="56"/>
      <c r="K58" s="56"/>
      <c r="L58" s="56"/>
      <c r="M58" s="56"/>
    </row>
    <row r="59" spans="1:13" ht="15" customHeight="1" x14ac:dyDescent="0.25">
      <c r="A59" s="225" t="s">
        <v>129</v>
      </c>
      <c r="B59" s="235" t="s">
        <v>59</v>
      </c>
      <c r="C59" s="235"/>
      <c r="D59" s="235"/>
      <c r="E59" s="235"/>
      <c r="F59" s="235"/>
      <c r="G59" s="235"/>
      <c r="H59" s="235"/>
      <c r="I59" s="235"/>
      <c r="J59" s="56"/>
      <c r="K59" s="56"/>
      <c r="L59" s="56"/>
      <c r="M59" s="56"/>
    </row>
    <row r="60" spans="1:13" ht="15" customHeight="1" x14ac:dyDescent="0.25">
      <c r="A60" s="225" t="s">
        <v>130</v>
      </c>
      <c r="B60" s="235" t="s">
        <v>1073</v>
      </c>
      <c r="C60" s="235"/>
      <c r="D60" s="235"/>
      <c r="E60" s="235"/>
      <c r="F60" s="235"/>
      <c r="G60" s="235"/>
      <c r="H60" s="235"/>
      <c r="I60" s="235"/>
      <c r="J60" s="56"/>
      <c r="K60" s="56"/>
      <c r="L60" s="56"/>
      <c r="M60" s="56"/>
    </row>
    <row r="61" spans="1:13" ht="15" customHeight="1" x14ac:dyDescent="0.25">
      <c r="A61" s="225" t="s">
        <v>1052</v>
      </c>
      <c r="B61" s="235" t="s">
        <v>69</v>
      </c>
      <c r="C61" s="235"/>
      <c r="D61" s="235"/>
      <c r="E61" s="235"/>
      <c r="F61" s="235"/>
      <c r="G61" s="235"/>
      <c r="H61" s="235"/>
      <c r="I61" s="235"/>
      <c r="J61" s="56"/>
      <c r="K61" s="56"/>
      <c r="L61" s="56"/>
      <c r="M61" s="56"/>
    </row>
    <row r="62" spans="1:13" ht="15" customHeight="1" x14ac:dyDescent="0.25">
      <c r="A62" s="225" t="s">
        <v>1053</v>
      </c>
      <c r="B62" s="235" t="s">
        <v>62</v>
      </c>
      <c r="C62" s="235"/>
      <c r="D62" s="235"/>
      <c r="E62" s="235"/>
      <c r="F62" s="235"/>
      <c r="G62" s="235"/>
      <c r="H62" s="235"/>
      <c r="I62" s="235"/>
      <c r="J62" s="56"/>
      <c r="K62" s="56"/>
      <c r="L62" s="56"/>
      <c r="M62" s="56"/>
    </row>
    <row r="63" spans="1:13" ht="15" customHeight="1" x14ac:dyDescent="0.25">
      <c r="A63" s="225" t="s">
        <v>1054</v>
      </c>
      <c r="B63" s="235" t="s">
        <v>1074</v>
      </c>
      <c r="C63" s="235"/>
      <c r="D63" s="235"/>
      <c r="E63" s="235"/>
      <c r="F63" s="235"/>
      <c r="G63" s="235"/>
      <c r="H63" s="235"/>
      <c r="I63" s="235"/>
      <c r="J63" s="56"/>
      <c r="K63" s="56"/>
      <c r="L63" s="56"/>
      <c r="M63" s="56"/>
    </row>
    <row r="64" spans="1:13" ht="15" customHeight="1" x14ac:dyDescent="0.25">
      <c r="A64" s="225" t="s">
        <v>1055</v>
      </c>
      <c r="B64" s="235" t="s">
        <v>64</v>
      </c>
      <c r="C64" s="235"/>
      <c r="D64" s="235"/>
      <c r="E64" s="235"/>
      <c r="F64" s="235"/>
      <c r="G64" s="235"/>
      <c r="H64" s="235"/>
      <c r="I64" s="235"/>
      <c r="J64" s="58"/>
      <c r="K64" s="58"/>
      <c r="L64" s="58"/>
      <c r="M64" s="58"/>
    </row>
    <row r="65" spans="1:13" ht="15" customHeight="1" x14ac:dyDescent="0.25">
      <c r="A65" s="225" t="s">
        <v>1056</v>
      </c>
      <c r="B65" s="235" t="s">
        <v>1075</v>
      </c>
      <c r="C65" s="235"/>
      <c r="D65" s="235"/>
      <c r="E65" s="235"/>
      <c r="F65" s="235"/>
      <c r="G65" s="235"/>
      <c r="H65" s="235"/>
      <c r="I65" s="235"/>
      <c r="J65" s="58"/>
      <c r="K65" s="58"/>
      <c r="L65" s="58"/>
      <c r="M65" s="58"/>
    </row>
    <row r="66" spans="1:13" ht="15" customHeight="1" x14ac:dyDescent="0.25">
      <c r="A66" s="225" t="s">
        <v>1057</v>
      </c>
      <c r="B66" s="235" t="s">
        <v>798</v>
      </c>
      <c r="C66" s="235"/>
      <c r="D66" s="235"/>
      <c r="E66" s="235"/>
      <c r="F66" s="235"/>
      <c r="G66" s="235"/>
      <c r="H66" s="235"/>
      <c r="I66" s="235"/>
      <c r="J66" s="56"/>
      <c r="K66" s="56"/>
      <c r="L66" s="56"/>
      <c r="M66" s="56"/>
    </row>
    <row r="67" spans="1:13" ht="15" customHeight="1" x14ac:dyDescent="0.25">
      <c r="A67" s="225" t="s">
        <v>1058</v>
      </c>
      <c r="B67" s="235" t="s">
        <v>797</v>
      </c>
      <c r="C67" s="235"/>
      <c r="D67" s="235"/>
      <c r="E67" s="235"/>
      <c r="F67" s="235"/>
      <c r="G67" s="235"/>
      <c r="H67" s="235"/>
      <c r="I67" s="235"/>
      <c r="J67" s="56"/>
      <c r="K67" s="56"/>
      <c r="L67" s="56"/>
      <c r="M67" s="56"/>
    </row>
    <row r="68" spans="1:13" ht="15" customHeight="1" x14ac:dyDescent="0.25">
      <c r="A68" s="226" t="s">
        <v>1059</v>
      </c>
      <c r="B68" s="247" t="s">
        <v>796</v>
      </c>
      <c r="C68" s="248"/>
      <c r="D68" s="248"/>
      <c r="E68" s="248"/>
      <c r="F68" s="248"/>
      <c r="G68" s="248"/>
      <c r="H68" s="248"/>
      <c r="I68" s="249"/>
      <c r="J68" s="56"/>
      <c r="K68" s="56"/>
      <c r="L68" s="56"/>
      <c r="M68" s="56"/>
    </row>
    <row r="69" spans="1:13" ht="15" customHeight="1" x14ac:dyDescent="0.25">
      <c r="A69" s="225" t="s">
        <v>1060</v>
      </c>
      <c r="B69" s="235" t="s">
        <v>795</v>
      </c>
      <c r="C69" s="235"/>
      <c r="D69" s="235"/>
      <c r="E69" s="235"/>
      <c r="F69" s="235"/>
      <c r="G69" s="235"/>
      <c r="H69" s="235"/>
      <c r="I69" s="235"/>
      <c r="J69" s="56"/>
      <c r="K69" s="56"/>
      <c r="L69" s="56"/>
      <c r="M69" s="56"/>
    </row>
    <row r="70" spans="1:13" ht="15.75" x14ac:dyDescent="0.25">
      <c r="A70" s="225" t="s">
        <v>1061</v>
      </c>
      <c r="B70" s="233" t="s">
        <v>794</v>
      </c>
      <c r="C70" s="234"/>
      <c r="D70" s="234"/>
      <c r="E70" s="234"/>
      <c r="F70" s="234"/>
      <c r="G70" s="234"/>
      <c r="H70" s="234"/>
      <c r="I70" s="234"/>
    </row>
    <row r="71" spans="1:13" ht="15.75" x14ac:dyDescent="0.25">
      <c r="A71" s="225" t="s">
        <v>1062</v>
      </c>
      <c r="B71" s="233" t="s">
        <v>131</v>
      </c>
      <c r="C71" s="234"/>
      <c r="D71" s="234"/>
      <c r="E71" s="234"/>
      <c r="F71" s="234"/>
      <c r="G71" s="234"/>
      <c r="H71" s="234"/>
      <c r="I71" s="234"/>
    </row>
    <row r="72" spans="1:13" ht="15.75" x14ac:dyDescent="0.25">
      <c r="A72" s="225" t="s">
        <v>1063</v>
      </c>
      <c r="B72" s="233" t="s">
        <v>793</v>
      </c>
      <c r="C72" s="234"/>
      <c r="D72" s="234"/>
      <c r="E72" s="234"/>
      <c r="F72" s="234"/>
      <c r="G72" s="234"/>
      <c r="H72" s="234"/>
      <c r="I72" s="234"/>
    </row>
    <row r="73" spans="1:13" ht="15.75" x14ac:dyDescent="0.25">
      <c r="A73" s="225" t="s">
        <v>1064</v>
      </c>
      <c r="B73" s="233" t="s">
        <v>792</v>
      </c>
      <c r="C73" s="234"/>
      <c r="D73" s="234"/>
      <c r="E73" s="234"/>
      <c r="F73" s="234"/>
      <c r="G73" s="234"/>
      <c r="H73" s="234"/>
      <c r="I73" s="234"/>
    </row>
    <row r="76" spans="1:13" ht="15.75" x14ac:dyDescent="0.25">
      <c r="A76" s="149"/>
      <c r="B76" s="149"/>
      <c r="C76" s="149"/>
      <c r="D76" s="149"/>
      <c r="E76" s="153"/>
      <c r="I76" s="153"/>
    </row>
    <row r="77" spans="1:13" x14ac:dyDescent="0.25">
      <c r="A77" s="30"/>
      <c r="B77" s="150"/>
      <c r="C77" s="30"/>
      <c r="D77" s="30"/>
      <c r="E77" s="30"/>
    </row>
    <row r="78" spans="1:13" x14ac:dyDescent="0.25">
      <c r="A78" s="30"/>
      <c r="B78" s="151"/>
      <c r="C78" s="30"/>
      <c r="D78" s="30"/>
      <c r="E78" s="152"/>
      <c r="I78" s="152"/>
    </row>
    <row r="79" spans="1:13" x14ac:dyDescent="0.25">
      <c r="A79" s="9"/>
      <c r="B79" s="9"/>
      <c r="C79" s="9"/>
      <c r="D79" s="9"/>
      <c r="E79" s="9"/>
    </row>
    <row r="80" spans="1:13" x14ac:dyDescent="0.25">
      <c r="A80" s="231"/>
      <c r="B80" s="231"/>
      <c r="C80" s="9"/>
      <c r="D80" s="9"/>
      <c r="E80" s="9"/>
    </row>
    <row r="81" spans="1:5" x14ac:dyDescent="0.25">
      <c r="A81" s="199"/>
      <c r="B81" s="200"/>
      <c r="C81" s="198"/>
      <c r="D81" s="9"/>
      <c r="E81" s="9"/>
    </row>
    <row r="82" spans="1:5" x14ac:dyDescent="0.25">
      <c r="A82" s="154"/>
      <c r="B82" s="9"/>
      <c r="C82" s="31"/>
      <c r="D82" s="31"/>
      <c r="E82" s="9"/>
    </row>
    <row r="83" spans="1:5" x14ac:dyDescent="0.25">
      <c r="A83" s="199"/>
      <c r="B83" s="199"/>
      <c r="C83" s="31"/>
      <c r="D83" s="31"/>
      <c r="E83" s="9"/>
    </row>
  </sheetData>
  <customSheetViews>
    <customSheetView guid="{3046F990-4623-45D5-BDDC-01BD5999DDBC}" showPageBreaks="1" printArea="1" topLeftCell="A19">
      <selection activeCell="B53" sqref="B53:I53"/>
      <rowBreaks count="1" manualBreakCount="1">
        <brk id="73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&amp;C&amp;P</oddFooter>
      </headerFooter>
    </customSheetView>
    <customSheetView guid="{FC502735-BE91-49EC-9614-36ECAE88D000}" showPageBreaks="1" printArea="1" topLeftCell="A16">
      <selection activeCell="N35" sqref="N35"/>
      <rowBreaks count="1" manualBreakCount="1">
        <brk id="74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&amp;C&amp;P</oddFooter>
      </headerFooter>
    </customSheetView>
    <customSheetView guid="{2CF5EF93-C226-48EA-959E-36D142677DAA}" showPageBreaks="1" printArea="1" view="pageLayout" topLeftCell="A13">
      <selection activeCell="B63" sqref="B63:I63"/>
      <rowBreaks count="1" manualBreakCount="1">
        <brk id="73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&amp;LVManotp3_040417_VADCmaks&amp;CPage &amp;P</oddFooter>
      </headerFooter>
    </customSheetView>
  </customSheetViews>
  <mergeCells count="72">
    <mergeCell ref="B23:I23"/>
    <mergeCell ref="B47:I47"/>
    <mergeCell ref="B68:I68"/>
    <mergeCell ref="B69:I69"/>
    <mergeCell ref="B63:I63"/>
    <mergeCell ref="B64:I64"/>
    <mergeCell ref="B65:I65"/>
    <mergeCell ref="B66:I66"/>
    <mergeCell ref="B67:I67"/>
    <mergeCell ref="B58:I58"/>
    <mergeCell ref="B59:I59"/>
    <mergeCell ref="B60:I60"/>
    <mergeCell ref="B61:I61"/>
    <mergeCell ref="B62:I62"/>
    <mergeCell ref="B42:I42"/>
    <mergeCell ref="B39:I39"/>
    <mergeCell ref="B18:I18"/>
    <mergeCell ref="B19:I19"/>
    <mergeCell ref="B20:I20"/>
    <mergeCell ref="B11:I11"/>
    <mergeCell ref="B12:I12"/>
    <mergeCell ref="B13:I13"/>
    <mergeCell ref="B14:I14"/>
    <mergeCell ref="B15:I15"/>
    <mergeCell ref="B30:I30"/>
    <mergeCell ref="A3:I3"/>
    <mergeCell ref="A4:I4"/>
    <mergeCell ref="A5:I5"/>
    <mergeCell ref="A7:C7"/>
    <mergeCell ref="B25:I25"/>
    <mergeCell ref="B26:I26"/>
    <mergeCell ref="B27:I27"/>
    <mergeCell ref="B28:I28"/>
    <mergeCell ref="B21:I21"/>
    <mergeCell ref="B22:I22"/>
    <mergeCell ref="B24:I24"/>
    <mergeCell ref="B9:I9"/>
    <mergeCell ref="B10:I10"/>
    <mergeCell ref="B16:I16"/>
    <mergeCell ref="B17:I17"/>
    <mergeCell ref="B38:I38"/>
    <mergeCell ref="B73:I73"/>
    <mergeCell ref="B45:I45"/>
    <mergeCell ref="B46:I46"/>
    <mergeCell ref="B53:I53"/>
    <mergeCell ref="B54:I54"/>
    <mergeCell ref="B55:I55"/>
    <mergeCell ref="B48:I48"/>
    <mergeCell ref="B49:I49"/>
    <mergeCell ref="B50:I50"/>
    <mergeCell ref="B51:I51"/>
    <mergeCell ref="B52:I52"/>
    <mergeCell ref="B56:I56"/>
    <mergeCell ref="B57:I57"/>
    <mergeCell ref="B40:I40"/>
    <mergeCell ref="B41:I41"/>
    <mergeCell ref="A80:B80"/>
    <mergeCell ref="H1:I1"/>
    <mergeCell ref="F2:I2"/>
    <mergeCell ref="B70:I70"/>
    <mergeCell ref="B71:I71"/>
    <mergeCell ref="B72:I72"/>
    <mergeCell ref="B43:I43"/>
    <mergeCell ref="B44:I44"/>
    <mergeCell ref="B33:I33"/>
    <mergeCell ref="B29:I29"/>
    <mergeCell ref="B35:I35"/>
    <mergeCell ref="B34:I34"/>
    <mergeCell ref="B36:I36"/>
    <mergeCell ref="B31:I31"/>
    <mergeCell ref="B32:I32"/>
    <mergeCell ref="B37:I37"/>
  </mergeCells>
  <pageMargins left="0.70866141732283472" right="0.70866141732283472" top="0.74803149606299213" bottom="0.74803149606299213" header="0.31496062992125984" footer="0.31496062992125984"/>
  <pageSetup paperSize="9" orientation="portrait" r:id="rId4"/>
  <headerFooter>
    <oddFooter>&amp;LVManotp3_160517_VADCmaks&amp;CPage &amp;P</oddFooter>
  </headerFooter>
  <rowBreaks count="1" manualBreakCount="1">
    <brk id="7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view="pageBreakPreview" topLeftCell="A19" zoomScale="60" zoomScaleNormal="100" workbookViewId="0">
      <selection activeCell="C44" sqref="C44"/>
    </sheetView>
  </sheetViews>
  <sheetFormatPr defaultRowHeight="15" x14ac:dyDescent="0.25"/>
  <cols>
    <col min="1" max="1" width="14.28515625" customWidth="1"/>
    <col min="2" max="2" width="86.7109375" customWidth="1"/>
    <col min="3" max="3" width="13.85546875" customWidth="1"/>
    <col min="4" max="4" width="20.140625" customWidth="1"/>
  </cols>
  <sheetData>
    <row r="1" spans="1:4" ht="18.75" x14ac:dyDescent="0.3">
      <c r="A1" s="4"/>
      <c r="B1" s="5"/>
      <c r="C1" s="35"/>
      <c r="D1" s="5"/>
    </row>
    <row r="2" spans="1:4" ht="15.75" x14ac:dyDescent="0.25">
      <c r="A2" s="256" t="s">
        <v>307</v>
      </c>
      <c r="B2" s="256"/>
      <c r="C2" s="256"/>
      <c r="D2" s="256"/>
    </row>
    <row r="3" spans="1:4" x14ac:dyDescent="0.25">
      <c r="A3" s="4"/>
      <c r="B3" s="4"/>
      <c r="C3" s="273"/>
      <c r="D3" s="274"/>
    </row>
    <row r="4" spans="1:4" ht="15.75" x14ac:dyDescent="0.25">
      <c r="A4" s="186" t="s">
        <v>723</v>
      </c>
      <c r="B4" s="32"/>
      <c r="C4" s="32"/>
      <c r="D4" s="32"/>
    </row>
    <row r="5" spans="1:4" x14ac:dyDescent="0.25">
      <c r="A5" s="4"/>
      <c r="B5" s="33"/>
      <c r="C5" s="33"/>
      <c r="D5" s="9"/>
    </row>
    <row r="6" spans="1:4" ht="30" customHeight="1" x14ac:dyDescent="0.25">
      <c r="A6" s="277" t="s">
        <v>740</v>
      </c>
      <c r="B6" s="277"/>
      <c r="C6" s="277"/>
      <c r="D6" s="277"/>
    </row>
    <row r="7" spans="1:4" x14ac:dyDescent="0.25">
      <c r="A7" s="136"/>
      <c r="B7" s="34"/>
      <c r="C7" s="34"/>
      <c r="D7" s="9"/>
    </row>
    <row r="8" spans="1:4" ht="15" customHeight="1" x14ac:dyDescent="0.25">
      <c r="A8" s="270" t="s">
        <v>749</v>
      </c>
      <c r="B8" s="271"/>
      <c r="C8" s="34"/>
      <c r="D8" s="9"/>
    </row>
    <row r="9" spans="1:4" s="181" customFormat="1" ht="15" customHeight="1" x14ac:dyDescent="0.25">
      <c r="A9" s="183"/>
      <c r="B9" s="184"/>
      <c r="C9" s="34"/>
      <c r="D9" s="9"/>
    </row>
    <row r="10" spans="1:4" ht="15.75" x14ac:dyDescent="0.25">
      <c r="A10" s="251" t="s">
        <v>741</v>
      </c>
      <c r="B10" s="251"/>
      <c r="C10" s="8"/>
      <c r="D10" s="9"/>
    </row>
    <row r="11" spans="1:4" ht="90.75" customHeight="1" x14ac:dyDescent="0.25">
      <c r="A11" s="12" t="s">
        <v>0</v>
      </c>
      <c r="B11" s="12" t="s">
        <v>1</v>
      </c>
      <c r="C11" s="12" t="s">
        <v>120</v>
      </c>
      <c r="D11" s="12" t="s">
        <v>18</v>
      </c>
    </row>
    <row r="12" spans="1:4" x14ac:dyDescent="0.25">
      <c r="A12" s="13">
        <v>1</v>
      </c>
      <c r="B12" s="14">
        <v>2</v>
      </c>
      <c r="C12" s="13">
        <v>3</v>
      </c>
      <c r="D12" s="13">
        <v>4</v>
      </c>
    </row>
    <row r="13" spans="1:4" x14ac:dyDescent="0.25">
      <c r="A13" s="15"/>
      <c r="B13" s="22" t="s">
        <v>13</v>
      </c>
      <c r="C13" s="17"/>
      <c r="D13" s="17"/>
    </row>
    <row r="14" spans="1:4" x14ac:dyDescent="0.25">
      <c r="A14" s="37">
        <v>1100</v>
      </c>
      <c r="B14" s="16" t="s">
        <v>14</v>
      </c>
      <c r="C14" s="38"/>
      <c r="D14" s="38"/>
    </row>
    <row r="15" spans="1:4" ht="165" customHeight="1" x14ac:dyDescent="0.25">
      <c r="A15" s="18"/>
      <c r="B15" s="157" t="s">
        <v>1013</v>
      </c>
      <c r="C15" s="55">
        <f>16.38+4.68+13.5</f>
        <v>34.56</v>
      </c>
      <c r="D15" s="55">
        <f>C15*50</f>
        <v>1728</v>
      </c>
    </row>
    <row r="16" spans="1:4" ht="29.25" customHeight="1" x14ac:dyDescent="0.25">
      <c r="A16" s="85">
        <v>1200</v>
      </c>
      <c r="B16" s="158" t="s">
        <v>1014</v>
      </c>
      <c r="C16" s="55">
        <f>ROUND(16.59*0.2359,2)</f>
        <v>3.91</v>
      </c>
      <c r="D16" s="55">
        <f>C16*C43</f>
        <v>43.010000000000005</v>
      </c>
    </row>
    <row r="17" spans="1:4" ht="20.25" customHeight="1" x14ac:dyDescent="0.25">
      <c r="A17" s="85">
        <v>2341</v>
      </c>
      <c r="B17" s="161" t="s">
        <v>77</v>
      </c>
      <c r="C17" s="19"/>
      <c r="D17" s="19"/>
    </row>
    <row r="18" spans="1:4" ht="19.5" customHeight="1" x14ac:dyDescent="0.25">
      <c r="A18" s="18"/>
      <c r="B18" s="158" t="s">
        <v>114</v>
      </c>
      <c r="C18" s="55">
        <v>0.45</v>
      </c>
      <c r="D18" s="55">
        <f>C18*C43</f>
        <v>4.95</v>
      </c>
    </row>
    <row r="19" spans="1:4" x14ac:dyDescent="0.25">
      <c r="A19" s="68"/>
      <c r="B19" s="159" t="s">
        <v>2</v>
      </c>
      <c r="C19" s="71">
        <f>SUM(C14:C18)</f>
        <v>38.92</v>
      </c>
      <c r="D19" s="71">
        <f>SUM(D14:D18)</f>
        <v>1775.96</v>
      </c>
    </row>
    <row r="20" spans="1:4" x14ac:dyDescent="0.25">
      <c r="A20" s="18"/>
      <c r="B20" s="160" t="s">
        <v>20</v>
      </c>
      <c r="C20" s="19"/>
      <c r="D20" s="19"/>
    </row>
    <row r="21" spans="1:4" x14ac:dyDescent="0.25">
      <c r="A21" s="85">
        <v>2219</v>
      </c>
      <c r="B21" s="158" t="s">
        <v>3</v>
      </c>
      <c r="C21" s="19"/>
      <c r="D21" s="19"/>
    </row>
    <row r="22" spans="1:4" ht="61.5" customHeight="1" x14ac:dyDescent="0.25">
      <c r="A22" s="18"/>
      <c r="B22" s="158" t="s">
        <v>265</v>
      </c>
      <c r="C22" s="55">
        <f>1.4/10</f>
        <v>0.13999999999999999</v>
      </c>
      <c r="D22" s="55">
        <f>C22*C43</f>
        <v>1.5399999999999998</v>
      </c>
    </row>
    <row r="23" spans="1:4" x14ac:dyDescent="0.25">
      <c r="A23" s="85">
        <v>2221</v>
      </c>
      <c r="B23" s="158" t="s">
        <v>4</v>
      </c>
      <c r="C23" s="19"/>
      <c r="D23" s="54"/>
    </row>
    <row r="24" spans="1:4" ht="62.25" customHeight="1" x14ac:dyDescent="0.25">
      <c r="A24" s="18"/>
      <c r="B24" s="158" t="s">
        <v>266</v>
      </c>
      <c r="C24" s="55">
        <f>ROUND(3.24/10,2)</f>
        <v>0.32</v>
      </c>
      <c r="D24" s="55">
        <f>C24*C43</f>
        <v>3.52</v>
      </c>
    </row>
    <row r="25" spans="1:4" ht="13.5" customHeight="1" x14ac:dyDescent="0.25">
      <c r="A25" s="85">
        <v>2222</v>
      </c>
      <c r="B25" s="158" t="s">
        <v>5</v>
      </c>
      <c r="C25" s="36"/>
      <c r="D25" s="36"/>
    </row>
    <row r="26" spans="1:4" ht="61.5" customHeight="1" x14ac:dyDescent="0.25">
      <c r="A26" s="18"/>
      <c r="B26" s="158" t="s">
        <v>267</v>
      </c>
      <c r="C26" s="55">
        <f>0.2/10</f>
        <v>0.02</v>
      </c>
      <c r="D26" s="55">
        <f>C26*C43</f>
        <v>0.22</v>
      </c>
    </row>
    <row r="27" spans="1:4" x14ac:dyDescent="0.25">
      <c r="A27" s="85">
        <v>2223</v>
      </c>
      <c r="B27" s="161" t="s">
        <v>6</v>
      </c>
      <c r="C27" s="19"/>
      <c r="D27" s="19"/>
    </row>
    <row r="28" spans="1:4" ht="62.25" customHeight="1" x14ac:dyDescent="0.25">
      <c r="A28" s="18"/>
      <c r="B28" s="158" t="s">
        <v>268</v>
      </c>
      <c r="C28" s="55">
        <f>ROUND(6.28/10,2)</f>
        <v>0.63</v>
      </c>
      <c r="D28" s="55">
        <f>C28*C43</f>
        <v>6.93</v>
      </c>
    </row>
    <row r="29" spans="1:4" x14ac:dyDescent="0.25">
      <c r="A29" s="86">
        <v>2231</v>
      </c>
      <c r="B29" s="158" t="s">
        <v>22</v>
      </c>
      <c r="C29" s="36"/>
      <c r="D29" s="19"/>
    </row>
    <row r="30" spans="1:4" ht="77.25" customHeight="1" x14ac:dyDescent="0.25">
      <c r="A30" s="45"/>
      <c r="B30" s="158" t="s">
        <v>269</v>
      </c>
      <c r="C30" s="55">
        <f>ROUND(0.68/10,2)</f>
        <v>7.0000000000000007E-2</v>
      </c>
      <c r="D30" s="55">
        <f>C30*C43</f>
        <v>0.77</v>
      </c>
    </row>
    <row r="31" spans="1:4" x14ac:dyDescent="0.25">
      <c r="A31" s="85">
        <v>2244</v>
      </c>
      <c r="B31" s="158" t="s">
        <v>24</v>
      </c>
      <c r="C31" s="19"/>
      <c r="D31" s="19"/>
    </row>
    <row r="32" spans="1:4" ht="63" customHeight="1" x14ac:dyDescent="0.25">
      <c r="A32" s="119"/>
      <c r="B32" s="158" t="s">
        <v>270</v>
      </c>
      <c r="C32" s="55">
        <f>ROUND(3.28/10,2)</f>
        <v>0.33</v>
      </c>
      <c r="D32" s="55">
        <f>C32*C43</f>
        <v>3.6300000000000003</v>
      </c>
    </row>
    <row r="33" spans="1:4" x14ac:dyDescent="0.25">
      <c r="A33" s="85">
        <v>2311</v>
      </c>
      <c r="B33" s="158" t="s">
        <v>9</v>
      </c>
      <c r="C33" s="36"/>
      <c r="D33" s="19"/>
    </row>
    <row r="34" spans="1:4" ht="63" customHeight="1" x14ac:dyDescent="0.25">
      <c r="A34" s="18"/>
      <c r="B34" s="158" t="s">
        <v>271</v>
      </c>
      <c r="C34" s="55">
        <f>ROUND(0.36/10,2)</f>
        <v>0.04</v>
      </c>
      <c r="D34" s="55">
        <f>C34*C43</f>
        <v>0.44</v>
      </c>
    </row>
    <row r="35" spans="1:4" x14ac:dyDescent="0.25">
      <c r="A35" s="85">
        <v>2350</v>
      </c>
      <c r="B35" s="158" t="s">
        <v>21</v>
      </c>
      <c r="C35" s="36"/>
      <c r="D35" s="19"/>
    </row>
    <row r="36" spans="1:4" ht="65.25" customHeight="1" x14ac:dyDescent="0.25">
      <c r="A36" s="18"/>
      <c r="B36" s="158" t="s">
        <v>272</v>
      </c>
      <c r="C36" s="55">
        <f>ROUND(1.44/10,2)</f>
        <v>0.14000000000000001</v>
      </c>
      <c r="D36" s="55">
        <f>C36*C43</f>
        <v>1.54</v>
      </c>
    </row>
    <row r="37" spans="1:4" x14ac:dyDescent="0.25">
      <c r="A37" s="68"/>
      <c r="B37" s="72" t="s">
        <v>10</v>
      </c>
      <c r="C37" s="71">
        <f>ROUND(C22+C24+C26+C28+C30+C32+C34+C36,2)</f>
        <v>1.69</v>
      </c>
      <c r="D37" s="71">
        <f>SUM(D21:D36)</f>
        <v>18.59</v>
      </c>
    </row>
    <row r="38" spans="1:4" x14ac:dyDescent="0.25">
      <c r="A38" s="23"/>
      <c r="B38" s="24" t="s">
        <v>116</v>
      </c>
      <c r="C38" s="52">
        <f>C37+C19</f>
        <v>40.61</v>
      </c>
      <c r="D38" s="52">
        <f>C38*C43</f>
        <v>446.71</v>
      </c>
    </row>
    <row r="39" spans="1:4" x14ac:dyDescent="0.25">
      <c r="A39" s="23"/>
      <c r="B39" s="24" t="s">
        <v>117</v>
      </c>
      <c r="C39" s="52">
        <f>ROUND(C38*0.21,2)</f>
        <v>8.5299999999999994</v>
      </c>
      <c r="D39" s="52">
        <f>C39*C43</f>
        <v>93.83</v>
      </c>
    </row>
    <row r="40" spans="1:4" ht="19.5" customHeight="1" x14ac:dyDescent="0.25">
      <c r="A40" s="23"/>
      <c r="B40" s="169" t="s">
        <v>118</v>
      </c>
      <c r="C40" s="52">
        <f>C38+C39</f>
        <v>49.14</v>
      </c>
      <c r="D40" s="52">
        <f>D38+D39</f>
        <v>540.54</v>
      </c>
    </row>
    <row r="41" spans="1:4" x14ac:dyDescent="0.25">
      <c r="A41" s="25"/>
      <c r="B41" s="26"/>
      <c r="C41" s="27"/>
      <c r="D41" s="27"/>
    </row>
    <row r="42" spans="1:4" x14ac:dyDescent="0.25">
      <c r="A42" s="26"/>
      <c r="B42" s="28"/>
      <c r="C42" s="28"/>
      <c r="D42" s="9"/>
    </row>
    <row r="43" spans="1:4" ht="15" customHeight="1" x14ac:dyDescent="0.25">
      <c r="A43" s="252" t="s">
        <v>16</v>
      </c>
      <c r="B43" s="253"/>
      <c r="C43" s="138">
        <v>11</v>
      </c>
      <c r="D43" s="29"/>
    </row>
    <row r="44" spans="1:4" ht="35.25" customHeight="1" x14ac:dyDescent="0.25">
      <c r="A44" s="254" t="s">
        <v>23</v>
      </c>
      <c r="B44" s="255"/>
      <c r="C44" s="139">
        <f>D40/C43</f>
        <v>49.139999999999993</v>
      </c>
      <c r="D44" s="29"/>
    </row>
    <row r="45" spans="1:4" x14ac:dyDescent="0.25">
      <c r="A45" s="30"/>
      <c r="B45" s="30"/>
      <c r="C45" s="30"/>
      <c r="D45" s="30"/>
    </row>
    <row r="46" spans="1:4" x14ac:dyDescent="0.25">
      <c r="A46" s="30"/>
      <c r="B46" s="30"/>
      <c r="C46" s="30"/>
      <c r="D46" s="152"/>
    </row>
    <row r="47" spans="1:4" x14ac:dyDescent="0.25">
      <c r="A47" s="30"/>
      <c r="B47" s="30"/>
      <c r="C47" s="30"/>
      <c r="D47" s="152"/>
    </row>
    <row r="48" spans="1:4" x14ac:dyDescent="0.25">
      <c r="A48" s="30"/>
      <c r="B48" s="30"/>
      <c r="C48" s="30"/>
      <c r="D48" s="152"/>
    </row>
    <row r="49" spans="1:4" x14ac:dyDescent="0.25">
      <c r="A49" s="30"/>
      <c r="B49" s="30"/>
      <c r="C49" s="30"/>
      <c r="D49" s="30"/>
    </row>
    <row r="50" spans="1:4" x14ac:dyDescent="0.25">
      <c r="A50" s="231"/>
      <c r="B50" s="231"/>
      <c r="C50" s="9"/>
      <c r="D50" s="9"/>
    </row>
    <row r="51" spans="1:4" x14ac:dyDescent="0.25">
      <c r="A51" s="250"/>
      <c r="B51" s="231"/>
      <c r="C51" s="9"/>
      <c r="D51" s="9"/>
    </row>
    <row r="52" spans="1:4" x14ac:dyDescent="0.25">
      <c r="A52" s="154"/>
      <c r="B52" s="9"/>
      <c r="C52" s="31"/>
      <c r="D52" s="9"/>
    </row>
    <row r="53" spans="1:4" x14ac:dyDescent="0.25">
      <c r="A53" s="250"/>
      <c r="B53" s="250"/>
      <c r="C53" s="31"/>
      <c r="D53" s="9"/>
    </row>
  </sheetData>
  <customSheetViews>
    <customSheetView guid="{3046F990-4623-45D5-BDDC-01BD5999DDBC}" scale="60" showPageBreaks="1" fitToPage="1" printArea="1" view="pageBreakPreview" topLeftCell="A19">
      <selection activeCell="B53" sqref="B53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4" fitToHeight="0" orientation="portrait" verticalDpi="0" r:id="rId1"/>
      <headerFooter>
        <oddFooter>&amp;C&amp;P</oddFooter>
      </headerFooter>
    </customSheetView>
    <customSheetView guid="{FC502735-BE91-49EC-9614-36ECAE88D000}" scale="60" showPageBreaks="1" fitToPage="1" printArea="1" view="pageBreakPreview" topLeftCell="A19">
      <selection activeCell="B34" sqref="B34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4" fitToHeight="0" orientation="portrait" verticalDpi="0" r:id="rId2"/>
      <headerFooter>
        <oddFooter>&amp;C&amp;P</oddFooter>
      </headerFooter>
    </customSheetView>
    <customSheetView guid="{2CF5EF93-C226-48EA-959E-36D142677DAA}" scale="60" showPageBreaks="1" fitToPage="1" printArea="1" view="pageBreakPreview" topLeftCell="A19">
      <selection activeCell="C44" sqref="C44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5" fitToHeight="0" orientation="portrait" r:id="rId3"/>
      <headerFooter>
        <oddFooter>&amp;C&amp;P</oddFooter>
      </headerFooter>
    </customSheetView>
  </customSheetViews>
  <mergeCells count="10">
    <mergeCell ref="A2:D2"/>
    <mergeCell ref="A10:B10"/>
    <mergeCell ref="A51:B51"/>
    <mergeCell ref="A53:B53"/>
    <mergeCell ref="A43:B43"/>
    <mergeCell ref="A44:B44"/>
    <mergeCell ref="C3:D3"/>
    <mergeCell ref="A6:D6"/>
    <mergeCell ref="A8:B8"/>
    <mergeCell ref="A50:B50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4"/>
  <headerFooter>
    <oddFooter>&amp;C&amp;P</oddFooter>
  </headerFooter>
  <rowBreaks count="1" manualBreakCount="1">
    <brk id="34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view="pageBreakPreview" zoomScale="60" zoomScaleNormal="100" workbookViewId="0">
      <selection activeCell="C24" sqref="C24"/>
    </sheetView>
  </sheetViews>
  <sheetFormatPr defaultRowHeight="15" x14ac:dyDescent="0.25"/>
  <cols>
    <col min="1" max="1" width="14.140625" customWidth="1"/>
    <col min="2" max="2" width="72.42578125" customWidth="1"/>
    <col min="3" max="3" width="15.28515625" customWidth="1"/>
    <col min="4" max="4" width="21.42578125" customWidth="1"/>
  </cols>
  <sheetData>
    <row r="1" spans="1:4" ht="18.75" x14ac:dyDescent="0.3">
      <c r="A1" s="4"/>
      <c r="B1" s="5"/>
      <c r="C1" s="35"/>
      <c r="D1" s="5"/>
    </row>
    <row r="2" spans="1:4" ht="15.75" x14ac:dyDescent="0.25">
      <c r="A2" s="256" t="s">
        <v>307</v>
      </c>
      <c r="B2" s="256"/>
      <c r="C2" s="256"/>
      <c r="D2" s="256"/>
    </row>
    <row r="3" spans="1:4" x14ac:dyDescent="0.25">
      <c r="A3" s="4"/>
      <c r="B3" s="4"/>
      <c r="C3" s="273"/>
      <c r="D3" s="274"/>
    </row>
    <row r="4" spans="1:4" ht="15.75" x14ac:dyDescent="0.25">
      <c r="A4" s="186" t="s">
        <v>723</v>
      </c>
      <c r="B4" s="32"/>
      <c r="C4" s="32"/>
      <c r="D4" s="32"/>
    </row>
    <row r="5" spans="1:4" x14ac:dyDescent="0.25">
      <c r="A5" s="4"/>
      <c r="B5" s="33"/>
      <c r="C5" s="33"/>
      <c r="D5" s="9"/>
    </row>
    <row r="6" spans="1:4" ht="15.75" x14ac:dyDescent="0.25">
      <c r="A6" s="276" t="s">
        <v>742</v>
      </c>
      <c r="B6" s="276"/>
      <c r="C6" s="276"/>
      <c r="D6" s="276"/>
    </row>
    <row r="7" spans="1:4" x14ac:dyDescent="0.25">
      <c r="A7" s="136"/>
      <c r="B7" s="34"/>
      <c r="C7" s="34"/>
      <c r="D7" s="9"/>
    </row>
    <row r="8" spans="1:4" ht="15" customHeight="1" x14ac:dyDescent="0.25">
      <c r="A8" s="270" t="s">
        <v>309</v>
      </c>
      <c r="B8" s="271"/>
      <c r="C8" s="34"/>
      <c r="D8" s="9"/>
    </row>
    <row r="9" spans="1:4" s="181" customFormat="1" ht="15" customHeight="1" x14ac:dyDescent="0.25">
      <c r="A9" s="183"/>
      <c r="B9" s="184"/>
      <c r="C9" s="34"/>
      <c r="D9" s="9"/>
    </row>
    <row r="10" spans="1:4" s="181" customFormat="1" ht="15" customHeight="1" x14ac:dyDescent="0.25">
      <c r="A10" s="251" t="s">
        <v>743</v>
      </c>
      <c r="B10" s="251"/>
      <c r="C10" s="34"/>
      <c r="D10" s="9"/>
    </row>
    <row r="11" spans="1:4" ht="92.25" customHeight="1" x14ac:dyDescent="0.25">
      <c r="A11" s="12" t="s">
        <v>0</v>
      </c>
      <c r="B11" s="12" t="s">
        <v>1</v>
      </c>
      <c r="C11" s="12" t="s">
        <v>120</v>
      </c>
      <c r="D11" s="12" t="s">
        <v>18</v>
      </c>
    </row>
    <row r="12" spans="1:4" x14ac:dyDescent="0.25">
      <c r="A12" s="13">
        <v>1</v>
      </c>
      <c r="B12" s="14">
        <v>2</v>
      </c>
      <c r="C12" s="13">
        <v>3</v>
      </c>
      <c r="D12" s="13">
        <v>4</v>
      </c>
    </row>
    <row r="13" spans="1:4" x14ac:dyDescent="0.25">
      <c r="A13" s="15"/>
      <c r="B13" s="22" t="s">
        <v>13</v>
      </c>
      <c r="C13" s="17"/>
      <c r="D13" s="17"/>
    </row>
    <row r="14" spans="1:4" x14ac:dyDescent="0.25">
      <c r="A14" s="37">
        <v>1100</v>
      </c>
      <c r="B14" s="16" t="s">
        <v>14</v>
      </c>
      <c r="C14" s="38"/>
      <c r="D14" s="38"/>
    </row>
    <row r="15" spans="1:4" ht="74.25" customHeight="1" x14ac:dyDescent="0.25">
      <c r="A15" s="18"/>
      <c r="B15" s="157" t="s">
        <v>1015</v>
      </c>
      <c r="C15" s="55">
        <f>8*0.78</f>
        <v>6.24</v>
      </c>
      <c r="D15" s="55">
        <f>C15*100</f>
        <v>624</v>
      </c>
    </row>
    <row r="16" spans="1:4" ht="36" customHeight="1" x14ac:dyDescent="0.25">
      <c r="A16" s="85">
        <v>1200</v>
      </c>
      <c r="B16" s="158" t="s">
        <v>1003</v>
      </c>
      <c r="C16" s="55">
        <f>ROUND(6.24*0.2359,2)</f>
        <v>1.47</v>
      </c>
      <c r="D16" s="55">
        <f>C16*C27</f>
        <v>147</v>
      </c>
    </row>
    <row r="17" spans="1:4" x14ac:dyDescent="0.25">
      <c r="A17" s="68"/>
      <c r="B17" s="159" t="s">
        <v>2</v>
      </c>
      <c r="C17" s="71">
        <f>SUM(C14:C16)</f>
        <v>7.71</v>
      </c>
      <c r="D17" s="71">
        <f>SUM(D14:D16)</f>
        <v>771</v>
      </c>
    </row>
    <row r="18" spans="1:4" x14ac:dyDescent="0.25">
      <c r="A18" s="18"/>
      <c r="B18" s="160" t="s">
        <v>20</v>
      </c>
      <c r="C18" s="19"/>
      <c r="D18" s="19"/>
    </row>
    <row r="19" spans="1:4" ht="15" customHeight="1" x14ac:dyDescent="0.25">
      <c r="A19" s="85">
        <v>2112</v>
      </c>
      <c r="B19" s="158" t="s">
        <v>126</v>
      </c>
      <c r="C19" s="19"/>
      <c r="D19" s="19"/>
    </row>
    <row r="20" spans="1:4" ht="32.25" customHeight="1" x14ac:dyDescent="0.25">
      <c r="A20" s="18"/>
      <c r="B20" s="158" t="s">
        <v>273</v>
      </c>
      <c r="C20" s="55">
        <f>2.3/10</f>
        <v>0.22999999999999998</v>
      </c>
      <c r="D20" s="55">
        <f>C20*C27</f>
        <v>23</v>
      </c>
    </row>
    <row r="21" spans="1:4" x14ac:dyDescent="0.25">
      <c r="A21" s="68"/>
      <c r="B21" s="167" t="s">
        <v>10</v>
      </c>
      <c r="C21" s="71">
        <f>SUM(C19:C20)</f>
        <v>0.22999999999999998</v>
      </c>
      <c r="D21" s="71">
        <f>C21*C27</f>
        <v>23</v>
      </c>
    </row>
    <row r="22" spans="1:4" x14ac:dyDescent="0.25">
      <c r="A22" s="23"/>
      <c r="B22" s="168" t="s">
        <v>116</v>
      </c>
      <c r="C22" s="52">
        <f>C21+C17</f>
        <v>7.9399999999999995</v>
      </c>
      <c r="D22" s="52">
        <f>D17+D21</f>
        <v>794</v>
      </c>
    </row>
    <row r="23" spans="1:4" x14ac:dyDescent="0.25">
      <c r="A23" s="23"/>
      <c r="B23" s="168" t="s">
        <v>117</v>
      </c>
      <c r="C23" s="52">
        <f>ROUND(C22*0.21,2)</f>
        <v>1.67</v>
      </c>
      <c r="D23" s="52">
        <f>C23*C27</f>
        <v>167</v>
      </c>
    </row>
    <row r="24" spans="1:4" ht="19.5" customHeight="1" x14ac:dyDescent="0.25">
      <c r="A24" s="23"/>
      <c r="B24" s="169" t="s">
        <v>118</v>
      </c>
      <c r="C24" s="52">
        <f>C22+C23</f>
        <v>9.61</v>
      </c>
      <c r="D24" s="52">
        <f>D22+D23</f>
        <v>961</v>
      </c>
    </row>
    <row r="25" spans="1:4" x14ac:dyDescent="0.25">
      <c r="A25" s="25"/>
      <c r="B25" s="26"/>
      <c r="C25" s="27"/>
      <c r="D25" s="27"/>
    </row>
    <row r="26" spans="1:4" x14ac:dyDescent="0.25">
      <c r="A26" s="26"/>
      <c r="B26" s="28"/>
      <c r="C26" s="28"/>
      <c r="D26" s="9"/>
    </row>
    <row r="27" spans="1:4" ht="15" customHeight="1" x14ac:dyDescent="0.25">
      <c r="A27" s="252" t="s">
        <v>16</v>
      </c>
      <c r="B27" s="253"/>
      <c r="C27" s="138">
        <v>100</v>
      </c>
      <c r="D27" s="29"/>
    </row>
    <row r="28" spans="1:4" ht="33" customHeight="1" x14ac:dyDescent="0.25">
      <c r="A28" s="254" t="s">
        <v>23</v>
      </c>
      <c r="B28" s="255"/>
      <c r="C28" s="139">
        <f>D24/C27</f>
        <v>9.61</v>
      </c>
      <c r="D28" s="29"/>
    </row>
    <row r="29" spans="1:4" x14ac:dyDescent="0.25">
      <c r="A29" s="30"/>
      <c r="B29" s="30"/>
      <c r="C29" s="30"/>
      <c r="D29" s="30"/>
    </row>
    <row r="30" spans="1:4" x14ac:dyDescent="0.25">
      <c r="A30" s="30"/>
      <c r="B30" s="30"/>
      <c r="C30" s="30"/>
      <c r="D30" s="152"/>
    </row>
    <row r="31" spans="1:4" x14ac:dyDescent="0.25">
      <c r="A31" s="30"/>
      <c r="B31" s="30"/>
      <c r="C31" s="30"/>
      <c r="D31" s="152"/>
    </row>
    <row r="32" spans="1:4" x14ac:dyDescent="0.25">
      <c r="A32" s="30"/>
      <c r="B32" s="30"/>
      <c r="C32" s="30"/>
      <c r="D32" s="152"/>
    </row>
    <row r="33" spans="1:4" x14ac:dyDescent="0.25">
      <c r="A33" s="30"/>
      <c r="B33" s="30"/>
      <c r="C33" s="9"/>
      <c r="D33" s="9"/>
    </row>
    <row r="34" spans="1:4" x14ac:dyDescent="0.25">
      <c r="A34" s="231"/>
      <c r="B34" s="231"/>
      <c r="C34" s="9"/>
      <c r="D34" s="9"/>
    </row>
    <row r="35" spans="1:4" x14ac:dyDescent="0.25">
      <c r="A35" s="250"/>
      <c r="B35" s="231"/>
      <c r="C35" s="31"/>
      <c r="D35" s="9"/>
    </row>
    <row r="36" spans="1:4" x14ac:dyDescent="0.25">
      <c r="A36" s="154"/>
      <c r="B36" s="9"/>
      <c r="C36" s="31"/>
      <c r="D36" s="9"/>
    </row>
    <row r="37" spans="1:4" x14ac:dyDescent="0.25">
      <c r="A37" s="250"/>
      <c r="B37" s="250"/>
    </row>
  </sheetData>
  <customSheetViews>
    <customSheetView guid="{3046F990-4623-45D5-BDDC-01BD5999DDBC}" scale="60" showPageBreaks="1" fitToPage="1" printArea="1" view="pageBreakPreview">
      <selection activeCell="B53" sqref="B53"/>
      <pageMargins left="0.70866141732283472" right="0.70866141732283472" top="0.74803149606299213" bottom="0.74803149606299213" header="0.31496062992125984" footer="0.31496062992125984"/>
      <pageSetup paperSize="9" scale="70" fitToHeight="0" orientation="portrait" verticalDpi="0" r:id="rId1"/>
      <headerFooter>
        <oddFooter>&amp;C&amp;P</oddFooter>
      </headerFooter>
    </customSheetView>
    <customSheetView guid="{FC502735-BE91-49EC-9614-36ECAE88D000}" scale="60" showPageBreaks="1" fitToPage="1" printArea="1" view="pageBreakPreview">
      <selection activeCell="A28" sqref="A28:B28"/>
      <pageMargins left="0.70866141732283472" right="0.70866141732283472" top="0.74803149606299213" bottom="0.74803149606299213" header="0.31496062992125984" footer="0.31496062992125984"/>
      <pageSetup paperSize="9" scale="70" fitToHeight="0" orientation="portrait" verticalDpi="0" r:id="rId2"/>
      <headerFooter>
        <oddFooter>&amp;C&amp;P</oddFooter>
      </headerFooter>
    </customSheetView>
    <customSheetView guid="{2CF5EF93-C226-48EA-959E-36D142677DAA}" scale="60" showPageBreaks="1" fitToPage="1" printArea="1" view="pageBreakPreview">
      <selection activeCell="C24" sqref="C24"/>
      <pageMargins left="0.70866141732283472" right="0.70866141732283472" top="0.74803149606299213" bottom="0.74803149606299213" header="0.31496062992125984" footer="0.31496062992125984"/>
      <pageSetup paperSize="9" scale="71" fitToHeight="0" orientation="portrait" r:id="rId3"/>
      <headerFooter>
        <oddFooter>&amp;C&amp;P</oddFooter>
      </headerFooter>
    </customSheetView>
  </customSheetViews>
  <mergeCells count="10">
    <mergeCell ref="A2:D2"/>
    <mergeCell ref="A10:B10"/>
    <mergeCell ref="A35:B35"/>
    <mergeCell ref="A37:B37"/>
    <mergeCell ref="A27:B27"/>
    <mergeCell ref="A28:B28"/>
    <mergeCell ref="C3:D3"/>
    <mergeCell ref="A6:D6"/>
    <mergeCell ref="A8:B8"/>
    <mergeCell ref="A34:B34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4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view="pageBreakPreview" zoomScale="60" zoomScaleNormal="100" workbookViewId="0">
      <selection activeCell="C25" sqref="C25"/>
    </sheetView>
  </sheetViews>
  <sheetFormatPr defaultRowHeight="15" x14ac:dyDescent="0.25"/>
  <cols>
    <col min="1" max="1" width="13.85546875" customWidth="1"/>
    <col min="2" max="2" width="73.5703125" customWidth="1"/>
    <col min="3" max="3" width="13.140625" customWidth="1"/>
    <col min="4" max="4" width="21.5703125" customWidth="1"/>
  </cols>
  <sheetData>
    <row r="1" spans="1:4" ht="18.75" x14ac:dyDescent="0.3">
      <c r="A1" s="4"/>
      <c r="B1" s="5"/>
      <c r="C1" s="35"/>
      <c r="D1" s="5"/>
    </row>
    <row r="2" spans="1:4" ht="15.75" x14ac:dyDescent="0.25">
      <c r="A2" s="256" t="s">
        <v>307</v>
      </c>
      <c r="B2" s="256"/>
      <c r="C2" s="256"/>
      <c r="D2" s="256"/>
    </row>
    <row r="3" spans="1:4" x14ac:dyDescent="0.25">
      <c r="A3" s="4"/>
      <c r="B3" s="4"/>
      <c r="C3" s="273"/>
      <c r="D3" s="274"/>
    </row>
    <row r="4" spans="1:4" ht="15.75" x14ac:dyDescent="0.25">
      <c r="A4" s="186" t="s">
        <v>723</v>
      </c>
      <c r="B4" s="32"/>
      <c r="C4" s="32"/>
      <c r="D4" s="32"/>
    </row>
    <row r="5" spans="1:4" x14ac:dyDescent="0.25">
      <c r="A5" s="4"/>
      <c r="B5" s="33"/>
      <c r="C5" s="33"/>
      <c r="D5" s="9"/>
    </row>
    <row r="6" spans="1:4" ht="15.75" customHeight="1" x14ac:dyDescent="0.25">
      <c r="A6" s="257" t="s">
        <v>744</v>
      </c>
      <c r="B6" s="257"/>
      <c r="C6" s="257"/>
      <c r="D6" s="257"/>
    </row>
    <row r="7" spans="1:4" x14ac:dyDescent="0.25">
      <c r="A7" s="136"/>
      <c r="B7" s="34"/>
      <c r="C7" s="34"/>
      <c r="D7" s="9"/>
    </row>
    <row r="8" spans="1:4" ht="15" customHeight="1" x14ac:dyDescent="0.25">
      <c r="A8" s="270" t="s">
        <v>309</v>
      </c>
      <c r="B8" s="271"/>
      <c r="C8" s="34"/>
      <c r="D8" s="9"/>
    </row>
    <row r="9" spans="1:4" s="181" customFormat="1" ht="15" customHeight="1" x14ac:dyDescent="0.25">
      <c r="A9" s="183"/>
      <c r="B9" s="184"/>
      <c r="C9" s="34"/>
      <c r="D9" s="9"/>
    </row>
    <row r="10" spans="1:4" ht="15.75" x14ac:dyDescent="0.25">
      <c r="A10" s="251" t="s">
        <v>743</v>
      </c>
      <c r="B10" s="251"/>
      <c r="C10" s="8"/>
      <c r="D10" s="9"/>
    </row>
    <row r="11" spans="1:4" ht="93" customHeight="1" x14ac:dyDescent="0.25">
      <c r="A11" s="12" t="s">
        <v>0</v>
      </c>
      <c r="B11" s="12" t="s">
        <v>1</v>
      </c>
      <c r="C11" s="12" t="s">
        <v>120</v>
      </c>
      <c r="D11" s="12" t="s">
        <v>18</v>
      </c>
    </row>
    <row r="12" spans="1:4" x14ac:dyDescent="0.25">
      <c r="A12" s="13">
        <v>1</v>
      </c>
      <c r="B12" s="14">
        <v>2</v>
      </c>
      <c r="C12" s="13">
        <v>3</v>
      </c>
      <c r="D12" s="13">
        <v>4</v>
      </c>
    </row>
    <row r="13" spans="1:4" x14ac:dyDescent="0.25">
      <c r="A13" s="15"/>
      <c r="B13" s="22" t="s">
        <v>13</v>
      </c>
      <c r="C13" s="17"/>
      <c r="D13" s="17"/>
    </row>
    <row r="14" spans="1:4" x14ac:dyDescent="0.25">
      <c r="A14" s="37">
        <v>1100</v>
      </c>
      <c r="B14" s="16" t="s">
        <v>14</v>
      </c>
      <c r="C14" s="38"/>
      <c r="D14" s="38"/>
    </row>
    <row r="15" spans="1:4" ht="77.25" customHeight="1" x14ac:dyDescent="0.25">
      <c r="A15" s="18"/>
      <c r="B15" s="157" t="s">
        <v>1016</v>
      </c>
      <c r="C15" s="55">
        <f>8*0.78</f>
        <v>6.24</v>
      </c>
      <c r="D15" s="55">
        <f>C15*100</f>
        <v>624</v>
      </c>
    </row>
    <row r="16" spans="1:4" ht="35.25" customHeight="1" x14ac:dyDescent="0.25">
      <c r="A16" s="85">
        <v>1200</v>
      </c>
      <c r="B16" s="158" t="s">
        <v>1003</v>
      </c>
      <c r="C16" s="55">
        <f>ROUND(6.24*0.2359,2)</f>
        <v>1.47</v>
      </c>
      <c r="D16" s="55">
        <f>C16*C29</f>
        <v>147</v>
      </c>
    </row>
    <row r="17" spans="1:4" x14ac:dyDescent="0.25">
      <c r="A17" s="68"/>
      <c r="B17" s="69" t="s">
        <v>2</v>
      </c>
      <c r="C17" s="71">
        <f>SUM(C14:C16)</f>
        <v>7.71</v>
      </c>
      <c r="D17" s="71">
        <f>SUM(D14:D16)</f>
        <v>771</v>
      </c>
    </row>
    <row r="18" spans="1:4" x14ac:dyDescent="0.25">
      <c r="A18" s="18"/>
      <c r="B18" s="39" t="s">
        <v>115</v>
      </c>
      <c r="C18" s="19"/>
      <c r="D18" s="19"/>
    </row>
    <row r="19" spans="1:4" x14ac:dyDescent="0.25">
      <c r="A19" s="85">
        <v>2111</v>
      </c>
      <c r="B19" s="20" t="s">
        <v>121</v>
      </c>
      <c r="C19" s="19"/>
      <c r="D19" s="19"/>
    </row>
    <row r="20" spans="1:4" ht="32.25" customHeight="1" x14ac:dyDescent="0.25">
      <c r="A20" s="18"/>
      <c r="B20" s="162" t="s">
        <v>971</v>
      </c>
      <c r="C20" s="55">
        <f>6/10</f>
        <v>0.6</v>
      </c>
      <c r="D20" s="55">
        <f>C20*C29</f>
        <v>60</v>
      </c>
    </row>
    <row r="21" spans="1:4" ht="18" customHeight="1" x14ac:dyDescent="0.25">
      <c r="A21" s="85">
        <v>2112</v>
      </c>
      <c r="B21" s="158" t="s">
        <v>122</v>
      </c>
      <c r="C21" s="19"/>
      <c r="D21" s="19"/>
    </row>
    <row r="22" spans="1:4" ht="33.75" customHeight="1" x14ac:dyDescent="0.25">
      <c r="A22" s="18"/>
      <c r="B22" s="158" t="s">
        <v>806</v>
      </c>
      <c r="C22" s="55">
        <f>24/10</f>
        <v>2.4</v>
      </c>
      <c r="D22" s="55">
        <f>C22*C29</f>
        <v>240</v>
      </c>
    </row>
    <row r="23" spans="1:4" x14ac:dyDescent="0.25">
      <c r="A23" s="68"/>
      <c r="B23" s="72" t="s">
        <v>10</v>
      </c>
      <c r="C23" s="71">
        <f>SUM(C19:C22)</f>
        <v>3</v>
      </c>
      <c r="D23" s="71">
        <f>SUM(D19:D22)</f>
        <v>300</v>
      </c>
    </row>
    <row r="24" spans="1:4" x14ac:dyDescent="0.25">
      <c r="A24" s="23"/>
      <c r="B24" s="24" t="s">
        <v>116</v>
      </c>
      <c r="C24" s="52">
        <f>C17+C23</f>
        <v>10.71</v>
      </c>
      <c r="D24" s="52">
        <f>D17+D23</f>
        <v>1071</v>
      </c>
    </row>
    <row r="25" spans="1:4" x14ac:dyDescent="0.25">
      <c r="A25" s="23"/>
      <c r="B25" s="24" t="s">
        <v>117</v>
      </c>
      <c r="C25" s="52">
        <f>ROUND(10.81*0.21,2)</f>
        <v>2.27</v>
      </c>
      <c r="D25" s="52">
        <f>C25*C29</f>
        <v>227</v>
      </c>
    </row>
    <row r="26" spans="1:4" x14ac:dyDescent="0.25">
      <c r="A26" s="23"/>
      <c r="B26" s="169" t="s">
        <v>127</v>
      </c>
      <c r="C26" s="143">
        <f>C24+C25</f>
        <v>12.98</v>
      </c>
      <c r="D26" s="143">
        <f>D24+D25</f>
        <v>1298</v>
      </c>
    </row>
    <row r="27" spans="1:4" x14ac:dyDescent="0.25">
      <c r="A27" s="25"/>
      <c r="B27" s="26"/>
      <c r="C27" s="27"/>
      <c r="D27" s="27"/>
    </row>
    <row r="28" spans="1:4" x14ac:dyDescent="0.25">
      <c r="A28" s="26"/>
      <c r="B28" s="28"/>
      <c r="C28" s="28"/>
      <c r="D28" s="9"/>
    </row>
    <row r="29" spans="1:4" ht="15" customHeight="1" x14ac:dyDescent="0.25">
      <c r="A29" s="252" t="s">
        <v>16</v>
      </c>
      <c r="B29" s="253"/>
      <c r="C29" s="138">
        <v>100</v>
      </c>
      <c r="D29" s="29"/>
    </row>
    <row r="30" spans="1:4" ht="36.75" customHeight="1" x14ac:dyDescent="0.25">
      <c r="A30" s="254" t="s">
        <v>23</v>
      </c>
      <c r="B30" s="255"/>
      <c r="C30" s="139">
        <f>D26/C29</f>
        <v>12.98</v>
      </c>
      <c r="D30" s="29"/>
    </row>
    <row r="31" spans="1:4" x14ac:dyDescent="0.25">
      <c r="A31" s="30"/>
      <c r="B31" s="30"/>
      <c r="C31" s="30"/>
      <c r="D31" s="30"/>
    </row>
    <row r="32" spans="1:4" x14ac:dyDescent="0.25">
      <c r="A32" s="30"/>
      <c r="B32" s="30"/>
      <c r="C32" s="30"/>
      <c r="D32" s="152"/>
    </row>
    <row r="33" spans="1:4" x14ac:dyDescent="0.25">
      <c r="A33" s="30"/>
      <c r="B33" s="30"/>
      <c r="C33" s="30"/>
      <c r="D33" s="152"/>
    </row>
    <row r="34" spans="1:4" x14ac:dyDescent="0.25">
      <c r="A34" s="30"/>
      <c r="B34" s="30"/>
      <c r="C34" s="30"/>
      <c r="D34" s="152"/>
    </row>
    <row r="35" spans="1:4" x14ac:dyDescent="0.25">
      <c r="A35" s="30"/>
      <c r="B35" s="30"/>
      <c r="C35" s="30"/>
      <c r="D35" s="30"/>
    </row>
    <row r="36" spans="1:4" x14ac:dyDescent="0.25">
      <c r="A36" s="231"/>
      <c r="B36" s="231"/>
      <c r="C36" s="9"/>
      <c r="D36" s="9"/>
    </row>
    <row r="37" spans="1:4" x14ac:dyDescent="0.25">
      <c r="A37" s="250"/>
      <c r="B37" s="231"/>
      <c r="C37" s="9"/>
      <c r="D37" s="9"/>
    </row>
    <row r="38" spans="1:4" x14ac:dyDescent="0.25">
      <c r="A38" s="154"/>
      <c r="B38" s="9"/>
      <c r="C38" s="31"/>
      <c r="D38" s="9"/>
    </row>
    <row r="39" spans="1:4" x14ac:dyDescent="0.25">
      <c r="A39" s="250"/>
      <c r="B39" s="250"/>
      <c r="C39" s="31"/>
      <c r="D39" s="9"/>
    </row>
  </sheetData>
  <customSheetViews>
    <customSheetView guid="{3046F990-4623-45D5-BDDC-01BD5999DDBC}" scale="60" showPageBreaks="1" fitToPage="1" printArea="1" view="pageBreakPreview">
      <selection activeCell="B53" sqref="B53"/>
      <rowBreaks count="1" manualBreakCount="1">
        <brk id="30" max="16383" man="1"/>
      </rowBreaks>
      <pageMargins left="0.70866141732283472" right="0.70866141732283472" top="0.74803149606299213" bottom="0.74803149606299213" header="0.31496062992125984" footer="0.31496062992125984"/>
      <pageSetup paperSize="9" scale="71" fitToHeight="0" orientation="portrait" verticalDpi="0" r:id="rId1"/>
      <headerFooter>
        <oddFooter>&amp;C&amp;P</oddFooter>
      </headerFooter>
    </customSheetView>
    <customSheetView guid="{FC502735-BE91-49EC-9614-36ECAE88D000}" scale="60" showPageBreaks="1" fitToPage="1" printArea="1" view="pageBreakPreview">
      <selection activeCell="C29" sqref="C29"/>
      <rowBreaks count="1" manualBreakCount="1">
        <brk id="30" max="16383" man="1"/>
      </rowBreaks>
      <pageMargins left="0.70866141732283472" right="0.70866141732283472" top="0.74803149606299213" bottom="0.74803149606299213" header="0.31496062992125984" footer="0.31496062992125984"/>
      <pageSetup paperSize="9" scale="71" fitToHeight="0" orientation="portrait" verticalDpi="0" r:id="rId2"/>
      <headerFooter>
        <oddFooter>&amp;C&amp;P</oddFooter>
      </headerFooter>
    </customSheetView>
    <customSheetView guid="{2CF5EF93-C226-48EA-959E-36D142677DAA}" scale="60" showPageBreaks="1" fitToPage="1" printArea="1" view="pageBreakPreview">
      <selection activeCell="C25" sqref="C25"/>
      <rowBreaks count="1" manualBreakCount="1">
        <brk id="30" max="16383" man="1"/>
      </rowBreaks>
      <pageMargins left="0.70866141732283472" right="0.70866141732283472" top="0.74803149606299213" bottom="0.74803149606299213" header="0.31496062992125984" footer="0.31496062992125984"/>
      <pageSetup paperSize="9" scale="71" fitToHeight="0" orientation="portrait" r:id="rId3"/>
      <headerFooter>
        <oddFooter>&amp;C&amp;P</oddFooter>
      </headerFooter>
    </customSheetView>
  </customSheetViews>
  <mergeCells count="10">
    <mergeCell ref="A2:D2"/>
    <mergeCell ref="A10:B10"/>
    <mergeCell ref="A37:B37"/>
    <mergeCell ref="A39:B39"/>
    <mergeCell ref="A29:B29"/>
    <mergeCell ref="A30:B30"/>
    <mergeCell ref="C3:D3"/>
    <mergeCell ref="A6:D6"/>
    <mergeCell ref="A8:B8"/>
    <mergeCell ref="A36:B36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4"/>
  <headerFooter>
    <oddFooter>&amp;C&amp;P</oddFooter>
  </headerFooter>
  <rowBreaks count="1" manualBreakCount="1">
    <brk id="3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view="pageBreakPreview" topLeftCell="A16" zoomScale="60" zoomScaleNormal="100" workbookViewId="0">
      <selection activeCell="B53" sqref="B53"/>
    </sheetView>
  </sheetViews>
  <sheetFormatPr defaultRowHeight="15" x14ac:dyDescent="0.25"/>
  <cols>
    <col min="1" max="1" width="13.42578125" customWidth="1"/>
    <col min="2" max="2" width="80.5703125" customWidth="1"/>
    <col min="3" max="3" width="13.5703125" customWidth="1"/>
    <col min="4" max="4" width="18.85546875" customWidth="1"/>
  </cols>
  <sheetData>
    <row r="1" spans="1:4" ht="18.75" x14ac:dyDescent="0.3">
      <c r="A1" s="4"/>
      <c r="B1" s="5"/>
      <c r="C1" s="35"/>
      <c r="D1" s="5"/>
    </row>
    <row r="2" spans="1:4" ht="15.75" x14ac:dyDescent="0.25">
      <c r="A2" s="256" t="s">
        <v>307</v>
      </c>
      <c r="B2" s="256"/>
      <c r="C2" s="256"/>
      <c r="D2" s="256"/>
    </row>
    <row r="3" spans="1:4" x14ac:dyDescent="0.25">
      <c r="A3" s="4"/>
      <c r="B3" s="4"/>
      <c r="C3" s="273"/>
      <c r="D3" s="274"/>
    </row>
    <row r="4" spans="1:4" ht="15.75" x14ac:dyDescent="0.25">
      <c r="A4" s="186" t="s">
        <v>723</v>
      </c>
      <c r="B4" s="32"/>
      <c r="C4" s="32"/>
      <c r="D4" s="32"/>
    </row>
    <row r="5" spans="1:4" x14ac:dyDescent="0.25">
      <c r="A5" s="4"/>
      <c r="B5" s="33"/>
      <c r="C5" s="33"/>
      <c r="D5" s="9"/>
    </row>
    <row r="6" spans="1:4" ht="15.75" customHeight="1" x14ac:dyDescent="0.25">
      <c r="A6" s="276" t="s">
        <v>745</v>
      </c>
      <c r="B6" s="276"/>
      <c r="C6" s="276"/>
      <c r="D6" s="276"/>
    </row>
    <row r="7" spans="1:4" x14ac:dyDescent="0.25">
      <c r="A7" s="136"/>
      <c r="B7" s="34"/>
      <c r="C7" s="34"/>
      <c r="D7" s="9"/>
    </row>
    <row r="8" spans="1:4" ht="15" customHeight="1" x14ac:dyDescent="0.25">
      <c r="A8" s="270" t="s">
        <v>309</v>
      </c>
      <c r="B8" s="271"/>
      <c r="C8" s="34"/>
      <c r="D8" s="9"/>
    </row>
    <row r="9" spans="1:4" s="181" customFormat="1" ht="15" customHeight="1" x14ac:dyDescent="0.25">
      <c r="A9" s="183"/>
      <c r="B9" s="184"/>
      <c r="C9" s="34"/>
      <c r="D9" s="9"/>
    </row>
    <row r="10" spans="1:4" ht="15.75" x14ac:dyDescent="0.25">
      <c r="A10" s="251" t="s">
        <v>310</v>
      </c>
      <c r="B10" s="251"/>
      <c r="C10" s="8"/>
      <c r="D10" s="9"/>
    </row>
    <row r="11" spans="1:4" ht="90.75" customHeight="1" x14ac:dyDescent="0.25">
      <c r="A11" s="12" t="s">
        <v>0</v>
      </c>
      <c r="B11" s="12" t="s">
        <v>1</v>
      </c>
      <c r="C11" s="12" t="s">
        <v>120</v>
      </c>
      <c r="D11" s="12" t="s">
        <v>18</v>
      </c>
    </row>
    <row r="12" spans="1:4" x14ac:dyDescent="0.25">
      <c r="A12" s="13">
        <v>1</v>
      </c>
      <c r="B12" s="14">
        <v>2</v>
      </c>
      <c r="C12" s="13">
        <v>3</v>
      </c>
      <c r="D12" s="13">
        <v>4</v>
      </c>
    </row>
    <row r="13" spans="1:4" x14ac:dyDescent="0.25">
      <c r="A13" s="15"/>
      <c r="B13" s="22" t="s">
        <v>13</v>
      </c>
      <c r="C13" s="17"/>
      <c r="D13" s="17"/>
    </row>
    <row r="14" spans="1:4" x14ac:dyDescent="0.25">
      <c r="A14" s="37">
        <v>1100</v>
      </c>
      <c r="B14" s="16" t="s">
        <v>14</v>
      </c>
      <c r="C14" s="38"/>
      <c r="D14" s="38"/>
    </row>
    <row r="15" spans="1:4" ht="166.5" customHeight="1" x14ac:dyDescent="0.25">
      <c r="A15" s="18"/>
      <c r="B15" s="157" t="s">
        <v>805</v>
      </c>
      <c r="C15" s="55">
        <f>2.08+12</f>
        <v>14.08</v>
      </c>
      <c r="D15" s="55">
        <f>C15*C41</f>
        <v>971.52</v>
      </c>
    </row>
    <row r="16" spans="1:4" ht="32.25" customHeight="1" x14ac:dyDescent="0.25">
      <c r="A16" s="85">
        <v>1200</v>
      </c>
      <c r="B16" s="158" t="s">
        <v>300</v>
      </c>
      <c r="C16" s="55">
        <f>ROUND(2.08*0.2359,2)</f>
        <v>0.49</v>
      </c>
      <c r="D16" s="55">
        <f>C16*C41</f>
        <v>33.81</v>
      </c>
    </row>
    <row r="17" spans="1:4" x14ac:dyDescent="0.25">
      <c r="A17" s="68"/>
      <c r="B17" s="159" t="s">
        <v>2</v>
      </c>
      <c r="C17" s="71">
        <f>SUM(C14:C16)</f>
        <v>14.57</v>
      </c>
      <c r="D17" s="71">
        <f>SUM(D14:D16)</f>
        <v>1005.3299999999999</v>
      </c>
    </row>
    <row r="18" spans="1:4" x14ac:dyDescent="0.25">
      <c r="A18" s="18"/>
      <c r="B18" s="160" t="s">
        <v>20</v>
      </c>
      <c r="C18" s="19"/>
      <c r="D18" s="19"/>
    </row>
    <row r="19" spans="1:4" x14ac:dyDescent="0.25">
      <c r="A19" s="85">
        <v>2219</v>
      </c>
      <c r="B19" s="158" t="s">
        <v>3</v>
      </c>
      <c r="C19" s="19"/>
      <c r="D19" s="19"/>
    </row>
    <row r="20" spans="1:4" ht="51.75" customHeight="1" x14ac:dyDescent="0.25">
      <c r="A20" s="18"/>
      <c r="B20" s="158" t="s">
        <v>145</v>
      </c>
      <c r="C20" s="55">
        <f>ROUND(0.35/15,2)</f>
        <v>0.02</v>
      </c>
      <c r="D20" s="55">
        <f>C20*C41</f>
        <v>1.3800000000000001</v>
      </c>
    </row>
    <row r="21" spans="1:4" x14ac:dyDescent="0.25">
      <c r="A21" s="85">
        <v>2221</v>
      </c>
      <c r="B21" s="158" t="s">
        <v>4</v>
      </c>
      <c r="C21" s="19"/>
      <c r="D21" s="19"/>
    </row>
    <row r="22" spans="1:4" ht="48" customHeight="1" x14ac:dyDescent="0.25">
      <c r="A22" s="18"/>
      <c r="B22" s="158" t="s">
        <v>146</v>
      </c>
      <c r="C22" s="55">
        <f>ROUND(0.81/15,2)</f>
        <v>0.05</v>
      </c>
      <c r="D22" s="55">
        <f>C22*C41</f>
        <v>3.45</v>
      </c>
    </row>
    <row r="23" spans="1:4" ht="15" customHeight="1" x14ac:dyDescent="0.25">
      <c r="A23" s="85">
        <v>2222</v>
      </c>
      <c r="B23" s="158" t="s">
        <v>5</v>
      </c>
      <c r="C23" s="19"/>
      <c r="D23" s="19"/>
    </row>
    <row r="24" spans="1:4" ht="47.25" customHeight="1" x14ac:dyDescent="0.25">
      <c r="A24" s="18"/>
      <c r="B24" s="158" t="s">
        <v>940</v>
      </c>
      <c r="C24" s="36">
        <f>ROUND(0.06/15,4)</f>
        <v>4.0000000000000001E-3</v>
      </c>
      <c r="D24" s="194">
        <f>C24*C41</f>
        <v>0.27600000000000002</v>
      </c>
    </row>
    <row r="25" spans="1:4" x14ac:dyDescent="0.25">
      <c r="A25" s="85">
        <v>2223</v>
      </c>
      <c r="B25" s="161" t="s">
        <v>6</v>
      </c>
      <c r="C25" s="19"/>
      <c r="D25" s="19"/>
    </row>
    <row r="26" spans="1:4" ht="50.25" customHeight="1" x14ac:dyDescent="0.25">
      <c r="A26" s="18"/>
      <c r="B26" s="158" t="s">
        <v>147</v>
      </c>
      <c r="C26" s="55">
        <f>ROUND(1.57/15,2)</f>
        <v>0.1</v>
      </c>
      <c r="D26" s="55">
        <f>C26*C41</f>
        <v>6.9</v>
      </c>
    </row>
    <row r="27" spans="1:4" x14ac:dyDescent="0.25">
      <c r="A27" s="86">
        <v>2231</v>
      </c>
      <c r="B27" s="158" t="s">
        <v>22</v>
      </c>
      <c r="C27" s="36"/>
      <c r="D27" s="19"/>
    </row>
    <row r="28" spans="1:4" ht="96.75" customHeight="1" x14ac:dyDescent="0.25">
      <c r="A28" s="45"/>
      <c r="B28" s="158" t="s">
        <v>921</v>
      </c>
      <c r="C28" s="55">
        <f>ROUND(0.17/15,2)+1</f>
        <v>1.01</v>
      </c>
      <c r="D28" s="55">
        <f>C28*C41</f>
        <v>69.69</v>
      </c>
    </row>
    <row r="29" spans="1:4" x14ac:dyDescent="0.25">
      <c r="A29" s="85">
        <v>2244</v>
      </c>
      <c r="B29" s="158" t="s">
        <v>24</v>
      </c>
      <c r="C29" s="19"/>
      <c r="D29" s="19"/>
    </row>
    <row r="30" spans="1:4" ht="51.75" customHeight="1" x14ac:dyDescent="0.25">
      <c r="A30" s="21"/>
      <c r="B30" s="158" t="s">
        <v>148</v>
      </c>
      <c r="C30" s="55">
        <f>ROUND(0.82/15,2)</f>
        <v>0.05</v>
      </c>
      <c r="D30" s="55">
        <f>C30*C41</f>
        <v>3.45</v>
      </c>
    </row>
    <row r="31" spans="1:4" x14ac:dyDescent="0.25">
      <c r="A31" s="85">
        <v>2311</v>
      </c>
      <c r="B31" s="158" t="s">
        <v>9</v>
      </c>
      <c r="C31" s="36"/>
      <c r="D31" s="19"/>
    </row>
    <row r="32" spans="1:4" ht="48" customHeight="1" x14ac:dyDescent="0.25">
      <c r="A32" s="18"/>
      <c r="B32" s="158" t="s">
        <v>149</v>
      </c>
      <c r="C32" s="55">
        <f>ROUND(0.09/15,3)</f>
        <v>6.0000000000000001E-3</v>
      </c>
      <c r="D32" s="55">
        <f>C32*C41</f>
        <v>0.41400000000000003</v>
      </c>
    </row>
    <row r="33" spans="1:4" ht="13.5" customHeight="1" x14ac:dyDescent="0.25">
      <c r="A33" s="85">
        <v>2350</v>
      </c>
      <c r="B33" s="158" t="s">
        <v>21</v>
      </c>
      <c r="C33" s="36"/>
      <c r="D33" s="19"/>
    </row>
    <row r="34" spans="1:4" ht="49.5" customHeight="1" x14ac:dyDescent="0.25">
      <c r="A34" s="18"/>
      <c r="B34" s="158" t="s">
        <v>920</v>
      </c>
      <c r="C34" s="55">
        <f>ROUND(0.36/15,2)</f>
        <v>0.02</v>
      </c>
      <c r="D34" s="55">
        <f>C34*C41</f>
        <v>1.3800000000000001</v>
      </c>
    </row>
    <row r="35" spans="1:4" x14ac:dyDescent="0.25">
      <c r="A35" s="68"/>
      <c r="B35" s="72" t="s">
        <v>10</v>
      </c>
      <c r="C35" s="71">
        <f>ROUND(C20+C22+C24+C26+C28+C30+C32+C34,3)</f>
        <v>1.26</v>
      </c>
      <c r="D35" s="71">
        <f>SUM(D19:D34)</f>
        <v>86.94</v>
      </c>
    </row>
    <row r="36" spans="1:4" x14ac:dyDescent="0.25">
      <c r="A36" s="23"/>
      <c r="B36" s="24" t="s">
        <v>116</v>
      </c>
      <c r="C36" s="52">
        <f>C35+C17</f>
        <v>15.83</v>
      </c>
      <c r="D36" s="52">
        <f>D35+D17</f>
        <v>1092.27</v>
      </c>
    </row>
    <row r="37" spans="1:4" x14ac:dyDescent="0.25">
      <c r="A37" s="23"/>
      <c r="B37" s="24" t="s">
        <v>117</v>
      </c>
      <c r="C37" s="52">
        <f>ROUND(C36*0.21,3)</f>
        <v>3.3239999999999998</v>
      </c>
      <c r="D37" s="52">
        <f>C37*C41</f>
        <v>229.35599999999999</v>
      </c>
    </row>
    <row r="38" spans="1:4" x14ac:dyDescent="0.25">
      <c r="A38" s="23"/>
      <c r="B38" s="83" t="s">
        <v>118</v>
      </c>
      <c r="C38" s="143">
        <f>C36+C37</f>
        <v>19.154</v>
      </c>
      <c r="D38" s="196">
        <f>D36+D37</f>
        <v>1321.626</v>
      </c>
    </row>
    <row r="39" spans="1:4" x14ac:dyDescent="0.25">
      <c r="A39" s="25"/>
      <c r="B39" s="26"/>
      <c r="C39" s="27"/>
      <c r="D39" s="27"/>
    </row>
    <row r="40" spans="1:4" x14ac:dyDescent="0.25">
      <c r="A40" s="26"/>
      <c r="B40" s="28"/>
      <c r="C40" s="28"/>
      <c r="D40" s="9"/>
    </row>
    <row r="41" spans="1:4" ht="15" customHeight="1" x14ac:dyDescent="0.25">
      <c r="A41" s="252" t="s">
        <v>16</v>
      </c>
      <c r="B41" s="253"/>
      <c r="C41" s="138">
        <v>69</v>
      </c>
      <c r="D41" s="29"/>
    </row>
    <row r="42" spans="1:4" ht="32.25" customHeight="1" x14ac:dyDescent="0.25">
      <c r="A42" s="254" t="s">
        <v>23</v>
      </c>
      <c r="B42" s="255"/>
      <c r="C42" s="193">
        <f>D38/C41</f>
        <v>19.154</v>
      </c>
      <c r="D42" s="29"/>
    </row>
    <row r="43" spans="1:4" x14ac:dyDescent="0.25">
      <c r="A43" s="30"/>
      <c r="B43" s="30"/>
      <c r="C43" s="30"/>
      <c r="D43" s="30"/>
    </row>
    <row r="44" spans="1:4" x14ac:dyDescent="0.25">
      <c r="A44" s="30"/>
      <c r="B44" s="30"/>
      <c r="C44" s="30"/>
      <c r="D44" s="152"/>
    </row>
    <row r="45" spans="1:4" x14ac:dyDescent="0.25">
      <c r="A45" s="30"/>
      <c r="B45" s="30"/>
      <c r="C45" s="30"/>
      <c r="D45" s="152"/>
    </row>
    <row r="46" spans="1:4" x14ac:dyDescent="0.25">
      <c r="A46" s="30"/>
      <c r="B46" s="30"/>
      <c r="C46" s="30"/>
      <c r="D46" s="152"/>
    </row>
    <row r="47" spans="1:4" x14ac:dyDescent="0.25">
      <c r="A47" s="30"/>
      <c r="B47" s="30"/>
      <c r="C47" s="30"/>
      <c r="D47" s="30"/>
    </row>
    <row r="48" spans="1:4" x14ac:dyDescent="0.25">
      <c r="A48" s="231"/>
      <c r="B48" s="231"/>
      <c r="C48" s="9"/>
      <c r="D48" s="9"/>
    </row>
    <row r="49" spans="1:4" x14ac:dyDescent="0.25">
      <c r="A49" s="250"/>
      <c r="B49" s="231"/>
      <c r="C49" s="9"/>
      <c r="D49" s="9"/>
    </row>
    <row r="50" spans="1:4" x14ac:dyDescent="0.25">
      <c r="A50" s="154"/>
      <c r="B50" s="9"/>
      <c r="C50" s="31"/>
      <c r="D50" s="9"/>
    </row>
    <row r="51" spans="1:4" x14ac:dyDescent="0.25">
      <c r="A51" s="250"/>
      <c r="B51" s="250"/>
      <c r="C51" s="31"/>
      <c r="D51" s="9"/>
    </row>
  </sheetData>
  <customSheetViews>
    <customSheetView guid="{3046F990-4623-45D5-BDDC-01BD5999DDBC}" scale="60" showPageBreaks="1" fitToPage="1" printArea="1" view="pageBreakPreview" topLeftCell="A16">
      <selection activeCell="B53" sqref="B53"/>
      <rowBreaks count="1" manualBreakCount="1">
        <brk id="32" max="3" man="1"/>
      </rowBreaks>
      <pageMargins left="0.70866141732283472" right="0.70866141732283472" top="0.74803149606299213" bottom="0.74803149606299213" header="0.31496062992125984" footer="0.31496062992125984"/>
      <pageSetup paperSize="9" scale="69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view="pageBreakPreview" topLeftCell="A16">
      <selection activeCell="B19" sqref="B19"/>
      <rowBreaks count="1" manualBreakCount="1">
        <brk id="32" max="3" man="1"/>
      </rowBreaks>
      <pageMargins left="0.70866141732283472" right="0.70866141732283472" top="0.74803149606299213" bottom="0.74803149606299213" header="0.31496062992125984" footer="0.31496062992125984"/>
      <pageSetup paperSize="9" scale="69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view="pageBreakPreview" topLeftCell="A16">
      <selection activeCell="B53" sqref="B53"/>
      <rowBreaks count="1" manualBreakCount="1">
        <brk id="32" max="3" man="1"/>
      </rowBreaks>
      <pageMargins left="0.70866141732283472" right="0.70866141732283472" top="0.74803149606299213" bottom="0.74803149606299213" header="0.31496062992125984" footer="0.31496062992125984"/>
      <pageSetup paperSize="9" scale="69" fitToHeight="0" orientation="portrait" r:id="rId3"/>
      <headerFooter>
        <oddFooter>&amp;C&amp;P</oddFooter>
      </headerFooter>
    </customSheetView>
  </customSheetViews>
  <mergeCells count="10">
    <mergeCell ref="A2:D2"/>
    <mergeCell ref="A10:B10"/>
    <mergeCell ref="A49:B49"/>
    <mergeCell ref="A51:B51"/>
    <mergeCell ref="A41:B41"/>
    <mergeCell ref="A42:B42"/>
    <mergeCell ref="C3:D3"/>
    <mergeCell ref="A6:D6"/>
    <mergeCell ref="A8:B8"/>
    <mergeCell ref="A48:B48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4"/>
  <headerFooter>
    <oddFooter>&amp;C&amp;P</oddFooter>
  </headerFooter>
  <rowBreaks count="1" manualBreakCount="1">
    <brk id="32" max="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view="pageBreakPreview" topLeftCell="A16" zoomScale="60" zoomScaleNormal="100" workbookViewId="0">
      <selection activeCell="B53" sqref="B53"/>
    </sheetView>
  </sheetViews>
  <sheetFormatPr defaultRowHeight="15" x14ac:dyDescent="0.25"/>
  <cols>
    <col min="1" max="1" width="13.7109375" customWidth="1"/>
    <col min="2" max="2" width="80.28515625" customWidth="1"/>
    <col min="3" max="3" width="18.5703125" customWidth="1"/>
    <col min="4" max="4" width="21.7109375" customWidth="1"/>
  </cols>
  <sheetData>
    <row r="1" spans="1:4" ht="18.75" x14ac:dyDescent="0.3">
      <c r="A1" s="4"/>
      <c r="B1" s="5"/>
      <c r="C1" s="35"/>
      <c r="D1" s="5"/>
    </row>
    <row r="2" spans="1:4" ht="15.75" x14ac:dyDescent="0.25">
      <c r="A2" s="256" t="s">
        <v>307</v>
      </c>
      <c r="B2" s="256"/>
      <c r="C2" s="256"/>
      <c r="D2" s="256"/>
    </row>
    <row r="3" spans="1:4" x14ac:dyDescent="0.25">
      <c r="A3" s="4"/>
      <c r="B3" s="4"/>
      <c r="C3" s="273"/>
      <c r="D3" s="274"/>
    </row>
    <row r="4" spans="1:4" ht="15.75" x14ac:dyDescent="0.25">
      <c r="A4" s="186" t="s">
        <v>723</v>
      </c>
      <c r="B4" s="32"/>
      <c r="C4" s="32"/>
      <c r="D4" s="32"/>
    </row>
    <row r="5" spans="1:4" x14ac:dyDescent="0.25">
      <c r="A5" s="4"/>
      <c r="B5" s="33"/>
      <c r="C5" s="33"/>
      <c r="D5" s="9"/>
    </row>
    <row r="6" spans="1:4" ht="15.75" customHeight="1" x14ac:dyDescent="0.25">
      <c r="A6" s="277" t="s">
        <v>746</v>
      </c>
      <c r="B6" s="277"/>
      <c r="C6" s="277"/>
      <c r="D6" s="277"/>
    </row>
    <row r="7" spans="1:4" x14ac:dyDescent="0.25">
      <c r="A7" s="136"/>
      <c r="B7" s="34"/>
      <c r="C7" s="34"/>
      <c r="D7" s="9"/>
    </row>
    <row r="8" spans="1:4" ht="15" customHeight="1" x14ac:dyDescent="0.25">
      <c r="A8" s="270" t="s">
        <v>309</v>
      </c>
      <c r="B8" s="271"/>
      <c r="C8" s="34"/>
      <c r="D8" s="9"/>
    </row>
    <row r="9" spans="1:4" s="181" customFormat="1" ht="15" customHeight="1" x14ac:dyDescent="0.25">
      <c r="A9" s="183"/>
      <c r="B9" s="184"/>
      <c r="C9" s="34"/>
      <c r="D9" s="9"/>
    </row>
    <row r="10" spans="1:4" ht="15.75" x14ac:dyDescent="0.25">
      <c r="A10" s="251" t="s">
        <v>747</v>
      </c>
      <c r="B10" s="251"/>
      <c r="C10" s="8"/>
      <c r="D10" s="9"/>
    </row>
    <row r="11" spans="1:4" ht="90.75" customHeight="1" x14ac:dyDescent="0.25">
      <c r="A11" s="12" t="s">
        <v>0</v>
      </c>
      <c r="B11" s="12" t="s">
        <v>1</v>
      </c>
      <c r="C11" s="12" t="s">
        <v>120</v>
      </c>
      <c r="D11" s="12" t="s">
        <v>18</v>
      </c>
    </row>
    <row r="12" spans="1:4" x14ac:dyDescent="0.25">
      <c r="A12" s="13">
        <v>1</v>
      </c>
      <c r="B12" s="14">
        <v>2</v>
      </c>
      <c r="C12" s="13">
        <v>3</v>
      </c>
      <c r="D12" s="13">
        <v>4</v>
      </c>
    </row>
    <row r="13" spans="1:4" x14ac:dyDescent="0.25">
      <c r="A13" s="15"/>
      <c r="B13" s="22" t="s">
        <v>13</v>
      </c>
      <c r="C13" s="17"/>
      <c r="D13" s="17"/>
    </row>
    <row r="14" spans="1:4" x14ac:dyDescent="0.25">
      <c r="A14" s="37">
        <v>1100</v>
      </c>
      <c r="B14" s="16" t="s">
        <v>14</v>
      </c>
      <c r="C14" s="38"/>
      <c r="D14" s="38"/>
    </row>
    <row r="15" spans="1:4" ht="165.75" customHeight="1" x14ac:dyDescent="0.25">
      <c r="A15" s="18"/>
      <c r="B15" s="157" t="s">
        <v>274</v>
      </c>
      <c r="C15" s="55">
        <f>4.16+24</f>
        <v>28.16</v>
      </c>
      <c r="D15" s="55">
        <f>C15*30</f>
        <v>844.8</v>
      </c>
    </row>
    <row r="16" spans="1:4" ht="35.25" customHeight="1" x14ac:dyDescent="0.25">
      <c r="A16" s="85">
        <v>1200</v>
      </c>
      <c r="B16" s="158" t="s">
        <v>299</v>
      </c>
      <c r="C16" s="55">
        <f>ROUND(4.16*0.2359,2)</f>
        <v>0.98</v>
      </c>
      <c r="D16" s="55">
        <f>C16*C41</f>
        <v>29.4</v>
      </c>
    </row>
    <row r="17" spans="1:4" x14ac:dyDescent="0.25">
      <c r="A17" s="18"/>
      <c r="B17" s="160" t="s">
        <v>2</v>
      </c>
      <c r="C17" s="52">
        <f>SUM(C14:C16)</f>
        <v>29.14</v>
      </c>
      <c r="D17" s="52">
        <f>SUM(D14:D16)</f>
        <v>874.19999999999993</v>
      </c>
    </row>
    <row r="18" spans="1:4" x14ac:dyDescent="0.25">
      <c r="A18" s="18"/>
      <c r="B18" s="160" t="s">
        <v>20</v>
      </c>
      <c r="C18" s="19"/>
      <c r="D18" s="19"/>
    </row>
    <row r="19" spans="1:4" x14ac:dyDescent="0.25">
      <c r="A19" s="85">
        <v>2219</v>
      </c>
      <c r="B19" s="158" t="s">
        <v>3</v>
      </c>
      <c r="C19" s="19"/>
      <c r="D19" s="19"/>
    </row>
    <row r="20" spans="1:4" ht="64.5" customHeight="1" x14ac:dyDescent="0.25">
      <c r="A20" s="18"/>
      <c r="B20" s="158" t="s">
        <v>275</v>
      </c>
      <c r="C20" s="55">
        <f>ROUND(0.7/15,2)</f>
        <v>0.05</v>
      </c>
      <c r="D20" s="55">
        <f>C20*C41</f>
        <v>1.5</v>
      </c>
    </row>
    <row r="21" spans="1:4" x14ac:dyDescent="0.25">
      <c r="A21" s="85">
        <v>2221</v>
      </c>
      <c r="B21" s="158" t="s">
        <v>4</v>
      </c>
      <c r="C21" s="19"/>
      <c r="D21" s="19"/>
    </row>
    <row r="22" spans="1:4" ht="63.75" customHeight="1" x14ac:dyDescent="0.25">
      <c r="A22" s="18"/>
      <c r="B22" s="158" t="s">
        <v>276</v>
      </c>
      <c r="C22" s="55">
        <f>ROUND(1.62/15,2)</f>
        <v>0.11</v>
      </c>
      <c r="D22" s="55">
        <f>C22*C41</f>
        <v>3.3</v>
      </c>
    </row>
    <row r="23" spans="1:4" ht="14.25" customHeight="1" x14ac:dyDescent="0.25">
      <c r="A23" s="85">
        <v>2222</v>
      </c>
      <c r="B23" s="158" t="s">
        <v>5</v>
      </c>
      <c r="C23" s="19"/>
      <c r="D23" s="19"/>
    </row>
    <row r="24" spans="1:4" ht="61.5" customHeight="1" x14ac:dyDescent="0.25">
      <c r="A24" s="18"/>
      <c r="B24" s="158" t="s">
        <v>277</v>
      </c>
      <c r="C24" s="55">
        <f>ROUND(0.12/15,3)</f>
        <v>8.0000000000000002E-3</v>
      </c>
      <c r="D24" s="55">
        <f>C24*C41</f>
        <v>0.24</v>
      </c>
    </row>
    <row r="25" spans="1:4" x14ac:dyDescent="0.25">
      <c r="A25" s="85">
        <v>2223</v>
      </c>
      <c r="B25" s="161" t="s">
        <v>6</v>
      </c>
      <c r="C25" s="19"/>
      <c r="D25" s="19"/>
    </row>
    <row r="26" spans="1:4" ht="58.5" customHeight="1" x14ac:dyDescent="0.25">
      <c r="A26" s="18"/>
      <c r="B26" s="158" t="s">
        <v>150</v>
      </c>
      <c r="C26" s="55">
        <f>ROUND(3.14/15,2)</f>
        <v>0.21</v>
      </c>
      <c r="D26" s="55">
        <f>C26*C41</f>
        <v>6.3</v>
      </c>
    </row>
    <row r="27" spans="1:4" x14ac:dyDescent="0.25">
      <c r="A27" s="86">
        <v>2231</v>
      </c>
      <c r="B27" s="158" t="s">
        <v>22</v>
      </c>
      <c r="C27" s="36"/>
      <c r="D27" s="19"/>
    </row>
    <row r="28" spans="1:4" ht="111" customHeight="1" x14ac:dyDescent="0.25">
      <c r="A28" s="45"/>
      <c r="B28" s="158" t="s">
        <v>800</v>
      </c>
      <c r="C28" s="55">
        <f>ROUND(0.34/15,2)+2</f>
        <v>2.02</v>
      </c>
      <c r="D28" s="55">
        <f>C28*C41</f>
        <v>60.6</v>
      </c>
    </row>
    <row r="29" spans="1:4" x14ac:dyDescent="0.25">
      <c r="A29" s="85">
        <v>2244</v>
      </c>
      <c r="B29" s="158" t="s">
        <v>24</v>
      </c>
      <c r="C29" s="19"/>
      <c r="D29" s="54"/>
    </row>
    <row r="30" spans="1:4" ht="65.25" customHeight="1" x14ac:dyDescent="0.25">
      <c r="A30" s="21"/>
      <c r="B30" s="158" t="s">
        <v>804</v>
      </c>
      <c r="C30" s="55">
        <f>ROUND(1.64/15,2)</f>
        <v>0.11</v>
      </c>
      <c r="D30" s="55">
        <f>C30*C41</f>
        <v>3.3</v>
      </c>
    </row>
    <row r="31" spans="1:4" x14ac:dyDescent="0.25">
      <c r="A31" s="85">
        <v>2311</v>
      </c>
      <c r="B31" s="158" t="s">
        <v>9</v>
      </c>
      <c r="C31" s="36"/>
      <c r="D31" s="19"/>
    </row>
    <row r="32" spans="1:4" ht="63" customHeight="1" x14ac:dyDescent="0.25">
      <c r="A32" s="85"/>
      <c r="B32" s="158" t="s">
        <v>278</v>
      </c>
      <c r="C32" s="55">
        <f>ROUND(0.18/15,2)</f>
        <v>0.01</v>
      </c>
      <c r="D32" s="55">
        <f>C32*C41</f>
        <v>0.3</v>
      </c>
    </row>
    <row r="33" spans="1:4" ht="14.25" customHeight="1" x14ac:dyDescent="0.25">
      <c r="A33" s="85">
        <v>2350</v>
      </c>
      <c r="B33" s="158" t="s">
        <v>21</v>
      </c>
      <c r="C33" s="36"/>
      <c r="D33" s="19"/>
    </row>
    <row r="34" spans="1:4" ht="64.5" customHeight="1" x14ac:dyDescent="0.25">
      <c r="A34" s="18"/>
      <c r="B34" s="158" t="s">
        <v>151</v>
      </c>
      <c r="C34" s="55">
        <f>ROUND(0.72/15,2)</f>
        <v>0.05</v>
      </c>
      <c r="D34" s="55">
        <f>C34*C41</f>
        <v>1.5</v>
      </c>
    </row>
    <row r="35" spans="1:4" x14ac:dyDescent="0.25">
      <c r="A35" s="18"/>
      <c r="B35" s="22" t="s">
        <v>10</v>
      </c>
      <c r="C35" s="52">
        <f>SUM(C19:C34)</f>
        <v>2.5679999999999996</v>
      </c>
      <c r="D35" s="52">
        <f>SUM(D19:D34)</f>
        <v>77.039999999999992</v>
      </c>
    </row>
    <row r="36" spans="1:4" x14ac:dyDescent="0.25">
      <c r="A36" s="23"/>
      <c r="B36" s="24" t="s">
        <v>116</v>
      </c>
      <c r="C36" s="52">
        <f>C35+C17</f>
        <v>31.707999999999998</v>
      </c>
      <c r="D36" s="52">
        <f>D35+D17</f>
        <v>951.2399999999999</v>
      </c>
    </row>
    <row r="37" spans="1:4" x14ac:dyDescent="0.25">
      <c r="A37" s="23"/>
      <c r="B37" s="24" t="s">
        <v>117</v>
      </c>
      <c r="C37" s="52">
        <f>ROUND(C36*0.21,2)</f>
        <v>6.66</v>
      </c>
      <c r="D37" s="52">
        <f>C37*C41</f>
        <v>199.8</v>
      </c>
    </row>
    <row r="38" spans="1:4" ht="21" customHeight="1" x14ac:dyDescent="0.25">
      <c r="A38" s="23"/>
      <c r="B38" s="169" t="s">
        <v>118</v>
      </c>
      <c r="C38" s="143">
        <f>C36+C37</f>
        <v>38.367999999999995</v>
      </c>
      <c r="D38" s="143">
        <f>D36+D37</f>
        <v>1151.04</v>
      </c>
    </row>
    <row r="39" spans="1:4" x14ac:dyDescent="0.25">
      <c r="A39" s="25"/>
      <c r="B39" s="26"/>
      <c r="C39" s="27"/>
      <c r="D39" s="27"/>
    </row>
    <row r="40" spans="1:4" x14ac:dyDescent="0.25">
      <c r="A40" s="26"/>
      <c r="B40" s="28"/>
      <c r="C40" s="28"/>
      <c r="D40" s="9"/>
    </row>
    <row r="41" spans="1:4" ht="15" customHeight="1" x14ac:dyDescent="0.25">
      <c r="A41" s="252" t="s">
        <v>16</v>
      </c>
      <c r="B41" s="253"/>
      <c r="C41" s="138">
        <v>30</v>
      </c>
      <c r="D41" s="29"/>
    </row>
    <row r="42" spans="1:4" ht="36.75" customHeight="1" x14ac:dyDescent="0.25">
      <c r="A42" s="254" t="s">
        <v>23</v>
      </c>
      <c r="B42" s="255"/>
      <c r="C42" s="139">
        <f>D38/C41</f>
        <v>38.368000000000002</v>
      </c>
      <c r="D42" s="29"/>
    </row>
    <row r="43" spans="1:4" x14ac:dyDescent="0.25">
      <c r="A43" s="30"/>
      <c r="B43" s="30"/>
      <c r="C43" s="30"/>
      <c r="D43" s="30"/>
    </row>
    <row r="44" spans="1:4" x14ac:dyDescent="0.25">
      <c r="A44" s="30"/>
      <c r="B44" s="30"/>
      <c r="C44" s="30"/>
      <c r="D44" s="152"/>
    </row>
    <row r="45" spans="1:4" x14ac:dyDescent="0.25">
      <c r="A45" s="30"/>
      <c r="B45" s="30"/>
      <c r="C45" s="30"/>
      <c r="D45" s="152"/>
    </row>
    <row r="46" spans="1:4" x14ac:dyDescent="0.25">
      <c r="A46" s="30"/>
      <c r="B46" s="30"/>
      <c r="C46" s="30"/>
      <c r="D46" s="152"/>
    </row>
    <row r="47" spans="1:4" x14ac:dyDescent="0.25">
      <c r="A47" s="30"/>
      <c r="B47" s="30"/>
      <c r="C47" s="30"/>
      <c r="D47" s="30"/>
    </row>
    <row r="48" spans="1:4" x14ac:dyDescent="0.25">
      <c r="A48" s="231"/>
      <c r="B48" s="231"/>
      <c r="C48" s="9"/>
      <c r="D48" s="9"/>
    </row>
    <row r="49" spans="1:4" x14ac:dyDescent="0.25">
      <c r="A49" s="250"/>
      <c r="B49" s="231"/>
      <c r="C49" s="9"/>
      <c r="D49" s="9"/>
    </row>
    <row r="50" spans="1:4" x14ac:dyDescent="0.25">
      <c r="A50" s="154"/>
      <c r="B50" s="9"/>
      <c r="C50" s="31"/>
      <c r="D50" s="9"/>
    </row>
    <row r="51" spans="1:4" x14ac:dyDescent="0.25">
      <c r="A51" s="250"/>
      <c r="B51" s="250"/>
      <c r="C51" s="31"/>
      <c r="D51" s="9"/>
    </row>
  </sheetData>
  <customSheetViews>
    <customSheetView guid="{3046F990-4623-45D5-BDDC-01BD5999DDBC}" scale="60" showPageBreaks="1" fitToPage="1" printArea="1" view="pageBreakPreview">
      <selection activeCell="B53" sqref="B53"/>
      <rowBreaks count="1" manualBreakCount="1">
        <brk id="32" max="3" man="1"/>
      </rowBreaks>
      <pageMargins left="0.70866141732283472" right="0.70866141732283472" top="0.74803149606299213" bottom="0.74803149606299213" header="0.31496062992125984" footer="0.31496062992125984"/>
      <pageSetup paperSize="9" scale="64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view="pageBreakPreview">
      <selection activeCell="B28" sqref="B28"/>
      <rowBreaks count="1" manualBreakCount="1">
        <brk id="32" max="3" man="1"/>
      </rowBreaks>
      <pageMargins left="0.70866141732283472" right="0.70866141732283472" top="0.74803149606299213" bottom="0.74803149606299213" header="0.31496062992125984" footer="0.31496062992125984"/>
      <pageSetup paperSize="9" scale="64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view="pageBreakPreview" topLeftCell="A16">
      <selection activeCell="B53" sqref="B53"/>
      <rowBreaks count="1" manualBreakCount="1">
        <brk id="32" max="3" man="1"/>
      </rowBreaks>
      <pageMargins left="0.70866141732283472" right="0.70866141732283472" top="0.74803149606299213" bottom="0.74803149606299213" header="0.31496062992125984" footer="0.31496062992125984"/>
      <pageSetup paperSize="9" scale="65" fitToHeight="0" orientation="portrait" r:id="rId3"/>
      <headerFooter>
        <oddFooter>&amp;C&amp;P</oddFooter>
      </headerFooter>
    </customSheetView>
  </customSheetViews>
  <mergeCells count="10">
    <mergeCell ref="A2:D2"/>
    <mergeCell ref="A10:B10"/>
    <mergeCell ref="A49:B49"/>
    <mergeCell ref="A51:B51"/>
    <mergeCell ref="A41:B41"/>
    <mergeCell ref="A42:B42"/>
    <mergeCell ref="C3:D3"/>
    <mergeCell ref="A6:D6"/>
    <mergeCell ref="A8:B8"/>
    <mergeCell ref="A48:B48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4"/>
  <headerFooter>
    <oddFooter>&amp;C&amp;P</oddFooter>
  </headerFooter>
  <rowBreaks count="1" manualBreakCount="1">
    <brk id="32" max="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view="pageBreakPreview" zoomScale="60" zoomScaleNormal="100" workbookViewId="0">
      <selection activeCell="D23" sqref="D23"/>
    </sheetView>
  </sheetViews>
  <sheetFormatPr defaultRowHeight="15" x14ac:dyDescent="0.25"/>
  <cols>
    <col min="1" max="1" width="14.42578125" customWidth="1"/>
    <col min="2" max="2" width="91.5703125" customWidth="1"/>
    <col min="3" max="3" width="12.28515625" customWidth="1"/>
    <col min="4" max="4" width="18.42578125" customWidth="1"/>
  </cols>
  <sheetData>
    <row r="1" spans="1:4" ht="18.75" x14ac:dyDescent="0.3">
      <c r="A1" s="4"/>
      <c r="B1" s="5"/>
      <c r="C1" s="35"/>
      <c r="D1" s="5"/>
    </row>
    <row r="2" spans="1:4" ht="15.75" x14ac:dyDescent="0.25">
      <c r="A2" s="256" t="s">
        <v>307</v>
      </c>
      <c r="B2" s="256"/>
      <c r="C2" s="256"/>
      <c r="D2" s="256"/>
    </row>
    <row r="3" spans="1:4" ht="21" customHeight="1" x14ac:dyDescent="0.25">
      <c r="A3" s="4"/>
      <c r="B3" s="4"/>
      <c r="C3" s="273"/>
      <c r="D3" s="274"/>
    </row>
    <row r="4" spans="1:4" ht="15.75" x14ac:dyDescent="0.25">
      <c r="A4" s="186" t="s">
        <v>723</v>
      </c>
      <c r="B4" s="90"/>
      <c r="C4" s="90"/>
      <c r="D4" s="90"/>
    </row>
    <row r="5" spans="1:4" x14ac:dyDescent="0.25">
      <c r="A5" s="87"/>
      <c r="B5" s="91"/>
      <c r="C5" s="91"/>
      <c r="D5" s="81"/>
    </row>
    <row r="6" spans="1:4" ht="15.75" customHeight="1" x14ac:dyDescent="0.25">
      <c r="A6" s="275" t="s">
        <v>748</v>
      </c>
      <c r="B6" s="275"/>
      <c r="C6" s="275"/>
      <c r="D6" s="275"/>
    </row>
    <row r="7" spans="1:4" x14ac:dyDescent="0.25">
      <c r="A7" s="137"/>
      <c r="B7" s="80"/>
      <c r="C7" s="80"/>
      <c r="D7" s="81"/>
    </row>
    <row r="8" spans="1:4" ht="15" customHeight="1" x14ac:dyDescent="0.25">
      <c r="A8" s="270" t="s">
        <v>309</v>
      </c>
      <c r="B8" s="271"/>
      <c r="C8" s="80"/>
      <c r="D8" s="81"/>
    </row>
    <row r="9" spans="1:4" x14ac:dyDescent="0.25">
      <c r="A9" s="87"/>
      <c r="B9" s="92"/>
      <c r="C9" s="93"/>
      <c r="D9" s="81"/>
    </row>
    <row r="10" spans="1:4" s="181" customFormat="1" ht="15.75" x14ac:dyDescent="0.25">
      <c r="A10" s="251" t="s">
        <v>1019</v>
      </c>
      <c r="B10" s="251"/>
      <c r="C10" s="93"/>
      <c r="D10" s="81"/>
    </row>
    <row r="11" spans="1:4" ht="110.25" customHeight="1" x14ac:dyDescent="0.25">
      <c r="A11" s="94" t="s">
        <v>0</v>
      </c>
      <c r="B11" s="94" t="s">
        <v>1</v>
      </c>
      <c r="C11" s="94" t="s">
        <v>120</v>
      </c>
      <c r="D11" s="94" t="s">
        <v>18</v>
      </c>
    </row>
    <row r="12" spans="1:4" x14ac:dyDescent="0.25">
      <c r="A12" s="95">
        <v>1</v>
      </c>
      <c r="B12" s="96">
        <v>2</v>
      </c>
      <c r="C12" s="95">
        <v>3</v>
      </c>
      <c r="D12" s="95">
        <v>4</v>
      </c>
    </row>
    <row r="13" spans="1:4" x14ac:dyDescent="0.25">
      <c r="A13" s="97"/>
      <c r="B13" s="98" t="s">
        <v>13</v>
      </c>
      <c r="C13" s="99"/>
      <c r="D13" s="99"/>
    </row>
    <row r="14" spans="1:4" x14ac:dyDescent="0.25">
      <c r="A14" s="100">
        <v>1100</v>
      </c>
      <c r="B14" s="101" t="s">
        <v>14</v>
      </c>
      <c r="C14" s="102"/>
      <c r="D14" s="102"/>
    </row>
    <row r="15" spans="1:4" ht="58.5" customHeight="1" x14ac:dyDescent="0.25">
      <c r="A15" s="45"/>
      <c r="B15" s="162" t="s">
        <v>1017</v>
      </c>
      <c r="C15" s="82">
        <f>ROUND(7.78/10,2)</f>
        <v>0.78</v>
      </c>
      <c r="D15" s="82">
        <f>C15*10</f>
        <v>7.8000000000000007</v>
      </c>
    </row>
    <row r="16" spans="1:4" ht="33.75" customHeight="1" x14ac:dyDescent="0.25">
      <c r="A16" s="85">
        <v>1200</v>
      </c>
      <c r="B16" s="158" t="s">
        <v>298</v>
      </c>
      <c r="C16" s="55">
        <f>ROUND(C15*0.2359,2)</f>
        <v>0.18</v>
      </c>
      <c r="D16" s="55">
        <f>C16*C41</f>
        <v>0.54</v>
      </c>
    </row>
    <row r="17" spans="1:4" x14ac:dyDescent="0.25">
      <c r="A17" s="68"/>
      <c r="B17" s="159" t="s">
        <v>2</v>
      </c>
      <c r="C17" s="71">
        <f>SUM(C14:C16)</f>
        <v>0.96</v>
      </c>
      <c r="D17" s="71">
        <f>SUM(D14:D16)</f>
        <v>8.34</v>
      </c>
    </row>
    <row r="18" spans="1:4" x14ac:dyDescent="0.25">
      <c r="A18" s="18"/>
      <c r="B18" s="160" t="s">
        <v>20</v>
      </c>
      <c r="C18" s="19"/>
      <c r="D18" s="19"/>
    </row>
    <row r="19" spans="1:4" x14ac:dyDescent="0.25">
      <c r="A19" s="85">
        <v>2219</v>
      </c>
      <c r="B19" s="158" t="s">
        <v>3</v>
      </c>
      <c r="C19" s="19"/>
      <c r="D19" s="19"/>
    </row>
    <row r="20" spans="1:4" ht="51.75" customHeight="1" x14ac:dyDescent="0.25">
      <c r="A20" s="18"/>
      <c r="B20" s="158" t="s">
        <v>279</v>
      </c>
      <c r="C20" s="36">
        <f>ROUND(0.044/10,3)</f>
        <v>4.0000000000000001E-3</v>
      </c>
      <c r="D20" s="55">
        <f>C20*C41</f>
        <v>1.2E-2</v>
      </c>
    </row>
    <row r="21" spans="1:4" x14ac:dyDescent="0.25">
      <c r="A21" s="85">
        <v>2221</v>
      </c>
      <c r="B21" s="158" t="s">
        <v>4</v>
      </c>
      <c r="C21" s="19"/>
      <c r="D21" s="19"/>
    </row>
    <row r="22" spans="1:4" ht="52.5" customHeight="1" x14ac:dyDescent="0.25">
      <c r="A22" s="18"/>
      <c r="B22" s="158" t="s">
        <v>152</v>
      </c>
      <c r="C22" s="55">
        <f>ROUND(0.1/10,2)</f>
        <v>0.01</v>
      </c>
      <c r="D22" s="55">
        <f>C22*C41</f>
        <v>0.03</v>
      </c>
    </row>
    <row r="23" spans="1:4" ht="15" customHeight="1" x14ac:dyDescent="0.25">
      <c r="A23" s="85">
        <v>2222</v>
      </c>
      <c r="B23" s="158" t="s">
        <v>5</v>
      </c>
      <c r="C23" s="19"/>
      <c r="D23" s="19"/>
    </row>
    <row r="24" spans="1:4" ht="48.75" customHeight="1" x14ac:dyDescent="0.25">
      <c r="A24" s="18"/>
      <c r="B24" s="158" t="s">
        <v>153</v>
      </c>
      <c r="C24" s="36">
        <f>ROUND(0.008/10,3)</f>
        <v>1E-3</v>
      </c>
      <c r="D24" s="36">
        <f>C24*C41</f>
        <v>3.0000000000000001E-3</v>
      </c>
    </row>
    <row r="25" spans="1:4" x14ac:dyDescent="0.25">
      <c r="A25" s="85">
        <v>2223</v>
      </c>
      <c r="B25" s="161" t="s">
        <v>6</v>
      </c>
      <c r="C25" s="19"/>
      <c r="D25" s="19"/>
    </row>
    <row r="26" spans="1:4" ht="56.25" customHeight="1" x14ac:dyDescent="0.25">
      <c r="A26" s="18"/>
      <c r="B26" s="158" t="s">
        <v>154</v>
      </c>
      <c r="C26" s="55">
        <f>ROUND(0.2/10,2)</f>
        <v>0.02</v>
      </c>
      <c r="D26" s="55">
        <f>C26*C41</f>
        <v>0.06</v>
      </c>
    </row>
    <row r="27" spans="1:4" x14ac:dyDescent="0.25">
      <c r="A27" s="86">
        <v>2231</v>
      </c>
      <c r="B27" s="158" t="s">
        <v>22</v>
      </c>
      <c r="C27" s="36"/>
      <c r="D27" s="54"/>
    </row>
    <row r="28" spans="1:4" ht="65.25" customHeight="1" x14ac:dyDescent="0.25">
      <c r="A28" s="45"/>
      <c r="B28" s="158" t="s">
        <v>155</v>
      </c>
      <c r="C28" s="36">
        <f>ROUND(0.02/10,3)</f>
        <v>2E-3</v>
      </c>
      <c r="D28" s="55">
        <f>C28*C41</f>
        <v>6.0000000000000001E-3</v>
      </c>
    </row>
    <row r="29" spans="1:4" x14ac:dyDescent="0.25">
      <c r="A29" s="85">
        <v>2244</v>
      </c>
      <c r="B29" s="158" t="s">
        <v>24</v>
      </c>
      <c r="C29" s="19"/>
      <c r="D29" s="19"/>
    </row>
    <row r="30" spans="1:4" ht="51" customHeight="1" x14ac:dyDescent="0.25">
      <c r="A30" s="21"/>
      <c r="B30" s="158" t="s">
        <v>280</v>
      </c>
      <c r="C30" s="55">
        <f>ROUND(0.1/10,2)</f>
        <v>0.01</v>
      </c>
      <c r="D30" s="55">
        <f>C30*C41</f>
        <v>0.03</v>
      </c>
    </row>
    <row r="31" spans="1:4" x14ac:dyDescent="0.25">
      <c r="A31" s="85">
        <v>2311</v>
      </c>
      <c r="B31" s="158" t="s">
        <v>9</v>
      </c>
      <c r="C31" s="36"/>
      <c r="D31" s="19"/>
    </row>
    <row r="32" spans="1:4" ht="62.25" customHeight="1" x14ac:dyDescent="0.25">
      <c r="A32" s="18"/>
      <c r="B32" s="158" t="s">
        <v>906</v>
      </c>
      <c r="C32" s="36">
        <f>ROUND(0.01/10,3)</f>
        <v>1E-3</v>
      </c>
      <c r="D32" s="36">
        <f>ROUND(C32*C41,4)</f>
        <v>3.0000000000000001E-3</v>
      </c>
    </row>
    <row r="33" spans="1:4" ht="18.75" customHeight="1" x14ac:dyDescent="0.25">
      <c r="A33" s="85">
        <v>2350</v>
      </c>
      <c r="B33" s="158" t="s">
        <v>21</v>
      </c>
      <c r="C33" s="36"/>
      <c r="D33" s="19"/>
    </row>
    <row r="34" spans="1:4" ht="64.5" customHeight="1" x14ac:dyDescent="0.25">
      <c r="A34" s="18"/>
      <c r="B34" s="158" t="s">
        <v>1018</v>
      </c>
      <c r="C34" s="55">
        <f>ROUND(0.045/10,3)</f>
        <v>5.0000000000000001E-3</v>
      </c>
      <c r="D34" s="55">
        <f>(C34*10)</f>
        <v>0.05</v>
      </c>
    </row>
    <row r="35" spans="1:4" x14ac:dyDescent="0.25">
      <c r="A35" s="68"/>
      <c r="B35" s="72" t="s">
        <v>10</v>
      </c>
      <c r="C35" s="71">
        <f>ROUND(C20+C22+C24+C26+C28+C30+C32+C34,2)</f>
        <v>0.05</v>
      </c>
      <c r="D35" s="71">
        <f>C35*3</f>
        <v>0.15000000000000002</v>
      </c>
    </row>
    <row r="36" spans="1:4" x14ac:dyDescent="0.25">
      <c r="A36" s="23"/>
      <c r="B36" s="24" t="s">
        <v>116</v>
      </c>
      <c r="C36" s="52">
        <f>C35+C17</f>
        <v>1.01</v>
      </c>
      <c r="D36" s="52">
        <f>C36*3</f>
        <v>3.0300000000000002</v>
      </c>
    </row>
    <row r="37" spans="1:4" x14ac:dyDescent="0.25">
      <c r="A37" s="23"/>
      <c r="B37" s="24" t="s">
        <v>117</v>
      </c>
      <c r="C37" s="52">
        <f>ROUND(C36*0.21,2)</f>
        <v>0.21</v>
      </c>
      <c r="D37" s="52">
        <f>(D36*0.21)</f>
        <v>0.63629999999999998</v>
      </c>
    </row>
    <row r="38" spans="1:4" x14ac:dyDescent="0.25">
      <c r="A38" s="23"/>
      <c r="B38" s="83" t="s">
        <v>118</v>
      </c>
      <c r="C38" s="143">
        <f>C36+C37</f>
        <v>1.22</v>
      </c>
      <c r="D38" s="196">
        <f>ROUND(D36+D37,4)</f>
        <v>3.6663000000000001</v>
      </c>
    </row>
    <row r="39" spans="1:4" x14ac:dyDescent="0.25">
      <c r="A39" s="25"/>
      <c r="B39" s="26"/>
      <c r="C39" s="27"/>
      <c r="D39" s="27"/>
    </row>
    <row r="40" spans="1:4" x14ac:dyDescent="0.25">
      <c r="A40" s="26"/>
      <c r="B40" s="28"/>
      <c r="C40" s="28"/>
      <c r="D40" s="9"/>
    </row>
    <row r="41" spans="1:4" ht="15" customHeight="1" x14ac:dyDescent="0.25">
      <c r="A41" s="252" t="s">
        <v>16</v>
      </c>
      <c r="B41" s="253"/>
      <c r="C41" s="138">
        <v>3</v>
      </c>
      <c r="D41" s="29"/>
    </row>
    <row r="42" spans="1:4" ht="36.75" customHeight="1" x14ac:dyDescent="0.25">
      <c r="A42" s="254" t="s">
        <v>23</v>
      </c>
      <c r="B42" s="255"/>
      <c r="C42" s="193">
        <f>D38/C41</f>
        <v>1.2221</v>
      </c>
      <c r="D42" s="29"/>
    </row>
    <row r="43" spans="1:4" x14ac:dyDescent="0.25">
      <c r="A43" s="30"/>
      <c r="B43" s="30"/>
      <c r="C43" s="30"/>
      <c r="D43" s="30"/>
    </row>
    <row r="44" spans="1:4" x14ac:dyDescent="0.25">
      <c r="A44" s="30"/>
      <c r="B44" s="30"/>
      <c r="C44" s="30"/>
      <c r="D44" s="152"/>
    </row>
    <row r="45" spans="1:4" x14ac:dyDescent="0.25">
      <c r="A45" s="30"/>
      <c r="B45" s="30"/>
      <c r="C45" s="30"/>
      <c r="D45" s="152"/>
    </row>
    <row r="46" spans="1:4" x14ac:dyDescent="0.25">
      <c r="A46" s="30"/>
      <c r="B46" s="30"/>
      <c r="C46" s="30"/>
      <c r="D46" s="152"/>
    </row>
    <row r="47" spans="1:4" x14ac:dyDescent="0.25">
      <c r="A47" s="30"/>
      <c r="B47" s="30"/>
      <c r="C47" s="30"/>
      <c r="D47" s="30"/>
    </row>
    <row r="48" spans="1:4" x14ac:dyDescent="0.25">
      <c r="A48" s="231"/>
      <c r="B48" s="231"/>
      <c r="C48" s="9"/>
      <c r="D48" s="9"/>
    </row>
    <row r="49" spans="1:4" x14ac:dyDescent="0.25">
      <c r="A49" s="250"/>
      <c r="B49" s="231"/>
      <c r="C49" s="9"/>
      <c r="D49" s="9"/>
    </row>
    <row r="50" spans="1:4" x14ac:dyDescent="0.25">
      <c r="A50" s="154"/>
      <c r="B50" s="9"/>
      <c r="C50" s="31"/>
      <c r="D50" s="9"/>
    </row>
    <row r="51" spans="1:4" x14ac:dyDescent="0.25">
      <c r="A51" s="250"/>
      <c r="B51" s="250"/>
      <c r="C51" s="31"/>
      <c r="D51" s="9"/>
    </row>
  </sheetData>
  <customSheetViews>
    <customSheetView guid="{3046F990-4623-45D5-BDDC-01BD5999DDBC}" scale="60" showPageBreaks="1" fitToPage="1" printArea="1" view="pageBreakPreview" topLeftCell="A4">
      <selection activeCell="B53" sqref="B53"/>
      <pageMargins left="0.70866141732283472" right="0.70866141732283472" top="0.74803149606299213" bottom="0.74803149606299213" header="0.31496062992125984" footer="0.31496062992125984"/>
      <pageSetup paperSize="9" scale="63" fitToHeight="0" orientation="portrait" verticalDpi="0" r:id="rId1"/>
      <headerFooter>
        <oddFooter>&amp;C&amp;P</oddFooter>
      </headerFooter>
    </customSheetView>
    <customSheetView guid="{FC502735-BE91-49EC-9614-36ECAE88D000}" scale="60" showPageBreaks="1" fitToPage="1" printArea="1" view="pageBreakPreview" topLeftCell="A13">
      <selection activeCell="B34" sqref="B34"/>
      <pageMargins left="0.70866141732283472" right="0.70866141732283472" top="0.74803149606299213" bottom="0.74803149606299213" header="0.31496062992125984" footer="0.31496062992125984"/>
      <pageSetup paperSize="9" scale="63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view="pageBreakPreview">
      <selection activeCell="D23" sqref="D23"/>
      <pageMargins left="0.70866141732283472" right="0.70866141732283472" top="0.74803149606299213" bottom="0.74803149606299213" header="0.31496062992125984" footer="0.31496062992125984"/>
      <pageSetup paperSize="9" scale="65" fitToHeight="0" orientation="portrait" r:id="rId3"/>
      <headerFooter>
        <oddFooter>&amp;C&amp;P</oddFooter>
      </headerFooter>
    </customSheetView>
  </customSheetViews>
  <mergeCells count="10">
    <mergeCell ref="A2:D2"/>
    <mergeCell ref="A10:B10"/>
    <mergeCell ref="A49:B49"/>
    <mergeCell ref="A51:B51"/>
    <mergeCell ref="A41:B41"/>
    <mergeCell ref="A42:B42"/>
    <mergeCell ref="C3:D3"/>
    <mergeCell ref="A6:D6"/>
    <mergeCell ref="A8:B8"/>
    <mergeCell ref="A48:B48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4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view="pageBreakPreview" zoomScale="60" zoomScaleNormal="100" workbookViewId="0">
      <selection activeCell="A53" sqref="A53:B53"/>
    </sheetView>
  </sheetViews>
  <sheetFormatPr defaultRowHeight="15" x14ac:dyDescent="0.25"/>
  <cols>
    <col min="1" max="1" width="14.140625" customWidth="1"/>
    <col min="2" max="2" width="86.85546875" customWidth="1"/>
    <col min="3" max="3" width="14.5703125" customWidth="1"/>
    <col min="4" max="4" width="18.5703125" customWidth="1"/>
    <col min="5" max="7" width="9.140625" hidden="1" customWidth="1"/>
  </cols>
  <sheetData>
    <row r="1" spans="1:9" ht="18.75" x14ac:dyDescent="0.3">
      <c r="A1" s="4"/>
      <c r="B1" s="5"/>
      <c r="C1" s="35"/>
      <c r="D1" s="5"/>
    </row>
    <row r="2" spans="1:9" ht="15.75" x14ac:dyDescent="0.25">
      <c r="A2" s="256" t="s">
        <v>307</v>
      </c>
      <c r="B2" s="256"/>
      <c r="C2" s="256"/>
      <c r="D2" s="256"/>
    </row>
    <row r="3" spans="1:9" x14ac:dyDescent="0.25">
      <c r="A3" s="4"/>
      <c r="B3" s="4"/>
      <c r="C3" s="273"/>
      <c r="D3" s="274"/>
    </row>
    <row r="4" spans="1:9" ht="15.75" x14ac:dyDescent="0.25">
      <c r="A4" s="186" t="s">
        <v>723</v>
      </c>
      <c r="B4" s="32"/>
      <c r="C4" s="32"/>
      <c r="D4" s="32"/>
    </row>
    <row r="5" spans="1:9" x14ac:dyDescent="0.25">
      <c r="A5" s="4"/>
      <c r="B5" s="33"/>
      <c r="C5" s="33"/>
      <c r="D5" s="9"/>
    </row>
    <row r="6" spans="1:9" ht="31.5" customHeight="1" x14ac:dyDescent="0.25">
      <c r="A6" s="272" t="s">
        <v>750</v>
      </c>
      <c r="B6" s="272"/>
      <c r="C6" s="272"/>
      <c r="D6" s="272"/>
    </row>
    <row r="7" spans="1:9" x14ac:dyDescent="0.25">
      <c r="A7" s="10"/>
      <c r="B7" s="34"/>
      <c r="C7" s="34"/>
      <c r="D7" s="9"/>
    </row>
    <row r="8" spans="1:9" x14ac:dyDescent="0.25">
      <c r="A8" s="270" t="s">
        <v>309</v>
      </c>
      <c r="B8" s="271"/>
      <c r="C8" s="34"/>
      <c r="D8" s="9"/>
    </row>
    <row r="9" spans="1:9" x14ac:dyDescent="0.25">
      <c r="A9" s="4"/>
      <c r="B9" s="11"/>
      <c r="C9" s="8"/>
      <c r="D9" s="9"/>
    </row>
    <row r="10" spans="1:9" s="181" customFormat="1" ht="15.75" x14ac:dyDescent="0.25">
      <c r="A10" s="251" t="s">
        <v>743</v>
      </c>
      <c r="B10" s="251"/>
      <c r="C10" s="8"/>
      <c r="D10" s="9"/>
    </row>
    <row r="11" spans="1:9" ht="90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9" x14ac:dyDescent="0.25">
      <c r="A12" s="13">
        <v>1</v>
      </c>
      <c r="B12" s="14">
        <v>2</v>
      </c>
      <c r="C12" s="13">
        <v>3</v>
      </c>
      <c r="D12" s="13">
        <v>4</v>
      </c>
    </row>
    <row r="13" spans="1:9" x14ac:dyDescent="0.25">
      <c r="A13" s="15"/>
      <c r="B13" s="22" t="s">
        <v>13</v>
      </c>
      <c r="C13" s="17"/>
      <c r="D13" s="17"/>
      <c r="I13" t="s">
        <v>82</v>
      </c>
    </row>
    <row r="14" spans="1:9" x14ac:dyDescent="0.25">
      <c r="A14" s="37">
        <v>1100</v>
      </c>
      <c r="B14" s="16" t="s">
        <v>14</v>
      </c>
      <c r="C14" s="38"/>
      <c r="D14" s="38"/>
    </row>
    <row r="15" spans="1:9" ht="75" customHeight="1" x14ac:dyDescent="0.25">
      <c r="A15" s="18"/>
      <c r="B15" s="157" t="s">
        <v>324</v>
      </c>
      <c r="C15" s="55">
        <f>0.08*5</f>
        <v>0.4</v>
      </c>
      <c r="D15" s="55">
        <f>C15*100</f>
        <v>40</v>
      </c>
      <c r="E15" t="s">
        <v>71</v>
      </c>
    </row>
    <row r="16" spans="1:9" ht="36.75" customHeight="1" x14ac:dyDescent="0.25">
      <c r="A16" s="18">
        <v>1200</v>
      </c>
      <c r="B16" s="158" t="s">
        <v>281</v>
      </c>
      <c r="C16" s="55">
        <f>ROUND(C15*0.2359,2)</f>
        <v>0.09</v>
      </c>
      <c r="D16" s="55">
        <f>C16*100</f>
        <v>9</v>
      </c>
      <c r="E16" s="53">
        <v>0.2409</v>
      </c>
    </row>
    <row r="17" spans="1:4" x14ac:dyDescent="0.25">
      <c r="A17" s="18">
        <v>2341</v>
      </c>
      <c r="B17" s="18" t="s">
        <v>19</v>
      </c>
      <c r="C17" s="19"/>
      <c r="D17" s="19"/>
    </row>
    <row r="18" spans="1:4" ht="63" customHeight="1" x14ac:dyDescent="0.25">
      <c r="A18" s="18"/>
      <c r="B18" s="158" t="s">
        <v>325</v>
      </c>
      <c r="C18" s="55">
        <f>0.06+0.06+0.18+0.05+0.02</f>
        <v>0.37</v>
      </c>
      <c r="D18" s="55">
        <f>C18*100</f>
        <v>37</v>
      </c>
    </row>
    <row r="19" spans="1:4" x14ac:dyDescent="0.25">
      <c r="A19" s="68"/>
      <c r="B19" s="159" t="s">
        <v>2</v>
      </c>
      <c r="C19" s="71">
        <f>C15+C16+C18</f>
        <v>0.86</v>
      </c>
      <c r="D19" s="71">
        <f>D15+D16+D18</f>
        <v>86</v>
      </c>
    </row>
    <row r="20" spans="1:4" x14ac:dyDescent="0.25">
      <c r="A20" s="18"/>
      <c r="B20" s="160" t="s">
        <v>20</v>
      </c>
      <c r="C20" s="19"/>
      <c r="D20" s="19"/>
    </row>
    <row r="21" spans="1:4" x14ac:dyDescent="0.25">
      <c r="A21" s="18">
        <v>2219</v>
      </c>
      <c r="B21" s="158" t="s">
        <v>3</v>
      </c>
      <c r="C21" s="19"/>
      <c r="D21" s="19"/>
    </row>
    <row r="22" spans="1:4" ht="73.5" customHeight="1" x14ac:dyDescent="0.25">
      <c r="A22" s="18"/>
      <c r="B22" s="158" t="s">
        <v>692</v>
      </c>
      <c r="C22" s="40">
        <f>ROUND(3.18/18154,4)</f>
        <v>2.0000000000000001E-4</v>
      </c>
      <c r="D22" s="55">
        <f>C22*100</f>
        <v>0.02</v>
      </c>
    </row>
    <row r="23" spans="1:4" x14ac:dyDescent="0.25">
      <c r="A23" s="18">
        <v>2221</v>
      </c>
      <c r="B23" s="158" t="s">
        <v>4</v>
      </c>
      <c r="C23" s="19"/>
      <c r="D23" s="19"/>
    </row>
    <row r="24" spans="1:4" ht="46.5" customHeight="1" x14ac:dyDescent="0.25">
      <c r="A24" s="18"/>
      <c r="B24" s="158" t="s">
        <v>691</v>
      </c>
      <c r="C24" s="55">
        <f>ROUND(301.59/18154,2)</f>
        <v>0.02</v>
      </c>
      <c r="D24" s="194">
        <f>C24*100</f>
        <v>2</v>
      </c>
    </row>
    <row r="25" spans="1:4" ht="15" customHeight="1" x14ac:dyDescent="0.25">
      <c r="A25" s="18">
        <v>2222</v>
      </c>
      <c r="B25" s="158" t="s">
        <v>5</v>
      </c>
      <c r="C25" s="19"/>
      <c r="D25" s="19"/>
    </row>
    <row r="26" spans="1:4" ht="50.25" customHeight="1" x14ac:dyDescent="0.25">
      <c r="A26" s="18"/>
      <c r="B26" s="158" t="s">
        <v>156</v>
      </c>
      <c r="C26" s="36">
        <f>ROUND(31.02/18154,3)</f>
        <v>2E-3</v>
      </c>
      <c r="D26" s="55">
        <f>ROUND(C26*100,2)</f>
        <v>0.2</v>
      </c>
    </row>
    <row r="27" spans="1:4" x14ac:dyDescent="0.25">
      <c r="A27" s="18">
        <v>2223</v>
      </c>
      <c r="B27" s="18" t="s">
        <v>6</v>
      </c>
      <c r="C27" s="19"/>
      <c r="D27" s="19"/>
    </row>
    <row r="28" spans="1:4" ht="48" customHeight="1" x14ac:dyDescent="0.25">
      <c r="A28" s="18"/>
      <c r="B28" s="158" t="s">
        <v>157</v>
      </c>
      <c r="C28" s="55">
        <f>ROUND(538.27/18154,2)</f>
        <v>0.03</v>
      </c>
      <c r="D28" s="55">
        <f>C28*100</f>
        <v>3</v>
      </c>
    </row>
    <row r="29" spans="1:4" x14ac:dyDescent="0.25">
      <c r="A29" s="18">
        <v>2224</v>
      </c>
      <c r="B29" s="158" t="s">
        <v>7</v>
      </c>
      <c r="C29" s="19"/>
      <c r="D29" s="19"/>
    </row>
    <row r="30" spans="1:4" ht="42.75" customHeight="1" x14ac:dyDescent="0.25">
      <c r="A30" s="18"/>
      <c r="B30" s="158" t="s">
        <v>690</v>
      </c>
      <c r="C30" s="36">
        <f>ROUND(28.86/18154,3)</f>
        <v>2E-3</v>
      </c>
      <c r="D30" s="55">
        <f>ROUND(C30*100,3)</f>
        <v>0.2</v>
      </c>
    </row>
    <row r="31" spans="1:4" x14ac:dyDescent="0.25">
      <c r="A31" s="45">
        <v>2231</v>
      </c>
      <c r="B31" s="158" t="s">
        <v>22</v>
      </c>
      <c r="C31" s="36"/>
      <c r="D31" s="19"/>
    </row>
    <row r="32" spans="1:4" ht="152.25" customHeight="1" x14ac:dyDescent="0.25">
      <c r="A32" s="45"/>
      <c r="B32" s="158" t="s">
        <v>689</v>
      </c>
      <c r="C32" s="55">
        <f>ROUND(1201.87/18154,2)</f>
        <v>7.0000000000000007E-2</v>
      </c>
      <c r="D32" s="55">
        <f>C32*100</f>
        <v>7.0000000000000009</v>
      </c>
    </row>
    <row r="33" spans="1:8" ht="17.25" customHeight="1" x14ac:dyDescent="0.25">
      <c r="A33" s="45">
        <v>2243</v>
      </c>
      <c r="B33" s="158" t="s">
        <v>132</v>
      </c>
      <c r="C33" s="55"/>
      <c r="D33" s="55"/>
    </row>
    <row r="34" spans="1:8" ht="43.5" customHeight="1" x14ac:dyDescent="0.25">
      <c r="A34" s="45"/>
      <c r="B34" s="158" t="s">
        <v>905</v>
      </c>
      <c r="C34" s="55">
        <f>ROUND(386.87/18154,2)</f>
        <v>0.02</v>
      </c>
      <c r="D34" s="194">
        <f>C34*100</f>
        <v>2</v>
      </c>
      <c r="H34" s="116"/>
    </row>
    <row r="35" spans="1:8" x14ac:dyDescent="0.25">
      <c r="A35" s="18">
        <v>2244</v>
      </c>
      <c r="B35" s="158" t="s">
        <v>24</v>
      </c>
      <c r="C35" s="19"/>
      <c r="D35" s="195"/>
      <c r="H35" s="116"/>
    </row>
    <row r="36" spans="1:8" ht="49.5" customHeight="1" x14ac:dyDescent="0.25">
      <c r="A36" s="21"/>
      <c r="B36" s="158" t="s">
        <v>158</v>
      </c>
      <c r="C36" s="55">
        <f>ROUND(383.44/18154,2)</f>
        <v>0.02</v>
      </c>
      <c r="D36" s="194">
        <f>C36*100</f>
        <v>2</v>
      </c>
      <c r="H36" s="116"/>
    </row>
    <row r="37" spans="1:8" ht="45.75" customHeight="1" x14ac:dyDescent="0.25">
      <c r="A37" s="21"/>
      <c r="B37" s="158" t="s">
        <v>326</v>
      </c>
      <c r="C37" s="40">
        <f>ROUND(5.03/18154,4)</f>
        <v>2.9999999999999997E-4</v>
      </c>
      <c r="D37" s="55">
        <f>C37*100</f>
        <v>0.03</v>
      </c>
    </row>
    <row r="38" spans="1:8" x14ac:dyDescent="0.25">
      <c r="A38" s="18">
        <v>2249</v>
      </c>
      <c r="B38" s="158" t="s">
        <v>8</v>
      </c>
      <c r="C38" s="19"/>
      <c r="D38" s="19"/>
    </row>
    <row r="39" spans="1:8" ht="47.25" customHeight="1" x14ac:dyDescent="0.25">
      <c r="A39" s="18"/>
      <c r="B39" s="158" t="s">
        <v>159</v>
      </c>
      <c r="C39" s="36">
        <f>ROUND(9.76/18154,3)</f>
        <v>1E-3</v>
      </c>
      <c r="D39" s="55">
        <f>C39*100</f>
        <v>0.1</v>
      </c>
    </row>
    <row r="40" spans="1:8" x14ac:dyDescent="0.25">
      <c r="A40" s="18">
        <v>2311</v>
      </c>
      <c r="B40" s="158" t="s">
        <v>9</v>
      </c>
      <c r="C40" s="36"/>
      <c r="D40" s="19"/>
    </row>
    <row r="41" spans="1:8" ht="43.5" customHeight="1" x14ac:dyDescent="0.25">
      <c r="A41" s="18"/>
      <c r="B41" s="158" t="s">
        <v>160</v>
      </c>
      <c r="C41" s="36">
        <f>ROUND(54.99/18154,3)</f>
        <v>3.0000000000000001E-3</v>
      </c>
      <c r="D41" s="55">
        <f>C41*100</f>
        <v>0.3</v>
      </c>
    </row>
    <row r="42" spans="1:8" x14ac:dyDescent="0.25">
      <c r="A42" s="18">
        <v>2350</v>
      </c>
      <c r="B42" s="158" t="s">
        <v>21</v>
      </c>
      <c r="C42" s="36"/>
      <c r="D42" s="19"/>
    </row>
    <row r="43" spans="1:8" ht="77.25" customHeight="1" x14ac:dyDescent="0.25">
      <c r="A43" s="18"/>
      <c r="B43" s="158" t="s">
        <v>693</v>
      </c>
      <c r="C43" s="40">
        <f>ROUND(6.69/18154,4)</f>
        <v>4.0000000000000002E-4</v>
      </c>
      <c r="D43" s="55">
        <f>ROUND(C43*100,4)</f>
        <v>0.04</v>
      </c>
    </row>
    <row r="44" spans="1:8" ht="16.5" customHeight="1" x14ac:dyDescent="0.25">
      <c r="A44" s="18">
        <v>2513</v>
      </c>
      <c r="B44" s="158" t="s">
        <v>133</v>
      </c>
      <c r="C44" s="40"/>
      <c r="D44" s="55"/>
    </row>
    <row r="45" spans="1:8" ht="47.25" customHeight="1" x14ac:dyDescent="0.25">
      <c r="A45" s="18"/>
      <c r="B45" s="158" t="s">
        <v>904</v>
      </c>
      <c r="C45" s="36">
        <f>ROUND(9.53/18154,3)</f>
        <v>1E-3</v>
      </c>
      <c r="D45" s="55">
        <f>ROUND(C45*100,4)</f>
        <v>0.1</v>
      </c>
    </row>
    <row r="46" spans="1:8" ht="19.5" customHeight="1" x14ac:dyDescent="0.25">
      <c r="A46" s="18">
        <v>5220</v>
      </c>
      <c r="B46" s="158" t="s">
        <v>135</v>
      </c>
      <c r="C46" s="55">
        <v>0</v>
      </c>
      <c r="D46" s="55">
        <v>0</v>
      </c>
    </row>
    <row r="47" spans="1:8" ht="15.75" customHeight="1" x14ac:dyDescent="0.25">
      <c r="A47" s="18">
        <v>5238</v>
      </c>
      <c r="B47" s="158" t="s">
        <v>134</v>
      </c>
      <c r="C47" s="40"/>
      <c r="D47" s="55"/>
    </row>
    <row r="48" spans="1:8" ht="45.75" customHeight="1" x14ac:dyDescent="0.25">
      <c r="A48" s="18"/>
      <c r="B48" s="158" t="s">
        <v>161</v>
      </c>
      <c r="C48" s="36">
        <f>ROUND(33.68/18154,3)</f>
        <v>2E-3</v>
      </c>
      <c r="D48" s="55">
        <f>100*C48</f>
        <v>0.2</v>
      </c>
    </row>
    <row r="49" spans="1:4" x14ac:dyDescent="0.25">
      <c r="A49" s="68"/>
      <c r="B49" s="72" t="s">
        <v>10</v>
      </c>
      <c r="C49" s="71">
        <f>ROUND(C22+C24+C26+C28+C30+C32+C34+C36+C37+C39+C41+C43+C45+C46+C48,4)</f>
        <v>0.1719</v>
      </c>
      <c r="D49" s="71">
        <f>ROUND(D22+D24+D26+D28+D30+D32+D34+D36+D37+D39+D41+D43+D45+D46+D48,4)</f>
        <v>17.190000000000001</v>
      </c>
    </row>
    <row r="50" spans="1:4" x14ac:dyDescent="0.25">
      <c r="A50" s="23"/>
      <c r="B50" s="24" t="s">
        <v>15</v>
      </c>
      <c r="C50" s="52">
        <f>ROUND(C49+C19,4)</f>
        <v>1.0319</v>
      </c>
      <c r="D50" s="192">
        <f>D49+D19</f>
        <v>103.19</v>
      </c>
    </row>
    <row r="51" spans="1:4" x14ac:dyDescent="0.25">
      <c r="A51" s="25"/>
      <c r="B51" s="26"/>
      <c r="C51" s="27"/>
      <c r="D51" s="27"/>
    </row>
    <row r="52" spans="1:4" x14ac:dyDescent="0.25">
      <c r="A52" s="26"/>
      <c r="B52" s="28"/>
      <c r="C52" s="28"/>
      <c r="D52" s="9"/>
    </row>
    <row r="53" spans="1:4" ht="15" customHeight="1" x14ac:dyDescent="0.25">
      <c r="A53" s="252" t="s">
        <v>16</v>
      </c>
      <c r="B53" s="253"/>
      <c r="C53" s="138">
        <v>100</v>
      </c>
      <c r="D53" s="29"/>
    </row>
    <row r="54" spans="1:4" ht="30.75" customHeight="1" x14ac:dyDescent="0.25">
      <c r="A54" s="254" t="s">
        <v>23</v>
      </c>
      <c r="B54" s="255"/>
      <c r="C54" s="193">
        <f>D50/C53</f>
        <v>1.0319</v>
      </c>
      <c r="D54" s="29"/>
    </row>
    <row r="55" spans="1:4" x14ac:dyDescent="0.25">
      <c r="A55" s="30"/>
      <c r="B55" s="30"/>
      <c r="C55" s="67"/>
      <c r="D55" s="30"/>
    </row>
    <row r="56" spans="1:4" x14ac:dyDescent="0.25">
      <c r="A56" s="30"/>
      <c r="B56" s="30"/>
      <c r="C56" s="30"/>
      <c r="D56" s="152"/>
    </row>
    <row r="57" spans="1:4" x14ac:dyDescent="0.25">
      <c r="A57" s="30"/>
      <c r="B57" s="30"/>
      <c r="C57" s="30"/>
      <c r="D57" s="152"/>
    </row>
    <row r="58" spans="1:4" x14ac:dyDescent="0.25">
      <c r="A58" s="30"/>
      <c r="B58" s="30"/>
      <c r="C58" s="30"/>
      <c r="D58" s="152"/>
    </row>
    <row r="59" spans="1:4" x14ac:dyDescent="0.25">
      <c r="A59" s="30"/>
      <c r="B59" s="30"/>
      <c r="C59" s="30"/>
      <c r="D59" s="30"/>
    </row>
    <row r="60" spans="1:4" x14ac:dyDescent="0.25">
      <c r="A60" s="231"/>
      <c r="B60" s="231"/>
      <c r="C60" s="9"/>
      <c r="D60" s="9"/>
    </row>
    <row r="61" spans="1:4" x14ac:dyDescent="0.25">
      <c r="A61" s="250"/>
      <c r="B61" s="231"/>
      <c r="C61" s="9"/>
      <c r="D61" s="9"/>
    </row>
    <row r="62" spans="1:4" x14ac:dyDescent="0.25">
      <c r="A62" s="154"/>
      <c r="B62" s="9"/>
      <c r="C62" s="31"/>
      <c r="D62" s="9"/>
    </row>
    <row r="63" spans="1:4" x14ac:dyDescent="0.25">
      <c r="A63" s="250"/>
      <c r="B63" s="250"/>
      <c r="C63" s="31"/>
      <c r="D63" s="9"/>
    </row>
  </sheetData>
  <customSheetViews>
    <customSheetView guid="{3046F990-4623-45D5-BDDC-01BD5999DDBC}" scale="60" showPageBreaks="1" fitToPage="1" printArea="1" hiddenColumns="1" view="pageBreakPreview">
      <selection activeCell="A53" sqref="A53:B53"/>
      <rowBreaks count="1" manualBreakCount="1">
        <brk id="34" max="6" man="1"/>
      </rowBreaks>
      <colBreaks count="1" manualBreakCount="1">
        <brk id="4" max="53" man="1"/>
      </colBreaks>
      <pageMargins left="0.70866141732283472" right="0.70866141732283472" top="0.74803149606299213" bottom="0.74803149606299213" header="0.31496062992125984" footer="0.31496062992125984"/>
      <pageSetup paperSize="9" scale="65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hiddenColumns="1" view="pageBreakPreview" topLeftCell="A19">
      <selection activeCell="A36" sqref="A36"/>
      <rowBreaks count="1" manualBreakCount="1">
        <brk id="34" max="6" man="1"/>
      </rowBreaks>
      <colBreaks count="1" manualBreakCount="1">
        <brk id="4" max="53" man="1"/>
      </colBreaks>
      <pageMargins left="0.70866141732283472" right="0.70866141732283472" top="0.74803149606299213" bottom="0.74803149606299213" header="0.31496062992125984" footer="0.31496062992125984"/>
      <pageSetup paperSize="9" scale="65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hiddenColumns="1" view="pageBreakPreview">
      <selection activeCell="A53" sqref="A53:B53"/>
      <rowBreaks count="1" manualBreakCount="1">
        <brk id="34" max="6" man="1"/>
      </rowBreaks>
      <colBreaks count="1" manualBreakCount="1">
        <brk id="4" max="53" man="1"/>
      </colBreaks>
      <pageMargins left="0.70866141732283472" right="0.70866141732283472" top="0.74803149606299213" bottom="0.74803149606299213" header="0.31496062992125984" footer="0.31496062992125984"/>
      <pageSetup paperSize="9" scale="65" fitToHeight="0" orientation="portrait" r:id="rId3"/>
      <headerFooter>
        <oddFooter>&amp;C&amp;P</oddFooter>
      </headerFooter>
    </customSheetView>
  </customSheetViews>
  <mergeCells count="10">
    <mergeCell ref="A2:D2"/>
    <mergeCell ref="A6:D6"/>
    <mergeCell ref="A10:B10"/>
    <mergeCell ref="A63:B63"/>
    <mergeCell ref="A53:B53"/>
    <mergeCell ref="A54:B54"/>
    <mergeCell ref="C3:D3"/>
    <mergeCell ref="A8:B8"/>
    <mergeCell ref="A60:B60"/>
    <mergeCell ref="A61:B61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4"/>
  <headerFooter>
    <oddFooter>&amp;C&amp;P</oddFooter>
  </headerFooter>
  <rowBreaks count="1" manualBreakCount="1">
    <brk id="34" max="6" man="1"/>
  </rowBreaks>
  <colBreaks count="1" manualBreakCount="1">
    <brk id="4" max="5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view="pageBreakPreview" zoomScale="60" zoomScaleNormal="100" workbookViewId="0">
      <selection activeCell="D59" sqref="D59"/>
    </sheetView>
  </sheetViews>
  <sheetFormatPr defaultRowHeight="15" x14ac:dyDescent="0.25"/>
  <cols>
    <col min="1" max="1" width="15.42578125" customWidth="1"/>
    <col min="2" max="2" width="63.28515625" customWidth="1"/>
    <col min="3" max="3" width="21.28515625" customWidth="1"/>
    <col min="4" max="4" width="25.7109375" customWidth="1"/>
  </cols>
  <sheetData>
    <row r="1" spans="1:4" ht="18.75" x14ac:dyDescent="0.3">
      <c r="A1" s="4"/>
      <c r="B1" s="5"/>
      <c r="C1" s="35"/>
      <c r="D1" s="5"/>
    </row>
    <row r="2" spans="1:4" s="181" customFormat="1" ht="15.75" customHeight="1" x14ac:dyDescent="0.25">
      <c r="A2" s="256" t="s">
        <v>307</v>
      </c>
      <c r="B2" s="256"/>
      <c r="C2" s="256"/>
      <c r="D2" s="256"/>
    </row>
    <row r="3" spans="1:4" s="181" customFormat="1" ht="15" customHeight="1" x14ac:dyDescent="0.25">
      <c r="A3" s="4"/>
      <c r="B3" s="4"/>
      <c r="C3" s="273"/>
      <c r="D3" s="274"/>
    </row>
    <row r="4" spans="1:4" s="181" customFormat="1" ht="15.75" x14ac:dyDescent="0.25">
      <c r="A4" s="186" t="s">
        <v>723</v>
      </c>
      <c r="B4" s="32"/>
      <c r="C4" s="32"/>
      <c r="D4" s="32"/>
    </row>
    <row r="5" spans="1:4" s="181" customFormat="1" x14ac:dyDescent="0.25">
      <c r="A5" s="4"/>
      <c r="B5" s="33"/>
      <c r="C5" s="33"/>
      <c r="D5" s="9"/>
    </row>
    <row r="6" spans="1:4" s="181" customFormat="1" ht="15.75" x14ac:dyDescent="0.25">
      <c r="A6" s="272" t="s">
        <v>979</v>
      </c>
      <c r="B6" s="272"/>
      <c r="C6" s="272"/>
      <c r="D6" s="272"/>
    </row>
    <row r="7" spans="1:4" s="181" customFormat="1" x14ac:dyDescent="0.25">
      <c r="A7" s="180"/>
      <c r="B7" s="34"/>
      <c r="C7" s="34"/>
      <c r="D7" s="9"/>
    </row>
    <row r="8" spans="1:4" s="181" customFormat="1" x14ac:dyDescent="0.25">
      <c r="A8" s="270" t="s">
        <v>309</v>
      </c>
      <c r="B8" s="271"/>
      <c r="C8" s="34"/>
      <c r="D8" s="9"/>
    </row>
    <row r="9" spans="1:4" s="181" customFormat="1" ht="15" customHeight="1" x14ac:dyDescent="0.25">
      <c r="A9" s="4"/>
      <c r="B9" s="11"/>
      <c r="C9" s="8"/>
      <c r="D9" s="9"/>
    </row>
    <row r="10" spans="1:4" s="181" customFormat="1" ht="15.75" x14ac:dyDescent="0.25">
      <c r="A10" s="251" t="s">
        <v>978</v>
      </c>
      <c r="B10" s="251"/>
      <c r="C10" s="8"/>
      <c r="D10" s="9"/>
    </row>
    <row r="11" spans="1:4" ht="60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4" x14ac:dyDescent="0.25">
      <c r="A12" s="13">
        <v>1</v>
      </c>
      <c r="B12" s="14">
        <v>2</v>
      </c>
      <c r="C12" s="13">
        <v>3</v>
      </c>
      <c r="D12" s="13">
        <v>4</v>
      </c>
    </row>
    <row r="13" spans="1:4" x14ac:dyDescent="0.25">
      <c r="A13" s="15"/>
      <c r="B13" s="22" t="s">
        <v>13</v>
      </c>
      <c r="C13" s="17"/>
      <c r="D13" s="17"/>
    </row>
    <row r="14" spans="1:4" x14ac:dyDescent="0.25">
      <c r="A14" s="37">
        <v>1100</v>
      </c>
      <c r="B14" s="16" t="s">
        <v>14</v>
      </c>
      <c r="C14" s="38"/>
      <c r="D14" s="38"/>
    </row>
    <row r="15" spans="1:4" ht="108.75" customHeight="1" x14ac:dyDescent="0.25">
      <c r="A15" s="18"/>
      <c r="B15" s="157" t="s">
        <v>997</v>
      </c>
      <c r="C15" s="55">
        <f>0.08*10</f>
        <v>0.8</v>
      </c>
      <c r="D15" s="55">
        <f>C15*337</f>
        <v>269.60000000000002</v>
      </c>
    </row>
    <row r="16" spans="1:4" ht="31.5" customHeight="1" x14ac:dyDescent="0.25">
      <c r="A16" s="18">
        <v>1200</v>
      </c>
      <c r="B16" s="158" t="s">
        <v>688</v>
      </c>
      <c r="C16" s="55">
        <f>ROUND(C15*0.2359,2)</f>
        <v>0.19</v>
      </c>
      <c r="D16" s="55">
        <f>0.19*337</f>
        <v>64.03</v>
      </c>
    </row>
    <row r="17" spans="1:4" x14ac:dyDescent="0.25">
      <c r="A17" s="18">
        <v>2341</v>
      </c>
      <c r="B17" s="18" t="s">
        <v>77</v>
      </c>
      <c r="C17" s="19"/>
      <c r="D17" s="19"/>
    </row>
    <row r="18" spans="1:4" ht="122.25" customHeight="1" x14ac:dyDescent="0.25">
      <c r="A18" s="18"/>
      <c r="B18" s="158" t="s">
        <v>982</v>
      </c>
      <c r="C18" s="55">
        <f>0.01+0.01+0.07+0.29+0.04+0.13+0.06+0.09+0.07</f>
        <v>0.77</v>
      </c>
      <c r="D18" s="55">
        <f>0.77*337</f>
        <v>259.49</v>
      </c>
    </row>
    <row r="19" spans="1:4" x14ac:dyDescent="0.25">
      <c r="A19" s="74"/>
      <c r="B19" s="159" t="s">
        <v>2</v>
      </c>
      <c r="C19" s="71">
        <f>C18+C15+C16</f>
        <v>1.76</v>
      </c>
      <c r="D19" s="71">
        <f>D16+D14+D18+D15</f>
        <v>593.12</v>
      </c>
    </row>
    <row r="20" spans="1:4" x14ac:dyDescent="0.25">
      <c r="A20" s="18"/>
      <c r="B20" s="160" t="s">
        <v>20</v>
      </c>
      <c r="C20" s="19"/>
      <c r="D20" s="19"/>
    </row>
    <row r="21" spans="1:4" x14ac:dyDescent="0.25">
      <c r="A21" s="18">
        <v>2219</v>
      </c>
      <c r="B21" s="158" t="s">
        <v>3</v>
      </c>
      <c r="C21" s="19"/>
      <c r="D21" s="19"/>
    </row>
    <row r="22" spans="1:4" ht="122.25" customHeight="1" x14ac:dyDescent="0.25">
      <c r="A22" s="18"/>
      <c r="B22" s="158" t="s">
        <v>983</v>
      </c>
      <c r="C22" s="40">
        <f>ROUND(3.18/18154,4)</f>
        <v>2.0000000000000001E-4</v>
      </c>
      <c r="D22" s="55">
        <f>C22*337</f>
        <v>6.7400000000000002E-2</v>
      </c>
    </row>
    <row r="23" spans="1:4" x14ac:dyDescent="0.25">
      <c r="A23" s="18">
        <v>2221</v>
      </c>
      <c r="B23" s="158" t="s">
        <v>4</v>
      </c>
      <c r="C23" s="19"/>
      <c r="D23" s="55"/>
    </row>
    <row r="24" spans="1:4" ht="63.75" customHeight="1" x14ac:dyDescent="0.25">
      <c r="A24" s="18"/>
      <c r="B24" s="158" t="s">
        <v>984</v>
      </c>
      <c r="C24" s="55">
        <f>ROUND(301.59/18154,3)</f>
        <v>1.7000000000000001E-2</v>
      </c>
      <c r="D24" s="55">
        <f>C24*337</f>
        <v>5.7290000000000001</v>
      </c>
    </row>
    <row r="25" spans="1:4" ht="18.75" customHeight="1" x14ac:dyDescent="0.25">
      <c r="A25" s="18">
        <v>2222</v>
      </c>
      <c r="B25" s="158" t="s">
        <v>5</v>
      </c>
      <c r="C25" s="19"/>
      <c r="D25" s="55"/>
    </row>
    <row r="26" spans="1:4" ht="62.25" customHeight="1" x14ac:dyDescent="0.25">
      <c r="A26" s="18"/>
      <c r="B26" s="158" t="s">
        <v>985</v>
      </c>
      <c r="C26" s="36">
        <f>ROUND(31.02/18154,3)</f>
        <v>2E-3</v>
      </c>
      <c r="D26" s="55">
        <f>C26*337</f>
        <v>0.67400000000000004</v>
      </c>
    </row>
    <row r="27" spans="1:4" x14ac:dyDescent="0.25">
      <c r="A27" s="18">
        <v>2223</v>
      </c>
      <c r="B27" s="18" t="s">
        <v>6</v>
      </c>
      <c r="C27" s="19"/>
      <c r="D27" s="55"/>
    </row>
    <row r="28" spans="1:4" ht="62.25" customHeight="1" x14ac:dyDescent="0.25">
      <c r="A28" s="18"/>
      <c r="B28" s="158" t="s">
        <v>986</v>
      </c>
      <c r="C28" s="55">
        <f>ROUND(538.27/18154,2)</f>
        <v>0.03</v>
      </c>
      <c r="D28" s="55">
        <f>C28*337</f>
        <v>10.11</v>
      </c>
    </row>
    <row r="29" spans="1:4" x14ac:dyDescent="0.25">
      <c r="A29" s="18">
        <v>2224</v>
      </c>
      <c r="B29" s="158" t="s">
        <v>7</v>
      </c>
      <c r="C29" s="19"/>
      <c r="D29" s="55"/>
    </row>
    <row r="30" spans="1:4" ht="61.5" customHeight="1" x14ac:dyDescent="0.25">
      <c r="A30" s="18"/>
      <c r="B30" s="158" t="s">
        <v>987</v>
      </c>
      <c r="C30" s="36">
        <f>ROUND(28.86/18154,3)</f>
        <v>2E-3</v>
      </c>
      <c r="D30" s="55">
        <f>C30*337</f>
        <v>0.67400000000000004</v>
      </c>
    </row>
    <row r="31" spans="1:4" x14ac:dyDescent="0.25">
      <c r="A31" s="45">
        <v>2231</v>
      </c>
      <c r="B31" s="158" t="s">
        <v>22</v>
      </c>
      <c r="C31" s="36"/>
      <c r="D31" s="55"/>
    </row>
    <row r="32" spans="1:4" ht="229.5" customHeight="1" x14ac:dyDescent="0.25">
      <c r="A32" s="45"/>
      <c r="B32" s="158" t="s">
        <v>988</v>
      </c>
      <c r="C32" s="55">
        <f>ROUND(1201.87/18154,2)</f>
        <v>7.0000000000000007E-2</v>
      </c>
      <c r="D32" s="55">
        <f>C32*337</f>
        <v>23.590000000000003</v>
      </c>
    </row>
    <row r="33" spans="1:4" ht="17.25" customHeight="1" x14ac:dyDescent="0.25">
      <c r="A33" s="45">
        <v>2243</v>
      </c>
      <c r="B33" s="158" t="s">
        <v>132</v>
      </c>
      <c r="C33" s="55"/>
      <c r="D33" s="55"/>
    </row>
    <row r="34" spans="1:4" ht="60" customHeight="1" x14ac:dyDescent="0.25">
      <c r="A34" s="45"/>
      <c r="B34" s="158" t="s">
        <v>989</v>
      </c>
      <c r="C34" s="55">
        <f>ROUND(386.87/18154,3)</f>
        <v>2.1000000000000001E-2</v>
      </c>
      <c r="D34" s="55">
        <f>C34*337</f>
        <v>7.0770000000000008</v>
      </c>
    </row>
    <row r="35" spans="1:4" x14ac:dyDescent="0.25">
      <c r="A35" s="18">
        <v>2244</v>
      </c>
      <c r="B35" s="158" t="s">
        <v>24</v>
      </c>
      <c r="C35" s="19"/>
      <c r="D35" s="55"/>
    </row>
    <row r="36" spans="1:4" ht="68.25" customHeight="1" x14ac:dyDescent="0.25">
      <c r="A36" s="21"/>
      <c r="B36" s="158" t="s">
        <v>990</v>
      </c>
      <c r="C36" s="55">
        <f>ROUND(383.44/18154,4)</f>
        <v>2.1100000000000001E-2</v>
      </c>
      <c r="D36" s="55">
        <f>C36*337</f>
        <v>7.1107000000000005</v>
      </c>
    </row>
    <row r="37" spans="1:4" ht="62.25" customHeight="1" x14ac:dyDescent="0.25">
      <c r="A37" s="21"/>
      <c r="B37" s="158" t="s">
        <v>991</v>
      </c>
      <c r="C37" s="40">
        <f>ROUND(5.03/18154,4)</f>
        <v>2.9999999999999997E-4</v>
      </c>
      <c r="D37" s="55">
        <f>C37*337</f>
        <v>0.1011</v>
      </c>
    </row>
    <row r="38" spans="1:4" x14ac:dyDescent="0.25">
      <c r="A38" s="18">
        <v>2249</v>
      </c>
      <c r="B38" s="158" t="s">
        <v>8</v>
      </c>
      <c r="C38" s="19"/>
      <c r="D38" s="55"/>
    </row>
    <row r="39" spans="1:4" ht="66" customHeight="1" x14ac:dyDescent="0.25">
      <c r="A39" s="18"/>
      <c r="B39" s="158" t="s">
        <v>992</v>
      </c>
      <c r="C39" s="36">
        <f>ROUND(9.76/18154,4)</f>
        <v>5.0000000000000001E-4</v>
      </c>
      <c r="D39" s="55">
        <f>C39*337</f>
        <v>0.16850000000000001</v>
      </c>
    </row>
    <row r="40" spans="1:4" x14ac:dyDescent="0.25">
      <c r="A40" s="18">
        <v>2311</v>
      </c>
      <c r="B40" s="158" t="s">
        <v>9</v>
      </c>
      <c r="C40" s="36"/>
      <c r="D40" s="55"/>
    </row>
    <row r="41" spans="1:4" ht="62.25" customHeight="1" x14ac:dyDescent="0.25">
      <c r="A41" s="18"/>
      <c r="B41" s="158" t="s">
        <v>993</v>
      </c>
      <c r="C41" s="36">
        <f>ROUND(54.99/18154,3)</f>
        <v>3.0000000000000001E-3</v>
      </c>
      <c r="D41" s="55">
        <f>C41*337</f>
        <v>1.0110000000000001</v>
      </c>
    </row>
    <row r="42" spans="1:4" x14ac:dyDescent="0.25">
      <c r="A42" s="18">
        <v>2350</v>
      </c>
      <c r="B42" s="158" t="s">
        <v>21</v>
      </c>
      <c r="C42" s="36"/>
      <c r="D42" s="55"/>
    </row>
    <row r="43" spans="1:4" ht="108.75" customHeight="1" x14ac:dyDescent="0.25">
      <c r="A43" s="18"/>
      <c r="B43" s="158" t="s">
        <v>994</v>
      </c>
      <c r="C43" s="40">
        <f>ROUND(6.69/18154,4)</f>
        <v>4.0000000000000002E-4</v>
      </c>
      <c r="D43" s="55">
        <f>C43*337</f>
        <v>0.1348</v>
      </c>
    </row>
    <row r="44" spans="1:4" ht="15" customHeight="1" x14ac:dyDescent="0.25">
      <c r="A44" s="18">
        <v>2513</v>
      </c>
      <c r="B44" s="158" t="s">
        <v>133</v>
      </c>
      <c r="C44" s="40"/>
      <c r="D44" s="55"/>
    </row>
    <row r="45" spans="1:4" ht="68.25" customHeight="1" x14ac:dyDescent="0.25">
      <c r="A45" s="18"/>
      <c r="B45" s="158" t="s">
        <v>995</v>
      </c>
      <c r="C45" s="36">
        <f>ROUND(9.53/18154,4)</f>
        <v>5.0000000000000001E-4</v>
      </c>
      <c r="D45" s="55">
        <f>C45*337</f>
        <v>0.16850000000000001</v>
      </c>
    </row>
    <row r="46" spans="1:4" ht="18.75" customHeight="1" x14ac:dyDescent="0.25">
      <c r="A46" s="18">
        <v>5220</v>
      </c>
      <c r="B46" s="158" t="s">
        <v>135</v>
      </c>
      <c r="C46" s="55">
        <v>0</v>
      </c>
      <c r="D46" s="55">
        <f>C46*337</f>
        <v>0</v>
      </c>
    </row>
    <row r="47" spans="1:4" ht="17.25" customHeight="1" x14ac:dyDescent="0.25">
      <c r="A47" s="18">
        <v>5238</v>
      </c>
      <c r="B47" s="158" t="s">
        <v>134</v>
      </c>
      <c r="C47" s="40"/>
      <c r="D47" s="55"/>
    </row>
    <row r="48" spans="1:4" ht="63" customHeight="1" x14ac:dyDescent="0.25">
      <c r="A48" s="18"/>
      <c r="B48" s="158" t="s">
        <v>996</v>
      </c>
      <c r="C48" s="36">
        <f>ROUND(33.68/18154,3)</f>
        <v>2E-3</v>
      </c>
      <c r="D48" s="55">
        <f>C48*337</f>
        <v>0.67400000000000004</v>
      </c>
    </row>
    <row r="49" spans="1:4" x14ac:dyDescent="0.25">
      <c r="A49" s="68"/>
      <c r="B49" s="72" t="s">
        <v>10</v>
      </c>
      <c r="C49" s="71">
        <f>ROUND(C22+C24+C26+C28+C30+C32+C34+C36+C37+C39+C41+C43+C45+C46+C48,2)</f>
        <v>0.17</v>
      </c>
      <c r="D49" s="71">
        <f>ROUND(D22+D24+D26+D28+D30+D32+D34+D36+D37+D39+D41+D43+D45+D46+D48,2)</f>
        <v>57.29</v>
      </c>
    </row>
    <row r="50" spans="1:4" x14ac:dyDescent="0.25">
      <c r="A50" s="23"/>
      <c r="B50" s="24" t="s">
        <v>15</v>
      </c>
      <c r="C50" s="52">
        <f>ROUND(C49+C19,2)</f>
        <v>1.93</v>
      </c>
      <c r="D50" s="52">
        <f>D49+D19</f>
        <v>650.41</v>
      </c>
    </row>
    <row r="51" spans="1:4" x14ac:dyDescent="0.25">
      <c r="A51" s="25"/>
      <c r="B51" s="26"/>
      <c r="C51" s="27"/>
      <c r="D51" s="27"/>
    </row>
    <row r="52" spans="1:4" x14ac:dyDescent="0.25">
      <c r="A52" s="26"/>
      <c r="B52" s="28"/>
      <c r="C52" s="28"/>
      <c r="D52" s="9"/>
    </row>
    <row r="53" spans="1:4" ht="15" customHeight="1" x14ac:dyDescent="0.25">
      <c r="A53" s="252" t="s">
        <v>16</v>
      </c>
      <c r="B53" s="253"/>
      <c r="C53" s="138">
        <v>337</v>
      </c>
      <c r="D53" s="29"/>
    </row>
    <row r="54" spans="1:4" ht="29.25" customHeight="1" x14ac:dyDescent="0.25">
      <c r="A54" s="252" t="s">
        <v>23</v>
      </c>
      <c r="B54" s="253"/>
      <c r="C54" s="139">
        <f>D50/337</f>
        <v>1.93</v>
      </c>
      <c r="D54" s="29"/>
    </row>
    <row r="55" spans="1:4" x14ac:dyDescent="0.25">
      <c r="A55" s="30"/>
      <c r="B55" s="30"/>
      <c r="C55" s="30"/>
      <c r="D55" s="30"/>
    </row>
    <row r="56" spans="1:4" x14ac:dyDescent="0.25">
      <c r="A56" s="30"/>
      <c r="B56" s="30"/>
      <c r="C56" s="30"/>
      <c r="D56" s="152"/>
    </row>
    <row r="57" spans="1:4" x14ac:dyDescent="0.25">
      <c r="A57" s="30"/>
      <c r="B57" s="30"/>
      <c r="C57" s="30"/>
      <c r="D57" s="152"/>
    </row>
    <row r="58" spans="1:4" x14ac:dyDescent="0.25">
      <c r="A58" s="30"/>
      <c r="B58" s="30"/>
      <c r="C58" s="30"/>
      <c r="D58" s="152"/>
    </row>
    <row r="59" spans="1:4" x14ac:dyDescent="0.25">
      <c r="A59" s="30"/>
      <c r="B59" s="30"/>
      <c r="C59" s="30"/>
      <c r="D59" s="30"/>
    </row>
    <row r="60" spans="1:4" x14ac:dyDescent="0.25">
      <c r="A60" s="231"/>
      <c r="B60" s="231"/>
      <c r="C60" s="9"/>
      <c r="D60" s="9"/>
    </row>
    <row r="61" spans="1:4" x14ac:dyDescent="0.25">
      <c r="A61" s="250"/>
      <c r="B61" s="231"/>
      <c r="C61" s="9"/>
      <c r="D61" s="9"/>
    </row>
    <row r="62" spans="1:4" x14ac:dyDescent="0.25">
      <c r="A62" s="154"/>
      <c r="B62" s="9"/>
      <c r="C62" s="31"/>
      <c r="D62" s="9"/>
    </row>
    <row r="63" spans="1:4" x14ac:dyDescent="0.25">
      <c r="A63" s="250"/>
      <c r="B63" s="250"/>
      <c r="C63" s="31"/>
      <c r="D63" s="9"/>
    </row>
  </sheetData>
  <customSheetViews>
    <customSheetView guid="{3046F990-4623-45D5-BDDC-01BD5999DDBC}" scale="60" showPageBreaks="1" fitToPage="1" printArea="1" view="pageBreakPreview" topLeftCell="A34">
      <selection activeCell="F51" sqref="F51"/>
      <rowBreaks count="1" manualBreakCount="1">
        <brk id="30" max="3" man="1"/>
      </rowBreaks>
      <pageMargins left="0.70866141732283472" right="0.70866141732283472" top="0.74803149606299213" bottom="0.74803149606299213" header="0.31496062992125984" footer="0.31496062992125984"/>
      <pageSetup paperSize="9" scale="69" fitToHeight="0" orientation="portrait" r:id="rId1"/>
      <headerFooter>
        <oddFooter>&amp;C&amp;P</oddFooter>
      </headerFooter>
    </customSheetView>
    <customSheetView guid="{FC502735-BE91-49EC-9614-36ECAE88D000}" showPageBreaks="1" fitToPage="1" printArea="1" topLeftCell="A7">
      <selection activeCell="D49" sqref="D49"/>
      <rowBreaks count="1" manualBreakCount="1">
        <brk id="30" max="3" man="1"/>
      </rowBreaks>
      <pageMargins left="0.70866141732283472" right="0.70866141732283472" top="0.74803149606299213" bottom="0.74803149606299213" header="0.31496062992125984" footer="0.31496062992125984"/>
      <pageSetup paperSize="9" scale="69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view="pageBreakPreview">
      <selection activeCell="D59" sqref="D59"/>
      <rowBreaks count="1" manualBreakCount="1">
        <brk id="30" max="3" man="1"/>
      </rowBreaks>
      <pageMargins left="0.70866141732283472" right="0.70866141732283472" top="0.74803149606299213" bottom="0.74803149606299213" header="0.31496062992125984" footer="0.31496062992125984"/>
      <pageSetup paperSize="9" scale="69" fitToHeight="0" orientation="portrait" r:id="rId3"/>
      <headerFooter>
        <oddFooter>&amp;C&amp;P</oddFooter>
      </headerFooter>
    </customSheetView>
  </customSheetViews>
  <mergeCells count="10">
    <mergeCell ref="A61:B61"/>
    <mergeCell ref="A63:B63"/>
    <mergeCell ref="A54:B54"/>
    <mergeCell ref="C3:D3"/>
    <mergeCell ref="A53:B53"/>
    <mergeCell ref="A2:D2"/>
    <mergeCell ref="A6:D6"/>
    <mergeCell ref="A8:B8"/>
    <mergeCell ref="A10:B10"/>
    <mergeCell ref="A60:B60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4"/>
  <headerFooter>
    <oddFooter>&amp;C&amp;P</oddFooter>
  </headerFooter>
  <rowBreaks count="1" manualBreakCount="1">
    <brk id="30" max="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view="pageBreakPreview" zoomScale="60" zoomScaleNormal="100" workbookViewId="0">
      <selection activeCell="A53" sqref="A53:B53"/>
    </sheetView>
  </sheetViews>
  <sheetFormatPr defaultRowHeight="15" x14ac:dyDescent="0.25"/>
  <cols>
    <col min="1" max="1" width="13.42578125" customWidth="1"/>
    <col min="2" max="2" width="72.85546875" customWidth="1"/>
    <col min="3" max="3" width="14.28515625" customWidth="1"/>
    <col min="4" max="4" width="19" customWidth="1"/>
  </cols>
  <sheetData>
    <row r="1" spans="1:4" ht="18.75" x14ac:dyDescent="0.3">
      <c r="A1" s="4"/>
      <c r="B1" s="5"/>
      <c r="C1" s="35"/>
      <c r="D1" s="5"/>
    </row>
    <row r="2" spans="1:4" ht="15.75" customHeight="1" x14ac:dyDescent="0.25">
      <c r="A2" s="256" t="s">
        <v>307</v>
      </c>
      <c r="B2" s="256"/>
      <c r="C2" s="256"/>
      <c r="D2" s="256"/>
    </row>
    <row r="3" spans="1:4" ht="15" customHeight="1" x14ac:dyDescent="0.25">
      <c r="A3" s="4"/>
      <c r="B3" s="4"/>
      <c r="C3" s="273"/>
      <c r="D3" s="274"/>
    </row>
    <row r="4" spans="1:4" ht="15.75" x14ac:dyDescent="0.25">
      <c r="A4" s="186" t="s">
        <v>723</v>
      </c>
      <c r="B4" s="32"/>
      <c r="C4" s="32"/>
      <c r="D4" s="32"/>
    </row>
    <row r="5" spans="1:4" x14ac:dyDescent="0.25">
      <c r="A5" s="4"/>
      <c r="B5" s="33"/>
      <c r="C5" s="33"/>
      <c r="D5" s="9"/>
    </row>
    <row r="6" spans="1:4" ht="15.75" x14ac:dyDescent="0.25">
      <c r="A6" s="272" t="s">
        <v>980</v>
      </c>
      <c r="B6" s="272"/>
      <c r="C6" s="272"/>
      <c r="D6" s="272"/>
    </row>
    <row r="7" spans="1:4" x14ac:dyDescent="0.25">
      <c r="A7" s="180"/>
      <c r="B7" s="34"/>
      <c r="C7" s="34"/>
      <c r="D7" s="9"/>
    </row>
    <row r="8" spans="1:4" x14ac:dyDescent="0.25">
      <c r="A8" s="270" t="s">
        <v>309</v>
      </c>
      <c r="B8" s="271"/>
      <c r="C8" s="34"/>
      <c r="D8" s="9"/>
    </row>
    <row r="9" spans="1:4" ht="15" customHeight="1" x14ac:dyDescent="0.25">
      <c r="A9" s="4"/>
      <c r="B9" s="11"/>
      <c r="C9" s="8"/>
      <c r="D9" s="9"/>
    </row>
    <row r="10" spans="1:4" ht="15.75" x14ac:dyDescent="0.25">
      <c r="A10" s="251" t="s">
        <v>751</v>
      </c>
      <c r="B10" s="251"/>
      <c r="C10" s="8"/>
      <c r="D10" s="9"/>
    </row>
    <row r="11" spans="1:4" ht="90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4" x14ac:dyDescent="0.25">
      <c r="A12" s="13">
        <v>1</v>
      </c>
      <c r="B12" s="14">
        <v>2</v>
      </c>
      <c r="C12" s="13">
        <v>3</v>
      </c>
      <c r="D12" s="13">
        <v>4</v>
      </c>
    </row>
    <row r="13" spans="1:4" x14ac:dyDescent="0.25">
      <c r="A13" s="15"/>
      <c r="B13" s="22" t="s">
        <v>13</v>
      </c>
      <c r="C13" s="17"/>
      <c r="D13" s="17"/>
    </row>
    <row r="14" spans="1:4" x14ac:dyDescent="0.25">
      <c r="A14" s="37">
        <v>1100</v>
      </c>
      <c r="B14" s="16" t="s">
        <v>14</v>
      </c>
      <c r="C14" s="38"/>
      <c r="D14" s="38"/>
    </row>
    <row r="15" spans="1:4" ht="96" customHeight="1" x14ac:dyDescent="0.25">
      <c r="A15" s="18"/>
      <c r="B15" s="157" t="s">
        <v>687</v>
      </c>
      <c r="C15" s="55">
        <f>0.08*10</f>
        <v>0.8</v>
      </c>
      <c r="D15" s="55">
        <f>C15*100</f>
        <v>80</v>
      </c>
    </row>
    <row r="16" spans="1:4" ht="32.25" customHeight="1" x14ac:dyDescent="0.25">
      <c r="A16" s="18">
        <v>1200</v>
      </c>
      <c r="B16" s="158" t="s">
        <v>328</v>
      </c>
      <c r="C16" s="55">
        <f>ROUND(C15*0.2359,2)</f>
        <v>0.19</v>
      </c>
      <c r="D16" s="55">
        <f>C16*100</f>
        <v>19</v>
      </c>
    </row>
    <row r="17" spans="1:4" x14ac:dyDescent="0.25">
      <c r="A17" s="18">
        <v>2341</v>
      </c>
      <c r="B17" s="18" t="s">
        <v>77</v>
      </c>
      <c r="C17" s="19"/>
      <c r="D17" s="19"/>
    </row>
    <row r="18" spans="1:4" ht="111.75" customHeight="1" x14ac:dyDescent="0.25">
      <c r="A18" s="18"/>
      <c r="B18" s="158" t="s">
        <v>686</v>
      </c>
      <c r="C18" s="55">
        <f>ROUND(0.01+0.005+0.07+0.29+0.04+0.13+0.06+0.16+0.09+0.07,2)</f>
        <v>0.93</v>
      </c>
      <c r="D18" s="55">
        <f>C18*100</f>
        <v>93</v>
      </c>
    </row>
    <row r="19" spans="1:4" x14ac:dyDescent="0.25">
      <c r="A19" s="68"/>
      <c r="B19" s="159" t="s">
        <v>2</v>
      </c>
      <c r="C19" s="71">
        <f>SUM(C14:C18)</f>
        <v>1.92</v>
      </c>
      <c r="D19" s="71">
        <f>D18+D16+D14+D15</f>
        <v>192</v>
      </c>
    </row>
    <row r="20" spans="1:4" x14ac:dyDescent="0.25">
      <c r="A20" s="18"/>
      <c r="B20" s="160" t="s">
        <v>20</v>
      </c>
      <c r="C20" s="19"/>
      <c r="D20" s="19"/>
    </row>
    <row r="21" spans="1:4" x14ac:dyDescent="0.25">
      <c r="A21" s="18">
        <v>2219</v>
      </c>
      <c r="B21" s="158" t="s">
        <v>3</v>
      </c>
      <c r="C21" s="19"/>
      <c r="D21" s="19"/>
    </row>
    <row r="22" spans="1:4" ht="113.25" customHeight="1" x14ac:dyDescent="0.25">
      <c r="A22" s="18"/>
      <c r="B22" s="158" t="s">
        <v>685</v>
      </c>
      <c r="C22" s="40">
        <f>ROUND(3.18/18154,4)</f>
        <v>2.0000000000000001E-4</v>
      </c>
      <c r="D22" s="55">
        <f>C22*100</f>
        <v>0.02</v>
      </c>
    </row>
    <row r="23" spans="1:4" x14ac:dyDescent="0.25">
      <c r="A23" s="18">
        <v>2221</v>
      </c>
      <c r="B23" s="158" t="s">
        <v>4</v>
      </c>
      <c r="C23" s="19"/>
      <c r="D23" s="19"/>
    </row>
    <row r="24" spans="1:4" ht="53.25" customHeight="1" x14ac:dyDescent="0.25">
      <c r="A24" s="18"/>
      <c r="B24" s="158" t="s">
        <v>684</v>
      </c>
      <c r="C24" s="55">
        <f>ROUND(301.59/18154,3)</f>
        <v>1.7000000000000001E-2</v>
      </c>
      <c r="D24" s="55">
        <f>C24*100</f>
        <v>1.7000000000000002</v>
      </c>
    </row>
    <row r="25" spans="1:4" ht="18.75" customHeight="1" x14ac:dyDescent="0.25">
      <c r="A25" s="18">
        <v>2222</v>
      </c>
      <c r="B25" s="158" t="s">
        <v>5</v>
      </c>
      <c r="C25" s="19"/>
      <c r="D25" s="19"/>
    </row>
    <row r="26" spans="1:4" ht="64.5" customHeight="1" x14ac:dyDescent="0.25">
      <c r="A26" s="18"/>
      <c r="B26" s="158" t="s">
        <v>162</v>
      </c>
      <c r="C26" s="36">
        <f>ROUND(31.02/18154,3)</f>
        <v>2E-3</v>
      </c>
      <c r="D26" s="55">
        <f>C26*100</f>
        <v>0.2</v>
      </c>
    </row>
    <row r="27" spans="1:4" x14ac:dyDescent="0.25">
      <c r="A27" s="18">
        <v>2223</v>
      </c>
      <c r="B27" s="18" t="s">
        <v>6</v>
      </c>
      <c r="C27" s="19"/>
      <c r="D27" s="19"/>
    </row>
    <row r="28" spans="1:4" ht="63.75" customHeight="1" x14ac:dyDescent="0.25">
      <c r="A28" s="18"/>
      <c r="B28" s="158" t="s">
        <v>157</v>
      </c>
      <c r="C28" s="55">
        <f>ROUND(538.27/18154,2)</f>
        <v>0.03</v>
      </c>
      <c r="D28" s="55">
        <f>C28*100</f>
        <v>3</v>
      </c>
    </row>
    <row r="29" spans="1:4" x14ac:dyDescent="0.25">
      <c r="A29" s="18">
        <v>2224</v>
      </c>
      <c r="B29" s="158" t="s">
        <v>7</v>
      </c>
      <c r="C29" s="19"/>
      <c r="D29" s="19"/>
    </row>
    <row r="30" spans="1:4" ht="64.5" customHeight="1" x14ac:dyDescent="0.25">
      <c r="A30" s="18"/>
      <c r="B30" s="158" t="s">
        <v>683</v>
      </c>
      <c r="C30" s="36">
        <f>ROUND(28.86/18154,3)</f>
        <v>2E-3</v>
      </c>
      <c r="D30" s="55">
        <f>C30*100</f>
        <v>0.2</v>
      </c>
    </row>
    <row r="31" spans="1:4" x14ac:dyDescent="0.25">
      <c r="A31" s="45">
        <v>2231</v>
      </c>
      <c r="B31" s="158" t="s">
        <v>22</v>
      </c>
      <c r="C31" s="36"/>
      <c r="D31" s="19"/>
    </row>
    <row r="32" spans="1:4" ht="196.5" customHeight="1" x14ac:dyDescent="0.25">
      <c r="A32" s="45"/>
      <c r="B32" s="158" t="s">
        <v>682</v>
      </c>
      <c r="C32" s="55">
        <f>ROUND(1201.87/18154,2)</f>
        <v>7.0000000000000007E-2</v>
      </c>
      <c r="D32" s="55">
        <f>C32*100</f>
        <v>7.0000000000000009</v>
      </c>
    </row>
    <row r="33" spans="1:4" ht="21" customHeight="1" x14ac:dyDescent="0.25">
      <c r="A33" s="45">
        <v>2243</v>
      </c>
      <c r="B33" s="158" t="s">
        <v>132</v>
      </c>
      <c r="C33" s="55"/>
      <c r="D33" s="55"/>
    </row>
    <row r="34" spans="1:4" ht="63" customHeight="1" x14ac:dyDescent="0.25">
      <c r="A34" s="45"/>
      <c r="B34" s="158" t="s">
        <v>681</v>
      </c>
      <c r="C34" s="55">
        <f>ROUND(386.87/18154,2)</f>
        <v>0.02</v>
      </c>
      <c r="D34" s="194">
        <f>C34*100</f>
        <v>2</v>
      </c>
    </row>
    <row r="35" spans="1:4" x14ac:dyDescent="0.25">
      <c r="A35" s="18">
        <v>2244</v>
      </c>
      <c r="B35" s="158" t="s">
        <v>24</v>
      </c>
      <c r="C35" s="19"/>
      <c r="D35" s="195"/>
    </row>
    <row r="36" spans="1:4" ht="63" customHeight="1" x14ac:dyDescent="0.25">
      <c r="A36" s="21"/>
      <c r="B36" s="158" t="s">
        <v>801</v>
      </c>
      <c r="C36" s="55">
        <f>ROUND(383.44/18154,2)</f>
        <v>0.02</v>
      </c>
      <c r="D36" s="194">
        <f>C36*100</f>
        <v>2</v>
      </c>
    </row>
    <row r="37" spans="1:4" ht="63.75" customHeight="1" x14ac:dyDescent="0.25">
      <c r="A37" s="21"/>
      <c r="B37" s="158" t="s">
        <v>970</v>
      </c>
      <c r="C37" s="40">
        <f>ROUND(5.03/18154,4)</f>
        <v>2.9999999999999997E-4</v>
      </c>
      <c r="D37" s="55">
        <f>C37*100</f>
        <v>0.03</v>
      </c>
    </row>
    <row r="38" spans="1:4" x14ac:dyDescent="0.25">
      <c r="A38" s="18">
        <v>2249</v>
      </c>
      <c r="B38" s="158" t="s">
        <v>8</v>
      </c>
      <c r="C38" s="19"/>
      <c r="D38" s="19"/>
    </row>
    <row r="39" spans="1:4" ht="64.5" customHeight="1" x14ac:dyDescent="0.25">
      <c r="A39" s="18"/>
      <c r="B39" s="158" t="s">
        <v>802</v>
      </c>
      <c r="C39" s="36">
        <f>ROUND(9.76/18154,3)</f>
        <v>1E-3</v>
      </c>
      <c r="D39" s="194">
        <f>C39*100</f>
        <v>0.1</v>
      </c>
    </row>
    <row r="40" spans="1:4" x14ac:dyDescent="0.25">
      <c r="A40" s="18">
        <v>2311</v>
      </c>
      <c r="B40" s="158" t="s">
        <v>9</v>
      </c>
      <c r="C40" s="36"/>
      <c r="D40" s="19"/>
    </row>
    <row r="41" spans="1:4" ht="65.25" customHeight="1" x14ac:dyDescent="0.25">
      <c r="A41" s="18"/>
      <c r="B41" s="158" t="s">
        <v>164</v>
      </c>
      <c r="C41" s="36">
        <f>ROUND(54.99/18154,3)</f>
        <v>3.0000000000000001E-3</v>
      </c>
      <c r="D41" s="55">
        <f>C41*100</f>
        <v>0.3</v>
      </c>
    </row>
    <row r="42" spans="1:4" x14ac:dyDescent="0.25">
      <c r="A42" s="18">
        <v>2350</v>
      </c>
      <c r="B42" s="158" t="s">
        <v>21</v>
      </c>
      <c r="C42" s="36"/>
      <c r="D42" s="19"/>
    </row>
    <row r="43" spans="1:4" ht="93.75" customHeight="1" x14ac:dyDescent="0.25">
      <c r="A43" s="18"/>
      <c r="B43" s="158" t="s">
        <v>163</v>
      </c>
      <c r="C43" s="40">
        <f>ROUND(6.69/18154,4)</f>
        <v>4.0000000000000002E-4</v>
      </c>
      <c r="D43" s="55">
        <f>C43*100</f>
        <v>0.04</v>
      </c>
    </row>
    <row r="44" spans="1:4" ht="16.5" customHeight="1" x14ac:dyDescent="0.25">
      <c r="A44" s="18">
        <v>2513</v>
      </c>
      <c r="B44" s="158" t="s">
        <v>133</v>
      </c>
      <c r="C44" s="40"/>
      <c r="D44" s="55"/>
    </row>
    <row r="45" spans="1:4" ht="63.75" customHeight="1" x14ac:dyDescent="0.25">
      <c r="A45" s="18"/>
      <c r="B45" s="158" t="s">
        <v>330</v>
      </c>
      <c r="C45" s="36">
        <f>ROUND(9.53/18154,4)</f>
        <v>5.0000000000000001E-4</v>
      </c>
      <c r="D45" s="55">
        <f>C45*100</f>
        <v>0.05</v>
      </c>
    </row>
    <row r="46" spans="1:4" ht="17.25" customHeight="1" x14ac:dyDescent="0.25">
      <c r="A46" s="18">
        <v>5220</v>
      </c>
      <c r="B46" s="158" t="s">
        <v>135</v>
      </c>
      <c r="C46" s="55">
        <v>0</v>
      </c>
      <c r="D46" s="55">
        <v>0</v>
      </c>
    </row>
    <row r="47" spans="1:4" ht="18" customHeight="1" x14ac:dyDescent="0.25">
      <c r="A47" s="18">
        <v>5238</v>
      </c>
      <c r="B47" s="158" t="s">
        <v>134</v>
      </c>
      <c r="C47" s="40"/>
      <c r="D47" s="55"/>
    </row>
    <row r="48" spans="1:4" ht="63" customHeight="1" x14ac:dyDescent="0.25">
      <c r="A48" s="18"/>
      <c r="B48" s="158" t="s">
        <v>329</v>
      </c>
      <c r="C48" s="36">
        <f>ROUND(33.68/18154,3)</f>
        <v>2E-3</v>
      </c>
      <c r="D48" s="55">
        <f>C48*100</f>
        <v>0.2</v>
      </c>
    </row>
    <row r="49" spans="1:4" x14ac:dyDescent="0.25">
      <c r="A49" s="68"/>
      <c r="B49" s="167" t="s">
        <v>10</v>
      </c>
      <c r="C49" s="71">
        <f>ROUND(C22+C24+C26+C28+C30+C32+C34+C36+C37+C39+C41+C43+C45+C46+C48,4)</f>
        <v>0.16839999999999999</v>
      </c>
      <c r="D49" s="71">
        <f>ROUND(D22+D24+D26+D28+D30+D32+D34+D36+D37+D39+D41+D43+D45+D46+D48,2)</f>
        <v>16.84</v>
      </c>
    </row>
    <row r="50" spans="1:4" x14ac:dyDescent="0.25">
      <c r="A50" s="23"/>
      <c r="B50" s="168" t="s">
        <v>15</v>
      </c>
      <c r="C50" s="52">
        <f>ROUND(C49+C19,4)</f>
        <v>2.0884</v>
      </c>
      <c r="D50" s="192">
        <f>ROUND(D49+D19,2)</f>
        <v>208.84</v>
      </c>
    </row>
    <row r="51" spans="1:4" x14ac:dyDescent="0.25">
      <c r="A51" s="25"/>
      <c r="B51" s="26"/>
      <c r="C51" s="27"/>
      <c r="D51" s="27"/>
    </row>
    <row r="52" spans="1:4" x14ac:dyDescent="0.25">
      <c r="A52" s="26"/>
      <c r="B52" s="28"/>
      <c r="C52" s="28"/>
      <c r="D52" s="9"/>
    </row>
    <row r="53" spans="1:4" ht="15" customHeight="1" x14ac:dyDescent="0.25">
      <c r="A53" s="252" t="s">
        <v>16</v>
      </c>
      <c r="B53" s="253"/>
      <c r="C53" s="84">
        <v>100</v>
      </c>
      <c r="D53" s="29"/>
    </row>
    <row r="54" spans="1:4" ht="33" customHeight="1" x14ac:dyDescent="0.25">
      <c r="A54" s="254" t="s">
        <v>23</v>
      </c>
      <c r="B54" s="255"/>
      <c r="C54" s="193">
        <f>D50/C53</f>
        <v>2.0884</v>
      </c>
      <c r="D54" s="29"/>
    </row>
    <row r="55" spans="1:4" x14ac:dyDescent="0.25">
      <c r="A55" s="30"/>
      <c r="B55" s="30"/>
      <c r="C55" s="30"/>
      <c r="D55" s="30"/>
    </row>
    <row r="56" spans="1:4" x14ac:dyDescent="0.25">
      <c r="A56" s="30"/>
      <c r="B56" s="30"/>
      <c r="C56" s="30"/>
      <c r="D56" s="152"/>
    </row>
    <row r="57" spans="1:4" x14ac:dyDescent="0.25">
      <c r="A57" s="30"/>
      <c r="B57" s="30"/>
      <c r="C57" s="30"/>
      <c r="D57" s="152"/>
    </row>
    <row r="58" spans="1:4" x14ac:dyDescent="0.25">
      <c r="A58" s="30"/>
      <c r="B58" s="30"/>
      <c r="C58" s="30"/>
      <c r="D58" s="152"/>
    </row>
    <row r="59" spans="1:4" x14ac:dyDescent="0.25">
      <c r="A59" s="30"/>
      <c r="B59" s="30"/>
      <c r="C59" s="30"/>
      <c r="D59" s="30"/>
    </row>
    <row r="60" spans="1:4" x14ac:dyDescent="0.25">
      <c r="A60" s="231"/>
      <c r="B60" s="231"/>
      <c r="C60" s="9"/>
      <c r="D60" s="9"/>
    </row>
    <row r="61" spans="1:4" x14ac:dyDescent="0.25">
      <c r="A61" s="250"/>
      <c r="B61" s="231"/>
      <c r="C61" s="9"/>
      <c r="D61" s="9"/>
    </row>
    <row r="62" spans="1:4" x14ac:dyDescent="0.25">
      <c r="A62" s="154"/>
      <c r="B62" s="9"/>
      <c r="C62" s="31"/>
      <c r="D62" s="9"/>
    </row>
    <row r="63" spans="1:4" x14ac:dyDescent="0.25">
      <c r="A63" s="250"/>
      <c r="B63" s="250"/>
      <c r="C63" s="31"/>
      <c r="D63" s="9"/>
    </row>
    <row r="64" spans="1:4" x14ac:dyDescent="0.25">
      <c r="A64" s="148"/>
      <c r="B64" s="148"/>
    </row>
  </sheetData>
  <customSheetViews>
    <customSheetView guid="{3046F990-4623-45D5-BDDC-01BD5999DDBC}" scale="60" showPageBreaks="1" fitToPage="1" printArea="1" view="pageBreakPreview">
      <selection activeCell="A53" sqref="A53:B53"/>
      <rowBreaks count="1" manualBreakCount="1">
        <brk id="31" max="3" man="1"/>
      </rowBreaks>
      <pageMargins left="0.70866141732283472" right="0.70866141732283472" top="0.74803149606299213" bottom="0.74803149606299213" header="0.31496062992125984" footer="0.31496062992125984"/>
      <pageSetup paperSize="9" scale="72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view="pageBreakPreview" topLeftCell="A10">
      <selection activeCell="B48" sqref="B48"/>
      <rowBreaks count="1" manualBreakCount="1">
        <brk id="31" max="3" man="1"/>
      </rowBreaks>
      <pageMargins left="0.70866141732283472" right="0.70866141732283472" top="0.74803149606299213" bottom="0.74803149606299213" header="0.31496062992125984" footer="0.31496062992125984"/>
      <pageSetup paperSize="9" scale="72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view="pageBreakPreview">
      <selection activeCell="A53" sqref="A53:B53"/>
      <rowBreaks count="1" manualBreakCount="1">
        <brk id="31" max="3" man="1"/>
      </rowBreaks>
      <pageMargins left="0.70866141732283472" right="0.70866141732283472" top="0.74803149606299213" bottom="0.74803149606299213" header="0.31496062992125984" footer="0.31496062992125984"/>
      <pageSetup paperSize="9" scale="73" fitToHeight="0" orientation="portrait" r:id="rId3"/>
      <headerFooter>
        <oddFooter>&amp;C&amp;P</oddFooter>
      </headerFooter>
    </customSheetView>
  </customSheetViews>
  <mergeCells count="10">
    <mergeCell ref="A61:B61"/>
    <mergeCell ref="A63:B63"/>
    <mergeCell ref="A54:B54"/>
    <mergeCell ref="C3:D3"/>
    <mergeCell ref="A53:B53"/>
    <mergeCell ref="A2:D2"/>
    <mergeCell ref="A6:D6"/>
    <mergeCell ref="A8:B8"/>
    <mergeCell ref="A10:B10"/>
    <mergeCell ref="A60:B60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4"/>
  <headerFooter>
    <oddFooter>&amp;C&amp;P</oddFooter>
  </headerFooter>
  <rowBreaks count="1" manualBreakCount="1">
    <brk id="31" max="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view="pageBreakPreview" zoomScale="60" zoomScaleNormal="100" workbookViewId="0">
      <selection activeCell="B53" sqref="B53"/>
    </sheetView>
  </sheetViews>
  <sheetFormatPr defaultRowHeight="15" x14ac:dyDescent="0.25"/>
  <cols>
    <col min="1" max="1" width="13.85546875" customWidth="1"/>
    <col min="2" max="2" width="76.28515625" customWidth="1"/>
    <col min="3" max="3" width="20.28515625" customWidth="1"/>
    <col min="4" max="4" width="24" customWidth="1"/>
  </cols>
  <sheetData>
    <row r="1" spans="1:4" ht="18.75" x14ac:dyDescent="0.3">
      <c r="A1" s="4"/>
      <c r="B1" s="5"/>
      <c r="C1" s="35"/>
      <c r="D1" s="5"/>
    </row>
    <row r="2" spans="1:4" ht="15.75" customHeight="1" x14ac:dyDescent="0.25">
      <c r="A2" s="256" t="s">
        <v>307</v>
      </c>
      <c r="B2" s="256"/>
      <c r="C2" s="256"/>
      <c r="D2" s="256"/>
    </row>
    <row r="3" spans="1:4" ht="15" customHeight="1" x14ac:dyDescent="0.25">
      <c r="A3" s="4"/>
      <c r="B3" s="4"/>
      <c r="C3" s="273"/>
      <c r="D3" s="274"/>
    </row>
    <row r="4" spans="1:4" ht="15.75" x14ac:dyDescent="0.25">
      <c r="A4" s="186" t="s">
        <v>723</v>
      </c>
      <c r="B4" s="32"/>
      <c r="C4" s="32"/>
      <c r="D4" s="32"/>
    </row>
    <row r="5" spans="1:4" x14ac:dyDescent="0.25">
      <c r="A5" s="4"/>
      <c r="B5" s="33"/>
      <c r="C5" s="33"/>
      <c r="D5" s="9"/>
    </row>
    <row r="6" spans="1:4" ht="33.75" customHeight="1" x14ac:dyDescent="0.25">
      <c r="A6" s="272" t="s">
        <v>981</v>
      </c>
      <c r="B6" s="272"/>
      <c r="C6" s="272"/>
      <c r="D6" s="272"/>
    </row>
    <row r="7" spans="1:4" x14ac:dyDescent="0.25">
      <c r="A7" s="180"/>
      <c r="B7" s="34"/>
      <c r="C7" s="34"/>
      <c r="D7" s="9"/>
    </row>
    <row r="8" spans="1:4" x14ac:dyDescent="0.25">
      <c r="A8" s="270" t="s">
        <v>309</v>
      </c>
      <c r="B8" s="271"/>
      <c r="C8" s="34"/>
      <c r="D8" s="9"/>
    </row>
    <row r="9" spans="1:4" ht="15" customHeight="1" x14ac:dyDescent="0.25">
      <c r="A9" s="4"/>
      <c r="B9" s="11"/>
      <c r="C9" s="8"/>
      <c r="D9" s="9"/>
    </row>
    <row r="10" spans="1:4" ht="15.75" x14ac:dyDescent="0.25">
      <c r="A10" s="251" t="s">
        <v>752</v>
      </c>
      <c r="B10" s="251"/>
      <c r="C10" s="8"/>
      <c r="D10" s="9"/>
    </row>
    <row r="11" spans="1:4" ht="60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4" x14ac:dyDescent="0.25">
      <c r="A12" s="13">
        <v>1</v>
      </c>
      <c r="B12" s="14">
        <v>2</v>
      </c>
      <c r="C12" s="13">
        <v>3</v>
      </c>
      <c r="D12" s="13">
        <v>4</v>
      </c>
    </row>
    <row r="13" spans="1:4" x14ac:dyDescent="0.25">
      <c r="A13" s="15"/>
      <c r="B13" s="22" t="s">
        <v>13</v>
      </c>
      <c r="C13" s="17"/>
      <c r="D13" s="17"/>
    </row>
    <row r="14" spans="1:4" x14ac:dyDescent="0.25">
      <c r="A14" s="37">
        <v>1100</v>
      </c>
      <c r="B14" s="16" t="s">
        <v>14</v>
      </c>
      <c r="C14" s="38"/>
      <c r="D14" s="38"/>
    </row>
    <row r="15" spans="1:4" ht="96.75" customHeight="1" x14ac:dyDescent="0.25">
      <c r="A15" s="18"/>
      <c r="B15" s="157" t="s">
        <v>331</v>
      </c>
      <c r="C15" s="55">
        <f>0.11*6</f>
        <v>0.66</v>
      </c>
      <c r="D15" s="55">
        <f>C15*1500</f>
        <v>990</v>
      </c>
    </row>
    <row r="16" spans="1:4" ht="36" customHeight="1" x14ac:dyDescent="0.25">
      <c r="A16" s="18">
        <v>1200</v>
      </c>
      <c r="B16" s="158" t="s">
        <v>332</v>
      </c>
      <c r="C16" s="55">
        <f>ROUND(C15*0.2359,2)</f>
        <v>0.16</v>
      </c>
      <c r="D16" s="55">
        <f>C16*1500</f>
        <v>240</v>
      </c>
    </row>
    <row r="17" spans="1:4" x14ac:dyDescent="0.25">
      <c r="A17" s="18">
        <v>2341</v>
      </c>
      <c r="B17" s="18" t="s">
        <v>77</v>
      </c>
      <c r="C17" s="19"/>
      <c r="D17" s="19"/>
    </row>
    <row r="18" spans="1:4" ht="92.25" customHeight="1" x14ac:dyDescent="0.25">
      <c r="A18" s="18"/>
      <c r="B18" s="158" t="s">
        <v>333</v>
      </c>
      <c r="C18" s="55">
        <f>0.76+0.06+0.06+0.04+0.02</f>
        <v>0.94000000000000017</v>
      </c>
      <c r="D18" s="55">
        <f>C18*1500</f>
        <v>1410.0000000000002</v>
      </c>
    </row>
    <row r="19" spans="1:4" ht="31.5" hidden="1" customHeight="1" x14ac:dyDescent="0.25">
      <c r="A19" s="18"/>
      <c r="B19" s="158" t="s">
        <v>72</v>
      </c>
      <c r="C19" s="36"/>
      <c r="D19" s="55"/>
    </row>
    <row r="20" spans="1:4" x14ac:dyDescent="0.25">
      <c r="A20" s="68"/>
      <c r="B20" s="159" t="s">
        <v>2</v>
      </c>
      <c r="C20" s="71">
        <f>SUM(C14:C18)</f>
        <v>1.7600000000000002</v>
      </c>
      <c r="D20" s="71">
        <f>SUM(D14:D19)</f>
        <v>2640</v>
      </c>
    </row>
    <row r="21" spans="1:4" x14ac:dyDescent="0.25">
      <c r="A21" s="18"/>
      <c r="B21" s="160" t="s">
        <v>20</v>
      </c>
      <c r="C21" s="19"/>
      <c r="D21" s="19"/>
    </row>
    <row r="22" spans="1:4" x14ac:dyDescent="0.25">
      <c r="A22" s="18">
        <v>2219</v>
      </c>
      <c r="B22" s="158" t="s">
        <v>3</v>
      </c>
      <c r="C22" s="19"/>
      <c r="D22" s="19"/>
    </row>
    <row r="23" spans="1:4" ht="95.25" customHeight="1" x14ac:dyDescent="0.25">
      <c r="A23" s="18"/>
      <c r="B23" s="158" t="s">
        <v>680</v>
      </c>
      <c r="C23" s="40">
        <f>ROUND(3.18/18154,4)</f>
        <v>2.0000000000000001E-4</v>
      </c>
      <c r="D23" s="55">
        <f>C23*1500</f>
        <v>0.3</v>
      </c>
    </row>
    <row r="24" spans="1:4" x14ac:dyDescent="0.25">
      <c r="A24" s="18">
        <v>2221</v>
      </c>
      <c r="B24" s="158" t="s">
        <v>4</v>
      </c>
      <c r="C24" s="19"/>
      <c r="D24" s="19"/>
    </row>
    <row r="25" spans="1:4" ht="50.25" customHeight="1" x14ac:dyDescent="0.25">
      <c r="A25" s="18"/>
      <c r="B25" s="158" t="s">
        <v>679</v>
      </c>
      <c r="C25" s="55">
        <f>ROUND(301.59/18154,3)</f>
        <v>1.7000000000000001E-2</v>
      </c>
      <c r="D25" s="55">
        <f>C25*1500</f>
        <v>25.500000000000004</v>
      </c>
    </row>
    <row r="26" spans="1:4" ht="18.75" customHeight="1" x14ac:dyDescent="0.25">
      <c r="A26" s="18">
        <v>2222</v>
      </c>
      <c r="B26" s="158" t="s">
        <v>5</v>
      </c>
      <c r="C26" s="19"/>
      <c r="D26" s="19"/>
    </row>
    <row r="27" spans="1:4" ht="50.25" customHeight="1" x14ac:dyDescent="0.25">
      <c r="A27" s="18"/>
      <c r="B27" s="158" t="s">
        <v>165</v>
      </c>
      <c r="C27" s="36">
        <f>ROUND(31.02/18154,3)</f>
        <v>2E-3</v>
      </c>
      <c r="D27" s="55">
        <f>C27*1500</f>
        <v>3</v>
      </c>
    </row>
    <row r="28" spans="1:4" x14ac:dyDescent="0.25">
      <c r="A28" s="18">
        <v>2223</v>
      </c>
      <c r="B28" s="18" t="s">
        <v>6</v>
      </c>
      <c r="C28" s="19"/>
      <c r="D28" s="19"/>
    </row>
    <row r="29" spans="1:4" ht="43.5" customHeight="1" x14ac:dyDescent="0.25">
      <c r="A29" s="18"/>
      <c r="B29" s="158" t="s">
        <v>334</v>
      </c>
      <c r="C29" s="55">
        <f>ROUND(538.27/18154,2)</f>
        <v>0.03</v>
      </c>
      <c r="D29" s="55">
        <f>C29*1500</f>
        <v>45</v>
      </c>
    </row>
    <row r="30" spans="1:4" x14ac:dyDescent="0.25">
      <c r="A30" s="18">
        <v>2224</v>
      </c>
      <c r="B30" s="158" t="s">
        <v>7</v>
      </c>
      <c r="C30" s="19"/>
      <c r="D30" s="19"/>
    </row>
    <row r="31" spans="1:4" ht="50.25" customHeight="1" x14ac:dyDescent="0.25">
      <c r="A31" s="18"/>
      <c r="B31" s="158" t="s">
        <v>803</v>
      </c>
      <c r="C31" s="36">
        <f>ROUND(28.86/18154,3)</f>
        <v>2E-3</v>
      </c>
      <c r="D31" s="55">
        <f>C31*1500</f>
        <v>3</v>
      </c>
    </row>
    <row r="32" spans="1:4" x14ac:dyDescent="0.25">
      <c r="A32" s="45">
        <v>2231</v>
      </c>
      <c r="B32" s="158" t="s">
        <v>22</v>
      </c>
      <c r="C32" s="36"/>
      <c r="D32" s="19"/>
    </row>
    <row r="33" spans="1:4" ht="180.75" customHeight="1" x14ac:dyDescent="0.25">
      <c r="A33" s="45"/>
      <c r="B33" s="158" t="s">
        <v>662</v>
      </c>
      <c r="C33" s="55">
        <f>ROUND(1201.87/18154,2)</f>
        <v>7.0000000000000007E-2</v>
      </c>
      <c r="D33" s="55">
        <f>C33*1500</f>
        <v>105.00000000000001</v>
      </c>
    </row>
    <row r="34" spans="1:4" ht="15.75" customHeight="1" x14ac:dyDescent="0.25">
      <c r="A34" s="45">
        <v>2243</v>
      </c>
      <c r="B34" s="158" t="s">
        <v>132</v>
      </c>
      <c r="C34" s="55"/>
      <c r="D34" s="55"/>
    </row>
    <row r="35" spans="1:4" ht="65.25" customHeight="1" x14ac:dyDescent="0.25">
      <c r="A35" s="45"/>
      <c r="B35" s="158" t="s">
        <v>384</v>
      </c>
      <c r="C35" s="55">
        <f>ROUND(386.87/18154,3)</f>
        <v>2.1000000000000001E-2</v>
      </c>
      <c r="D35" s="82">
        <f>C35*1500</f>
        <v>31.500000000000004</v>
      </c>
    </row>
    <row r="36" spans="1:4" x14ac:dyDescent="0.25">
      <c r="A36" s="18">
        <v>2244</v>
      </c>
      <c r="B36" s="158" t="s">
        <v>24</v>
      </c>
      <c r="C36" s="19"/>
      <c r="D36" s="19"/>
    </row>
    <row r="37" spans="1:4" ht="63.75" customHeight="1" x14ac:dyDescent="0.25">
      <c r="A37" s="21"/>
      <c r="B37" s="158" t="s">
        <v>167</v>
      </c>
      <c r="C37" s="55">
        <f>ROUND(383.44/18154,4)</f>
        <v>2.1100000000000001E-2</v>
      </c>
      <c r="D37" s="55">
        <f>C37*1500</f>
        <v>31.650000000000002</v>
      </c>
    </row>
    <row r="38" spans="1:4" ht="48.75" customHeight="1" x14ac:dyDescent="0.25">
      <c r="A38" s="21"/>
      <c r="B38" s="158" t="s">
        <v>335</v>
      </c>
      <c r="C38" s="40">
        <f>ROUND(5.03/18154,4)</f>
        <v>2.9999999999999997E-4</v>
      </c>
      <c r="D38" s="55">
        <f>C38*1500</f>
        <v>0.44999999999999996</v>
      </c>
    </row>
    <row r="39" spans="1:4" x14ac:dyDescent="0.25">
      <c r="A39" s="18">
        <v>2249</v>
      </c>
      <c r="B39" s="158" t="s">
        <v>8</v>
      </c>
      <c r="C39" s="19"/>
      <c r="D39" s="19"/>
    </row>
    <row r="40" spans="1:4" ht="63.75" customHeight="1" x14ac:dyDescent="0.25">
      <c r="A40" s="18"/>
      <c r="B40" s="158" t="s">
        <v>813</v>
      </c>
      <c r="C40" s="36">
        <f>ROUND(9.76/18154,4)</f>
        <v>5.0000000000000001E-4</v>
      </c>
      <c r="D40" s="55">
        <f>C40*1500</f>
        <v>0.75</v>
      </c>
    </row>
    <row r="41" spans="1:4" x14ac:dyDescent="0.25">
      <c r="A41" s="18">
        <v>2311</v>
      </c>
      <c r="B41" s="158" t="s">
        <v>9</v>
      </c>
      <c r="C41" s="36"/>
      <c r="D41" s="19"/>
    </row>
    <row r="42" spans="1:4" ht="65.25" customHeight="1" x14ac:dyDescent="0.25">
      <c r="A42" s="18"/>
      <c r="B42" s="158" t="s">
        <v>814</v>
      </c>
      <c r="C42" s="36">
        <f>ROUND(54.99/18154,3)</f>
        <v>3.0000000000000001E-3</v>
      </c>
      <c r="D42" s="55">
        <f>C42*1500</f>
        <v>4.5</v>
      </c>
    </row>
    <row r="43" spans="1:4" ht="18.75" customHeight="1" x14ac:dyDescent="0.25">
      <c r="A43" s="18">
        <v>2350</v>
      </c>
      <c r="B43" s="158" t="s">
        <v>21</v>
      </c>
      <c r="C43" s="36"/>
      <c r="D43" s="19"/>
    </row>
    <row r="44" spans="1:4" ht="91.5" customHeight="1" x14ac:dyDescent="0.25">
      <c r="A44" s="18"/>
      <c r="B44" s="158" t="s">
        <v>336</v>
      </c>
      <c r="C44" s="40">
        <f>ROUND(6.69/18154,4)</f>
        <v>4.0000000000000002E-4</v>
      </c>
      <c r="D44" s="55">
        <f>C44*1500</f>
        <v>0.6</v>
      </c>
    </row>
    <row r="45" spans="1:4" ht="18" customHeight="1" x14ac:dyDescent="0.25">
      <c r="A45" s="18">
        <v>2513</v>
      </c>
      <c r="B45" s="158" t="s">
        <v>133</v>
      </c>
      <c r="C45" s="40"/>
      <c r="D45" s="55"/>
    </row>
    <row r="46" spans="1:4" ht="45.75" customHeight="1" x14ac:dyDescent="0.25">
      <c r="A46" s="18"/>
      <c r="B46" s="158" t="s">
        <v>337</v>
      </c>
      <c r="C46" s="36">
        <f>ROUND(9.53/18154,4)</f>
        <v>5.0000000000000001E-4</v>
      </c>
      <c r="D46" s="55">
        <f>C46*1500</f>
        <v>0.75</v>
      </c>
    </row>
    <row r="47" spans="1:4" ht="21" customHeight="1" x14ac:dyDescent="0.25">
      <c r="A47" s="18">
        <v>5220</v>
      </c>
      <c r="B47" s="158" t="s">
        <v>135</v>
      </c>
      <c r="C47" s="55">
        <v>0</v>
      </c>
      <c r="D47" s="55">
        <v>0</v>
      </c>
    </row>
    <row r="48" spans="1:4" x14ac:dyDescent="0.25">
      <c r="A48" s="18">
        <v>5238</v>
      </c>
      <c r="B48" s="158" t="s">
        <v>134</v>
      </c>
      <c r="C48" s="40"/>
      <c r="D48" s="55"/>
    </row>
    <row r="49" spans="1:5" ht="48.75" customHeight="1" x14ac:dyDescent="0.25">
      <c r="A49" s="18"/>
      <c r="B49" s="158" t="s">
        <v>338</v>
      </c>
      <c r="C49" s="36">
        <f>ROUND(33.68/18154,3)</f>
        <v>2E-3</v>
      </c>
      <c r="D49" s="55">
        <f>C49*1500</f>
        <v>3</v>
      </c>
    </row>
    <row r="50" spans="1:5" x14ac:dyDescent="0.25">
      <c r="A50" s="68"/>
      <c r="B50" s="72" t="s">
        <v>10</v>
      </c>
      <c r="C50" s="71">
        <f>ROUND(C23+C25+C27+C29+C31+C33+C35+C37+C38+C40+C42+C44+C46+C47+C49,2)</f>
        <v>0.17</v>
      </c>
      <c r="D50" s="71">
        <f>ROUND(D23+D25+D27+D29+D31+D33+D35+D37+D38+D40+D42+D44+D46+D47+D49,2)</f>
        <v>255</v>
      </c>
      <c r="E50" s="144"/>
    </row>
    <row r="51" spans="1:5" ht="16.5" customHeight="1" x14ac:dyDescent="0.25">
      <c r="A51" s="23"/>
      <c r="B51" s="24" t="s">
        <v>15</v>
      </c>
      <c r="C51" s="52">
        <f>ROUND(C50+C20,2)</f>
        <v>1.93</v>
      </c>
      <c r="D51" s="52">
        <f>D50+D20</f>
        <v>2895</v>
      </c>
      <c r="E51" s="144"/>
    </row>
    <row r="52" spans="1:5" ht="16.5" customHeight="1" x14ac:dyDescent="0.25">
      <c r="A52" s="25"/>
      <c r="B52" s="121"/>
      <c r="C52" s="170"/>
      <c r="D52" s="170"/>
    </row>
    <row r="53" spans="1:5" ht="20.25" customHeight="1" x14ac:dyDescent="0.25">
      <c r="A53" s="26"/>
      <c r="B53" s="28"/>
      <c r="C53" s="28"/>
      <c r="D53" s="171"/>
    </row>
    <row r="54" spans="1:5" ht="15" customHeight="1" x14ac:dyDescent="0.25">
      <c r="A54" s="252" t="s">
        <v>16</v>
      </c>
      <c r="B54" s="253"/>
      <c r="C54" s="84">
        <v>1500</v>
      </c>
      <c r="D54" s="29"/>
    </row>
    <row r="55" spans="1:5" ht="36.75" customHeight="1" x14ac:dyDescent="0.25">
      <c r="A55" s="254" t="s">
        <v>23</v>
      </c>
      <c r="B55" s="255"/>
      <c r="C55" s="139">
        <f>D51/C54</f>
        <v>1.93</v>
      </c>
      <c r="D55" s="29"/>
    </row>
    <row r="56" spans="1:5" x14ac:dyDescent="0.25">
      <c r="A56" s="30"/>
      <c r="B56" s="30"/>
      <c r="C56" s="30"/>
      <c r="D56" s="30"/>
    </row>
    <row r="57" spans="1:5" x14ac:dyDescent="0.25">
      <c r="A57" s="30"/>
      <c r="B57" s="30"/>
      <c r="C57" s="30"/>
      <c r="D57" s="152"/>
    </row>
    <row r="58" spans="1:5" x14ac:dyDescent="0.25">
      <c r="A58" s="30"/>
      <c r="B58" s="30"/>
      <c r="C58" s="30"/>
      <c r="D58" s="152"/>
    </row>
    <row r="59" spans="1:5" x14ac:dyDescent="0.25">
      <c r="A59" s="30"/>
      <c r="B59" s="30"/>
      <c r="C59" s="30"/>
      <c r="D59" s="152"/>
    </row>
    <row r="60" spans="1:5" x14ac:dyDescent="0.25">
      <c r="A60" s="30"/>
      <c r="B60" s="30"/>
      <c r="C60" s="30"/>
      <c r="D60" s="30"/>
    </row>
    <row r="61" spans="1:5" x14ac:dyDescent="0.25">
      <c r="A61" s="231"/>
      <c r="B61" s="231"/>
      <c r="C61" s="9"/>
      <c r="D61" s="9"/>
    </row>
    <row r="62" spans="1:5" x14ac:dyDescent="0.25">
      <c r="A62" s="250"/>
      <c r="B62" s="231"/>
      <c r="C62" s="9"/>
      <c r="D62" s="9"/>
    </row>
    <row r="63" spans="1:5" x14ac:dyDescent="0.25">
      <c r="A63" s="154"/>
      <c r="B63" s="9"/>
      <c r="C63" s="31"/>
      <c r="D63" s="9"/>
    </row>
    <row r="64" spans="1:5" x14ac:dyDescent="0.25">
      <c r="A64" s="250"/>
      <c r="B64" s="250"/>
      <c r="C64" s="31"/>
      <c r="D64" s="9"/>
    </row>
  </sheetData>
  <customSheetViews>
    <customSheetView guid="{3046F990-4623-45D5-BDDC-01BD5999DDBC}" scale="60" showPageBreaks="1" fitToPage="1" printArea="1" hiddenRows="1" view="pageBreakPreview">
      <selection activeCell="B53" sqref="B53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4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hiddenRows="1" view="pageBreakPreview">
      <selection activeCell="A8" sqref="A8:B8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4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hiddenRows="1" view="pageBreakPreview">
      <selection activeCell="B53" sqref="B53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5" fitToHeight="0" orientation="portrait" r:id="rId3"/>
      <headerFooter>
        <oddFooter>&amp;C&amp;P</oddFooter>
      </headerFooter>
    </customSheetView>
  </customSheetViews>
  <mergeCells count="10">
    <mergeCell ref="A62:B62"/>
    <mergeCell ref="A64:B64"/>
    <mergeCell ref="A55:B55"/>
    <mergeCell ref="C3:D3"/>
    <mergeCell ref="A54:B54"/>
    <mergeCell ref="A2:D2"/>
    <mergeCell ref="A6:D6"/>
    <mergeCell ref="A8:B8"/>
    <mergeCell ref="A10:B10"/>
    <mergeCell ref="A61:B61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4"/>
  <headerFooter>
    <oddFooter>&amp;C&amp;P</oddFooter>
  </headerFooter>
  <rowBreaks count="1" manualBreakCount="1">
    <brk id="3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view="pageBreakPreview" topLeftCell="A16" zoomScale="60" zoomScaleNormal="100" workbookViewId="0">
      <selection activeCell="C40" sqref="C40"/>
    </sheetView>
  </sheetViews>
  <sheetFormatPr defaultRowHeight="15" x14ac:dyDescent="0.25"/>
  <cols>
    <col min="1" max="1" width="12.140625" style="214" customWidth="1"/>
    <col min="2" max="2" width="89.5703125" customWidth="1"/>
    <col min="3" max="3" width="12.85546875" customWidth="1"/>
    <col min="4" max="4" width="19.5703125" customWidth="1"/>
  </cols>
  <sheetData>
    <row r="1" spans="1:4" ht="15.75" x14ac:dyDescent="0.25">
      <c r="A1" s="201"/>
      <c r="B1" s="32"/>
      <c r="C1" s="32"/>
      <c r="D1" s="147"/>
    </row>
    <row r="2" spans="1:4" ht="15.75" x14ac:dyDescent="0.25">
      <c r="A2" s="256" t="s">
        <v>307</v>
      </c>
      <c r="B2" s="256"/>
      <c r="C2" s="256"/>
      <c r="D2" s="256"/>
    </row>
    <row r="4" spans="1:4" ht="15.75" customHeight="1" x14ac:dyDescent="0.25">
      <c r="A4" s="202" t="s">
        <v>308</v>
      </c>
      <c r="B4" s="33"/>
      <c r="C4" s="33"/>
      <c r="D4" s="147"/>
    </row>
    <row r="5" spans="1:4" ht="15.75" customHeight="1" x14ac:dyDescent="0.25">
      <c r="A5" s="202"/>
      <c r="B5" s="33"/>
      <c r="C5" s="33"/>
      <c r="D5" s="147"/>
    </row>
    <row r="6" spans="1:4" ht="15.75" customHeight="1" x14ac:dyDescent="0.25">
      <c r="A6" s="257" t="s">
        <v>722</v>
      </c>
      <c r="B6" s="257"/>
      <c r="C6" s="257"/>
      <c r="D6" s="257"/>
    </row>
    <row r="7" spans="1:4" x14ac:dyDescent="0.25">
      <c r="A7" s="203"/>
      <c r="B7" s="80"/>
      <c r="C7" s="80"/>
      <c r="D7" s="81"/>
    </row>
    <row r="8" spans="1:4" ht="15" customHeight="1" x14ac:dyDescent="0.25">
      <c r="A8" s="258" t="s">
        <v>309</v>
      </c>
      <c r="B8" s="259"/>
      <c r="C8" s="34"/>
      <c r="D8" s="9"/>
    </row>
    <row r="9" spans="1:4" x14ac:dyDescent="0.25">
      <c r="A9" s="204"/>
      <c r="B9" s="146"/>
      <c r="C9" s="34"/>
      <c r="D9" s="9"/>
    </row>
    <row r="10" spans="1:4" ht="15.75" x14ac:dyDescent="0.25">
      <c r="A10" s="251" t="s">
        <v>310</v>
      </c>
      <c r="B10" s="251"/>
      <c r="C10" s="136"/>
      <c r="D10" s="9"/>
    </row>
    <row r="11" spans="1:4" ht="95.25" customHeight="1" x14ac:dyDescent="0.25">
      <c r="A11" s="12" t="s">
        <v>0</v>
      </c>
      <c r="B11" s="12" t="s">
        <v>1</v>
      </c>
      <c r="C11" s="12" t="s">
        <v>120</v>
      </c>
      <c r="D11" s="12" t="s">
        <v>18</v>
      </c>
    </row>
    <row r="12" spans="1:4" ht="15" customHeight="1" x14ac:dyDescent="0.25">
      <c r="A12" s="13">
        <v>1</v>
      </c>
      <c r="B12" s="14">
        <v>2</v>
      </c>
      <c r="C12" s="13">
        <v>3</v>
      </c>
      <c r="D12" s="13">
        <v>4</v>
      </c>
    </row>
    <row r="13" spans="1:4" x14ac:dyDescent="0.25">
      <c r="A13" s="13"/>
      <c r="B13" s="22" t="s">
        <v>13</v>
      </c>
      <c r="C13" s="17"/>
      <c r="D13" s="17"/>
    </row>
    <row r="14" spans="1:4" x14ac:dyDescent="0.25">
      <c r="A14" s="12">
        <v>1100</v>
      </c>
      <c r="B14" s="16" t="s">
        <v>14</v>
      </c>
      <c r="C14" s="38"/>
      <c r="D14" s="38"/>
    </row>
    <row r="15" spans="1:4" ht="76.5" customHeight="1" x14ac:dyDescent="0.25">
      <c r="A15" s="205"/>
      <c r="B15" s="157" t="s">
        <v>1000</v>
      </c>
      <c r="C15" s="55">
        <v>24.96</v>
      </c>
      <c r="D15" s="55">
        <f>C15*50</f>
        <v>1248</v>
      </c>
    </row>
    <row r="16" spans="1:4" ht="28.5" customHeight="1" x14ac:dyDescent="0.25">
      <c r="A16" s="205">
        <v>1200</v>
      </c>
      <c r="B16" s="158" t="s">
        <v>1001</v>
      </c>
      <c r="C16" s="55">
        <f>ROUND(C15*0.2359,2)</f>
        <v>5.89</v>
      </c>
      <c r="D16" s="55">
        <f>C16*C42</f>
        <v>294.5</v>
      </c>
    </row>
    <row r="17" spans="1:4" x14ac:dyDescent="0.25">
      <c r="A17" s="205">
        <v>2341</v>
      </c>
      <c r="B17" s="161" t="s">
        <v>77</v>
      </c>
      <c r="C17" s="19"/>
      <c r="D17" s="54"/>
    </row>
    <row r="18" spans="1:4" ht="16.5" customHeight="1" x14ac:dyDescent="0.25">
      <c r="A18" s="205"/>
      <c r="B18" s="158" t="s">
        <v>114</v>
      </c>
      <c r="C18" s="82">
        <v>13.56</v>
      </c>
      <c r="D18" s="55">
        <f>C18*C42</f>
        <v>678</v>
      </c>
    </row>
    <row r="19" spans="1:4" ht="18.75" customHeight="1" x14ac:dyDescent="0.25">
      <c r="A19" s="206"/>
      <c r="B19" s="159" t="s">
        <v>2</v>
      </c>
      <c r="C19" s="71">
        <f>C15+C16+C18</f>
        <v>44.410000000000004</v>
      </c>
      <c r="D19" s="71">
        <f>SUM(D14:D18)</f>
        <v>2220.5</v>
      </c>
    </row>
    <row r="20" spans="1:4" x14ac:dyDescent="0.25">
      <c r="A20" s="205"/>
      <c r="B20" s="160" t="s">
        <v>115</v>
      </c>
      <c r="C20" s="19"/>
      <c r="D20" s="19"/>
    </row>
    <row r="21" spans="1:4" x14ac:dyDescent="0.25">
      <c r="A21" s="205">
        <v>2219</v>
      </c>
      <c r="B21" s="158" t="s">
        <v>3</v>
      </c>
      <c r="C21" s="19"/>
      <c r="D21" s="19"/>
    </row>
    <row r="22" spans="1:4" ht="50.25" customHeight="1" x14ac:dyDescent="0.25">
      <c r="A22" s="205"/>
      <c r="B22" s="158" t="s">
        <v>237</v>
      </c>
      <c r="C22" s="55">
        <f>1.4/10</f>
        <v>0.13999999999999999</v>
      </c>
      <c r="D22" s="55">
        <f>C22*C42</f>
        <v>6.9999999999999991</v>
      </c>
    </row>
    <row r="23" spans="1:4" x14ac:dyDescent="0.25">
      <c r="A23" s="205">
        <v>2221</v>
      </c>
      <c r="B23" s="158" t="s">
        <v>4</v>
      </c>
      <c r="C23" s="19"/>
      <c r="D23" s="19"/>
    </row>
    <row r="24" spans="1:4" ht="52.5" customHeight="1" x14ac:dyDescent="0.25">
      <c r="A24" s="205"/>
      <c r="B24" s="158" t="s">
        <v>933</v>
      </c>
      <c r="C24" s="55">
        <f>ROUND(3.24/10,2)</f>
        <v>0.32</v>
      </c>
      <c r="D24" s="55">
        <f>C24*C42</f>
        <v>16</v>
      </c>
    </row>
    <row r="25" spans="1:4" ht="15.75" customHeight="1" x14ac:dyDescent="0.25">
      <c r="A25" s="205">
        <v>2222</v>
      </c>
      <c r="B25" s="158" t="s">
        <v>5</v>
      </c>
      <c r="C25" s="19"/>
      <c r="D25" s="19"/>
    </row>
    <row r="26" spans="1:4" ht="53.25" customHeight="1" x14ac:dyDescent="0.25">
      <c r="A26" s="205"/>
      <c r="B26" s="158" t="s">
        <v>302</v>
      </c>
      <c r="C26" s="55">
        <f>ROUND(0.24/10,2)</f>
        <v>0.02</v>
      </c>
      <c r="D26" s="55">
        <f>C26*C42</f>
        <v>1</v>
      </c>
    </row>
    <row r="27" spans="1:4" ht="15" customHeight="1" x14ac:dyDescent="0.25">
      <c r="A27" s="205">
        <v>2223</v>
      </c>
      <c r="B27" s="161" t="s">
        <v>6</v>
      </c>
      <c r="C27" s="19"/>
      <c r="D27" s="19"/>
    </row>
    <row r="28" spans="1:4" ht="54.75" customHeight="1" x14ac:dyDescent="0.25">
      <c r="A28" s="205"/>
      <c r="B28" s="158" t="s">
        <v>810</v>
      </c>
      <c r="C28" s="55">
        <f>ROUND(6.28/10,2)</f>
        <v>0.63</v>
      </c>
      <c r="D28" s="55">
        <f>C28*C42</f>
        <v>31.5</v>
      </c>
    </row>
    <row r="29" spans="1:4" ht="16.5" customHeight="1" x14ac:dyDescent="0.25">
      <c r="A29" s="207">
        <v>2231</v>
      </c>
      <c r="B29" s="158" t="s">
        <v>22</v>
      </c>
      <c r="C29" s="36"/>
      <c r="D29" s="19"/>
    </row>
    <row r="30" spans="1:4" ht="70.5" customHeight="1" x14ac:dyDescent="0.25">
      <c r="A30" s="207"/>
      <c r="B30" s="158" t="s">
        <v>303</v>
      </c>
      <c r="C30" s="55">
        <f>ROUND(0.68/10,2)</f>
        <v>7.0000000000000007E-2</v>
      </c>
      <c r="D30" s="55">
        <f>C30*C42</f>
        <v>3.5000000000000004</v>
      </c>
    </row>
    <row r="31" spans="1:4" x14ac:dyDescent="0.25">
      <c r="A31" s="205">
        <v>2244</v>
      </c>
      <c r="B31" s="158" t="s">
        <v>24</v>
      </c>
      <c r="C31" s="19"/>
      <c r="D31" s="19"/>
    </row>
    <row r="32" spans="1:4" ht="48.75" customHeight="1" x14ac:dyDescent="0.25">
      <c r="A32" s="208"/>
      <c r="B32" s="158" t="s">
        <v>238</v>
      </c>
      <c r="C32" s="55">
        <f>ROUND(3.28/10,2)</f>
        <v>0.33</v>
      </c>
      <c r="D32" s="55">
        <f>C32*C42</f>
        <v>16.5</v>
      </c>
    </row>
    <row r="33" spans="1:4" x14ac:dyDescent="0.25">
      <c r="A33" s="205">
        <v>2311</v>
      </c>
      <c r="B33" s="158" t="s">
        <v>9</v>
      </c>
      <c r="C33" s="36"/>
      <c r="D33" s="19"/>
    </row>
    <row r="34" spans="1:4" ht="51" customHeight="1" x14ac:dyDescent="0.25">
      <c r="A34" s="205"/>
      <c r="B34" s="158" t="s">
        <v>811</v>
      </c>
      <c r="C34" s="55">
        <f>ROUND(0.36/10,2)</f>
        <v>0.04</v>
      </c>
      <c r="D34" s="55">
        <f>C34*C42</f>
        <v>2</v>
      </c>
    </row>
    <row r="35" spans="1:4" x14ac:dyDescent="0.25">
      <c r="A35" s="205">
        <v>2350</v>
      </c>
      <c r="B35" s="158" t="s">
        <v>21</v>
      </c>
      <c r="C35" s="36"/>
      <c r="D35" s="19"/>
    </row>
    <row r="36" spans="1:4" ht="54.75" customHeight="1" x14ac:dyDescent="0.25">
      <c r="A36" s="205"/>
      <c r="B36" s="158" t="s">
        <v>812</v>
      </c>
      <c r="C36" s="55">
        <f>ROUND(1.44/10,2)</f>
        <v>0.14000000000000001</v>
      </c>
      <c r="D36" s="55">
        <f>C36*C42</f>
        <v>7.0000000000000009</v>
      </c>
    </row>
    <row r="37" spans="1:4" x14ac:dyDescent="0.25">
      <c r="A37" s="206"/>
      <c r="B37" s="167" t="s">
        <v>10</v>
      </c>
      <c r="C37" s="71">
        <f>C22+C24+C26+C28+C30+C32+C34+C36</f>
        <v>1.69</v>
      </c>
      <c r="D37" s="71">
        <f>D22+D24+D26+D28+D30+D32+D34+D36</f>
        <v>84.5</v>
      </c>
    </row>
    <row r="38" spans="1:4" ht="18" customHeight="1" x14ac:dyDescent="0.25">
      <c r="A38" s="205"/>
      <c r="B38" s="168" t="s">
        <v>116</v>
      </c>
      <c r="C38" s="52">
        <f>C37+C19</f>
        <v>46.1</v>
      </c>
      <c r="D38" s="52">
        <f>D37+D19</f>
        <v>2305</v>
      </c>
    </row>
    <row r="39" spans="1:4" x14ac:dyDescent="0.25">
      <c r="A39" s="205"/>
      <c r="B39" s="168" t="s">
        <v>117</v>
      </c>
      <c r="C39" s="52">
        <f>ROUND(C38*0.21,2)</f>
        <v>9.68</v>
      </c>
      <c r="D39" s="52">
        <f>C39*C42</f>
        <v>484</v>
      </c>
    </row>
    <row r="40" spans="1:4" ht="27" customHeight="1" x14ac:dyDescent="0.25">
      <c r="A40" s="205"/>
      <c r="B40" s="169" t="s">
        <v>118</v>
      </c>
      <c r="C40" s="52">
        <f>ROUND(C38+C39,2)</f>
        <v>55.78</v>
      </c>
      <c r="D40" s="52">
        <f>D38+D39</f>
        <v>2789</v>
      </c>
    </row>
    <row r="41" spans="1:4" x14ac:dyDescent="0.25">
      <c r="A41" s="209"/>
      <c r="B41" s="26"/>
      <c r="C41" s="27"/>
      <c r="D41" s="27"/>
    </row>
    <row r="42" spans="1:4" ht="15" customHeight="1" x14ac:dyDescent="0.25">
      <c r="A42" s="252" t="s">
        <v>16</v>
      </c>
      <c r="B42" s="253"/>
      <c r="C42" s="138">
        <v>50</v>
      </c>
      <c r="D42" s="29"/>
    </row>
    <row r="43" spans="1:4" ht="31.5" customHeight="1" x14ac:dyDescent="0.25">
      <c r="A43" s="254" t="s">
        <v>23</v>
      </c>
      <c r="B43" s="255"/>
      <c r="C43" s="139">
        <f>D40/C42</f>
        <v>55.78</v>
      </c>
      <c r="D43" s="29"/>
    </row>
    <row r="44" spans="1:4" x14ac:dyDescent="0.25">
      <c r="A44" s="210"/>
      <c r="B44" s="30"/>
      <c r="C44" s="30"/>
      <c r="D44" s="30"/>
    </row>
    <row r="45" spans="1:4" ht="15" customHeight="1" x14ac:dyDescent="0.25">
      <c r="A45" s="210"/>
      <c r="B45" s="30"/>
      <c r="C45" s="30"/>
      <c r="D45" s="30"/>
    </row>
    <row r="46" spans="1:4" ht="15" customHeight="1" x14ac:dyDescent="0.25">
      <c r="A46" s="211"/>
      <c r="B46" s="149"/>
      <c r="C46" s="149"/>
      <c r="D46" s="153"/>
    </row>
    <row r="47" spans="1:4" x14ac:dyDescent="0.25">
      <c r="A47" s="210"/>
      <c r="B47" s="150"/>
      <c r="C47" s="30"/>
      <c r="D47" s="30"/>
    </row>
    <row r="48" spans="1:4" ht="15" customHeight="1" x14ac:dyDescent="0.25">
      <c r="A48" s="210"/>
      <c r="B48" s="151"/>
      <c r="C48" s="30"/>
      <c r="D48" s="152"/>
    </row>
    <row r="49" spans="1:4" ht="29.25" customHeight="1" x14ac:dyDescent="0.25">
      <c r="A49" s="212"/>
      <c r="B49" s="9"/>
      <c r="C49" s="9"/>
      <c r="D49" s="9"/>
    </row>
    <row r="50" spans="1:4" x14ac:dyDescent="0.25">
      <c r="A50" s="231"/>
      <c r="B50" s="231"/>
      <c r="C50" s="9"/>
      <c r="D50" s="9"/>
    </row>
    <row r="51" spans="1:4" x14ac:dyDescent="0.25">
      <c r="A51" s="250"/>
      <c r="B51" s="231"/>
      <c r="C51" s="9"/>
      <c r="D51" s="9"/>
    </row>
    <row r="52" spans="1:4" x14ac:dyDescent="0.25">
      <c r="A52" s="213"/>
      <c r="B52" s="9"/>
      <c r="C52" s="31"/>
      <c r="D52" s="9"/>
    </row>
    <row r="53" spans="1:4" x14ac:dyDescent="0.25">
      <c r="A53" s="250"/>
      <c r="B53" s="250"/>
      <c r="C53" s="31"/>
      <c r="D53" s="9"/>
    </row>
  </sheetData>
  <customSheetViews>
    <customSheetView guid="{3046F990-4623-45D5-BDDC-01BD5999DDBC}" scale="60" showPageBreaks="1" fitToPage="1" printArea="1" view="pageBreakPreview" topLeftCell="A13">
      <selection activeCell="B53" sqref="B53"/>
      <pageMargins left="0.70866141732283472" right="0.70866141732283472" top="0.74803149606299213" bottom="0.74803149606299213" header="0.31496062992125984" footer="0.31496062992125984"/>
      <pageSetup paperSize="9" scale="65" fitToHeight="0" orientation="portrait" verticalDpi="0" r:id="rId1"/>
      <headerFooter>
        <oddFooter>&amp;C&amp;P</oddFooter>
      </headerFooter>
    </customSheetView>
    <customSheetView guid="{FC502735-BE91-49EC-9614-36ECAE88D000}" scale="60" showPageBreaks="1" fitToPage="1" printArea="1" view="pageBreakPreview" topLeftCell="A13">
      <selection activeCell="B19" sqref="B19"/>
      <pageMargins left="0.70866141732283472" right="0.70866141732283472" top="0.74803149606299213" bottom="0.74803149606299213" header="0.31496062992125984" footer="0.31496062992125984"/>
      <pageSetup paperSize="9" scale="65" fitToHeight="0" orientation="portrait" verticalDpi="0" r:id="rId2"/>
      <headerFooter>
        <oddFooter>&amp;C&amp;P</oddFooter>
      </headerFooter>
    </customSheetView>
    <customSheetView guid="{2CF5EF93-C226-48EA-959E-36D142677DAA}" scale="60" showPageBreaks="1" fitToPage="1" printArea="1" view="pageBreakPreview" topLeftCell="A16">
      <selection activeCell="C40" sqref="C40"/>
      <pageMargins left="0.70866141732283472" right="0.70866141732283472" top="0.74803149606299213" bottom="0.74803149606299213" header="0.31496062992125984" footer="0.31496062992125984"/>
      <pageSetup paperSize="9" scale="66" fitToHeight="0" orientation="portrait" r:id="rId3"/>
    </customSheetView>
  </customSheetViews>
  <mergeCells count="9">
    <mergeCell ref="A53:B53"/>
    <mergeCell ref="A10:B10"/>
    <mergeCell ref="A42:B42"/>
    <mergeCell ref="A43:B43"/>
    <mergeCell ref="A2:D2"/>
    <mergeCell ref="A6:D6"/>
    <mergeCell ref="A8:B8"/>
    <mergeCell ref="A50:B50"/>
    <mergeCell ref="A51:B51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view="pageBreakPreview" zoomScale="60" zoomScaleNormal="100" workbookViewId="0">
      <selection activeCell="A6" sqref="A6:D6"/>
    </sheetView>
  </sheetViews>
  <sheetFormatPr defaultRowHeight="15" x14ac:dyDescent="0.25"/>
  <cols>
    <col min="1" max="1" width="16" customWidth="1"/>
    <col min="2" max="2" width="74" customWidth="1"/>
    <col min="3" max="3" width="18" customWidth="1"/>
    <col min="4" max="4" width="25" customWidth="1"/>
  </cols>
  <sheetData>
    <row r="1" spans="1:4" ht="18.75" x14ac:dyDescent="0.3">
      <c r="A1" s="4"/>
      <c r="B1" s="5"/>
      <c r="C1" s="35"/>
      <c r="D1" s="5"/>
    </row>
    <row r="2" spans="1:4" ht="15.75" customHeight="1" x14ac:dyDescent="0.25">
      <c r="A2" s="256" t="s">
        <v>307</v>
      </c>
      <c r="B2" s="256"/>
      <c r="C2" s="256"/>
      <c r="D2" s="256"/>
    </row>
    <row r="3" spans="1:4" ht="15" customHeight="1" x14ac:dyDescent="0.25">
      <c r="A3" s="4"/>
      <c r="B3" s="4"/>
      <c r="C3" s="273"/>
      <c r="D3" s="274"/>
    </row>
    <row r="4" spans="1:4" ht="15.75" x14ac:dyDescent="0.25">
      <c r="A4" s="186" t="s">
        <v>723</v>
      </c>
      <c r="B4" s="32"/>
      <c r="C4" s="32"/>
      <c r="D4" s="32"/>
    </row>
    <row r="5" spans="1:4" x14ac:dyDescent="0.25">
      <c r="A5" s="4"/>
      <c r="B5" s="33"/>
      <c r="C5" s="33"/>
      <c r="D5" s="9"/>
    </row>
    <row r="6" spans="1:4" ht="33.75" customHeight="1" x14ac:dyDescent="0.25">
      <c r="A6" s="272" t="s">
        <v>1076</v>
      </c>
      <c r="B6" s="272"/>
      <c r="C6" s="272"/>
      <c r="D6" s="272"/>
    </row>
    <row r="7" spans="1:4" ht="12.75" customHeight="1" x14ac:dyDescent="0.25">
      <c r="A7" s="180"/>
      <c r="B7" s="34"/>
      <c r="C7" s="34"/>
      <c r="D7" s="9"/>
    </row>
    <row r="8" spans="1:4" x14ac:dyDescent="0.25">
      <c r="A8" s="270" t="s">
        <v>309</v>
      </c>
      <c r="B8" s="271"/>
      <c r="C8" s="34"/>
      <c r="D8" s="9"/>
    </row>
    <row r="9" spans="1:4" ht="15" customHeight="1" x14ac:dyDescent="0.25">
      <c r="A9" s="4"/>
      <c r="B9" s="11"/>
      <c r="C9" s="8"/>
      <c r="D9" s="9"/>
    </row>
    <row r="10" spans="1:4" ht="15.75" x14ac:dyDescent="0.25">
      <c r="A10" s="251" t="s">
        <v>753</v>
      </c>
      <c r="B10" s="251"/>
      <c r="C10" s="8"/>
      <c r="D10" s="9"/>
    </row>
    <row r="11" spans="1:4" ht="60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4" x14ac:dyDescent="0.25">
      <c r="A12" s="13">
        <v>1</v>
      </c>
      <c r="B12" s="14">
        <v>2</v>
      </c>
      <c r="C12" s="13">
        <v>3</v>
      </c>
      <c r="D12" s="13">
        <v>4</v>
      </c>
    </row>
    <row r="13" spans="1:4" x14ac:dyDescent="0.25">
      <c r="A13" s="15"/>
      <c r="B13" s="22" t="s">
        <v>13</v>
      </c>
      <c r="C13" s="17"/>
      <c r="D13" s="17"/>
    </row>
    <row r="14" spans="1:4" x14ac:dyDescent="0.25">
      <c r="A14" s="37">
        <v>1100</v>
      </c>
      <c r="B14" s="16" t="s">
        <v>14</v>
      </c>
      <c r="C14" s="38"/>
      <c r="D14" s="38"/>
    </row>
    <row r="15" spans="1:4" ht="123.75" customHeight="1" x14ac:dyDescent="0.25">
      <c r="A15" s="18"/>
      <c r="B15" s="157" t="s">
        <v>339</v>
      </c>
      <c r="C15" s="55">
        <f>0.66+1.43</f>
        <v>2.09</v>
      </c>
      <c r="D15" s="55">
        <f>C15*60</f>
        <v>125.39999999999999</v>
      </c>
    </row>
    <row r="16" spans="1:4" ht="30" customHeight="1" x14ac:dyDescent="0.25">
      <c r="A16" s="18">
        <v>1200</v>
      </c>
      <c r="B16" s="158" t="s">
        <v>282</v>
      </c>
      <c r="C16" s="55">
        <f>ROUND(C15*0.2359,2)</f>
        <v>0.49</v>
      </c>
      <c r="D16" s="55">
        <f>C16*60</f>
        <v>29.4</v>
      </c>
    </row>
    <row r="17" spans="1:4" x14ac:dyDescent="0.25">
      <c r="A17" s="18">
        <v>2341</v>
      </c>
      <c r="B17" s="18" t="s">
        <v>77</v>
      </c>
      <c r="C17" s="19"/>
      <c r="D17" s="19"/>
    </row>
    <row r="18" spans="1:4" ht="94.5" customHeight="1" x14ac:dyDescent="0.25">
      <c r="A18" s="18"/>
      <c r="B18" s="158" t="s">
        <v>340</v>
      </c>
      <c r="C18" s="55">
        <f>0.76+0.06+0.06+0.04+0.02</f>
        <v>0.94000000000000017</v>
      </c>
      <c r="D18" s="55">
        <f>C18*60</f>
        <v>56.400000000000013</v>
      </c>
    </row>
    <row r="19" spans="1:4" hidden="1" x14ac:dyDescent="0.25">
      <c r="A19" s="18"/>
      <c r="B19" s="158" t="s">
        <v>72</v>
      </c>
      <c r="C19" s="36"/>
      <c r="D19" s="19"/>
    </row>
    <row r="20" spans="1:4" hidden="1" x14ac:dyDescent="0.25">
      <c r="A20" s="18"/>
      <c r="B20" s="158" t="s">
        <v>73</v>
      </c>
      <c r="C20" s="36"/>
      <c r="D20" s="19"/>
    </row>
    <row r="21" spans="1:4" x14ac:dyDescent="0.25">
      <c r="A21" s="74"/>
      <c r="B21" s="159" t="s">
        <v>2</v>
      </c>
      <c r="C21" s="71">
        <f>SUM(C14:C18)</f>
        <v>3.5200000000000005</v>
      </c>
      <c r="D21" s="71">
        <f>SUM(D14:D20)</f>
        <v>211.2</v>
      </c>
    </row>
    <row r="22" spans="1:4" x14ac:dyDescent="0.25">
      <c r="A22" s="18"/>
      <c r="B22" s="160" t="s">
        <v>20</v>
      </c>
      <c r="C22" s="19"/>
      <c r="D22" s="19"/>
    </row>
    <row r="23" spans="1:4" x14ac:dyDescent="0.25">
      <c r="A23" s="18">
        <v>2219</v>
      </c>
      <c r="B23" s="158" t="s">
        <v>3</v>
      </c>
      <c r="C23" s="19"/>
      <c r="D23" s="19"/>
    </row>
    <row r="24" spans="1:4" ht="93.75" customHeight="1" x14ac:dyDescent="0.25">
      <c r="A24" s="18"/>
      <c r="B24" s="158" t="s">
        <v>659</v>
      </c>
      <c r="C24" s="40">
        <f>ROUND(3.18/18154,4)</f>
        <v>2.0000000000000001E-4</v>
      </c>
      <c r="D24" s="55">
        <f>C24*60</f>
        <v>1.2E-2</v>
      </c>
    </row>
    <row r="25" spans="1:4" x14ac:dyDescent="0.25">
      <c r="A25" s="18">
        <v>2221</v>
      </c>
      <c r="B25" s="158" t="s">
        <v>4</v>
      </c>
      <c r="C25" s="19"/>
      <c r="D25" s="19"/>
    </row>
    <row r="26" spans="1:4" ht="65.25" customHeight="1" x14ac:dyDescent="0.25">
      <c r="A26" s="18"/>
      <c r="B26" s="158" t="s">
        <v>678</v>
      </c>
      <c r="C26" s="55">
        <f>ROUND(301.59/18154,3)</f>
        <v>1.7000000000000001E-2</v>
      </c>
      <c r="D26" s="55">
        <f>C26*60</f>
        <v>1.02</v>
      </c>
    </row>
    <row r="27" spans="1:4" ht="15" customHeight="1" x14ac:dyDescent="0.25">
      <c r="A27" s="18">
        <v>2222</v>
      </c>
      <c r="B27" s="158" t="s">
        <v>5</v>
      </c>
      <c r="C27" s="19"/>
      <c r="D27" s="19"/>
    </row>
    <row r="28" spans="1:4" ht="48" customHeight="1" x14ac:dyDescent="0.25">
      <c r="A28" s="18"/>
      <c r="B28" s="158" t="s">
        <v>168</v>
      </c>
      <c r="C28" s="36">
        <f>ROUND(31.02/18154,3)</f>
        <v>2E-3</v>
      </c>
      <c r="D28" s="55">
        <f>C28*60</f>
        <v>0.12</v>
      </c>
    </row>
    <row r="29" spans="1:4" x14ac:dyDescent="0.25">
      <c r="A29" s="18">
        <v>2223</v>
      </c>
      <c r="B29" s="18" t="s">
        <v>6</v>
      </c>
      <c r="C29" s="19"/>
      <c r="D29" s="19"/>
    </row>
    <row r="30" spans="1:4" ht="44.25" customHeight="1" x14ac:dyDescent="0.25">
      <c r="A30" s="18"/>
      <c r="B30" s="158" t="s">
        <v>341</v>
      </c>
      <c r="C30" s="55">
        <f>ROUND(538.27/18154,2)</f>
        <v>0.03</v>
      </c>
      <c r="D30" s="55">
        <f>C30*60</f>
        <v>1.7999999999999998</v>
      </c>
    </row>
    <row r="31" spans="1:4" x14ac:dyDescent="0.25">
      <c r="A31" s="18">
        <v>2224</v>
      </c>
      <c r="B31" s="158" t="s">
        <v>7</v>
      </c>
      <c r="C31" s="19"/>
      <c r="D31" s="19"/>
    </row>
    <row r="32" spans="1:4" ht="47.25" customHeight="1" x14ac:dyDescent="0.25">
      <c r="A32" s="18"/>
      <c r="B32" s="158" t="s">
        <v>815</v>
      </c>
      <c r="C32" s="36">
        <f>ROUND(28.86/18154,3)</f>
        <v>2E-3</v>
      </c>
      <c r="D32" s="55">
        <f>C32*60</f>
        <v>0.12</v>
      </c>
    </row>
    <row r="33" spans="1:4" x14ac:dyDescent="0.25">
      <c r="A33" s="45">
        <v>2231</v>
      </c>
      <c r="B33" s="158" t="s">
        <v>22</v>
      </c>
      <c r="C33" s="36"/>
      <c r="D33" s="19"/>
    </row>
    <row r="34" spans="1:4" ht="198.75" customHeight="1" x14ac:dyDescent="0.25">
      <c r="A34" s="45"/>
      <c r="B34" s="158" t="s">
        <v>661</v>
      </c>
      <c r="C34" s="55">
        <f>ROUND(1201.87/18154,2)</f>
        <v>7.0000000000000007E-2</v>
      </c>
      <c r="D34" s="55">
        <f>C34*60</f>
        <v>4.2</v>
      </c>
    </row>
    <row r="35" spans="1:4" ht="14.25" customHeight="1" x14ac:dyDescent="0.25">
      <c r="A35" s="45">
        <v>2243</v>
      </c>
      <c r="B35" s="158" t="s">
        <v>132</v>
      </c>
      <c r="C35" s="55"/>
      <c r="D35" s="55"/>
    </row>
    <row r="36" spans="1:4" ht="63.75" customHeight="1" x14ac:dyDescent="0.25">
      <c r="A36" s="45"/>
      <c r="B36" s="158" t="s">
        <v>969</v>
      </c>
      <c r="C36" s="55">
        <f>ROUND(386.87/18154,3)</f>
        <v>2.1000000000000001E-2</v>
      </c>
      <c r="D36" s="82">
        <f>C36*60</f>
        <v>1.26</v>
      </c>
    </row>
    <row r="37" spans="1:4" x14ac:dyDescent="0.25">
      <c r="A37" s="18">
        <v>2244</v>
      </c>
      <c r="B37" s="158" t="s">
        <v>24</v>
      </c>
      <c r="C37" s="19"/>
      <c r="D37" s="19"/>
    </row>
    <row r="38" spans="1:4" ht="60" customHeight="1" x14ac:dyDescent="0.25">
      <c r="A38" s="21"/>
      <c r="B38" s="158" t="s">
        <v>169</v>
      </c>
      <c r="C38" s="55">
        <f>ROUND(383.44/18154,4)</f>
        <v>2.1100000000000001E-2</v>
      </c>
      <c r="D38" s="55">
        <f>C38*60</f>
        <v>1.266</v>
      </c>
    </row>
    <row r="39" spans="1:4" ht="50.25" customHeight="1" x14ac:dyDescent="0.25">
      <c r="A39" s="21"/>
      <c r="B39" s="158" t="s">
        <v>342</v>
      </c>
      <c r="C39" s="40">
        <f>ROUND(5.03/18154,4)</f>
        <v>2.9999999999999997E-4</v>
      </c>
      <c r="D39" s="55">
        <f>C39*60</f>
        <v>1.7999999999999999E-2</v>
      </c>
    </row>
    <row r="40" spans="1:4" x14ac:dyDescent="0.25">
      <c r="A40" s="18">
        <v>2249</v>
      </c>
      <c r="B40" s="158" t="s">
        <v>8</v>
      </c>
      <c r="C40" s="19"/>
      <c r="D40" s="19"/>
    </row>
    <row r="41" spans="1:4" ht="62.25" customHeight="1" x14ac:dyDescent="0.25">
      <c r="A41" s="18"/>
      <c r="B41" s="158" t="s">
        <v>816</v>
      </c>
      <c r="C41" s="36">
        <f>ROUND(9.76/18154,4)</f>
        <v>5.0000000000000001E-4</v>
      </c>
      <c r="D41" s="55">
        <f>C41*60</f>
        <v>0.03</v>
      </c>
    </row>
    <row r="42" spans="1:4" x14ac:dyDescent="0.25">
      <c r="A42" s="18">
        <v>2311</v>
      </c>
      <c r="B42" s="158" t="s">
        <v>9</v>
      </c>
      <c r="C42" s="36"/>
      <c r="D42" s="19"/>
    </row>
    <row r="43" spans="1:4" ht="66" customHeight="1" x14ac:dyDescent="0.25">
      <c r="A43" s="18"/>
      <c r="B43" s="158" t="s">
        <v>343</v>
      </c>
      <c r="C43" s="36">
        <f>ROUND(54.99/18154,3)</f>
        <v>3.0000000000000001E-3</v>
      </c>
      <c r="D43" s="55">
        <f>C43*60</f>
        <v>0.18</v>
      </c>
    </row>
    <row r="44" spans="1:4" x14ac:dyDescent="0.25">
      <c r="A44" s="18">
        <v>2350</v>
      </c>
      <c r="B44" s="158" t="s">
        <v>21</v>
      </c>
      <c r="C44" s="36"/>
      <c r="D44" s="19"/>
    </row>
    <row r="45" spans="1:4" ht="93" customHeight="1" x14ac:dyDescent="0.25">
      <c r="A45" s="18"/>
      <c r="B45" s="158" t="s">
        <v>775</v>
      </c>
      <c r="C45" s="40">
        <f>ROUND(6.69/18154,4)</f>
        <v>4.0000000000000002E-4</v>
      </c>
      <c r="D45" s="55">
        <f>C45*60</f>
        <v>2.4E-2</v>
      </c>
    </row>
    <row r="46" spans="1:4" ht="16.5" customHeight="1" x14ac:dyDescent="0.25">
      <c r="A46" s="18">
        <v>2513</v>
      </c>
      <c r="B46" s="158" t="s">
        <v>133</v>
      </c>
      <c r="C46" s="40"/>
      <c r="D46" s="55"/>
    </row>
    <row r="47" spans="1:4" ht="46.5" customHeight="1" x14ac:dyDescent="0.25">
      <c r="A47" s="18"/>
      <c r="B47" s="158" t="s">
        <v>972</v>
      </c>
      <c r="C47" s="36">
        <f>ROUND(9.53/18154,4)</f>
        <v>5.0000000000000001E-4</v>
      </c>
      <c r="D47" s="55">
        <f>C47*60</f>
        <v>0.03</v>
      </c>
    </row>
    <row r="48" spans="1:4" ht="16.5" customHeight="1" x14ac:dyDescent="0.25">
      <c r="A48" s="18">
        <v>5220</v>
      </c>
      <c r="B48" s="158" t="s">
        <v>135</v>
      </c>
      <c r="C48" s="55">
        <v>0</v>
      </c>
      <c r="D48" s="55">
        <v>0</v>
      </c>
    </row>
    <row r="49" spans="1:4" ht="14.25" customHeight="1" x14ac:dyDescent="0.25">
      <c r="A49" s="18">
        <v>5238</v>
      </c>
      <c r="B49" s="158" t="s">
        <v>134</v>
      </c>
      <c r="C49" s="40"/>
      <c r="D49" s="55"/>
    </row>
    <row r="50" spans="1:4" ht="63.75" customHeight="1" x14ac:dyDescent="0.25">
      <c r="A50" s="18"/>
      <c r="B50" s="158" t="s">
        <v>344</v>
      </c>
      <c r="C50" s="36">
        <f>ROUND(33.68/18154,3)</f>
        <v>2E-3</v>
      </c>
      <c r="D50" s="55">
        <f>C50*60</f>
        <v>0.12</v>
      </c>
    </row>
    <row r="51" spans="1:4" x14ac:dyDescent="0.25">
      <c r="A51" s="68"/>
      <c r="B51" s="72" t="s">
        <v>10</v>
      </c>
      <c r="C51" s="71">
        <f>ROUND(C24+C26+C28+C30+C32+C34+C36+C38+C39+C41+C43+C45+C47+C48+C50,2)</f>
        <v>0.17</v>
      </c>
      <c r="D51" s="71">
        <f>ROUND(D24+D26+D28+D30+D32+D34+D36+D38+D39+D41+D43+D45+D47+D48+D50,2)</f>
        <v>10.199999999999999</v>
      </c>
    </row>
    <row r="52" spans="1:4" x14ac:dyDescent="0.25">
      <c r="A52" s="23"/>
      <c r="B52" s="24" t="s">
        <v>15</v>
      </c>
      <c r="C52" s="52">
        <f>ROUND(C51+C21,2)</f>
        <v>3.69</v>
      </c>
      <c r="D52" s="52">
        <f>D51+D21</f>
        <v>221.39999999999998</v>
      </c>
    </row>
    <row r="53" spans="1:4" x14ac:dyDescent="0.25">
      <c r="A53" s="25"/>
      <c r="B53" s="26"/>
      <c r="C53" s="27"/>
      <c r="D53" s="27"/>
    </row>
    <row r="54" spans="1:4" x14ac:dyDescent="0.25">
      <c r="A54" s="26"/>
      <c r="B54" s="28"/>
      <c r="C54" s="28"/>
      <c r="D54" s="9"/>
    </row>
    <row r="55" spans="1:4" ht="15" customHeight="1" x14ac:dyDescent="0.25">
      <c r="A55" s="252" t="s">
        <v>16</v>
      </c>
      <c r="B55" s="253"/>
      <c r="C55" s="138">
        <v>60</v>
      </c>
      <c r="D55" s="29"/>
    </row>
    <row r="56" spans="1:4" ht="35.25" customHeight="1" x14ac:dyDescent="0.25">
      <c r="A56" s="254" t="s">
        <v>23</v>
      </c>
      <c r="B56" s="255"/>
      <c r="C56" s="139">
        <f>D52/60</f>
        <v>3.6899999999999995</v>
      </c>
      <c r="D56" s="29"/>
    </row>
    <row r="57" spans="1:4" x14ac:dyDescent="0.25">
      <c r="A57" s="30"/>
      <c r="B57" s="30"/>
      <c r="C57" s="30"/>
      <c r="D57" s="30"/>
    </row>
    <row r="58" spans="1:4" x14ac:dyDescent="0.25">
      <c r="A58" s="30"/>
      <c r="B58" s="30"/>
      <c r="C58" s="9"/>
      <c r="D58" s="5"/>
    </row>
    <row r="59" spans="1:4" x14ac:dyDescent="0.25">
      <c r="A59" s="30"/>
      <c r="B59" s="30"/>
      <c r="C59" s="9"/>
      <c r="D59" s="5"/>
    </row>
    <row r="60" spans="1:4" x14ac:dyDescent="0.25">
      <c r="A60" s="30"/>
      <c r="B60" s="30"/>
      <c r="C60" s="31"/>
      <c r="D60" s="5"/>
    </row>
    <row r="61" spans="1:4" x14ac:dyDescent="0.25">
      <c r="A61" s="30"/>
      <c r="B61" s="30"/>
      <c r="C61" s="31"/>
      <c r="D61" s="9"/>
    </row>
    <row r="62" spans="1:4" x14ac:dyDescent="0.25">
      <c r="A62" s="231"/>
      <c r="B62" s="231"/>
    </row>
    <row r="63" spans="1:4" x14ac:dyDescent="0.25">
      <c r="A63" s="250"/>
      <c r="B63" s="231"/>
    </row>
    <row r="64" spans="1:4" x14ac:dyDescent="0.25">
      <c r="A64" s="154"/>
      <c r="B64" s="9"/>
    </row>
    <row r="65" spans="1:2" x14ac:dyDescent="0.25">
      <c r="A65" s="250"/>
      <c r="B65" s="250"/>
    </row>
  </sheetData>
  <customSheetViews>
    <customSheetView guid="{3046F990-4623-45D5-BDDC-01BD5999DDBC}" scale="60" showPageBreaks="1" fitToPage="1" printArea="1" hiddenRows="1" view="pageBreakPreview">
      <selection activeCell="B53" sqref="B53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5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hiddenRows="1" view="pageBreakPreview" topLeftCell="A12">
      <selection activeCell="B18" sqref="B18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5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hiddenRows="1" view="pageBreakPreview">
      <selection activeCell="A6" sqref="A6:D6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5" fitToHeight="0" orientation="portrait" r:id="rId3"/>
      <headerFooter>
        <oddFooter>&amp;C&amp;P</oddFooter>
      </headerFooter>
    </customSheetView>
  </customSheetViews>
  <mergeCells count="10">
    <mergeCell ref="A63:B63"/>
    <mergeCell ref="A65:B65"/>
    <mergeCell ref="A56:B56"/>
    <mergeCell ref="C3:D3"/>
    <mergeCell ref="A55:B55"/>
    <mergeCell ref="A2:D2"/>
    <mergeCell ref="A6:D6"/>
    <mergeCell ref="A8:B8"/>
    <mergeCell ref="A10:B10"/>
    <mergeCell ref="A62:B62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4"/>
  <headerFooter>
    <oddFooter>&amp;C&amp;P</oddFooter>
  </headerFooter>
  <rowBreaks count="1" manualBreakCount="1">
    <brk id="34" max="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view="pageBreakPreview" zoomScale="60" zoomScaleNormal="100" workbookViewId="0">
      <selection activeCell="A6" sqref="A6:D6"/>
    </sheetView>
  </sheetViews>
  <sheetFormatPr defaultRowHeight="15" x14ac:dyDescent="0.25"/>
  <cols>
    <col min="1" max="1" width="15.140625" customWidth="1"/>
    <col min="2" max="2" width="88.140625" customWidth="1"/>
    <col min="3" max="3" width="20.140625" customWidth="1"/>
    <col min="4" max="4" width="20.85546875" customWidth="1"/>
  </cols>
  <sheetData>
    <row r="1" spans="1:4" ht="18.75" x14ac:dyDescent="0.3">
      <c r="A1" s="4"/>
      <c r="B1" s="5"/>
      <c r="C1" s="35"/>
      <c r="D1" s="5"/>
    </row>
    <row r="2" spans="1:4" ht="15.75" customHeight="1" x14ac:dyDescent="0.25">
      <c r="A2" s="256" t="s">
        <v>307</v>
      </c>
      <c r="B2" s="256"/>
      <c r="C2" s="256"/>
      <c r="D2" s="256"/>
    </row>
    <row r="3" spans="1:4" ht="15" customHeight="1" x14ac:dyDescent="0.25">
      <c r="A3" s="4"/>
      <c r="B3" s="4"/>
      <c r="C3" s="273"/>
      <c r="D3" s="274"/>
    </row>
    <row r="4" spans="1:4" ht="15.75" x14ac:dyDescent="0.25">
      <c r="A4" s="186" t="s">
        <v>723</v>
      </c>
      <c r="B4" s="32"/>
      <c r="C4" s="32"/>
      <c r="D4" s="32"/>
    </row>
    <row r="5" spans="1:4" x14ac:dyDescent="0.25">
      <c r="A5" s="4"/>
      <c r="B5" s="33"/>
      <c r="C5" s="33"/>
      <c r="D5" s="9"/>
    </row>
    <row r="6" spans="1:4" ht="33.75" customHeight="1" x14ac:dyDescent="0.25">
      <c r="A6" s="272" t="s">
        <v>1020</v>
      </c>
      <c r="B6" s="272"/>
      <c r="C6" s="272"/>
      <c r="D6" s="272"/>
    </row>
    <row r="7" spans="1:4" x14ac:dyDescent="0.25">
      <c r="A7" s="180"/>
      <c r="B7" s="34"/>
      <c r="C7" s="34"/>
      <c r="D7" s="9"/>
    </row>
    <row r="8" spans="1:4" x14ac:dyDescent="0.25">
      <c r="A8" s="270" t="s">
        <v>309</v>
      </c>
      <c r="B8" s="271"/>
      <c r="C8" s="34"/>
      <c r="D8" s="9"/>
    </row>
    <row r="9" spans="1:4" ht="15" customHeight="1" x14ac:dyDescent="0.25">
      <c r="A9" s="4"/>
      <c r="B9" s="11"/>
      <c r="C9" s="8"/>
      <c r="D9" s="9"/>
    </row>
    <row r="10" spans="1:4" ht="15.75" x14ac:dyDescent="0.25">
      <c r="A10" s="251" t="s">
        <v>754</v>
      </c>
      <c r="B10" s="251"/>
      <c r="C10" s="8"/>
      <c r="D10" s="9"/>
    </row>
    <row r="11" spans="1:4" ht="75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4" x14ac:dyDescent="0.25">
      <c r="A12" s="13">
        <v>1</v>
      </c>
      <c r="B12" s="14">
        <v>2</v>
      </c>
      <c r="C12" s="13">
        <v>3</v>
      </c>
      <c r="D12" s="13">
        <v>4</v>
      </c>
    </row>
    <row r="13" spans="1:4" x14ac:dyDescent="0.25">
      <c r="A13" s="15"/>
      <c r="B13" s="22" t="s">
        <v>13</v>
      </c>
      <c r="C13" s="17"/>
      <c r="D13" s="17"/>
    </row>
    <row r="14" spans="1:4" x14ac:dyDescent="0.25">
      <c r="A14" s="37">
        <v>1100</v>
      </c>
      <c r="B14" s="16" t="s">
        <v>14</v>
      </c>
      <c r="C14" s="38"/>
      <c r="D14" s="38"/>
    </row>
    <row r="15" spans="1:4" ht="77.25" customHeight="1" x14ac:dyDescent="0.25">
      <c r="A15" s="18"/>
      <c r="B15" s="157" t="s">
        <v>345</v>
      </c>
      <c r="C15" s="55">
        <f>0.11*5</f>
        <v>0.55000000000000004</v>
      </c>
      <c r="D15" s="55">
        <f>C15*27</f>
        <v>14.850000000000001</v>
      </c>
    </row>
    <row r="16" spans="1:4" ht="33" customHeight="1" x14ac:dyDescent="0.25">
      <c r="A16" s="18">
        <v>1200</v>
      </c>
      <c r="B16" s="158" t="s">
        <v>295</v>
      </c>
      <c r="C16" s="55">
        <f>ROUND(C15*0.2359,2)</f>
        <v>0.13</v>
      </c>
      <c r="D16" s="55">
        <f>C16*27</f>
        <v>3.5100000000000002</v>
      </c>
    </row>
    <row r="17" spans="1:4" x14ac:dyDescent="0.25">
      <c r="A17" s="18">
        <v>2341</v>
      </c>
      <c r="B17" s="18" t="s">
        <v>77</v>
      </c>
      <c r="C17" s="19"/>
      <c r="D17" s="19"/>
    </row>
    <row r="18" spans="1:4" ht="60" customHeight="1" x14ac:dyDescent="0.25">
      <c r="A18" s="18"/>
      <c r="B18" s="158" t="s">
        <v>346</v>
      </c>
      <c r="C18" s="55">
        <f>0.2+0.25+0.04+0.04+0.02</f>
        <v>0.55000000000000004</v>
      </c>
      <c r="D18" s="55">
        <f>C18*27</f>
        <v>14.850000000000001</v>
      </c>
    </row>
    <row r="19" spans="1:4" hidden="1" x14ac:dyDescent="0.25">
      <c r="A19" s="18"/>
      <c r="B19" s="158" t="s">
        <v>72</v>
      </c>
      <c r="C19" s="36"/>
      <c r="D19" s="55"/>
    </row>
    <row r="20" spans="1:4" x14ac:dyDescent="0.25">
      <c r="A20" s="74"/>
      <c r="B20" s="159" t="s">
        <v>2</v>
      </c>
      <c r="C20" s="71">
        <f>SUM(C14:C18)</f>
        <v>1.23</v>
      </c>
      <c r="D20" s="71">
        <f>SUM(D14:D18)</f>
        <v>33.210000000000008</v>
      </c>
    </row>
    <row r="21" spans="1:4" x14ac:dyDescent="0.25">
      <c r="A21" s="18"/>
      <c r="B21" s="160" t="s">
        <v>20</v>
      </c>
      <c r="C21" s="19"/>
      <c r="D21" s="19"/>
    </row>
    <row r="22" spans="1:4" x14ac:dyDescent="0.25">
      <c r="A22" s="18">
        <v>2219</v>
      </c>
      <c r="B22" s="158" t="s">
        <v>3</v>
      </c>
      <c r="C22" s="19"/>
      <c r="D22" s="19"/>
    </row>
    <row r="23" spans="1:4" ht="83.25" customHeight="1" x14ac:dyDescent="0.25">
      <c r="A23" s="18"/>
      <c r="B23" s="158" t="s">
        <v>675</v>
      </c>
      <c r="C23" s="40">
        <f>ROUND(3.18/18154,4)</f>
        <v>2.0000000000000001E-4</v>
      </c>
      <c r="D23" s="55">
        <f>C23*27</f>
        <v>5.4000000000000003E-3</v>
      </c>
    </row>
    <row r="24" spans="1:4" x14ac:dyDescent="0.25">
      <c r="A24" s="18">
        <v>2221</v>
      </c>
      <c r="B24" s="158" t="s">
        <v>4</v>
      </c>
      <c r="C24" s="19"/>
      <c r="D24" s="19"/>
    </row>
    <row r="25" spans="1:4" ht="50.25" customHeight="1" x14ac:dyDescent="0.25">
      <c r="A25" s="18"/>
      <c r="B25" s="158" t="s">
        <v>676</v>
      </c>
      <c r="C25" s="55">
        <f>ROUND(301.59/18154,3)</f>
        <v>1.7000000000000001E-2</v>
      </c>
      <c r="D25" s="55">
        <f>C25*27</f>
        <v>0.45900000000000002</v>
      </c>
    </row>
    <row r="26" spans="1:4" ht="18.75" customHeight="1" x14ac:dyDescent="0.25">
      <c r="A26" s="18">
        <v>2222</v>
      </c>
      <c r="B26" s="158" t="s">
        <v>5</v>
      </c>
      <c r="C26" s="19"/>
      <c r="D26" s="19"/>
    </row>
    <row r="27" spans="1:4" ht="48.75" customHeight="1" x14ac:dyDescent="0.25">
      <c r="A27" s="18"/>
      <c r="B27" s="158" t="s">
        <v>347</v>
      </c>
      <c r="C27" s="36">
        <f>ROUND(31.02/18154,3)</f>
        <v>2E-3</v>
      </c>
      <c r="D27" s="55">
        <f>C27*27</f>
        <v>5.3999999999999999E-2</v>
      </c>
    </row>
    <row r="28" spans="1:4" x14ac:dyDescent="0.25">
      <c r="A28" s="18">
        <v>2223</v>
      </c>
      <c r="B28" s="18" t="s">
        <v>6</v>
      </c>
      <c r="C28" s="19"/>
      <c r="D28" s="19"/>
    </row>
    <row r="29" spans="1:4" ht="49.5" customHeight="1" x14ac:dyDescent="0.25">
      <c r="A29" s="18"/>
      <c r="B29" s="158" t="s">
        <v>348</v>
      </c>
      <c r="C29" s="55">
        <f>ROUND(538.27/18154,2)</f>
        <v>0.03</v>
      </c>
      <c r="D29" s="55">
        <f>C29*27</f>
        <v>0.80999999999999994</v>
      </c>
    </row>
    <row r="30" spans="1:4" x14ac:dyDescent="0.25">
      <c r="A30" s="18">
        <v>2224</v>
      </c>
      <c r="B30" s="158" t="s">
        <v>7</v>
      </c>
      <c r="C30" s="19"/>
      <c r="D30" s="19"/>
    </row>
    <row r="31" spans="1:4" ht="49.5" customHeight="1" x14ac:dyDescent="0.25">
      <c r="A31" s="18"/>
      <c r="B31" s="158" t="s">
        <v>817</v>
      </c>
      <c r="C31" s="36">
        <f>ROUND(28.86/18154,4)</f>
        <v>1.6000000000000001E-3</v>
      </c>
      <c r="D31" s="55">
        <f>C31*27</f>
        <v>4.3200000000000002E-2</v>
      </c>
    </row>
    <row r="32" spans="1:4" x14ac:dyDescent="0.25">
      <c r="A32" s="45">
        <v>2231</v>
      </c>
      <c r="B32" s="158" t="s">
        <v>22</v>
      </c>
      <c r="C32" s="36"/>
      <c r="D32" s="19"/>
    </row>
    <row r="33" spans="1:4" ht="170.25" customHeight="1" x14ac:dyDescent="0.25">
      <c r="A33" s="45"/>
      <c r="B33" s="158" t="s">
        <v>818</v>
      </c>
      <c r="C33" s="55">
        <f>ROUND(1201.87/18154,2)</f>
        <v>7.0000000000000007E-2</v>
      </c>
      <c r="D33" s="55">
        <f>C33*27</f>
        <v>1.8900000000000001</v>
      </c>
    </row>
    <row r="34" spans="1:4" ht="19.5" customHeight="1" x14ac:dyDescent="0.25">
      <c r="A34" s="45">
        <v>2243</v>
      </c>
      <c r="B34" s="158" t="s">
        <v>132</v>
      </c>
      <c r="C34" s="55"/>
      <c r="D34" s="55"/>
    </row>
    <row r="35" spans="1:4" ht="48" customHeight="1" x14ac:dyDescent="0.25">
      <c r="A35" s="45"/>
      <c r="B35" s="158" t="s">
        <v>973</v>
      </c>
      <c r="C35" s="55">
        <f>ROUND(386.87/18154,3)</f>
        <v>2.1000000000000001E-2</v>
      </c>
      <c r="D35" s="82">
        <f>C35*27</f>
        <v>0.56700000000000006</v>
      </c>
    </row>
    <row r="36" spans="1:4" x14ac:dyDescent="0.25">
      <c r="A36" s="18">
        <v>2244</v>
      </c>
      <c r="B36" s="158" t="s">
        <v>24</v>
      </c>
      <c r="C36" s="19"/>
      <c r="D36" s="19"/>
    </row>
    <row r="37" spans="1:4" ht="47.25" customHeight="1" x14ac:dyDescent="0.25">
      <c r="A37" s="21"/>
      <c r="B37" s="158" t="s">
        <v>170</v>
      </c>
      <c r="C37" s="55">
        <f>ROUND(383.44/18154,4)</f>
        <v>2.1100000000000001E-2</v>
      </c>
      <c r="D37" s="55">
        <f>C37*27</f>
        <v>0.56969999999999998</v>
      </c>
    </row>
    <row r="38" spans="1:4" ht="50.25" customHeight="1" x14ac:dyDescent="0.25">
      <c r="A38" s="21"/>
      <c r="B38" s="158" t="s">
        <v>171</v>
      </c>
      <c r="C38" s="40">
        <f>ROUND(5.03/18154,4)</f>
        <v>2.9999999999999997E-4</v>
      </c>
      <c r="D38" s="55">
        <f>C38*27</f>
        <v>8.0999999999999996E-3</v>
      </c>
    </row>
    <row r="39" spans="1:4" x14ac:dyDescent="0.25">
      <c r="A39" s="18">
        <v>2249</v>
      </c>
      <c r="B39" s="158" t="s">
        <v>8</v>
      </c>
      <c r="C39" s="19"/>
      <c r="D39" s="19"/>
    </row>
    <row r="40" spans="1:4" ht="45.75" customHeight="1" x14ac:dyDescent="0.25">
      <c r="A40" s="18"/>
      <c r="B40" s="158" t="s">
        <v>819</v>
      </c>
      <c r="C40" s="36">
        <f>ROUND(9.76/18154,4)</f>
        <v>5.0000000000000001E-4</v>
      </c>
      <c r="D40" s="55">
        <f>C40*27</f>
        <v>1.35E-2</v>
      </c>
    </row>
    <row r="41" spans="1:4" x14ac:dyDescent="0.25">
      <c r="A41" s="18">
        <v>2311</v>
      </c>
      <c r="B41" s="158" t="s">
        <v>9</v>
      </c>
      <c r="C41" s="36"/>
      <c r="D41" s="19"/>
    </row>
    <row r="42" spans="1:4" ht="50.25" customHeight="1" x14ac:dyDescent="0.25">
      <c r="A42" s="18"/>
      <c r="B42" s="158" t="s">
        <v>974</v>
      </c>
      <c r="C42" s="36">
        <f>ROUND(54.99/18154,3)</f>
        <v>3.0000000000000001E-3</v>
      </c>
      <c r="D42" s="55">
        <f>C42*27</f>
        <v>8.1000000000000003E-2</v>
      </c>
    </row>
    <row r="43" spans="1:4" x14ac:dyDescent="0.25">
      <c r="A43" s="18">
        <v>2350</v>
      </c>
      <c r="B43" s="158" t="s">
        <v>21</v>
      </c>
      <c r="C43" s="36"/>
      <c r="D43" s="19"/>
    </row>
    <row r="44" spans="1:4" ht="78" customHeight="1" x14ac:dyDescent="0.25">
      <c r="A44" s="18"/>
      <c r="B44" s="158" t="s">
        <v>820</v>
      </c>
      <c r="C44" s="40">
        <f>ROUND(6.69/18154,4)</f>
        <v>4.0000000000000002E-4</v>
      </c>
      <c r="D44" s="55">
        <f>C44*27</f>
        <v>1.0800000000000001E-2</v>
      </c>
    </row>
    <row r="45" spans="1:4" ht="17.25" customHeight="1" x14ac:dyDescent="0.25">
      <c r="A45" s="18">
        <v>2513</v>
      </c>
      <c r="B45" s="158" t="s">
        <v>133</v>
      </c>
      <c r="C45" s="40"/>
      <c r="D45" s="55"/>
    </row>
    <row r="46" spans="1:4" ht="46.5" customHeight="1" x14ac:dyDescent="0.25">
      <c r="A46" s="18"/>
      <c r="B46" s="158" t="s">
        <v>349</v>
      </c>
      <c r="C46" s="36">
        <f>ROUND(9.53/18154,4)</f>
        <v>5.0000000000000001E-4</v>
      </c>
      <c r="D46" s="55">
        <f>C46*27</f>
        <v>1.35E-2</v>
      </c>
    </row>
    <row r="47" spans="1:4" ht="21" customHeight="1" x14ac:dyDescent="0.25">
      <c r="A47" s="18">
        <v>5220</v>
      </c>
      <c r="B47" s="158" t="s">
        <v>136</v>
      </c>
      <c r="C47" s="40"/>
      <c r="D47" s="55"/>
    </row>
    <row r="48" spans="1:4" ht="45.75" customHeight="1" x14ac:dyDescent="0.25">
      <c r="A48" s="18"/>
      <c r="B48" s="158" t="s">
        <v>350</v>
      </c>
      <c r="C48" s="40">
        <f>ROUND(6.49/18154,4)</f>
        <v>4.0000000000000002E-4</v>
      </c>
      <c r="D48" s="55">
        <f>C48*27</f>
        <v>1.0800000000000001E-2</v>
      </c>
    </row>
    <row r="49" spans="1:4" ht="21.75" customHeight="1" x14ac:dyDescent="0.25">
      <c r="A49" s="18">
        <v>5238</v>
      </c>
      <c r="B49" s="158" t="s">
        <v>134</v>
      </c>
      <c r="C49" s="40"/>
      <c r="D49" s="55"/>
    </row>
    <row r="50" spans="1:4" ht="48" customHeight="1" x14ac:dyDescent="0.25">
      <c r="A50" s="18"/>
      <c r="B50" s="158" t="s">
        <v>975</v>
      </c>
      <c r="C50" s="36">
        <f>ROUND(33.68/18154,4)</f>
        <v>1.9E-3</v>
      </c>
      <c r="D50" s="55">
        <f>C50*27</f>
        <v>5.1299999999999998E-2</v>
      </c>
    </row>
    <row r="51" spans="1:4" x14ac:dyDescent="0.25">
      <c r="A51" s="68"/>
      <c r="B51" s="167" t="s">
        <v>10</v>
      </c>
      <c r="C51" s="71">
        <f>ROUND(C50+C48+C46+C44+C42+C40+C38+C37+C35+C33+C31+C29+C27+C25+C23,2)</f>
        <v>0.17</v>
      </c>
      <c r="D51" s="71">
        <f>ROUND(D50+D48+D46+D44+D42+D40+D38+D37+D35+D33+D31+D29+D27+D25+D23,2)</f>
        <v>4.59</v>
      </c>
    </row>
    <row r="52" spans="1:4" x14ac:dyDescent="0.25">
      <c r="A52" s="23"/>
      <c r="B52" s="24" t="s">
        <v>15</v>
      </c>
      <c r="C52" s="52">
        <f>ROUND(C51+C20,2)</f>
        <v>1.4</v>
      </c>
      <c r="D52" s="52">
        <f>D51+D20</f>
        <v>37.800000000000011</v>
      </c>
    </row>
    <row r="53" spans="1:4" x14ac:dyDescent="0.25">
      <c r="A53" s="25"/>
      <c r="B53" s="26"/>
      <c r="C53" s="27"/>
      <c r="D53" s="27"/>
    </row>
    <row r="54" spans="1:4" x14ac:dyDescent="0.25">
      <c r="A54" s="26"/>
      <c r="B54" s="28"/>
      <c r="C54" s="28"/>
      <c r="D54" s="9"/>
    </row>
    <row r="55" spans="1:4" ht="15" customHeight="1" x14ac:dyDescent="0.25">
      <c r="A55" s="252" t="s">
        <v>16</v>
      </c>
      <c r="B55" s="253"/>
      <c r="C55" s="138">
        <v>27</v>
      </c>
      <c r="D55" s="29"/>
    </row>
    <row r="56" spans="1:4" ht="32.25" customHeight="1" x14ac:dyDescent="0.25">
      <c r="A56" s="254" t="s">
        <v>23</v>
      </c>
      <c r="B56" s="255"/>
      <c r="C56" s="139">
        <f>D52/27</f>
        <v>1.4000000000000004</v>
      </c>
      <c r="D56" s="29"/>
    </row>
    <row r="57" spans="1:4" x14ac:dyDescent="0.25">
      <c r="A57" s="30"/>
      <c r="B57" s="30"/>
      <c r="C57" s="30"/>
      <c r="D57" s="30"/>
    </row>
    <row r="58" spans="1:4" x14ac:dyDescent="0.25">
      <c r="A58" s="30"/>
      <c r="B58" s="30"/>
      <c r="C58" s="30"/>
      <c r="D58" s="152"/>
    </row>
    <row r="59" spans="1:4" x14ac:dyDescent="0.25">
      <c r="A59" s="30"/>
      <c r="B59" s="30"/>
      <c r="C59" s="30"/>
      <c r="D59" s="152"/>
    </row>
    <row r="60" spans="1:4" x14ac:dyDescent="0.25">
      <c r="A60" s="30"/>
      <c r="B60" s="30"/>
      <c r="C60" s="30"/>
      <c r="D60" s="152"/>
    </row>
    <row r="61" spans="1:4" x14ac:dyDescent="0.25">
      <c r="A61" s="30"/>
      <c r="B61" s="30"/>
      <c r="C61" s="30"/>
      <c r="D61" s="30"/>
    </row>
    <row r="62" spans="1:4" x14ac:dyDescent="0.25">
      <c r="A62" s="231"/>
      <c r="B62" s="231"/>
      <c r="C62" s="9"/>
      <c r="D62" s="9"/>
    </row>
    <row r="63" spans="1:4" x14ac:dyDescent="0.25">
      <c r="A63" s="250"/>
      <c r="B63" s="231"/>
      <c r="C63" s="9"/>
      <c r="D63" s="9"/>
    </row>
    <row r="64" spans="1:4" x14ac:dyDescent="0.25">
      <c r="A64" s="154"/>
      <c r="B64" s="9"/>
      <c r="C64" s="31"/>
      <c r="D64" s="9"/>
    </row>
    <row r="65" spans="1:4" x14ac:dyDescent="0.25">
      <c r="A65" s="250"/>
      <c r="B65" s="250"/>
      <c r="C65" s="31"/>
      <c r="D65" s="9"/>
    </row>
    <row r="66" spans="1:4" x14ac:dyDescent="0.25">
      <c r="A66" s="148"/>
      <c r="B66" s="148"/>
    </row>
  </sheetData>
  <customSheetViews>
    <customSheetView guid="{3046F990-4623-45D5-BDDC-01BD5999DDBC}" scale="60" showPageBreaks="1" fitToPage="1" printArea="1" hiddenRows="1" view="pageBreakPreview" topLeftCell="A5">
      <selection activeCell="B53" sqref="B53"/>
      <rowBreaks count="1" manualBreakCount="1">
        <brk id="38" max="3" man="1"/>
      </rowBreaks>
      <pageMargins left="0.70866141732283472" right="0.70866141732283472" top="0.74803149606299213" bottom="0.74803149606299213" header="0.31496062992125984" footer="0.31496062992125984"/>
      <pageSetup paperSize="9" scale="60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hiddenRows="1" view="pageBreakPreview" topLeftCell="A5">
      <selection activeCell="D49" sqref="D49"/>
      <rowBreaks count="1" manualBreakCount="1">
        <brk id="38" max="3" man="1"/>
      </rowBreaks>
      <pageMargins left="0.70866141732283472" right="0.70866141732283472" top="0.74803149606299213" bottom="0.74803149606299213" header="0.31496062992125984" footer="0.31496062992125984"/>
      <pageSetup paperSize="9" scale="60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hiddenRows="1" view="pageBreakPreview">
      <selection activeCell="A6" sqref="A6:D6"/>
      <rowBreaks count="1" manualBreakCount="1">
        <brk id="38" max="3" man="1"/>
      </rowBreaks>
      <pageMargins left="0.70866141732283472" right="0.70866141732283472" top="0.74803149606299213" bottom="0.74803149606299213" header="0.31496062992125984" footer="0.31496062992125984"/>
      <pageSetup paperSize="9" scale="61" fitToHeight="0" orientation="portrait" r:id="rId3"/>
      <headerFooter>
        <oddFooter>&amp;C&amp;P</oddFooter>
      </headerFooter>
    </customSheetView>
  </customSheetViews>
  <mergeCells count="10">
    <mergeCell ref="A63:B63"/>
    <mergeCell ref="A65:B65"/>
    <mergeCell ref="A56:B56"/>
    <mergeCell ref="C3:D3"/>
    <mergeCell ref="A55:B55"/>
    <mergeCell ref="A2:D2"/>
    <mergeCell ref="A6:D6"/>
    <mergeCell ref="A8:B8"/>
    <mergeCell ref="A10:B10"/>
    <mergeCell ref="A62:B62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4"/>
  <headerFooter>
    <oddFooter>&amp;C&amp;P</oddFooter>
  </headerFooter>
  <rowBreaks count="1" manualBreakCount="1">
    <brk id="38" max="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view="pageBreakPreview" zoomScale="60" zoomScaleNormal="100" workbookViewId="0">
      <selection activeCell="A6" sqref="A6:D6"/>
    </sheetView>
  </sheetViews>
  <sheetFormatPr defaultRowHeight="15" x14ac:dyDescent="0.25"/>
  <cols>
    <col min="1" max="1" width="13.42578125" customWidth="1"/>
    <col min="2" max="2" width="74.42578125" customWidth="1"/>
    <col min="3" max="3" width="14.5703125" customWidth="1"/>
    <col min="4" max="4" width="15.7109375" customWidth="1"/>
  </cols>
  <sheetData>
    <row r="1" spans="1:4" ht="18.75" x14ac:dyDescent="0.3">
      <c r="A1" s="4"/>
      <c r="B1" s="5"/>
      <c r="C1" s="35"/>
      <c r="D1" s="5"/>
    </row>
    <row r="2" spans="1:4" ht="15.75" customHeight="1" x14ac:dyDescent="0.25">
      <c r="A2" s="256" t="s">
        <v>307</v>
      </c>
      <c r="B2" s="256"/>
      <c r="C2" s="256"/>
      <c r="D2" s="256"/>
    </row>
    <row r="3" spans="1:4" ht="15" customHeight="1" x14ac:dyDescent="0.25">
      <c r="A3" s="4"/>
      <c r="B3" s="4"/>
      <c r="C3" s="273"/>
      <c r="D3" s="274"/>
    </row>
    <row r="4" spans="1:4" ht="15.75" x14ac:dyDescent="0.25">
      <c r="A4" s="186" t="s">
        <v>723</v>
      </c>
      <c r="B4" s="32"/>
      <c r="C4" s="32"/>
      <c r="D4" s="32"/>
    </row>
    <row r="5" spans="1:4" x14ac:dyDescent="0.25">
      <c r="A5" s="4"/>
      <c r="B5" s="33"/>
      <c r="C5" s="33"/>
      <c r="D5" s="9"/>
    </row>
    <row r="6" spans="1:4" ht="35.25" customHeight="1" x14ac:dyDescent="0.25">
      <c r="A6" s="272" t="s">
        <v>1021</v>
      </c>
      <c r="B6" s="272"/>
      <c r="C6" s="272"/>
      <c r="D6" s="272"/>
    </row>
    <row r="7" spans="1:4" ht="12.75" customHeight="1" x14ac:dyDescent="0.25">
      <c r="A7" s="180"/>
      <c r="B7" s="34"/>
      <c r="C7" s="34"/>
      <c r="D7" s="9"/>
    </row>
    <row r="8" spans="1:4" ht="15" customHeight="1" x14ac:dyDescent="0.25">
      <c r="A8" s="270" t="s">
        <v>309</v>
      </c>
      <c r="B8" s="271"/>
      <c r="C8" s="34"/>
      <c r="D8" s="9"/>
    </row>
    <row r="9" spans="1:4" s="181" customFormat="1" ht="15" customHeight="1" x14ac:dyDescent="0.25">
      <c r="A9" s="183"/>
      <c r="B9" s="184"/>
      <c r="C9" s="34"/>
      <c r="D9" s="9"/>
    </row>
    <row r="10" spans="1:4" ht="15" customHeight="1" x14ac:dyDescent="0.25">
      <c r="A10" s="251" t="s">
        <v>755</v>
      </c>
      <c r="B10" s="251"/>
      <c r="C10" s="8"/>
      <c r="D10" s="9"/>
    </row>
    <row r="11" spans="1:4" ht="15" hidden="1" customHeight="1" x14ac:dyDescent="0.25">
      <c r="A11" s="251" t="s">
        <v>754</v>
      </c>
      <c r="B11" s="251"/>
      <c r="C11" s="8"/>
      <c r="D11" s="9"/>
    </row>
    <row r="12" spans="1:4" ht="120" x14ac:dyDescent="0.25">
      <c r="A12" s="12" t="s">
        <v>0</v>
      </c>
      <c r="B12" s="12" t="s">
        <v>1</v>
      </c>
      <c r="C12" s="12" t="s">
        <v>17</v>
      </c>
      <c r="D12" s="12" t="s">
        <v>18</v>
      </c>
    </row>
    <row r="13" spans="1:4" x14ac:dyDescent="0.25">
      <c r="A13" s="13">
        <v>1</v>
      </c>
      <c r="B13" s="14">
        <v>2</v>
      </c>
      <c r="C13" s="13">
        <v>3</v>
      </c>
      <c r="D13" s="13">
        <v>4</v>
      </c>
    </row>
    <row r="14" spans="1:4" x14ac:dyDescent="0.25">
      <c r="A14" s="15"/>
      <c r="B14" s="22" t="s">
        <v>13</v>
      </c>
      <c r="C14" s="17"/>
      <c r="D14" s="17"/>
    </row>
    <row r="15" spans="1:4" x14ac:dyDescent="0.25">
      <c r="A15" s="37">
        <v>1100</v>
      </c>
      <c r="B15" s="16" t="s">
        <v>14</v>
      </c>
      <c r="C15" s="38"/>
      <c r="D15" s="38"/>
    </row>
    <row r="16" spans="1:4" ht="80.25" customHeight="1" x14ac:dyDescent="0.25">
      <c r="A16" s="18"/>
      <c r="B16" s="157" t="s">
        <v>351</v>
      </c>
      <c r="C16" s="55">
        <f>0.11*20</f>
        <v>2.2000000000000002</v>
      </c>
      <c r="D16" s="55">
        <f>C16*97</f>
        <v>213.4</v>
      </c>
    </row>
    <row r="17" spans="1:4" ht="34.5" customHeight="1" x14ac:dyDescent="0.25">
      <c r="A17" s="18">
        <v>1200</v>
      </c>
      <c r="B17" s="158" t="s">
        <v>201</v>
      </c>
      <c r="C17" s="55">
        <f>ROUND(C16*0.2359,2)</f>
        <v>0.52</v>
      </c>
      <c r="D17" s="55">
        <f>C17*97</f>
        <v>50.440000000000005</v>
      </c>
    </row>
    <row r="18" spans="1:4" ht="21" customHeight="1" x14ac:dyDescent="0.25">
      <c r="A18" s="18">
        <v>2341</v>
      </c>
      <c r="B18" s="18" t="s">
        <v>77</v>
      </c>
      <c r="C18" s="19"/>
      <c r="D18" s="19"/>
    </row>
    <row r="19" spans="1:4" ht="110.25" customHeight="1" x14ac:dyDescent="0.25">
      <c r="A19" s="18"/>
      <c r="B19" s="158" t="s">
        <v>172</v>
      </c>
      <c r="C19" s="55">
        <f>0.18+2.17+0.04+0.25+0.02+0.01+0.07</f>
        <v>2.7399999999999998</v>
      </c>
      <c r="D19" s="55">
        <f>2.74*97</f>
        <v>265.78000000000003</v>
      </c>
    </row>
    <row r="20" spans="1:4" hidden="1" x14ac:dyDescent="0.25">
      <c r="A20" s="18"/>
      <c r="B20" s="158" t="s">
        <v>72</v>
      </c>
      <c r="C20" s="36"/>
      <c r="D20" s="55"/>
    </row>
    <row r="21" spans="1:4" x14ac:dyDescent="0.25">
      <c r="A21" s="68"/>
      <c r="B21" s="159" t="s">
        <v>2</v>
      </c>
      <c r="C21" s="71">
        <f>SUM(C15:C19)</f>
        <v>5.46</v>
      </c>
      <c r="D21" s="71">
        <f>SUM(D15:D19)</f>
        <v>529.62000000000012</v>
      </c>
    </row>
    <row r="22" spans="1:4" x14ac:dyDescent="0.25">
      <c r="A22" s="18"/>
      <c r="B22" s="160" t="s">
        <v>20</v>
      </c>
      <c r="C22" s="19"/>
      <c r="D22" s="19"/>
    </row>
    <row r="23" spans="1:4" x14ac:dyDescent="0.25">
      <c r="A23" s="18">
        <v>2219</v>
      </c>
      <c r="B23" s="158" t="s">
        <v>3</v>
      </c>
      <c r="C23" s="19"/>
      <c r="D23" s="19"/>
    </row>
    <row r="24" spans="1:4" ht="93" customHeight="1" x14ac:dyDescent="0.25">
      <c r="A24" s="18"/>
      <c r="B24" s="158" t="s">
        <v>674</v>
      </c>
      <c r="C24" s="40">
        <f>ROUND(3.18/18154,4)</f>
        <v>2.0000000000000001E-4</v>
      </c>
      <c r="D24" s="55">
        <f>C24*97</f>
        <v>1.9400000000000001E-2</v>
      </c>
    </row>
    <row r="25" spans="1:4" x14ac:dyDescent="0.25">
      <c r="A25" s="18">
        <v>2221</v>
      </c>
      <c r="B25" s="158" t="s">
        <v>4</v>
      </c>
      <c r="C25" s="19"/>
      <c r="D25" s="19"/>
    </row>
    <row r="26" spans="1:4" ht="50.25" customHeight="1" x14ac:dyDescent="0.25">
      <c r="A26" s="18"/>
      <c r="B26" s="158" t="s">
        <v>673</v>
      </c>
      <c r="C26" s="55">
        <f>ROUND(301.59/18154,4)</f>
        <v>1.66E-2</v>
      </c>
      <c r="D26" s="55">
        <f>C26*97</f>
        <v>1.6102000000000001</v>
      </c>
    </row>
    <row r="27" spans="1:4" ht="18.75" customHeight="1" x14ac:dyDescent="0.25">
      <c r="A27" s="18">
        <v>2222</v>
      </c>
      <c r="B27" s="158" t="s">
        <v>5</v>
      </c>
      <c r="C27" s="19"/>
      <c r="D27" s="19"/>
    </row>
    <row r="28" spans="1:4" ht="48.75" customHeight="1" x14ac:dyDescent="0.25">
      <c r="A28" s="18"/>
      <c r="B28" s="158" t="s">
        <v>352</v>
      </c>
      <c r="C28" s="36">
        <f>ROUND(31.02/18154,4)</f>
        <v>1.6999999999999999E-3</v>
      </c>
      <c r="D28" s="55">
        <f>C28*97</f>
        <v>0.16489999999999999</v>
      </c>
    </row>
    <row r="29" spans="1:4" x14ac:dyDescent="0.25">
      <c r="A29" s="18">
        <v>2223</v>
      </c>
      <c r="B29" s="18" t="s">
        <v>6</v>
      </c>
      <c r="C29" s="19"/>
      <c r="D29" s="19"/>
    </row>
    <row r="30" spans="1:4" ht="48" customHeight="1" x14ac:dyDescent="0.25">
      <c r="A30" s="18"/>
      <c r="B30" s="158" t="s">
        <v>353</v>
      </c>
      <c r="C30" s="55">
        <f>ROUND(538.27/18154,3)</f>
        <v>0.03</v>
      </c>
      <c r="D30" s="55">
        <f>C30*97</f>
        <v>2.9099999999999997</v>
      </c>
    </row>
    <row r="31" spans="1:4" x14ac:dyDescent="0.25">
      <c r="A31" s="18">
        <v>2224</v>
      </c>
      <c r="B31" s="158" t="s">
        <v>7</v>
      </c>
      <c r="C31" s="19"/>
      <c r="D31" s="19"/>
    </row>
    <row r="32" spans="1:4" ht="51.75" customHeight="1" x14ac:dyDescent="0.25">
      <c r="A32" s="18"/>
      <c r="B32" s="158" t="s">
        <v>821</v>
      </c>
      <c r="C32" s="36">
        <f>ROUND(28.86/18154,4)</f>
        <v>1.6000000000000001E-3</v>
      </c>
      <c r="D32" s="55">
        <f>C32*97</f>
        <v>0.1552</v>
      </c>
    </row>
    <row r="33" spans="1:4" x14ac:dyDescent="0.25">
      <c r="A33" s="45">
        <v>2231</v>
      </c>
      <c r="B33" s="158" t="s">
        <v>22</v>
      </c>
      <c r="C33" s="36"/>
      <c r="D33" s="19"/>
    </row>
    <row r="34" spans="1:4" ht="167.25" customHeight="1" x14ac:dyDescent="0.25">
      <c r="A34" s="45"/>
      <c r="B34" s="158" t="s">
        <v>672</v>
      </c>
      <c r="C34" s="55">
        <f>ROUND(1201.87/18154,2)</f>
        <v>7.0000000000000007E-2</v>
      </c>
      <c r="D34" s="55">
        <f>C34*97</f>
        <v>6.7900000000000009</v>
      </c>
    </row>
    <row r="35" spans="1:4" ht="15" customHeight="1" x14ac:dyDescent="0.25">
      <c r="A35" s="45">
        <v>2243</v>
      </c>
      <c r="B35" s="158" t="s">
        <v>132</v>
      </c>
      <c r="C35" s="55"/>
      <c r="D35" s="55"/>
    </row>
    <row r="36" spans="1:4" ht="60" customHeight="1" x14ac:dyDescent="0.25">
      <c r="A36" s="45"/>
      <c r="B36" s="158" t="s">
        <v>354</v>
      </c>
      <c r="C36" s="55">
        <f>ROUND(386.87/18154,3)</f>
        <v>2.1000000000000001E-2</v>
      </c>
      <c r="D36" s="82">
        <f>C36*97</f>
        <v>2.0369999999999999</v>
      </c>
    </row>
    <row r="37" spans="1:4" x14ac:dyDescent="0.25">
      <c r="A37" s="18">
        <v>2244</v>
      </c>
      <c r="B37" s="158" t="s">
        <v>24</v>
      </c>
      <c r="C37" s="19"/>
      <c r="D37" s="19"/>
    </row>
    <row r="38" spans="1:4" ht="64.5" customHeight="1" x14ac:dyDescent="0.25">
      <c r="A38" s="21"/>
      <c r="B38" s="158" t="s">
        <v>355</v>
      </c>
      <c r="C38" s="55">
        <f>ROUND(383.44/18154,4)</f>
        <v>2.1100000000000001E-2</v>
      </c>
      <c r="D38" s="55">
        <f>C38*97</f>
        <v>2.0467</v>
      </c>
    </row>
    <row r="39" spans="1:4" ht="48.75" customHeight="1" x14ac:dyDescent="0.25">
      <c r="A39" s="21"/>
      <c r="B39" s="158" t="s">
        <v>756</v>
      </c>
      <c r="C39" s="40">
        <f>ROUND(5.03/18154,4)</f>
        <v>2.9999999999999997E-4</v>
      </c>
      <c r="D39" s="55">
        <f>C39*97</f>
        <v>2.9099999999999997E-2</v>
      </c>
    </row>
    <row r="40" spans="1:4" x14ac:dyDescent="0.25">
      <c r="A40" s="18">
        <v>2249</v>
      </c>
      <c r="B40" s="158" t="s">
        <v>8</v>
      </c>
      <c r="C40" s="19"/>
      <c r="D40" s="19"/>
    </row>
    <row r="41" spans="1:4" ht="65.25" customHeight="1" x14ac:dyDescent="0.25">
      <c r="A41" s="18"/>
      <c r="B41" s="158" t="s">
        <v>941</v>
      </c>
      <c r="C41" s="36">
        <f>ROUND(9.76/18154,4)</f>
        <v>5.0000000000000001E-4</v>
      </c>
      <c r="D41" s="55">
        <f>C41*97</f>
        <v>4.8500000000000001E-2</v>
      </c>
    </row>
    <row r="42" spans="1:4" x14ac:dyDescent="0.25">
      <c r="A42" s="18">
        <v>2311</v>
      </c>
      <c r="B42" s="158" t="s">
        <v>9</v>
      </c>
      <c r="C42" s="36"/>
      <c r="D42" s="19"/>
    </row>
    <row r="43" spans="1:4" ht="66.75" customHeight="1" x14ac:dyDescent="0.25">
      <c r="A43" s="18"/>
      <c r="B43" s="158" t="s">
        <v>757</v>
      </c>
      <c r="C43" s="36">
        <f>ROUND(54.99/18154,4)</f>
        <v>3.0000000000000001E-3</v>
      </c>
      <c r="D43" s="55">
        <f>C43*97</f>
        <v>0.29099999999999998</v>
      </c>
    </row>
    <row r="44" spans="1:4" x14ac:dyDescent="0.25">
      <c r="A44" s="18">
        <v>2350</v>
      </c>
      <c r="B44" s="158" t="s">
        <v>21</v>
      </c>
      <c r="C44" s="36"/>
      <c r="D44" s="19"/>
    </row>
    <row r="45" spans="1:4" ht="95.25" customHeight="1" x14ac:dyDescent="0.25">
      <c r="A45" s="18"/>
      <c r="B45" s="158" t="s">
        <v>356</v>
      </c>
      <c r="C45" s="40">
        <f>ROUND(6.69/18154,4)</f>
        <v>4.0000000000000002E-4</v>
      </c>
      <c r="D45" s="55">
        <f>C45*97</f>
        <v>3.8800000000000001E-2</v>
      </c>
    </row>
    <row r="46" spans="1:4" ht="15" customHeight="1" x14ac:dyDescent="0.25">
      <c r="A46" s="18">
        <v>2513</v>
      </c>
      <c r="B46" s="158" t="s">
        <v>133</v>
      </c>
      <c r="C46" s="40"/>
      <c r="D46" s="55"/>
    </row>
    <row r="47" spans="1:4" ht="51" customHeight="1" x14ac:dyDescent="0.25">
      <c r="A47" s="18"/>
      <c r="B47" s="158" t="s">
        <v>357</v>
      </c>
      <c r="C47" s="36">
        <f>ROUND(9.53/18154,4)</f>
        <v>5.0000000000000001E-4</v>
      </c>
      <c r="D47" s="55">
        <f>C47*97</f>
        <v>4.8500000000000001E-2</v>
      </c>
    </row>
    <row r="48" spans="1:4" ht="16.5" customHeight="1" x14ac:dyDescent="0.25">
      <c r="A48" s="18">
        <v>5220</v>
      </c>
      <c r="B48" s="158" t="s">
        <v>136</v>
      </c>
      <c r="C48" s="40"/>
      <c r="D48" s="55"/>
    </row>
    <row r="49" spans="1:4" ht="51" customHeight="1" x14ac:dyDescent="0.25">
      <c r="A49" s="18"/>
      <c r="B49" s="158" t="s">
        <v>358</v>
      </c>
      <c r="C49" s="40">
        <f>ROUND(19.33/18154,4)</f>
        <v>1.1000000000000001E-3</v>
      </c>
      <c r="D49" s="55">
        <f>C49*97</f>
        <v>0.1067</v>
      </c>
    </row>
    <row r="50" spans="1:4" ht="15.75" customHeight="1" x14ac:dyDescent="0.25">
      <c r="A50" s="18">
        <v>5238</v>
      </c>
      <c r="B50" s="158" t="s">
        <v>134</v>
      </c>
      <c r="C50" s="40"/>
      <c r="D50" s="55"/>
    </row>
    <row r="51" spans="1:4" ht="48.75" customHeight="1" x14ac:dyDescent="0.25">
      <c r="A51" s="18"/>
      <c r="B51" s="158" t="s">
        <v>359</v>
      </c>
      <c r="C51" s="36">
        <f>ROUND(33.68/18154,3)</f>
        <v>2E-3</v>
      </c>
      <c r="D51" s="55">
        <f>C51*97</f>
        <v>0.19400000000000001</v>
      </c>
    </row>
    <row r="52" spans="1:4" x14ac:dyDescent="0.25">
      <c r="A52" s="68"/>
      <c r="B52" s="72" t="s">
        <v>10</v>
      </c>
      <c r="C52" s="71">
        <f>ROUND(C51+C49+C47+C45+C43+C41+C39+C38+C36+C34+C32+C30+C28+C26+C24,2)</f>
        <v>0.17</v>
      </c>
      <c r="D52" s="71">
        <f>ROUND(D51+D49+D47+D45+D43+D41+D39+D38+D36+D34+D32+D30+D28+D26+D24,2)</f>
        <v>16.489999999999998</v>
      </c>
    </row>
    <row r="53" spans="1:4" x14ac:dyDescent="0.25">
      <c r="A53" s="23"/>
      <c r="B53" s="24" t="s">
        <v>15</v>
      </c>
      <c r="C53" s="52">
        <f>ROUND(C52+C21,2)</f>
        <v>5.63</v>
      </c>
      <c r="D53" s="52">
        <f>D52+D21</f>
        <v>546.11000000000013</v>
      </c>
    </row>
    <row r="54" spans="1:4" x14ac:dyDescent="0.25">
      <c r="A54" s="25"/>
      <c r="B54" s="26"/>
      <c r="C54" s="27"/>
      <c r="D54" s="27"/>
    </row>
    <row r="55" spans="1:4" x14ac:dyDescent="0.25">
      <c r="A55" s="26"/>
      <c r="B55" s="28"/>
      <c r="C55" s="28"/>
      <c r="D55" s="9"/>
    </row>
    <row r="56" spans="1:4" ht="15" customHeight="1" x14ac:dyDescent="0.25">
      <c r="A56" s="252" t="s">
        <v>16</v>
      </c>
      <c r="B56" s="253"/>
      <c r="C56" s="138">
        <v>97</v>
      </c>
      <c r="D56" s="29"/>
    </row>
    <row r="57" spans="1:4" ht="35.25" customHeight="1" x14ac:dyDescent="0.25">
      <c r="A57" s="254" t="s">
        <v>23</v>
      </c>
      <c r="B57" s="255"/>
      <c r="C57" s="139">
        <f>D53/97</f>
        <v>5.6300000000000017</v>
      </c>
      <c r="D57" s="29"/>
    </row>
    <row r="58" spans="1:4" x14ac:dyDescent="0.25">
      <c r="A58" s="30"/>
      <c r="B58" s="30"/>
      <c r="C58" s="30"/>
      <c r="D58" s="30"/>
    </row>
    <row r="59" spans="1:4" x14ac:dyDescent="0.25">
      <c r="A59" s="30"/>
      <c r="B59" s="30"/>
      <c r="C59" s="30"/>
      <c r="D59" s="152"/>
    </row>
    <row r="60" spans="1:4" x14ac:dyDescent="0.25">
      <c r="A60" s="30"/>
      <c r="B60" s="30"/>
      <c r="C60" s="30"/>
      <c r="D60" s="152"/>
    </row>
    <row r="61" spans="1:4" x14ac:dyDescent="0.25">
      <c r="A61" s="30"/>
      <c r="B61" s="30"/>
      <c r="C61" s="30"/>
      <c r="D61" s="152"/>
    </row>
    <row r="62" spans="1:4" x14ac:dyDescent="0.25">
      <c r="A62" s="30"/>
      <c r="B62" s="30"/>
      <c r="C62" s="30"/>
      <c r="D62" s="30"/>
    </row>
    <row r="63" spans="1:4" x14ac:dyDescent="0.25">
      <c r="A63" s="231"/>
      <c r="B63" s="231"/>
      <c r="C63" s="9"/>
      <c r="D63" s="9"/>
    </row>
    <row r="64" spans="1:4" x14ac:dyDescent="0.25">
      <c r="A64" s="250"/>
      <c r="B64" s="231"/>
      <c r="C64" s="9"/>
      <c r="D64" s="9"/>
    </row>
    <row r="65" spans="1:4" x14ac:dyDescent="0.25">
      <c r="A65" s="154"/>
      <c r="B65" s="9"/>
      <c r="C65" s="31"/>
      <c r="D65" s="9"/>
    </row>
    <row r="66" spans="1:4" x14ac:dyDescent="0.25">
      <c r="A66" s="250"/>
      <c r="B66" s="250"/>
      <c r="C66" s="31"/>
      <c r="D66" s="9"/>
    </row>
  </sheetData>
  <customSheetViews>
    <customSheetView guid="{3046F990-4623-45D5-BDDC-01BD5999DDBC}" scale="60" showPageBreaks="1" fitToPage="1" printArea="1" hiddenRows="1" view="pageBreakPreview">
      <selection activeCell="B53" sqref="B53"/>
      <rowBreaks count="1" manualBreakCount="1">
        <brk id="32" max="3" man="1"/>
      </rowBreaks>
      <pageMargins left="0.70866141732283472" right="0.70866141732283472" top="0.74803149606299213" bottom="0.74803149606299213" header="0.31496062992125984" footer="0.31496062992125984"/>
      <pageSetup paperSize="9" scale="73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hiddenRows="1" view="pageBreakPreview" topLeftCell="A13">
      <selection activeCell="B51" sqref="B51"/>
      <rowBreaks count="1" manualBreakCount="1">
        <brk id="32" max="3" man="1"/>
      </rowBreaks>
      <pageMargins left="0.70866141732283472" right="0.70866141732283472" top="0.74803149606299213" bottom="0.74803149606299213" header="0.31496062992125984" footer="0.31496062992125984"/>
      <pageSetup paperSize="9" scale="73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hiddenRows="1" view="pageBreakPreview">
      <selection activeCell="A6" sqref="A6:D6"/>
      <rowBreaks count="1" manualBreakCount="1">
        <brk id="32" max="3" man="1"/>
      </rowBreaks>
      <pageMargins left="0.70866141732283472" right="0.70866141732283472" top="0.74803149606299213" bottom="0.74803149606299213" header="0.31496062992125984" footer="0.31496062992125984"/>
      <pageSetup paperSize="9" scale="74" fitToHeight="0" orientation="portrait" r:id="rId3"/>
      <headerFooter>
        <oddFooter>&amp;C&amp;P</oddFooter>
      </headerFooter>
    </customSheetView>
  </customSheetViews>
  <mergeCells count="11">
    <mergeCell ref="A64:B64"/>
    <mergeCell ref="A66:B66"/>
    <mergeCell ref="A57:B57"/>
    <mergeCell ref="C3:D3"/>
    <mergeCell ref="A10:B10"/>
    <mergeCell ref="A56:B56"/>
    <mergeCell ref="A2:D2"/>
    <mergeCell ref="A6:D6"/>
    <mergeCell ref="A8:B8"/>
    <mergeCell ref="A11:B11"/>
    <mergeCell ref="A63:B63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4"/>
  <headerFooter>
    <oddFooter>&amp;C&amp;P</oddFooter>
  </headerFooter>
  <rowBreaks count="1" manualBreakCount="1">
    <brk id="32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view="pageBreakPreview" zoomScale="60" zoomScaleNormal="100" workbookViewId="0">
      <selection activeCell="B11" sqref="B11"/>
    </sheetView>
  </sheetViews>
  <sheetFormatPr defaultRowHeight="15" x14ac:dyDescent="0.25"/>
  <cols>
    <col min="1" max="1" width="15.85546875" customWidth="1"/>
    <col min="2" max="2" width="75" customWidth="1"/>
    <col min="3" max="3" width="15" customWidth="1"/>
    <col min="4" max="4" width="23.5703125" customWidth="1"/>
  </cols>
  <sheetData>
    <row r="1" spans="1:4" ht="18.75" x14ac:dyDescent="0.3">
      <c r="A1" s="4"/>
      <c r="B1" s="5"/>
      <c r="C1" s="35"/>
      <c r="D1" s="5"/>
    </row>
    <row r="2" spans="1:4" ht="15.75" customHeight="1" x14ac:dyDescent="0.25">
      <c r="A2" s="256" t="s">
        <v>307</v>
      </c>
      <c r="B2" s="256"/>
      <c r="C2" s="256"/>
      <c r="D2" s="256"/>
    </row>
    <row r="3" spans="1:4" ht="15" customHeight="1" x14ac:dyDescent="0.25">
      <c r="A3" s="4"/>
      <c r="B3" s="4"/>
      <c r="C3" s="273"/>
      <c r="D3" s="274"/>
    </row>
    <row r="4" spans="1:4" ht="15.75" x14ac:dyDescent="0.25">
      <c r="A4" s="186" t="s">
        <v>723</v>
      </c>
      <c r="B4" s="32"/>
      <c r="C4" s="32"/>
      <c r="D4" s="32"/>
    </row>
    <row r="5" spans="1:4" x14ac:dyDescent="0.25">
      <c r="A5" s="4"/>
      <c r="B5" s="33"/>
      <c r="C5" s="33"/>
      <c r="D5" s="9"/>
    </row>
    <row r="6" spans="1:4" ht="33.75" customHeight="1" x14ac:dyDescent="0.25">
      <c r="A6" s="272" t="s">
        <v>1077</v>
      </c>
      <c r="B6" s="272"/>
      <c r="C6" s="272"/>
      <c r="D6" s="272"/>
    </row>
    <row r="7" spans="1:4" ht="14.25" customHeight="1" x14ac:dyDescent="0.25">
      <c r="A7" s="180"/>
      <c r="B7" s="34"/>
      <c r="C7" s="34"/>
      <c r="D7" s="9"/>
    </row>
    <row r="8" spans="1:4" x14ac:dyDescent="0.25">
      <c r="A8" s="270" t="s">
        <v>309</v>
      </c>
      <c r="B8" s="271"/>
      <c r="C8" s="34"/>
      <c r="D8" s="9"/>
    </row>
    <row r="9" spans="1:4" ht="15" customHeight="1" x14ac:dyDescent="0.25">
      <c r="A9" s="183"/>
      <c r="B9" s="184"/>
      <c r="C9" s="34"/>
      <c r="D9" s="9"/>
    </row>
    <row r="10" spans="1:4" ht="15.75" x14ac:dyDescent="0.25">
      <c r="A10" s="251" t="s">
        <v>730</v>
      </c>
      <c r="B10" s="251"/>
      <c r="C10" s="8"/>
      <c r="D10" s="9"/>
    </row>
    <row r="11" spans="1:4" ht="60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4" x14ac:dyDescent="0.25">
      <c r="A12" s="13">
        <v>1</v>
      </c>
      <c r="B12" s="14">
        <v>2</v>
      </c>
      <c r="C12" s="13">
        <v>3</v>
      </c>
      <c r="D12" s="13">
        <v>4</v>
      </c>
    </row>
    <row r="13" spans="1:4" x14ac:dyDescent="0.25">
      <c r="A13" s="15"/>
      <c r="B13" s="22" t="s">
        <v>13</v>
      </c>
      <c r="C13" s="17"/>
      <c r="D13" s="17"/>
    </row>
    <row r="14" spans="1:4" x14ac:dyDescent="0.25">
      <c r="A14" s="37">
        <v>1100</v>
      </c>
      <c r="B14" s="16" t="s">
        <v>14</v>
      </c>
      <c r="C14" s="38"/>
      <c r="D14" s="38"/>
    </row>
    <row r="15" spans="1:4" ht="105.75" customHeight="1" x14ac:dyDescent="0.25">
      <c r="A15" s="18"/>
      <c r="B15" s="157" t="s">
        <v>362</v>
      </c>
      <c r="C15" s="55">
        <f>0.11*20+1.43</f>
        <v>3.63</v>
      </c>
      <c r="D15" s="55">
        <f>C15*20</f>
        <v>72.599999999999994</v>
      </c>
    </row>
    <row r="16" spans="1:4" ht="30.75" customHeight="1" x14ac:dyDescent="0.25">
      <c r="A16" s="18">
        <v>1200</v>
      </c>
      <c r="B16" s="158" t="s">
        <v>283</v>
      </c>
      <c r="C16" s="36">
        <f>ROUND(C15*0.2359,2)</f>
        <v>0.86</v>
      </c>
      <c r="D16" s="55">
        <f>C16*20</f>
        <v>17.2</v>
      </c>
    </row>
    <row r="17" spans="1:4" x14ac:dyDescent="0.25">
      <c r="A17" s="18">
        <v>2341</v>
      </c>
      <c r="B17" s="18" t="s">
        <v>363</v>
      </c>
      <c r="C17" s="19"/>
      <c r="D17" s="19"/>
    </row>
    <row r="18" spans="1:4" ht="109.5" customHeight="1" x14ac:dyDescent="0.25">
      <c r="A18" s="18"/>
      <c r="B18" s="158" t="s">
        <v>822</v>
      </c>
      <c r="C18" s="55">
        <f>0.18+2.17+0.04+0.25+0.02+0.01+0.07</f>
        <v>2.7399999999999998</v>
      </c>
      <c r="D18" s="55">
        <f>C18*20</f>
        <v>54.8</v>
      </c>
    </row>
    <row r="19" spans="1:4" hidden="1" x14ac:dyDescent="0.25">
      <c r="A19" s="18"/>
      <c r="B19" s="158" t="s">
        <v>72</v>
      </c>
      <c r="C19" s="36"/>
      <c r="D19" s="19"/>
    </row>
    <row r="20" spans="1:4" x14ac:dyDescent="0.25">
      <c r="A20" s="74"/>
      <c r="B20" s="159" t="s">
        <v>2</v>
      </c>
      <c r="C20" s="71">
        <f>SUM(C14:C18)</f>
        <v>7.23</v>
      </c>
      <c r="D20" s="71">
        <f>SUM(D14:D19)</f>
        <v>144.6</v>
      </c>
    </row>
    <row r="21" spans="1:4" x14ac:dyDescent="0.25">
      <c r="A21" s="18"/>
      <c r="B21" s="160" t="s">
        <v>20</v>
      </c>
      <c r="C21" s="19"/>
      <c r="D21" s="19"/>
    </row>
    <row r="22" spans="1:4" x14ac:dyDescent="0.25">
      <c r="A22" s="18">
        <v>2219</v>
      </c>
      <c r="B22" s="158" t="s">
        <v>3</v>
      </c>
      <c r="C22" s="19"/>
      <c r="D22" s="19"/>
    </row>
    <row r="23" spans="1:4" ht="90" customHeight="1" x14ac:dyDescent="0.25">
      <c r="A23" s="18"/>
      <c r="B23" s="158" t="s">
        <v>645</v>
      </c>
      <c r="C23" s="40">
        <f>ROUND(3.18/18154,4)</f>
        <v>2.0000000000000001E-4</v>
      </c>
      <c r="D23" s="36">
        <f>C23*20</f>
        <v>4.0000000000000001E-3</v>
      </c>
    </row>
    <row r="24" spans="1:4" x14ac:dyDescent="0.25">
      <c r="A24" s="18">
        <v>2221</v>
      </c>
      <c r="B24" s="158" t="s">
        <v>4</v>
      </c>
      <c r="C24" s="19"/>
      <c r="D24" s="19"/>
    </row>
    <row r="25" spans="1:4" ht="48" customHeight="1" x14ac:dyDescent="0.25">
      <c r="A25" s="18"/>
      <c r="B25" s="158" t="s">
        <v>511</v>
      </c>
      <c r="C25" s="55">
        <f>ROUND(301.59/18154,4)</f>
        <v>1.66E-2</v>
      </c>
      <c r="D25" s="55">
        <f>C25*20</f>
        <v>0.33200000000000002</v>
      </c>
    </row>
    <row r="26" spans="1:4" ht="15.75" customHeight="1" x14ac:dyDescent="0.25">
      <c r="A26" s="18">
        <v>2222</v>
      </c>
      <c r="B26" s="158" t="s">
        <v>5</v>
      </c>
      <c r="C26" s="19"/>
      <c r="D26" s="19"/>
    </row>
    <row r="27" spans="1:4" ht="50.25" customHeight="1" x14ac:dyDescent="0.25">
      <c r="A27" s="18"/>
      <c r="B27" s="158" t="s">
        <v>173</v>
      </c>
      <c r="C27" s="36">
        <f>ROUND(31.02/18154,4)</f>
        <v>1.6999999999999999E-3</v>
      </c>
      <c r="D27" s="55">
        <f>C27*20</f>
        <v>3.3999999999999996E-2</v>
      </c>
    </row>
    <row r="28" spans="1:4" x14ac:dyDescent="0.25">
      <c r="A28" s="18">
        <v>2223</v>
      </c>
      <c r="B28" s="18" t="s">
        <v>6</v>
      </c>
      <c r="C28" s="19"/>
      <c r="D28" s="19"/>
    </row>
    <row r="29" spans="1:4" ht="46.5" customHeight="1" x14ac:dyDescent="0.25">
      <c r="A29" s="18"/>
      <c r="B29" s="158" t="s">
        <v>364</v>
      </c>
      <c r="C29" s="55">
        <f>ROUND(538.27/18154,3)</f>
        <v>0.03</v>
      </c>
      <c r="D29" s="55">
        <f>C29*20</f>
        <v>0.6</v>
      </c>
    </row>
    <row r="30" spans="1:4" x14ac:dyDescent="0.25">
      <c r="A30" s="18">
        <v>2224</v>
      </c>
      <c r="B30" s="158" t="s">
        <v>7</v>
      </c>
      <c r="C30" s="19"/>
      <c r="D30" s="19"/>
    </row>
    <row r="31" spans="1:4" ht="47.25" customHeight="1" x14ac:dyDescent="0.25">
      <c r="A31" s="18"/>
      <c r="B31" s="158" t="s">
        <v>671</v>
      </c>
      <c r="C31" s="36">
        <f>ROUND(28.86/18154,4)</f>
        <v>1.6000000000000001E-3</v>
      </c>
      <c r="D31" s="55">
        <f>C31*20</f>
        <v>3.2000000000000001E-2</v>
      </c>
    </row>
    <row r="32" spans="1:4" x14ac:dyDescent="0.25">
      <c r="A32" s="45">
        <v>2231</v>
      </c>
      <c r="B32" s="158" t="s">
        <v>22</v>
      </c>
      <c r="C32" s="36"/>
      <c r="D32" s="19"/>
    </row>
    <row r="33" spans="1:4" ht="184.5" customHeight="1" x14ac:dyDescent="0.25">
      <c r="A33" s="45"/>
      <c r="B33" s="158" t="s">
        <v>644</v>
      </c>
      <c r="C33" s="55">
        <f>ROUND(1201.87/18154,2)</f>
        <v>7.0000000000000007E-2</v>
      </c>
      <c r="D33" s="55">
        <f>C33*20</f>
        <v>1.4000000000000001</v>
      </c>
    </row>
    <row r="34" spans="1:4" ht="16.5" customHeight="1" x14ac:dyDescent="0.25">
      <c r="A34" s="45">
        <v>2243</v>
      </c>
      <c r="B34" s="158" t="s">
        <v>132</v>
      </c>
      <c r="C34" s="55"/>
      <c r="D34" s="55"/>
    </row>
    <row r="35" spans="1:4" ht="65.25" customHeight="1" x14ac:dyDescent="0.25">
      <c r="A35" s="45"/>
      <c r="B35" s="158" t="s">
        <v>967</v>
      </c>
      <c r="C35" s="55">
        <f>ROUND(386.87/18154,3)</f>
        <v>2.1000000000000001E-2</v>
      </c>
      <c r="D35" s="82">
        <f>C35*20</f>
        <v>0.42000000000000004</v>
      </c>
    </row>
    <row r="36" spans="1:4" x14ac:dyDescent="0.25">
      <c r="A36" s="18">
        <v>2244</v>
      </c>
      <c r="B36" s="158" t="s">
        <v>24</v>
      </c>
      <c r="C36" s="19"/>
      <c r="D36" s="19"/>
    </row>
    <row r="37" spans="1:4" ht="63.75" customHeight="1" x14ac:dyDescent="0.25">
      <c r="A37" s="21"/>
      <c r="B37" s="158" t="s">
        <v>365</v>
      </c>
      <c r="C37" s="55">
        <f>ROUND(383.44/18154,4)</f>
        <v>2.1100000000000001E-2</v>
      </c>
      <c r="D37" s="55">
        <f>C37*20</f>
        <v>0.42200000000000004</v>
      </c>
    </row>
    <row r="38" spans="1:4" ht="47.25" customHeight="1" x14ac:dyDescent="0.25">
      <c r="A38" s="21"/>
      <c r="B38" s="158" t="s">
        <v>366</v>
      </c>
      <c r="C38" s="40">
        <f>ROUND(5.03/18154,4)</f>
        <v>2.9999999999999997E-4</v>
      </c>
      <c r="D38" s="55">
        <f>C38*20</f>
        <v>5.9999999999999993E-3</v>
      </c>
    </row>
    <row r="39" spans="1:4" x14ac:dyDescent="0.25">
      <c r="A39" s="18">
        <v>2249</v>
      </c>
      <c r="B39" s="158" t="s">
        <v>8</v>
      </c>
      <c r="C39" s="19"/>
      <c r="D39" s="19"/>
    </row>
    <row r="40" spans="1:4" ht="67.5" customHeight="1" x14ac:dyDescent="0.25">
      <c r="A40" s="18"/>
      <c r="B40" s="158" t="s">
        <v>942</v>
      </c>
      <c r="C40" s="36">
        <f>ROUND(9.76/18154,4)</f>
        <v>5.0000000000000001E-4</v>
      </c>
      <c r="D40" s="55">
        <f>C40*20</f>
        <v>0.01</v>
      </c>
    </row>
    <row r="41" spans="1:4" x14ac:dyDescent="0.25">
      <c r="A41" s="18">
        <v>2311</v>
      </c>
      <c r="B41" s="158" t="s">
        <v>9</v>
      </c>
      <c r="C41" s="36"/>
      <c r="D41" s="19"/>
    </row>
    <row r="42" spans="1:4" ht="66" customHeight="1" x14ac:dyDescent="0.25">
      <c r="A42" s="18"/>
      <c r="B42" s="158" t="s">
        <v>968</v>
      </c>
      <c r="C42" s="36">
        <f>ROUND(54.99/18154,4)</f>
        <v>3.0000000000000001E-3</v>
      </c>
      <c r="D42" s="55">
        <f>C42*20</f>
        <v>0.06</v>
      </c>
    </row>
    <row r="43" spans="1:4" x14ac:dyDescent="0.25">
      <c r="A43" s="18">
        <v>2350</v>
      </c>
      <c r="B43" s="158" t="s">
        <v>21</v>
      </c>
      <c r="C43" s="36"/>
      <c r="D43" s="19"/>
    </row>
    <row r="44" spans="1:4" ht="87.75" customHeight="1" x14ac:dyDescent="0.25">
      <c r="A44" s="18"/>
      <c r="B44" s="158" t="s">
        <v>361</v>
      </c>
      <c r="C44" s="40">
        <f>ROUND(6.69/18154,4)</f>
        <v>4.0000000000000002E-4</v>
      </c>
      <c r="D44" s="55">
        <f>C44*20</f>
        <v>8.0000000000000002E-3</v>
      </c>
    </row>
    <row r="45" spans="1:4" ht="15" customHeight="1" x14ac:dyDescent="0.25">
      <c r="A45" s="18">
        <v>2513</v>
      </c>
      <c r="B45" s="158" t="s">
        <v>133</v>
      </c>
      <c r="C45" s="40"/>
      <c r="D45" s="55"/>
    </row>
    <row r="46" spans="1:4" ht="47.25" customHeight="1" x14ac:dyDescent="0.25">
      <c r="A46" s="18"/>
      <c r="B46" s="158" t="s">
        <v>360</v>
      </c>
      <c r="C46" s="36">
        <f>ROUND(9.53/18154,4)</f>
        <v>5.0000000000000001E-4</v>
      </c>
      <c r="D46" s="55">
        <f>C46*20</f>
        <v>0.01</v>
      </c>
    </row>
    <row r="47" spans="1:4" ht="15.75" customHeight="1" x14ac:dyDescent="0.25">
      <c r="A47" s="18">
        <v>5220</v>
      </c>
      <c r="B47" s="158" t="s">
        <v>136</v>
      </c>
      <c r="C47" s="40"/>
      <c r="D47" s="55"/>
    </row>
    <row r="48" spans="1:4" ht="64.5" customHeight="1" x14ac:dyDescent="0.25">
      <c r="A48" s="18"/>
      <c r="B48" s="158" t="s">
        <v>823</v>
      </c>
      <c r="C48" s="36">
        <f>ROUND(19.33/18154,4)</f>
        <v>1.1000000000000001E-3</v>
      </c>
      <c r="D48" s="55">
        <f>C48*20</f>
        <v>2.2000000000000002E-2</v>
      </c>
    </row>
    <row r="49" spans="1:4" ht="15" customHeight="1" x14ac:dyDescent="0.25">
      <c r="A49" s="18">
        <v>5238</v>
      </c>
      <c r="B49" s="158" t="s">
        <v>134</v>
      </c>
      <c r="C49" s="40"/>
      <c r="D49" s="55"/>
    </row>
    <row r="50" spans="1:4" ht="48" customHeight="1" x14ac:dyDescent="0.25">
      <c r="A50" s="18"/>
      <c r="B50" s="158" t="s">
        <v>367</v>
      </c>
      <c r="C50" s="36">
        <f>ROUND(33.68/18154,3)</f>
        <v>2E-3</v>
      </c>
      <c r="D50" s="55">
        <f>C50*20</f>
        <v>0.04</v>
      </c>
    </row>
    <row r="51" spans="1:4" x14ac:dyDescent="0.25">
      <c r="A51" s="68"/>
      <c r="B51" s="72" t="s">
        <v>10</v>
      </c>
      <c r="C51" s="71">
        <f>ROUND(C50+C48+C46+C44+C42+C40+C38+C37+C35+C33+C31+C29+C27+C25+C23,2)</f>
        <v>0.17</v>
      </c>
      <c r="D51" s="71">
        <f>ROUND(D50+D48+D46+D44+D42+D40+D38+D37+D35+D33+D31+D29+D27+D25+D23,2)</f>
        <v>3.4</v>
      </c>
    </row>
    <row r="52" spans="1:4" x14ac:dyDescent="0.25">
      <c r="A52" s="23"/>
      <c r="B52" s="24" t="s">
        <v>15</v>
      </c>
      <c r="C52" s="52">
        <f>ROUND(C51+C20,2)</f>
        <v>7.4</v>
      </c>
      <c r="D52" s="52">
        <f>D51+D20</f>
        <v>148</v>
      </c>
    </row>
    <row r="53" spans="1:4" x14ac:dyDescent="0.25">
      <c r="A53" s="25"/>
      <c r="B53" s="26"/>
      <c r="C53" s="27"/>
      <c r="D53" s="27"/>
    </row>
    <row r="54" spans="1:4" x14ac:dyDescent="0.25">
      <c r="A54" s="26"/>
      <c r="B54" s="28"/>
      <c r="C54" s="28"/>
      <c r="D54" s="9"/>
    </row>
    <row r="55" spans="1:4" ht="15" customHeight="1" x14ac:dyDescent="0.25">
      <c r="A55" s="252" t="s">
        <v>16</v>
      </c>
      <c r="B55" s="253"/>
      <c r="C55" s="138">
        <v>20</v>
      </c>
      <c r="D55" s="29"/>
    </row>
    <row r="56" spans="1:4" ht="31.5" customHeight="1" x14ac:dyDescent="0.25">
      <c r="A56" s="254" t="s">
        <v>23</v>
      </c>
      <c r="B56" s="255"/>
      <c r="C56" s="139">
        <f>D52/C55</f>
        <v>7.4</v>
      </c>
      <c r="D56" s="29"/>
    </row>
    <row r="57" spans="1:4" x14ac:dyDescent="0.25">
      <c r="A57" s="30"/>
      <c r="B57" s="30"/>
      <c r="C57" s="30"/>
      <c r="D57" s="30"/>
    </row>
    <row r="58" spans="1:4" x14ac:dyDescent="0.25">
      <c r="A58" s="30"/>
      <c r="B58" s="30"/>
      <c r="C58" s="30"/>
      <c r="D58" s="152"/>
    </row>
    <row r="59" spans="1:4" x14ac:dyDescent="0.25">
      <c r="A59" s="30"/>
      <c r="B59" s="30"/>
      <c r="C59" s="30"/>
      <c r="D59" s="152"/>
    </row>
    <row r="60" spans="1:4" x14ac:dyDescent="0.25">
      <c r="A60" s="30"/>
      <c r="B60" s="30"/>
      <c r="C60" s="30"/>
      <c r="D60" s="152"/>
    </row>
    <row r="61" spans="1:4" x14ac:dyDescent="0.25">
      <c r="A61" s="30"/>
      <c r="B61" s="30"/>
      <c r="C61" s="30"/>
      <c r="D61" s="30"/>
    </row>
    <row r="62" spans="1:4" x14ac:dyDescent="0.25">
      <c r="A62" s="231"/>
      <c r="B62" s="231"/>
      <c r="C62" s="9"/>
      <c r="D62" s="9"/>
    </row>
    <row r="63" spans="1:4" x14ac:dyDescent="0.25">
      <c r="A63" s="250"/>
      <c r="B63" s="231"/>
      <c r="C63" s="9"/>
      <c r="D63" s="9"/>
    </row>
    <row r="64" spans="1:4" x14ac:dyDescent="0.25">
      <c r="A64" s="154"/>
      <c r="B64" s="9"/>
      <c r="C64" s="31"/>
      <c r="D64" s="9"/>
    </row>
    <row r="65" spans="1:4" x14ac:dyDescent="0.25">
      <c r="A65" s="250"/>
      <c r="B65" s="250"/>
      <c r="C65" s="31"/>
      <c r="D65" s="9"/>
    </row>
  </sheetData>
  <customSheetViews>
    <customSheetView guid="{3046F990-4623-45D5-BDDC-01BD5999DDBC}" scale="60" showPageBreaks="1" fitToPage="1" printArea="1" hiddenRows="1" view="pageBreakPreview">
      <selection activeCell="B53" sqref="B53"/>
      <rowBreaks count="1" manualBreakCount="1">
        <brk id="33" max="3" man="1"/>
      </rowBreaks>
      <pageMargins left="0.70866141732283472" right="0.70866141732283472" top="0.74803149606299213" bottom="0.74803149606299213" header="0.31496062992125984" footer="0.31496062992125984"/>
      <pageSetup paperSize="9" scale="67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hiddenRows="1" view="pageBreakPreview" topLeftCell="A38">
      <selection activeCell="C48" sqref="C48"/>
      <rowBreaks count="1" manualBreakCount="1">
        <brk id="33" max="3" man="1"/>
      </rowBreaks>
      <pageMargins left="0.70866141732283472" right="0.70866141732283472" top="0.74803149606299213" bottom="0.74803149606299213" header="0.31496062992125984" footer="0.31496062992125984"/>
      <pageSetup paperSize="9" scale="67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hiddenRows="1" view="pageBreakPreview">
      <selection activeCell="B11" sqref="B11"/>
      <rowBreaks count="1" manualBreakCount="1">
        <brk id="33" max="3" man="1"/>
      </rowBreaks>
      <pageMargins left="0.70866141732283472" right="0.70866141732283472" top="0.74803149606299213" bottom="0.74803149606299213" header="0.31496062992125984" footer="0.31496062992125984"/>
      <pageSetup paperSize="9" scale="67" fitToHeight="0" orientation="portrait" r:id="rId3"/>
      <headerFooter>
        <oddFooter>&amp;C&amp;P</oddFooter>
      </headerFooter>
    </customSheetView>
  </customSheetViews>
  <mergeCells count="10">
    <mergeCell ref="A63:B63"/>
    <mergeCell ref="A65:B65"/>
    <mergeCell ref="A56:B56"/>
    <mergeCell ref="C3:D3"/>
    <mergeCell ref="A55:B55"/>
    <mergeCell ref="A2:D2"/>
    <mergeCell ref="A6:D6"/>
    <mergeCell ref="A8:B8"/>
    <mergeCell ref="A10:B10"/>
    <mergeCell ref="A62:B62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4"/>
  <headerFooter>
    <oddFooter>&amp;C&amp;P</oddFooter>
  </headerFooter>
  <rowBreaks count="1" manualBreakCount="1">
    <brk id="33" max="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view="pageBreakPreview" zoomScale="60" zoomScaleNormal="100" workbookViewId="0">
      <selection activeCell="A6" sqref="A6:D6"/>
    </sheetView>
  </sheetViews>
  <sheetFormatPr defaultRowHeight="15" x14ac:dyDescent="0.25"/>
  <cols>
    <col min="1" max="1" width="13.5703125" customWidth="1"/>
    <col min="2" max="2" width="85.7109375" customWidth="1"/>
    <col min="3" max="3" width="16" customWidth="1"/>
    <col min="4" max="4" width="22.140625" customWidth="1"/>
  </cols>
  <sheetData>
    <row r="1" spans="1:4" ht="18.75" x14ac:dyDescent="0.3">
      <c r="A1" s="4"/>
      <c r="B1" s="5"/>
      <c r="C1" s="35"/>
      <c r="D1" s="5"/>
    </row>
    <row r="2" spans="1:4" ht="15.75" customHeight="1" x14ac:dyDescent="0.25">
      <c r="A2" s="256" t="s">
        <v>307</v>
      </c>
      <c r="B2" s="256"/>
      <c r="C2" s="256"/>
      <c r="D2" s="256"/>
    </row>
    <row r="3" spans="1:4" ht="15" customHeight="1" x14ac:dyDescent="0.25">
      <c r="A3" s="4"/>
      <c r="B3" s="4"/>
      <c r="C3" s="273"/>
      <c r="D3" s="274"/>
    </row>
    <row r="4" spans="1:4" ht="15.75" x14ac:dyDescent="0.25">
      <c r="A4" s="186" t="s">
        <v>723</v>
      </c>
      <c r="B4" s="32"/>
      <c r="C4" s="32"/>
      <c r="D4" s="32"/>
    </row>
    <row r="5" spans="1:4" x14ac:dyDescent="0.25">
      <c r="A5" s="4"/>
      <c r="B5" s="33"/>
      <c r="C5" s="33"/>
      <c r="D5" s="9"/>
    </row>
    <row r="6" spans="1:4" ht="33" customHeight="1" x14ac:dyDescent="0.25">
      <c r="A6" s="272" t="s">
        <v>1022</v>
      </c>
      <c r="B6" s="272"/>
      <c r="C6" s="272"/>
      <c r="D6" s="272"/>
    </row>
    <row r="7" spans="1:4" ht="14.25" customHeight="1" x14ac:dyDescent="0.25">
      <c r="A7" s="180"/>
      <c r="B7" s="34"/>
      <c r="C7" s="34"/>
      <c r="D7" s="9"/>
    </row>
    <row r="8" spans="1:4" x14ac:dyDescent="0.25">
      <c r="A8" s="270" t="s">
        <v>309</v>
      </c>
      <c r="B8" s="271"/>
      <c r="C8" s="34"/>
      <c r="D8" s="9"/>
    </row>
    <row r="9" spans="1:4" ht="15" customHeight="1" x14ac:dyDescent="0.25">
      <c r="A9" s="183"/>
      <c r="B9" s="184"/>
      <c r="C9" s="34"/>
      <c r="D9" s="9"/>
    </row>
    <row r="10" spans="1:4" ht="15.75" x14ac:dyDescent="0.25">
      <c r="A10" s="251" t="s">
        <v>758</v>
      </c>
      <c r="B10" s="251"/>
      <c r="C10" s="8"/>
      <c r="D10" s="9"/>
    </row>
    <row r="11" spans="1:4" ht="76.5" customHeight="1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4" x14ac:dyDescent="0.25">
      <c r="A12" s="13">
        <v>1</v>
      </c>
      <c r="B12" s="14">
        <v>2</v>
      </c>
      <c r="C12" s="13">
        <v>3</v>
      </c>
      <c r="D12" s="13">
        <v>4</v>
      </c>
    </row>
    <row r="13" spans="1:4" x14ac:dyDescent="0.25">
      <c r="A13" s="15"/>
      <c r="B13" s="22" t="s">
        <v>13</v>
      </c>
      <c r="C13" s="17"/>
      <c r="D13" s="17"/>
    </row>
    <row r="14" spans="1:4" x14ac:dyDescent="0.25">
      <c r="A14" s="37">
        <v>1100</v>
      </c>
      <c r="B14" s="16" t="s">
        <v>14</v>
      </c>
      <c r="C14" s="38"/>
      <c r="D14" s="38"/>
    </row>
    <row r="15" spans="1:4" ht="77.25" customHeight="1" x14ac:dyDescent="0.25">
      <c r="A15" s="18"/>
      <c r="B15" s="157" t="s">
        <v>368</v>
      </c>
      <c r="C15" s="55">
        <f>0.11*20</f>
        <v>2.2000000000000002</v>
      </c>
      <c r="D15" s="55">
        <f>C15*150</f>
        <v>330</v>
      </c>
    </row>
    <row r="16" spans="1:4" ht="33.75" customHeight="1" x14ac:dyDescent="0.25">
      <c r="A16" s="18">
        <v>1200</v>
      </c>
      <c r="B16" s="158" t="s">
        <v>201</v>
      </c>
      <c r="C16" s="55">
        <f>ROUND(C15*0.2359,2)</f>
        <v>0.52</v>
      </c>
      <c r="D16" s="55">
        <f>C16*150</f>
        <v>78</v>
      </c>
    </row>
    <row r="17" spans="1:4" x14ac:dyDescent="0.25">
      <c r="A17" s="18">
        <v>2341</v>
      </c>
      <c r="B17" s="18" t="s">
        <v>140</v>
      </c>
      <c r="C17" s="19"/>
      <c r="D17" s="19"/>
    </row>
    <row r="18" spans="1:4" ht="75" customHeight="1" x14ac:dyDescent="0.25">
      <c r="A18" s="18"/>
      <c r="B18" s="158" t="s">
        <v>369</v>
      </c>
      <c r="C18" s="55">
        <f>0.18+2.83+0.04+0.02+0.01+0.03</f>
        <v>3.11</v>
      </c>
      <c r="D18" s="55">
        <f>C18*150</f>
        <v>466.5</v>
      </c>
    </row>
    <row r="19" spans="1:4" x14ac:dyDescent="0.25">
      <c r="A19" s="74"/>
      <c r="B19" s="159" t="s">
        <v>2</v>
      </c>
      <c r="C19" s="71">
        <f>SUM(C14:C18)</f>
        <v>5.83</v>
      </c>
      <c r="D19" s="71">
        <f>SUM(D14:D18)</f>
        <v>874.5</v>
      </c>
    </row>
    <row r="20" spans="1:4" x14ac:dyDescent="0.25">
      <c r="A20" s="18"/>
      <c r="B20" s="160" t="s">
        <v>20</v>
      </c>
      <c r="C20" s="19"/>
      <c r="D20" s="19"/>
    </row>
    <row r="21" spans="1:4" x14ac:dyDescent="0.25">
      <c r="A21" s="18">
        <v>2219</v>
      </c>
      <c r="B21" s="158" t="s">
        <v>3</v>
      </c>
      <c r="C21" s="19"/>
      <c r="D21" s="19"/>
    </row>
    <row r="22" spans="1:4" ht="90" customHeight="1" x14ac:dyDescent="0.25">
      <c r="A22" s="18"/>
      <c r="B22" s="158" t="s">
        <v>668</v>
      </c>
      <c r="C22" s="40">
        <f>ROUND(3.18/18154,4)</f>
        <v>2.0000000000000001E-4</v>
      </c>
      <c r="D22" s="55">
        <f>C22*150</f>
        <v>3.0000000000000002E-2</v>
      </c>
    </row>
    <row r="23" spans="1:4" x14ac:dyDescent="0.25">
      <c r="A23" s="18">
        <v>2221</v>
      </c>
      <c r="B23" s="158" t="s">
        <v>4</v>
      </c>
      <c r="C23" s="19"/>
      <c r="D23" s="19"/>
    </row>
    <row r="24" spans="1:4" ht="45" customHeight="1" x14ac:dyDescent="0.25">
      <c r="A24" s="18"/>
      <c r="B24" s="158" t="s">
        <v>669</v>
      </c>
      <c r="C24" s="55">
        <f>ROUND(301.59/18154,4)</f>
        <v>1.66E-2</v>
      </c>
      <c r="D24" s="55">
        <f>C24*150</f>
        <v>2.4900000000000002</v>
      </c>
    </row>
    <row r="25" spans="1:4" ht="15.75" customHeight="1" x14ac:dyDescent="0.25">
      <c r="A25" s="18">
        <v>2222</v>
      </c>
      <c r="B25" s="158" t="s">
        <v>5</v>
      </c>
      <c r="C25" s="19"/>
      <c r="D25" s="19"/>
    </row>
    <row r="26" spans="1:4" ht="45" customHeight="1" x14ac:dyDescent="0.25">
      <c r="A26" s="18"/>
      <c r="B26" s="158" t="s">
        <v>760</v>
      </c>
      <c r="C26" s="36">
        <f>ROUND(31.02/18154,4)</f>
        <v>1.6999999999999999E-3</v>
      </c>
      <c r="D26" s="55">
        <f>C26*150</f>
        <v>0.255</v>
      </c>
    </row>
    <row r="27" spans="1:4" x14ac:dyDescent="0.25">
      <c r="A27" s="18">
        <v>2223</v>
      </c>
      <c r="B27" s="18" t="s">
        <v>6</v>
      </c>
      <c r="C27" s="19"/>
      <c r="D27" s="19"/>
    </row>
    <row r="28" spans="1:4" ht="45.75" customHeight="1" x14ac:dyDescent="0.25">
      <c r="A28" s="18"/>
      <c r="B28" s="158" t="s">
        <v>176</v>
      </c>
      <c r="C28" s="55">
        <f>ROUND(538.27/18154,3)</f>
        <v>0.03</v>
      </c>
      <c r="D28" s="55">
        <f>C28*150</f>
        <v>4.5</v>
      </c>
    </row>
    <row r="29" spans="1:4" x14ac:dyDescent="0.25">
      <c r="A29" s="18">
        <v>2224</v>
      </c>
      <c r="B29" s="158" t="s">
        <v>7</v>
      </c>
      <c r="C29" s="19"/>
      <c r="D29" s="19"/>
    </row>
    <row r="30" spans="1:4" ht="46.5" customHeight="1" x14ac:dyDescent="0.25">
      <c r="A30" s="18"/>
      <c r="B30" s="158" t="s">
        <v>670</v>
      </c>
      <c r="C30" s="36">
        <f>ROUND(28.86/18154,4)</f>
        <v>1.6000000000000001E-3</v>
      </c>
      <c r="D30" s="55">
        <f>C30*150</f>
        <v>0.24000000000000002</v>
      </c>
    </row>
    <row r="31" spans="1:4" x14ac:dyDescent="0.25">
      <c r="A31" s="45">
        <v>2231</v>
      </c>
      <c r="B31" s="158" t="s">
        <v>22</v>
      </c>
      <c r="C31" s="36"/>
      <c r="D31" s="19"/>
    </row>
    <row r="32" spans="1:4" ht="164.25" customHeight="1" x14ac:dyDescent="0.25">
      <c r="A32" s="45"/>
      <c r="B32" s="158" t="s">
        <v>759</v>
      </c>
      <c r="C32" s="55">
        <f>ROUND(1201.87/18154,2)</f>
        <v>7.0000000000000007E-2</v>
      </c>
      <c r="D32" s="55">
        <f>C32*150</f>
        <v>10.500000000000002</v>
      </c>
    </row>
    <row r="33" spans="1:4" ht="20.25" customHeight="1" x14ac:dyDescent="0.25">
      <c r="A33" s="45">
        <v>2243</v>
      </c>
      <c r="B33" s="158" t="s">
        <v>132</v>
      </c>
      <c r="C33" s="55"/>
      <c r="D33" s="55"/>
    </row>
    <row r="34" spans="1:4" ht="45" customHeight="1" x14ac:dyDescent="0.25">
      <c r="A34" s="45"/>
      <c r="B34" s="158" t="s">
        <v>370</v>
      </c>
      <c r="C34" s="55">
        <f>ROUND(386.87/18154,3)</f>
        <v>2.1000000000000001E-2</v>
      </c>
      <c r="D34" s="82">
        <f>C34*150</f>
        <v>3.1500000000000004</v>
      </c>
    </row>
    <row r="35" spans="1:4" x14ac:dyDescent="0.25">
      <c r="A35" s="18">
        <v>2244</v>
      </c>
      <c r="B35" s="158" t="s">
        <v>24</v>
      </c>
      <c r="C35" s="19"/>
      <c r="D35" s="19"/>
    </row>
    <row r="36" spans="1:4" ht="47.25" customHeight="1" x14ac:dyDescent="0.25">
      <c r="A36" s="21"/>
      <c r="B36" s="158" t="s">
        <v>177</v>
      </c>
      <c r="C36" s="55">
        <f>ROUND(383.44/18154,4)</f>
        <v>2.1100000000000001E-2</v>
      </c>
      <c r="D36" s="55">
        <f>C36*150</f>
        <v>3.165</v>
      </c>
    </row>
    <row r="37" spans="1:4" ht="43.5" customHeight="1" x14ac:dyDescent="0.25">
      <c r="A37" s="21"/>
      <c r="B37" s="158" t="s">
        <v>950</v>
      </c>
      <c r="C37" s="40">
        <f>ROUND(5.03/18154,4)</f>
        <v>2.9999999999999997E-4</v>
      </c>
      <c r="D37" s="55">
        <f>C37*150</f>
        <v>4.4999999999999998E-2</v>
      </c>
    </row>
    <row r="38" spans="1:4" x14ac:dyDescent="0.25">
      <c r="A38" s="18">
        <v>2249</v>
      </c>
      <c r="B38" s="158" t="s">
        <v>8</v>
      </c>
      <c r="C38" s="19"/>
      <c r="D38" s="19"/>
    </row>
    <row r="39" spans="1:4" ht="48.75" customHeight="1" x14ac:dyDescent="0.25">
      <c r="A39" s="18"/>
      <c r="B39" s="158" t="s">
        <v>824</v>
      </c>
      <c r="C39" s="36">
        <f>ROUND(9.76/18154,4)</f>
        <v>5.0000000000000001E-4</v>
      </c>
      <c r="D39" s="55">
        <f>C39*150</f>
        <v>7.4999999999999997E-2</v>
      </c>
    </row>
    <row r="40" spans="1:4" x14ac:dyDescent="0.25">
      <c r="A40" s="18">
        <v>2311</v>
      </c>
      <c r="B40" s="158" t="s">
        <v>9</v>
      </c>
      <c r="C40" s="36"/>
      <c r="D40" s="19"/>
    </row>
    <row r="41" spans="1:4" ht="47.25" customHeight="1" x14ac:dyDescent="0.25">
      <c r="A41" s="18"/>
      <c r="B41" s="158" t="s">
        <v>825</v>
      </c>
      <c r="C41" s="36">
        <f>ROUND(54.99/18154,4)</f>
        <v>3.0000000000000001E-3</v>
      </c>
      <c r="D41" s="55">
        <f>C41*150</f>
        <v>0.45</v>
      </c>
    </row>
    <row r="42" spans="1:4" ht="20.25" customHeight="1" x14ac:dyDescent="0.25">
      <c r="A42" s="18">
        <v>2350</v>
      </c>
      <c r="B42" s="158" t="s">
        <v>21</v>
      </c>
      <c r="C42" s="36"/>
      <c r="D42" s="19"/>
    </row>
    <row r="43" spans="1:4" ht="78.75" customHeight="1" x14ac:dyDescent="0.25">
      <c r="A43" s="18"/>
      <c r="B43" s="158" t="s">
        <v>371</v>
      </c>
      <c r="C43" s="40">
        <f>ROUND(6.69/18154,4)</f>
        <v>4.0000000000000002E-4</v>
      </c>
      <c r="D43" s="55">
        <f>C43*150</f>
        <v>6.0000000000000005E-2</v>
      </c>
    </row>
    <row r="44" spans="1:4" ht="14.25" customHeight="1" x14ac:dyDescent="0.25">
      <c r="A44" s="18">
        <v>2513</v>
      </c>
      <c r="B44" s="158" t="s">
        <v>133</v>
      </c>
      <c r="C44" s="40"/>
      <c r="D44" s="55"/>
    </row>
    <row r="45" spans="1:4" ht="51" customHeight="1" x14ac:dyDescent="0.25">
      <c r="A45" s="18"/>
      <c r="B45" s="158" t="s">
        <v>372</v>
      </c>
      <c r="C45" s="36">
        <f>ROUND(9.53/18154,4)</f>
        <v>5.0000000000000001E-4</v>
      </c>
      <c r="D45" s="55">
        <f>C45*150</f>
        <v>7.4999999999999997E-2</v>
      </c>
    </row>
    <row r="46" spans="1:4" ht="18" customHeight="1" x14ac:dyDescent="0.25">
      <c r="A46" s="18">
        <v>5220</v>
      </c>
      <c r="B46" s="158" t="s">
        <v>136</v>
      </c>
      <c r="C46" s="40"/>
      <c r="D46" s="55"/>
    </row>
    <row r="47" spans="1:4" ht="45" customHeight="1" x14ac:dyDescent="0.25">
      <c r="A47" s="18"/>
      <c r="B47" s="158" t="s">
        <v>826</v>
      </c>
      <c r="C47" s="36">
        <f>ROUND(19.33/18154,4)</f>
        <v>1.1000000000000001E-3</v>
      </c>
      <c r="D47" s="55">
        <f>C47*150</f>
        <v>0.16500000000000001</v>
      </c>
    </row>
    <row r="48" spans="1:4" ht="15.75" customHeight="1" x14ac:dyDescent="0.25">
      <c r="A48" s="18">
        <v>5238</v>
      </c>
      <c r="B48" s="158" t="s">
        <v>134</v>
      </c>
      <c r="C48" s="40"/>
      <c r="D48" s="55"/>
    </row>
    <row r="49" spans="1:4" ht="49.5" customHeight="1" x14ac:dyDescent="0.25">
      <c r="A49" s="18"/>
      <c r="B49" s="158" t="s">
        <v>373</v>
      </c>
      <c r="C49" s="36">
        <f>ROUND(33.68/18154,3)</f>
        <v>2E-3</v>
      </c>
      <c r="D49" s="55">
        <f>C49*150</f>
        <v>0.3</v>
      </c>
    </row>
    <row r="50" spans="1:4" x14ac:dyDescent="0.25">
      <c r="A50" s="68"/>
      <c r="B50" s="72" t="s">
        <v>10</v>
      </c>
      <c r="C50" s="71">
        <f>ROUND(C49+C47+C45+C43+C41+C39+C37+C36+C34+C32+C30+C28+C26+C24+C22,2)</f>
        <v>0.17</v>
      </c>
      <c r="D50" s="71">
        <f>ROUND(D49+D47+D45+D43+D41+D39+D37+D36+D34+D32+D30+D28+D26+D24+D22,2)</f>
        <v>25.5</v>
      </c>
    </row>
    <row r="51" spans="1:4" x14ac:dyDescent="0.25">
      <c r="A51" s="23"/>
      <c r="B51" s="24" t="s">
        <v>15</v>
      </c>
      <c r="C51" s="52">
        <f>ROUND(C50+C19,2)</f>
        <v>6</v>
      </c>
      <c r="D51" s="52">
        <f>D50+D19</f>
        <v>900</v>
      </c>
    </row>
    <row r="52" spans="1:4" x14ac:dyDescent="0.25">
      <c r="A52" s="25"/>
      <c r="B52" s="26"/>
      <c r="C52" s="27"/>
      <c r="D52" s="27"/>
    </row>
    <row r="53" spans="1:4" x14ac:dyDescent="0.25">
      <c r="A53" s="26"/>
      <c r="B53" s="28"/>
      <c r="C53" s="28"/>
      <c r="D53" s="9"/>
    </row>
    <row r="54" spans="1:4" ht="15" customHeight="1" x14ac:dyDescent="0.25">
      <c r="A54" s="252" t="s">
        <v>16</v>
      </c>
      <c r="B54" s="253"/>
      <c r="C54" s="84">
        <v>150</v>
      </c>
      <c r="D54" s="29"/>
    </row>
    <row r="55" spans="1:4" ht="36.75" customHeight="1" x14ac:dyDescent="0.25">
      <c r="A55" s="254" t="s">
        <v>23</v>
      </c>
      <c r="B55" s="255"/>
      <c r="C55" s="139">
        <f>D51/C54</f>
        <v>6</v>
      </c>
      <c r="D55" s="29"/>
    </row>
    <row r="56" spans="1:4" x14ac:dyDescent="0.25">
      <c r="A56" s="30"/>
      <c r="B56" s="30"/>
      <c r="C56" s="30"/>
      <c r="D56" s="30"/>
    </row>
    <row r="57" spans="1:4" x14ac:dyDescent="0.25">
      <c r="A57" s="30"/>
      <c r="B57" s="30"/>
      <c r="C57" s="30"/>
      <c r="D57" s="152"/>
    </row>
    <row r="58" spans="1:4" x14ac:dyDescent="0.25">
      <c r="A58" s="30"/>
      <c r="B58" s="30"/>
      <c r="C58" s="30"/>
      <c r="D58" s="152"/>
    </row>
    <row r="59" spans="1:4" x14ac:dyDescent="0.25">
      <c r="A59" s="30"/>
      <c r="B59" s="30"/>
      <c r="C59" s="30"/>
      <c r="D59" s="152"/>
    </row>
    <row r="60" spans="1:4" x14ac:dyDescent="0.25">
      <c r="A60" s="30"/>
      <c r="B60" s="30"/>
      <c r="C60" s="30"/>
      <c r="D60" s="30"/>
    </row>
    <row r="61" spans="1:4" x14ac:dyDescent="0.25">
      <c r="A61" s="231"/>
      <c r="B61" s="231"/>
      <c r="C61" s="9"/>
      <c r="D61" s="9"/>
    </row>
    <row r="62" spans="1:4" x14ac:dyDescent="0.25">
      <c r="A62" s="250"/>
      <c r="B62" s="231"/>
      <c r="C62" s="9"/>
      <c r="D62" s="9"/>
    </row>
    <row r="63" spans="1:4" x14ac:dyDescent="0.25">
      <c r="A63" s="154"/>
      <c r="B63" s="9"/>
      <c r="C63" s="31"/>
      <c r="D63" s="9"/>
    </row>
    <row r="64" spans="1:4" x14ac:dyDescent="0.25">
      <c r="A64" s="250"/>
      <c r="B64" s="250"/>
      <c r="C64" s="31"/>
      <c r="D64" s="9"/>
    </row>
  </sheetData>
  <customSheetViews>
    <customSheetView guid="{3046F990-4623-45D5-BDDC-01BD5999DDBC}" scale="60" showPageBreaks="1" fitToPage="1" printArea="1" view="pageBreakPreview">
      <selection activeCell="B53" sqref="B53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3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view="pageBreakPreview" topLeftCell="A13">
      <selection activeCell="B49" sqref="B49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3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view="pageBreakPreview">
      <selection activeCell="A6" sqref="A6:D6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3" fitToHeight="0" orientation="portrait" r:id="rId3"/>
      <headerFooter>
        <oddFooter>&amp;C&amp;P</oddFooter>
      </headerFooter>
    </customSheetView>
  </customSheetViews>
  <mergeCells count="10">
    <mergeCell ref="A62:B62"/>
    <mergeCell ref="A64:B64"/>
    <mergeCell ref="A55:B55"/>
    <mergeCell ref="C3:D3"/>
    <mergeCell ref="A54:B54"/>
    <mergeCell ref="A2:D2"/>
    <mergeCell ref="A6:D6"/>
    <mergeCell ref="A8:B8"/>
    <mergeCell ref="A10:B10"/>
    <mergeCell ref="A61:B61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4"/>
  <headerFooter>
    <oddFooter>&amp;C&amp;P</oddFooter>
  </headerFooter>
  <rowBreaks count="1" manualBreakCount="1">
    <brk id="34" max="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view="pageBreakPreview" zoomScale="60" zoomScaleNormal="100" workbookViewId="0">
      <selection activeCell="A6" sqref="A6:D6"/>
    </sheetView>
  </sheetViews>
  <sheetFormatPr defaultRowHeight="15" x14ac:dyDescent="0.25"/>
  <cols>
    <col min="1" max="1" width="15.28515625" customWidth="1"/>
    <col min="2" max="2" width="84.7109375" customWidth="1"/>
    <col min="3" max="3" width="14.42578125" customWidth="1"/>
    <col min="4" max="4" width="16.42578125" customWidth="1"/>
  </cols>
  <sheetData>
    <row r="1" spans="1:10" ht="18.75" x14ac:dyDescent="0.3">
      <c r="A1" s="4"/>
      <c r="B1" s="5"/>
      <c r="C1" s="35"/>
      <c r="D1" s="5"/>
    </row>
    <row r="2" spans="1:10" ht="15.75" customHeight="1" x14ac:dyDescent="0.25">
      <c r="A2" s="256" t="s">
        <v>307</v>
      </c>
      <c r="B2" s="256"/>
      <c r="C2" s="256"/>
      <c r="D2" s="256"/>
    </row>
    <row r="3" spans="1:10" ht="15" customHeight="1" x14ac:dyDescent="0.25">
      <c r="A3" s="4"/>
      <c r="B3" s="4"/>
      <c r="C3" s="273"/>
      <c r="D3" s="274"/>
    </row>
    <row r="4" spans="1:10" ht="15.75" x14ac:dyDescent="0.25">
      <c r="A4" s="186" t="s">
        <v>723</v>
      </c>
      <c r="B4" s="32"/>
      <c r="C4" s="32"/>
      <c r="D4" s="32"/>
    </row>
    <row r="5" spans="1:10" x14ac:dyDescent="0.25">
      <c r="A5" s="4"/>
      <c r="B5" s="33"/>
      <c r="C5" s="33"/>
      <c r="D5" s="9"/>
    </row>
    <row r="6" spans="1:10" ht="31.5" customHeight="1" x14ac:dyDescent="0.25">
      <c r="A6" s="272" t="s">
        <v>1023</v>
      </c>
      <c r="B6" s="272"/>
      <c r="C6" s="272"/>
      <c r="D6" s="272"/>
    </row>
    <row r="7" spans="1:10" ht="14.25" customHeight="1" x14ac:dyDescent="0.25">
      <c r="A7" s="180"/>
      <c r="B7" s="34"/>
      <c r="C7" s="34"/>
      <c r="D7" s="9"/>
      <c r="E7" s="44"/>
      <c r="F7" s="44"/>
      <c r="G7" s="44"/>
      <c r="H7" s="44"/>
      <c r="I7" s="41"/>
      <c r="J7" s="41"/>
    </row>
    <row r="8" spans="1:10" x14ac:dyDescent="0.25">
      <c r="A8" s="270" t="s">
        <v>309</v>
      </c>
      <c r="B8" s="271"/>
      <c r="C8" s="34"/>
      <c r="D8" s="9"/>
    </row>
    <row r="9" spans="1:10" ht="15" customHeight="1" x14ac:dyDescent="0.25">
      <c r="A9" s="183"/>
      <c r="B9" s="184"/>
      <c r="C9" s="34"/>
      <c r="D9" s="9"/>
    </row>
    <row r="10" spans="1:10" ht="15.75" x14ac:dyDescent="0.25">
      <c r="A10" s="251" t="s">
        <v>761</v>
      </c>
      <c r="B10" s="251"/>
      <c r="C10" s="8"/>
      <c r="D10" s="9"/>
    </row>
    <row r="11" spans="1:10" ht="120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10" x14ac:dyDescent="0.25">
      <c r="A12" s="13">
        <v>1</v>
      </c>
      <c r="B12" s="14">
        <v>2</v>
      </c>
      <c r="C12" s="13">
        <v>3</v>
      </c>
      <c r="D12" s="13">
        <v>4</v>
      </c>
    </row>
    <row r="13" spans="1:10" x14ac:dyDescent="0.25">
      <c r="A13" s="15"/>
      <c r="B13" s="22" t="s">
        <v>13</v>
      </c>
      <c r="C13" s="17"/>
      <c r="D13" s="17"/>
    </row>
    <row r="14" spans="1:10" x14ac:dyDescent="0.25">
      <c r="A14" s="37">
        <v>1100</v>
      </c>
      <c r="B14" s="16" t="s">
        <v>14</v>
      </c>
      <c r="C14" s="38"/>
      <c r="D14" s="38"/>
    </row>
    <row r="15" spans="1:10" ht="78" customHeight="1" x14ac:dyDescent="0.25">
      <c r="A15" s="18"/>
      <c r="B15" s="157" t="s">
        <v>762</v>
      </c>
      <c r="C15" s="55">
        <f>0.11*20</f>
        <v>2.2000000000000002</v>
      </c>
      <c r="D15" s="55">
        <f>C15*180</f>
        <v>396.00000000000006</v>
      </c>
    </row>
    <row r="16" spans="1:10" ht="33" customHeight="1" x14ac:dyDescent="0.25">
      <c r="A16" s="18">
        <v>1200</v>
      </c>
      <c r="B16" s="158" t="s">
        <v>284</v>
      </c>
      <c r="C16" s="55">
        <f>ROUND(C15*0.2359,2)</f>
        <v>0.52</v>
      </c>
      <c r="D16" s="55">
        <f>C16*180</f>
        <v>93.600000000000009</v>
      </c>
    </row>
    <row r="17" spans="1:4" x14ac:dyDescent="0.25">
      <c r="A17" s="18">
        <v>2341</v>
      </c>
      <c r="B17" s="18" t="s">
        <v>77</v>
      </c>
      <c r="C17" s="19"/>
      <c r="D17" s="19"/>
    </row>
    <row r="18" spans="1:4" ht="78" customHeight="1" x14ac:dyDescent="0.25">
      <c r="A18" s="18"/>
      <c r="B18" s="158" t="s">
        <v>763</v>
      </c>
      <c r="C18" s="55">
        <f>0.18+3.16+0.04+0.02+0.01+0.03</f>
        <v>3.44</v>
      </c>
      <c r="D18" s="55">
        <f>C18*180</f>
        <v>619.20000000000005</v>
      </c>
    </row>
    <row r="19" spans="1:4" x14ac:dyDescent="0.25">
      <c r="A19" s="74"/>
      <c r="B19" s="159" t="s">
        <v>2</v>
      </c>
      <c r="C19" s="71">
        <f>SUM(C14:C18)</f>
        <v>6.16</v>
      </c>
      <c r="D19" s="71">
        <f>SUM(D14:D18)</f>
        <v>1108.8000000000002</v>
      </c>
    </row>
    <row r="20" spans="1:4" x14ac:dyDescent="0.25">
      <c r="A20" s="18"/>
      <c r="B20" s="160" t="s">
        <v>20</v>
      </c>
      <c r="C20" s="19"/>
      <c r="D20" s="19"/>
    </row>
    <row r="21" spans="1:4" x14ac:dyDescent="0.25">
      <c r="A21" s="18">
        <v>2219</v>
      </c>
      <c r="B21" s="158" t="s">
        <v>3</v>
      </c>
      <c r="C21" s="19"/>
      <c r="D21" s="19"/>
    </row>
    <row r="22" spans="1:4" ht="93" customHeight="1" x14ac:dyDescent="0.25">
      <c r="A22" s="18"/>
      <c r="B22" s="158" t="s">
        <v>667</v>
      </c>
      <c r="C22" s="40">
        <f>ROUND(3.18/18154,4)</f>
        <v>2.0000000000000001E-4</v>
      </c>
      <c r="D22" s="55">
        <f>C22*180</f>
        <v>3.6000000000000004E-2</v>
      </c>
    </row>
    <row r="23" spans="1:4" x14ac:dyDescent="0.25">
      <c r="A23" s="18">
        <v>2221</v>
      </c>
      <c r="B23" s="158" t="s">
        <v>4</v>
      </c>
      <c r="C23" s="19"/>
      <c r="D23" s="19"/>
    </row>
    <row r="24" spans="1:4" ht="45" customHeight="1" x14ac:dyDescent="0.25">
      <c r="A24" s="18"/>
      <c r="B24" s="158" t="s">
        <v>764</v>
      </c>
      <c r="C24" s="55">
        <f>ROUND(301.59/18154,4)</f>
        <v>1.66E-2</v>
      </c>
      <c r="D24" s="55">
        <f>C24*180</f>
        <v>2.988</v>
      </c>
    </row>
    <row r="25" spans="1:4" ht="18.75" customHeight="1" x14ac:dyDescent="0.25">
      <c r="A25" s="18">
        <v>2222</v>
      </c>
      <c r="B25" s="158" t="s">
        <v>5</v>
      </c>
      <c r="C25" s="19"/>
      <c r="D25" s="19"/>
    </row>
    <row r="26" spans="1:4" ht="49.5" customHeight="1" x14ac:dyDescent="0.25">
      <c r="A26" s="18"/>
      <c r="B26" s="158" t="s">
        <v>178</v>
      </c>
      <c r="C26" s="36">
        <f>ROUND(31.02/18154,4)</f>
        <v>1.6999999999999999E-3</v>
      </c>
      <c r="D26" s="55">
        <f>C26*180</f>
        <v>0.30599999999999999</v>
      </c>
    </row>
    <row r="27" spans="1:4" x14ac:dyDescent="0.25">
      <c r="A27" s="18">
        <v>2223</v>
      </c>
      <c r="B27" s="18" t="s">
        <v>6</v>
      </c>
      <c r="C27" s="19"/>
      <c r="D27" s="19"/>
    </row>
    <row r="28" spans="1:4" ht="51" customHeight="1" x14ac:dyDescent="0.25">
      <c r="A28" s="18"/>
      <c r="B28" s="158" t="s">
        <v>374</v>
      </c>
      <c r="C28" s="55">
        <f>ROUND(538.27/18154,3)</f>
        <v>0.03</v>
      </c>
      <c r="D28" s="55">
        <f>C28*180</f>
        <v>5.3999999999999995</v>
      </c>
    </row>
    <row r="29" spans="1:4" x14ac:dyDescent="0.25">
      <c r="A29" s="18">
        <v>2224</v>
      </c>
      <c r="B29" s="158" t="s">
        <v>7</v>
      </c>
      <c r="C29" s="19"/>
      <c r="D29" s="19"/>
    </row>
    <row r="30" spans="1:4" ht="46.5" customHeight="1" x14ac:dyDescent="0.25">
      <c r="A30" s="18"/>
      <c r="B30" s="158" t="s">
        <v>375</v>
      </c>
      <c r="C30" s="36">
        <f>ROUND(28.86/18154,4)</f>
        <v>1.6000000000000001E-3</v>
      </c>
      <c r="D30" s="55">
        <f>C30*180</f>
        <v>0.28800000000000003</v>
      </c>
    </row>
    <row r="31" spans="1:4" x14ac:dyDescent="0.25">
      <c r="A31" s="45">
        <v>2231</v>
      </c>
      <c r="B31" s="158" t="s">
        <v>22</v>
      </c>
      <c r="C31" s="36"/>
      <c r="D31" s="19"/>
    </row>
    <row r="32" spans="1:4" ht="167.25" customHeight="1" x14ac:dyDescent="0.25">
      <c r="A32" s="45"/>
      <c r="B32" s="158" t="s">
        <v>666</v>
      </c>
      <c r="C32" s="55">
        <f>ROUND(1201.87/18154,2)</f>
        <v>7.0000000000000007E-2</v>
      </c>
      <c r="D32" s="55">
        <f>C32*180</f>
        <v>12.600000000000001</v>
      </c>
    </row>
    <row r="33" spans="1:4" ht="22.5" customHeight="1" x14ac:dyDescent="0.25">
      <c r="A33" s="45">
        <v>2243</v>
      </c>
      <c r="B33" s="158" t="s">
        <v>132</v>
      </c>
      <c r="C33" s="55"/>
      <c r="D33" s="55"/>
    </row>
    <row r="34" spans="1:4" ht="48" customHeight="1" x14ac:dyDescent="0.25">
      <c r="A34" s="45"/>
      <c r="B34" s="158" t="s">
        <v>376</v>
      </c>
      <c r="C34" s="55">
        <f>ROUND(386.87/18154,3)</f>
        <v>2.1000000000000001E-2</v>
      </c>
      <c r="D34" s="82">
        <f>C34*180</f>
        <v>3.7800000000000002</v>
      </c>
    </row>
    <row r="35" spans="1:4" x14ac:dyDescent="0.25">
      <c r="A35" s="18">
        <v>2244</v>
      </c>
      <c r="B35" s="158" t="s">
        <v>24</v>
      </c>
      <c r="C35" s="19"/>
      <c r="D35" s="19"/>
    </row>
    <row r="36" spans="1:4" ht="45" customHeight="1" x14ac:dyDescent="0.25">
      <c r="A36" s="21"/>
      <c r="B36" s="158" t="s">
        <v>179</v>
      </c>
      <c r="C36" s="55">
        <f>ROUND(383.44/18154,4)</f>
        <v>2.1100000000000001E-2</v>
      </c>
      <c r="D36" s="55">
        <f>C36*180</f>
        <v>3.798</v>
      </c>
    </row>
    <row r="37" spans="1:4" ht="50.25" customHeight="1" x14ac:dyDescent="0.25">
      <c r="A37" s="21"/>
      <c r="B37" s="158" t="s">
        <v>943</v>
      </c>
      <c r="C37" s="40">
        <f>ROUND(5.03/18154,4)</f>
        <v>2.9999999999999997E-4</v>
      </c>
      <c r="D37" s="55">
        <f>C37*180</f>
        <v>5.3999999999999992E-2</v>
      </c>
    </row>
    <row r="38" spans="1:4" x14ac:dyDescent="0.25">
      <c r="A38" s="18">
        <v>2249</v>
      </c>
      <c r="B38" s="158" t="s">
        <v>8</v>
      </c>
      <c r="C38" s="19"/>
      <c r="D38" s="19"/>
    </row>
    <row r="39" spans="1:4" ht="45.75" customHeight="1" x14ac:dyDescent="0.25">
      <c r="A39" s="18"/>
      <c r="B39" s="158" t="s">
        <v>827</v>
      </c>
      <c r="C39" s="36">
        <f>ROUND(9.76/18154,4)</f>
        <v>5.0000000000000001E-4</v>
      </c>
      <c r="D39" s="55">
        <f>C39*180</f>
        <v>0.09</v>
      </c>
    </row>
    <row r="40" spans="1:4" x14ac:dyDescent="0.25">
      <c r="A40" s="18">
        <v>2311</v>
      </c>
      <c r="B40" s="158" t="s">
        <v>9</v>
      </c>
      <c r="C40" s="36"/>
      <c r="D40" s="19"/>
    </row>
    <row r="41" spans="1:4" ht="48" customHeight="1" x14ac:dyDescent="0.25">
      <c r="A41" s="18"/>
      <c r="B41" s="158" t="s">
        <v>377</v>
      </c>
      <c r="C41" s="36">
        <f>ROUND(54.99/18154,4)</f>
        <v>3.0000000000000001E-3</v>
      </c>
      <c r="D41" s="55">
        <f>C41*180</f>
        <v>0.54</v>
      </c>
    </row>
    <row r="42" spans="1:4" x14ac:dyDescent="0.25">
      <c r="A42" s="18">
        <v>2350</v>
      </c>
      <c r="B42" s="158" t="s">
        <v>21</v>
      </c>
      <c r="C42" s="36"/>
      <c r="D42" s="19"/>
    </row>
    <row r="43" spans="1:4" ht="78" customHeight="1" x14ac:dyDescent="0.25">
      <c r="A43" s="18"/>
      <c r="B43" s="158" t="s">
        <v>378</v>
      </c>
      <c r="C43" s="40">
        <f>ROUND(6.69/18154,4)</f>
        <v>4.0000000000000002E-4</v>
      </c>
      <c r="D43" s="55">
        <f>C43*180</f>
        <v>7.2000000000000008E-2</v>
      </c>
    </row>
    <row r="44" spans="1:4" x14ac:dyDescent="0.25">
      <c r="A44" s="18">
        <v>2513</v>
      </c>
      <c r="B44" s="158" t="s">
        <v>133</v>
      </c>
      <c r="C44" s="40"/>
      <c r="D44" s="55"/>
    </row>
    <row r="45" spans="1:4" ht="48.75" customHeight="1" x14ac:dyDescent="0.25">
      <c r="A45" s="18"/>
      <c r="B45" s="158" t="s">
        <v>379</v>
      </c>
      <c r="C45" s="36">
        <f>ROUND(9.53/18154,4)</f>
        <v>5.0000000000000001E-4</v>
      </c>
      <c r="D45" s="55">
        <f>C45*180</f>
        <v>0.09</v>
      </c>
    </row>
    <row r="46" spans="1:4" x14ac:dyDescent="0.25">
      <c r="A46" s="18">
        <v>5220</v>
      </c>
      <c r="B46" s="158" t="s">
        <v>136</v>
      </c>
      <c r="C46" s="40"/>
      <c r="D46" s="55"/>
    </row>
    <row r="47" spans="1:4" ht="51.75" customHeight="1" x14ac:dyDescent="0.25">
      <c r="A47" s="18"/>
      <c r="B47" s="158" t="s">
        <v>828</v>
      </c>
      <c r="C47" s="36">
        <f>ROUND(19.33/18154,4)</f>
        <v>1.1000000000000001E-3</v>
      </c>
      <c r="D47" s="55">
        <f>C47*180</f>
        <v>0.19800000000000001</v>
      </c>
    </row>
    <row r="48" spans="1:4" x14ac:dyDescent="0.25">
      <c r="A48" s="18">
        <v>5238</v>
      </c>
      <c r="B48" s="158" t="s">
        <v>134</v>
      </c>
      <c r="C48" s="40"/>
      <c r="D48" s="55"/>
    </row>
    <row r="49" spans="1:4" ht="43.5" customHeight="1" x14ac:dyDescent="0.25">
      <c r="A49" s="18"/>
      <c r="B49" s="158" t="s">
        <v>380</v>
      </c>
      <c r="C49" s="36">
        <f>ROUND(33.68/18154,3)</f>
        <v>2E-3</v>
      </c>
      <c r="D49" s="55">
        <f>C49*180</f>
        <v>0.36</v>
      </c>
    </row>
    <row r="50" spans="1:4" x14ac:dyDescent="0.25">
      <c r="A50" s="68"/>
      <c r="B50" s="72" t="s">
        <v>10</v>
      </c>
      <c r="C50" s="71">
        <f>ROUND(C49+C47+C45+C43+C41+C39+C37+C36+C34+C32+C30+C28+C26+C24+C22,2)</f>
        <v>0.17</v>
      </c>
      <c r="D50" s="71">
        <f>ROUND(D49+D47+D45+D43+D41+D39+D37+D36+D34+D32+D30+D28+D26+D24+D22,2)</f>
        <v>30.6</v>
      </c>
    </row>
    <row r="51" spans="1:4" x14ac:dyDescent="0.25">
      <c r="A51" s="23"/>
      <c r="B51" s="24" t="s">
        <v>15</v>
      </c>
      <c r="C51" s="52">
        <f>ROUND(C50+C19,2)</f>
        <v>6.33</v>
      </c>
      <c r="D51" s="52">
        <f>D50+D19</f>
        <v>1139.4000000000001</v>
      </c>
    </row>
    <row r="52" spans="1:4" x14ac:dyDescent="0.25">
      <c r="A52" s="25"/>
      <c r="B52" s="26"/>
      <c r="C52" s="27"/>
      <c r="D52" s="27"/>
    </row>
    <row r="53" spans="1:4" x14ac:dyDescent="0.25">
      <c r="A53" s="26"/>
      <c r="B53" s="28"/>
      <c r="C53" s="28"/>
      <c r="D53" s="9"/>
    </row>
    <row r="54" spans="1:4" ht="15" customHeight="1" x14ac:dyDescent="0.25">
      <c r="A54" s="252" t="s">
        <v>16</v>
      </c>
      <c r="B54" s="253"/>
      <c r="C54" s="138">
        <v>180</v>
      </c>
      <c r="D54" s="29"/>
    </row>
    <row r="55" spans="1:4" ht="35.25" customHeight="1" x14ac:dyDescent="0.25">
      <c r="A55" s="254" t="s">
        <v>23</v>
      </c>
      <c r="B55" s="255"/>
      <c r="C55" s="139">
        <f>D51/180</f>
        <v>6.33</v>
      </c>
      <c r="D55" s="29"/>
    </row>
    <row r="56" spans="1:4" x14ac:dyDescent="0.25">
      <c r="A56" s="30"/>
      <c r="B56" s="30"/>
      <c r="C56" s="30"/>
      <c r="D56" s="30"/>
    </row>
    <row r="57" spans="1:4" x14ac:dyDescent="0.25">
      <c r="A57" s="30"/>
      <c r="B57" s="30"/>
      <c r="C57" s="30"/>
      <c r="D57" s="152"/>
    </row>
    <row r="58" spans="1:4" x14ac:dyDescent="0.25">
      <c r="A58" s="30"/>
      <c r="B58" s="30"/>
      <c r="C58" s="30"/>
      <c r="D58" s="152"/>
    </row>
    <row r="59" spans="1:4" x14ac:dyDescent="0.25">
      <c r="A59" s="30"/>
      <c r="B59" s="30"/>
      <c r="C59" s="30"/>
      <c r="D59" s="152"/>
    </row>
    <row r="60" spans="1:4" x14ac:dyDescent="0.25">
      <c r="A60" s="30"/>
      <c r="B60" s="30"/>
      <c r="C60" s="30"/>
      <c r="D60" s="30"/>
    </row>
    <row r="61" spans="1:4" x14ac:dyDescent="0.25">
      <c r="A61" s="231"/>
      <c r="B61" s="231"/>
      <c r="C61" s="9"/>
      <c r="D61" s="9"/>
    </row>
    <row r="62" spans="1:4" x14ac:dyDescent="0.25">
      <c r="A62" s="250"/>
      <c r="B62" s="231"/>
      <c r="C62" s="9"/>
      <c r="D62" s="9"/>
    </row>
    <row r="63" spans="1:4" x14ac:dyDescent="0.25">
      <c r="A63" s="154"/>
      <c r="B63" s="9"/>
      <c r="C63" s="31"/>
      <c r="D63" s="9"/>
    </row>
    <row r="64" spans="1:4" x14ac:dyDescent="0.25">
      <c r="A64" s="250"/>
      <c r="B64" s="250"/>
      <c r="C64" s="31"/>
      <c r="D64" s="9"/>
    </row>
  </sheetData>
  <customSheetViews>
    <customSheetView guid="{3046F990-4623-45D5-BDDC-01BD5999DDBC}" scale="60" showPageBreaks="1" fitToPage="1" printArea="1" view="pageBreakPreview">
      <selection activeCell="B53" sqref="B53"/>
      <rowBreaks count="1" manualBreakCount="1">
        <brk id="32" max="3" man="1"/>
      </rowBreaks>
      <pageMargins left="0.70866141732283472" right="0.70866141732283472" top="0.74803149606299213" bottom="0.74803149606299213" header="0.31496062992125984" footer="0.31496062992125984"/>
      <pageSetup paperSize="9" scale="66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view="pageBreakPreview" topLeftCell="A25">
      <selection activeCell="B47" sqref="B47"/>
      <rowBreaks count="1" manualBreakCount="1">
        <brk id="32" max="3" man="1"/>
      </rowBreaks>
      <pageMargins left="0.70866141732283472" right="0.70866141732283472" top="0.74803149606299213" bottom="0.74803149606299213" header="0.31496062992125984" footer="0.31496062992125984"/>
      <pageSetup paperSize="9" scale="66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view="pageBreakPreview">
      <selection activeCell="A6" sqref="A6:D6"/>
      <rowBreaks count="1" manualBreakCount="1">
        <brk id="32" max="3" man="1"/>
      </rowBreaks>
      <pageMargins left="0.70866141732283472" right="0.70866141732283472" top="0.74803149606299213" bottom="0.74803149606299213" header="0.31496062992125984" footer="0.31496062992125984"/>
      <pageSetup paperSize="9" scale="67" fitToHeight="0" orientation="portrait" r:id="rId3"/>
      <headerFooter>
        <oddFooter>&amp;C&amp;P</oddFooter>
      </headerFooter>
    </customSheetView>
  </customSheetViews>
  <mergeCells count="10">
    <mergeCell ref="A62:B62"/>
    <mergeCell ref="A64:B64"/>
    <mergeCell ref="A55:B55"/>
    <mergeCell ref="C3:D3"/>
    <mergeCell ref="A54:B54"/>
    <mergeCell ref="A2:D2"/>
    <mergeCell ref="A6:D6"/>
    <mergeCell ref="A8:B8"/>
    <mergeCell ref="A10:B10"/>
    <mergeCell ref="A61:B61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4"/>
  <headerFooter>
    <oddFooter>&amp;C&amp;P</oddFooter>
  </headerFooter>
  <rowBreaks count="1" manualBreakCount="1">
    <brk id="32" max="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view="pageBreakPreview" zoomScale="60" zoomScaleNormal="100" workbookViewId="0">
      <selection activeCell="A6" sqref="A6:D6"/>
    </sheetView>
  </sheetViews>
  <sheetFormatPr defaultRowHeight="15" x14ac:dyDescent="0.25"/>
  <cols>
    <col min="1" max="1" width="14.140625" customWidth="1"/>
    <col min="2" max="2" width="79.7109375" customWidth="1"/>
    <col min="3" max="3" width="18.42578125" customWidth="1"/>
    <col min="4" max="4" width="19" customWidth="1"/>
  </cols>
  <sheetData>
    <row r="1" spans="1:10" ht="18.75" x14ac:dyDescent="0.3">
      <c r="A1" s="4"/>
      <c r="B1" s="5"/>
      <c r="C1" s="35"/>
      <c r="D1" s="5"/>
    </row>
    <row r="2" spans="1:10" ht="15.75" customHeight="1" x14ac:dyDescent="0.25">
      <c r="A2" s="256" t="s">
        <v>307</v>
      </c>
      <c r="B2" s="256"/>
      <c r="C2" s="256"/>
      <c r="D2" s="256"/>
    </row>
    <row r="3" spans="1:10" ht="15" customHeight="1" x14ac:dyDescent="0.25">
      <c r="A3" s="4"/>
      <c r="B3" s="4"/>
      <c r="C3" s="273"/>
      <c r="D3" s="274"/>
    </row>
    <row r="4" spans="1:10" ht="15.75" x14ac:dyDescent="0.25">
      <c r="A4" s="186" t="s">
        <v>723</v>
      </c>
      <c r="B4" s="32"/>
      <c r="C4" s="32"/>
      <c r="D4" s="32"/>
    </row>
    <row r="5" spans="1:10" x14ac:dyDescent="0.25">
      <c r="A5" s="4"/>
      <c r="B5" s="33"/>
      <c r="C5" s="33"/>
      <c r="D5" s="9"/>
    </row>
    <row r="6" spans="1:10" ht="15.75" x14ac:dyDescent="0.25">
      <c r="A6" s="272" t="s">
        <v>1024</v>
      </c>
      <c r="B6" s="272"/>
      <c r="C6" s="272"/>
      <c r="D6" s="272"/>
    </row>
    <row r="7" spans="1:10" ht="15.75" x14ac:dyDescent="0.25">
      <c r="A7" s="180"/>
      <c r="B7" s="34"/>
      <c r="C7" s="34"/>
      <c r="D7" s="9"/>
      <c r="E7" s="44"/>
      <c r="F7" s="44"/>
      <c r="G7" s="44"/>
      <c r="H7" s="44"/>
      <c r="I7" s="41"/>
      <c r="J7" s="41"/>
    </row>
    <row r="8" spans="1:10" x14ac:dyDescent="0.25">
      <c r="A8" s="270" t="s">
        <v>309</v>
      </c>
      <c r="B8" s="271"/>
      <c r="C8" s="34"/>
      <c r="D8" s="9"/>
    </row>
    <row r="9" spans="1:10" ht="15" customHeight="1" x14ac:dyDescent="0.25">
      <c r="A9" s="183"/>
      <c r="B9" s="184"/>
      <c r="C9" s="34"/>
      <c r="D9" s="9"/>
    </row>
    <row r="10" spans="1:10" ht="15.75" x14ac:dyDescent="0.25">
      <c r="A10" s="251" t="s">
        <v>752</v>
      </c>
      <c r="B10" s="251"/>
      <c r="C10" s="8"/>
      <c r="D10" s="9"/>
    </row>
    <row r="11" spans="1:10" ht="102.75" customHeight="1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10" x14ac:dyDescent="0.25">
      <c r="A12" s="13">
        <v>1</v>
      </c>
      <c r="B12" s="14">
        <v>2</v>
      </c>
      <c r="C12" s="13">
        <v>3</v>
      </c>
      <c r="D12" s="13">
        <v>4</v>
      </c>
    </row>
    <row r="13" spans="1:10" x14ac:dyDescent="0.25">
      <c r="A13" s="15"/>
      <c r="B13" s="22" t="s">
        <v>13</v>
      </c>
      <c r="C13" s="17"/>
      <c r="D13" s="17"/>
    </row>
    <row r="14" spans="1:10" x14ac:dyDescent="0.25">
      <c r="A14" s="37">
        <v>1100</v>
      </c>
      <c r="B14" s="16" t="s">
        <v>14</v>
      </c>
      <c r="C14" s="38"/>
      <c r="D14" s="38"/>
      <c r="E14" s="59"/>
    </row>
    <row r="15" spans="1:10" ht="78.75" customHeight="1" x14ac:dyDescent="0.25">
      <c r="A15" s="18"/>
      <c r="B15" s="157" t="s">
        <v>381</v>
      </c>
      <c r="C15" s="55">
        <f>0.11*20</f>
        <v>2.2000000000000002</v>
      </c>
      <c r="D15" s="55">
        <f>C15*1500</f>
        <v>3300.0000000000005</v>
      </c>
    </row>
    <row r="16" spans="1:10" ht="34.5" customHeight="1" x14ac:dyDescent="0.25">
      <c r="A16" s="18">
        <v>1200</v>
      </c>
      <c r="B16" s="158" t="s">
        <v>201</v>
      </c>
      <c r="C16" s="55">
        <f>ROUND(C15*0.2359,2)</f>
        <v>0.52</v>
      </c>
      <c r="D16" s="55">
        <f>C16*1500</f>
        <v>780</v>
      </c>
    </row>
    <row r="17" spans="1:4" ht="17.25" customHeight="1" x14ac:dyDescent="0.25">
      <c r="A17" s="18">
        <v>2341</v>
      </c>
      <c r="B17" s="18" t="s">
        <v>77</v>
      </c>
      <c r="C17" s="19"/>
      <c r="D17" s="19"/>
    </row>
    <row r="18" spans="1:4" ht="68.25" customHeight="1" x14ac:dyDescent="0.25">
      <c r="A18" s="18"/>
      <c r="B18" s="158" t="s">
        <v>382</v>
      </c>
      <c r="C18" s="55">
        <f>0.07+0.1+0.04+0.02</f>
        <v>0.23</v>
      </c>
      <c r="D18" s="55">
        <f>C18*1500</f>
        <v>345</v>
      </c>
    </row>
    <row r="19" spans="1:4" x14ac:dyDescent="0.25">
      <c r="A19" s="68"/>
      <c r="B19" s="159" t="s">
        <v>2</v>
      </c>
      <c r="C19" s="71">
        <f>SUM(C14:C18)</f>
        <v>2.95</v>
      </c>
      <c r="D19" s="71">
        <f>SUM(D14:D18)</f>
        <v>4425</v>
      </c>
    </row>
    <row r="20" spans="1:4" x14ac:dyDescent="0.25">
      <c r="A20" s="18"/>
      <c r="B20" s="160" t="s">
        <v>20</v>
      </c>
      <c r="C20" s="19"/>
      <c r="D20" s="19"/>
    </row>
    <row r="21" spans="1:4" x14ac:dyDescent="0.25">
      <c r="A21" s="18">
        <v>2219</v>
      </c>
      <c r="B21" s="158" t="s">
        <v>3</v>
      </c>
      <c r="C21" s="19"/>
      <c r="D21" s="19"/>
    </row>
    <row r="22" spans="1:4" ht="91.5" customHeight="1" x14ac:dyDescent="0.25">
      <c r="A22" s="18"/>
      <c r="B22" s="158" t="s">
        <v>665</v>
      </c>
      <c r="C22" s="40">
        <f>ROUND(3.18/18154,4)</f>
        <v>2.0000000000000001E-4</v>
      </c>
      <c r="D22" s="55">
        <f>C22*1500</f>
        <v>0.3</v>
      </c>
    </row>
    <row r="23" spans="1:4" x14ac:dyDescent="0.25">
      <c r="A23" s="18">
        <v>2221</v>
      </c>
      <c r="B23" s="158" t="s">
        <v>4</v>
      </c>
      <c r="C23" s="19"/>
      <c r="D23" s="19"/>
    </row>
    <row r="24" spans="1:4" ht="48.75" customHeight="1" x14ac:dyDescent="0.25">
      <c r="A24" s="18"/>
      <c r="B24" s="158" t="s">
        <v>664</v>
      </c>
      <c r="C24" s="55">
        <f>ROUND(301.59/18154,4)</f>
        <v>1.66E-2</v>
      </c>
      <c r="D24" s="55">
        <f>C24*1500</f>
        <v>24.9</v>
      </c>
    </row>
    <row r="25" spans="1:4" ht="14.25" customHeight="1" x14ac:dyDescent="0.25">
      <c r="A25" s="18">
        <v>2222</v>
      </c>
      <c r="B25" s="158" t="s">
        <v>5</v>
      </c>
      <c r="C25" s="19"/>
      <c r="D25" s="19"/>
    </row>
    <row r="26" spans="1:4" ht="51" customHeight="1" x14ac:dyDescent="0.25">
      <c r="A26" s="18"/>
      <c r="B26" s="158" t="s">
        <v>383</v>
      </c>
      <c r="C26" s="36">
        <f>ROUND(31.02/18154,4)</f>
        <v>1.6999999999999999E-3</v>
      </c>
      <c r="D26" s="55">
        <f>C26*1500</f>
        <v>2.5499999999999998</v>
      </c>
    </row>
    <row r="27" spans="1:4" x14ac:dyDescent="0.25">
      <c r="A27" s="18">
        <v>2223</v>
      </c>
      <c r="B27" s="18" t="s">
        <v>6</v>
      </c>
      <c r="C27" s="19"/>
      <c r="D27" s="19"/>
    </row>
    <row r="28" spans="1:4" ht="45.75" customHeight="1" x14ac:dyDescent="0.25">
      <c r="A28" s="18"/>
      <c r="B28" s="158" t="s">
        <v>166</v>
      </c>
      <c r="C28" s="55">
        <f>ROUND(538.27/18154,3)</f>
        <v>0.03</v>
      </c>
      <c r="D28" s="55">
        <f>C28*1500</f>
        <v>45</v>
      </c>
    </row>
    <row r="29" spans="1:4" x14ac:dyDescent="0.25">
      <c r="A29" s="18">
        <v>2224</v>
      </c>
      <c r="B29" s="158" t="s">
        <v>7</v>
      </c>
      <c r="C29" s="19"/>
      <c r="D29" s="19"/>
    </row>
    <row r="30" spans="1:4" ht="49.5" customHeight="1" x14ac:dyDescent="0.25">
      <c r="A30" s="18"/>
      <c r="B30" s="158" t="s">
        <v>663</v>
      </c>
      <c r="C30" s="36">
        <f>ROUND(28.86/18154,4)</f>
        <v>1.6000000000000001E-3</v>
      </c>
      <c r="D30" s="55">
        <f>C30*1500</f>
        <v>2.4</v>
      </c>
    </row>
    <row r="31" spans="1:4" x14ac:dyDescent="0.25">
      <c r="A31" s="45">
        <v>2231</v>
      </c>
      <c r="B31" s="158" t="s">
        <v>22</v>
      </c>
      <c r="C31" s="36"/>
      <c r="D31" s="19"/>
    </row>
    <row r="32" spans="1:4" ht="181.5" customHeight="1" x14ac:dyDescent="0.25">
      <c r="A32" s="45"/>
      <c r="B32" s="158" t="s">
        <v>662</v>
      </c>
      <c r="C32" s="55">
        <f>ROUND(1201.87/18154,2)</f>
        <v>7.0000000000000007E-2</v>
      </c>
      <c r="D32" s="55">
        <f>C32*1500</f>
        <v>105.00000000000001</v>
      </c>
    </row>
    <row r="33" spans="1:4" ht="17.25" customHeight="1" x14ac:dyDescent="0.25">
      <c r="A33" s="45">
        <v>2243</v>
      </c>
      <c r="B33" s="158" t="s">
        <v>132</v>
      </c>
      <c r="C33" s="55"/>
      <c r="D33" s="55"/>
    </row>
    <row r="34" spans="1:4" ht="63.75" customHeight="1" x14ac:dyDescent="0.25">
      <c r="A34" s="45"/>
      <c r="B34" s="158" t="s">
        <v>384</v>
      </c>
      <c r="C34" s="55">
        <f>ROUND(386.87/18154,3)</f>
        <v>2.1000000000000001E-2</v>
      </c>
      <c r="D34" s="82">
        <f>C34*1500</f>
        <v>31.500000000000004</v>
      </c>
    </row>
    <row r="35" spans="1:4" x14ac:dyDescent="0.25">
      <c r="A35" s="18">
        <v>2244</v>
      </c>
      <c r="B35" s="158" t="s">
        <v>24</v>
      </c>
      <c r="C35" s="19"/>
      <c r="D35" s="19"/>
    </row>
    <row r="36" spans="1:4" ht="66.75" customHeight="1" x14ac:dyDescent="0.25">
      <c r="A36" s="21"/>
      <c r="B36" s="158" t="s">
        <v>180</v>
      </c>
      <c r="C36" s="55">
        <f>ROUND(383.44/18154,4)</f>
        <v>2.1100000000000001E-2</v>
      </c>
      <c r="D36" s="55">
        <f>C36*1500</f>
        <v>31.650000000000002</v>
      </c>
    </row>
    <row r="37" spans="1:4" ht="50.25" customHeight="1" x14ac:dyDescent="0.25">
      <c r="A37" s="21"/>
      <c r="B37" s="158" t="s">
        <v>765</v>
      </c>
      <c r="C37" s="40">
        <f>ROUND(5.03/18154,4)</f>
        <v>2.9999999999999997E-4</v>
      </c>
      <c r="D37" s="55">
        <f>C37*1500</f>
        <v>0.44999999999999996</v>
      </c>
    </row>
    <row r="38" spans="1:4" x14ac:dyDescent="0.25">
      <c r="A38" s="18">
        <v>2249</v>
      </c>
      <c r="B38" s="158" t="s">
        <v>8</v>
      </c>
      <c r="C38" s="19"/>
      <c r="D38" s="19"/>
    </row>
    <row r="39" spans="1:4" ht="63" customHeight="1" x14ac:dyDescent="0.25">
      <c r="A39" s="18"/>
      <c r="B39" s="158" t="s">
        <v>813</v>
      </c>
      <c r="C39" s="36">
        <f>ROUND(9.76/18154,4)</f>
        <v>5.0000000000000001E-4</v>
      </c>
      <c r="D39" s="55">
        <f>C39*1500</f>
        <v>0.75</v>
      </c>
    </row>
    <row r="40" spans="1:4" x14ac:dyDescent="0.25">
      <c r="A40" s="18">
        <v>2311</v>
      </c>
      <c r="B40" s="158" t="s">
        <v>9</v>
      </c>
      <c r="C40" s="36"/>
      <c r="D40" s="19"/>
    </row>
    <row r="41" spans="1:4" ht="64.5" customHeight="1" x14ac:dyDescent="0.25">
      <c r="A41" s="18"/>
      <c r="B41" s="158" t="s">
        <v>385</v>
      </c>
      <c r="C41" s="36">
        <f>ROUND(54.99/18154,4)</f>
        <v>3.0000000000000001E-3</v>
      </c>
      <c r="D41" s="55">
        <f>C41*1500</f>
        <v>4.5</v>
      </c>
    </row>
    <row r="42" spans="1:4" x14ac:dyDescent="0.25">
      <c r="A42" s="18">
        <v>2350</v>
      </c>
      <c r="B42" s="158" t="s">
        <v>21</v>
      </c>
      <c r="C42" s="36"/>
      <c r="D42" s="19"/>
    </row>
    <row r="43" spans="1:4" ht="92.25" customHeight="1" x14ac:dyDescent="0.25">
      <c r="A43" s="18"/>
      <c r="B43" s="158" t="s">
        <v>386</v>
      </c>
      <c r="C43" s="40">
        <f>ROUND(6.69/18154,4)</f>
        <v>4.0000000000000002E-4</v>
      </c>
      <c r="D43" s="55">
        <f>C43*1500</f>
        <v>0.6</v>
      </c>
    </row>
    <row r="44" spans="1:4" ht="20.25" customHeight="1" x14ac:dyDescent="0.25">
      <c r="A44" s="18">
        <v>2513</v>
      </c>
      <c r="B44" s="158" t="s">
        <v>133</v>
      </c>
      <c r="C44" s="40"/>
      <c r="D44" s="55"/>
    </row>
    <row r="45" spans="1:4" ht="49.5" customHeight="1" x14ac:dyDescent="0.25">
      <c r="A45" s="18"/>
      <c r="B45" s="158" t="s">
        <v>387</v>
      </c>
      <c r="C45" s="36">
        <f>ROUND(9.53/18154,4)</f>
        <v>5.0000000000000001E-4</v>
      </c>
      <c r="D45" s="55">
        <f>C45*1500</f>
        <v>0.75</v>
      </c>
    </row>
    <row r="46" spans="1:4" ht="20.25" customHeight="1" x14ac:dyDescent="0.25">
      <c r="A46" s="18">
        <v>5220</v>
      </c>
      <c r="B46" s="158" t="s">
        <v>136</v>
      </c>
      <c r="C46" s="40"/>
      <c r="D46" s="55"/>
    </row>
    <row r="47" spans="1:4" ht="48" customHeight="1" x14ac:dyDescent="0.25">
      <c r="A47" s="18"/>
      <c r="B47" s="158" t="s">
        <v>829</v>
      </c>
      <c r="C47" s="36">
        <f>ROUND(19.33/18154,4)</f>
        <v>1.1000000000000001E-3</v>
      </c>
      <c r="D47" s="55">
        <f>C47*1500</f>
        <v>1.6500000000000001</v>
      </c>
    </row>
    <row r="48" spans="1:4" ht="18.75" customHeight="1" x14ac:dyDescent="0.25">
      <c r="A48" s="18">
        <v>5238</v>
      </c>
      <c r="B48" s="158" t="s">
        <v>134</v>
      </c>
      <c r="C48" s="40"/>
      <c r="D48" s="55"/>
    </row>
    <row r="49" spans="1:5" ht="49.5" customHeight="1" x14ac:dyDescent="0.25">
      <c r="A49" s="18"/>
      <c r="B49" s="158" t="s">
        <v>766</v>
      </c>
      <c r="C49" s="36">
        <f>ROUND(33.68/18154,3)</f>
        <v>2E-3</v>
      </c>
      <c r="D49" s="55">
        <f>C49*1500</f>
        <v>3</v>
      </c>
    </row>
    <row r="50" spans="1:5" x14ac:dyDescent="0.25">
      <c r="A50" s="68"/>
      <c r="B50" s="72" t="s">
        <v>10</v>
      </c>
      <c r="C50" s="71">
        <f>ROUND(C49+C47+C45+C43+C41+C39+C37+C36+C34+C32+C30+C28+C26+C24+C22,2)</f>
        <v>0.17</v>
      </c>
      <c r="D50" s="71">
        <f>ROUND(D49+D47+D45+D43+D41+D39+D37+D36+D34+D32+D30+D28+D26+D24+D22,2)</f>
        <v>255</v>
      </c>
    </row>
    <row r="51" spans="1:5" x14ac:dyDescent="0.25">
      <c r="A51" s="23"/>
      <c r="B51" s="24" t="s">
        <v>15</v>
      </c>
      <c r="C51" s="52">
        <f>ROUND(C50+C19,2)</f>
        <v>3.12</v>
      </c>
      <c r="D51" s="52">
        <f>D50+D19</f>
        <v>4680</v>
      </c>
      <c r="E51" s="59"/>
    </row>
    <row r="52" spans="1:5" x14ac:dyDescent="0.25">
      <c r="A52" s="25"/>
      <c r="B52" s="26"/>
      <c r="C52" s="27"/>
      <c r="D52" s="27"/>
    </row>
    <row r="53" spans="1:5" x14ac:dyDescent="0.25">
      <c r="A53" s="26"/>
      <c r="B53" s="28"/>
      <c r="C53" s="28"/>
      <c r="D53" s="9"/>
    </row>
    <row r="54" spans="1:5" ht="15" customHeight="1" x14ac:dyDescent="0.25">
      <c r="A54" s="252" t="s">
        <v>16</v>
      </c>
      <c r="B54" s="253"/>
      <c r="C54" s="138">
        <v>1500</v>
      </c>
      <c r="D54" s="29"/>
    </row>
    <row r="55" spans="1:5" ht="37.5" customHeight="1" x14ac:dyDescent="0.25">
      <c r="A55" s="254" t="s">
        <v>23</v>
      </c>
      <c r="B55" s="255"/>
      <c r="C55" s="139">
        <f>D51/C54</f>
        <v>3.12</v>
      </c>
      <c r="D55" s="29"/>
    </row>
    <row r="56" spans="1:5" x14ac:dyDescent="0.25">
      <c r="A56" s="30"/>
      <c r="B56" s="30"/>
      <c r="C56" s="30"/>
      <c r="D56" s="30"/>
    </row>
    <row r="57" spans="1:5" x14ac:dyDescent="0.25">
      <c r="A57" s="30"/>
      <c r="B57" s="30"/>
      <c r="C57" s="30"/>
      <c r="D57" s="152"/>
    </row>
    <row r="58" spans="1:5" x14ac:dyDescent="0.25">
      <c r="A58" s="30"/>
      <c r="B58" s="30"/>
      <c r="C58" s="30"/>
      <c r="D58" s="152"/>
    </row>
    <row r="59" spans="1:5" x14ac:dyDescent="0.25">
      <c r="A59" s="30"/>
      <c r="B59" s="30"/>
      <c r="C59" s="30"/>
      <c r="D59" s="152"/>
    </row>
    <row r="60" spans="1:5" x14ac:dyDescent="0.25">
      <c r="A60" s="30"/>
      <c r="B60" s="30"/>
      <c r="C60" s="30"/>
      <c r="D60" s="30"/>
    </row>
    <row r="61" spans="1:5" x14ac:dyDescent="0.25">
      <c r="A61" s="231"/>
      <c r="B61" s="231"/>
      <c r="C61" s="9"/>
      <c r="D61" s="9"/>
    </row>
    <row r="62" spans="1:5" x14ac:dyDescent="0.25">
      <c r="A62" s="250"/>
      <c r="B62" s="231"/>
      <c r="C62" s="9"/>
      <c r="D62" s="9"/>
    </row>
    <row r="63" spans="1:5" x14ac:dyDescent="0.25">
      <c r="A63" s="154"/>
      <c r="B63" s="9"/>
      <c r="C63" s="31"/>
      <c r="D63" s="9"/>
    </row>
    <row r="64" spans="1:5" x14ac:dyDescent="0.25">
      <c r="A64" s="250"/>
      <c r="B64" s="250"/>
      <c r="C64" s="31"/>
      <c r="D64" s="9"/>
    </row>
  </sheetData>
  <customSheetViews>
    <customSheetView guid="{3046F990-4623-45D5-BDDC-01BD5999DDBC}" scale="60" showPageBreaks="1" fitToPage="1" printArea="1" view="pageBreakPreview">
      <selection activeCell="B53" sqref="B53"/>
      <rowBreaks count="1" manualBreakCount="1">
        <brk id="33" max="3" man="1"/>
      </rowBreaks>
      <pageMargins left="0.70866141732283472" right="0.70866141732283472" top="0.74803149606299213" bottom="0.74803149606299213" header="0.31496062992125984" footer="0.31496062992125984"/>
      <pageSetup paperSize="9" scale="66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view="pageBreakPreview" topLeftCell="A40">
      <selection activeCell="C35" sqref="C35"/>
      <rowBreaks count="1" manualBreakCount="1">
        <brk id="33" max="3" man="1"/>
      </rowBreaks>
      <pageMargins left="0.70866141732283472" right="0.70866141732283472" top="0.74803149606299213" bottom="0.74803149606299213" header="0.31496062992125984" footer="0.31496062992125984"/>
      <pageSetup paperSize="9" scale="66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view="pageBreakPreview">
      <selection activeCell="A6" sqref="A6:D6"/>
      <rowBreaks count="1" manualBreakCount="1">
        <brk id="33" max="3" man="1"/>
      </rowBreaks>
      <pageMargins left="0.70866141732283472" right="0.70866141732283472" top="0.74803149606299213" bottom="0.74803149606299213" header="0.31496062992125984" footer="0.31496062992125984"/>
      <pageSetup paperSize="9" scale="66" fitToHeight="0" orientation="portrait" r:id="rId3"/>
      <headerFooter>
        <oddFooter>&amp;C&amp;P</oddFooter>
      </headerFooter>
    </customSheetView>
  </customSheetViews>
  <mergeCells count="10">
    <mergeCell ref="A62:B62"/>
    <mergeCell ref="A64:B64"/>
    <mergeCell ref="A55:B55"/>
    <mergeCell ref="C3:D3"/>
    <mergeCell ref="A54:B54"/>
    <mergeCell ref="A2:D2"/>
    <mergeCell ref="A6:D6"/>
    <mergeCell ref="A8:B8"/>
    <mergeCell ref="A10:B10"/>
    <mergeCell ref="A61:B61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4"/>
  <headerFooter>
    <oddFooter>&amp;C&amp;P</oddFooter>
  </headerFooter>
  <rowBreaks count="1" manualBreakCount="1">
    <brk id="33" max="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view="pageBreakPreview" zoomScale="60" zoomScaleNormal="100" workbookViewId="0">
      <selection activeCell="C13" sqref="C13"/>
    </sheetView>
  </sheetViews>
  <sheetFormatPr defaultRowHeight="15" x14ac:dyDescent="0.25"/>
  <cols>
    <col min="1" max="1" width="14.85546875" customWidth="1"/>
    <col min="2" max="2" width="75.5703125" customWidth="1"/>
    <col min="3" max="3" width="20.42578125" customWidth="1"/>
    <col min="4" max="4" width="23.28515625" customWidth="1"/>
  </cols>
  <sheetData>
    <row r="1" spans="1:10" ht="18.75" x14ac:dyDescent="0.3">
      <c r="A1" s="4"/>
      <c r="B1" s="5"/>
      <c r="C1" s="35"/>
      <c r="D1" s="5"/>
    </row>
    <row r="2" spans="1:10" ht="15.75" customHeight="1" x14ac:dyDescent="0.25">
      <c r="A2" s="256" t="s">
        <v>307</v>
      </c>
      <c r="B2" s="256"/>
      <c r="C2" s="256"/>
      <c r="D2" s="256"/>
    </row>
    <row r="3" spans="1:10" ht="15" customHeight="1" x14ac:dyDescent="0.25">
      <c r="A3" s="4"/>
      <c r="B3" s="4"/>
      <c r="C3" s="273"/>
      <c r="D3" s="274"/>
    </row>
    <row r="4" spans="1:10" ht="15.75" x14ac:dyDescent="0.25">
      <c r="A4" s="186" t="s">
        <v>723</v>
      </c>
      <c r="B4" s="32"/>
      <c r="C4" s="32"/>
      <c r="D4" s="32"/>
    </row>
    <row r="5" spans="1:10" x14ac:dyDescent="0.25">
      <c r="A5" s="4"/>
      <c r="B5" s="33"/>
      <c r="C5" s="33"/>
      <c r="D5" s="9"/>
    </row>
    <row r="6" spans="1:10" ht="15.75" x14ac:dyDescent="0.25">
      <c r="A6" s="272" t="s">
        <v>1078</v>
      </c>
      <c r="B6" s="272"/>
      <c r="C6" s="272"/>
      <c r="D6" s="272"/>
    </row>
    <row r="7" spans="1:10" ht="15.75" x14ac:dyDescent="0.25">
      <c r="A7" s="180"/>
      <c r="B7" s="34"/>
      <c r="C7" s="34"/>
      <c r="D7" s="9"/>
      <c r="E7" s="44"/>
      <c r="F7" s="44"/>
      <c r="G7" s="44"/>
      <c r="H7" s="44"/>
      <c r="I7" s="41"/>
      <c r="J7" s="41"/>
    </row>
    <row r="8" spans="1:10" x14ac:dyDescent="0.25">
      <c r="A8" s="270" t="s">
        <v>309</v>
      </c>
      <c r="B8" s="271"/>
      <c r="C8" s="34"/>
      <c r="D8" s="9"/>
    </row>
    <row r="9" spans="1:10" ht="15" customHeight="1" x14ac:dyDescent="0.25">
      <c r="A9" s="183"/>
      <c r="B9" s="184"/>
      <c r="C9" s="34"/>
      <c r="D9" s="9"/>
    </row>
    <row r="10" spans="1:10" ht="15.75" x14ac:dyDescent="0.25">
      <c r="A10" s="251" t="s">
        <v>753</v>
      </c>
      <c r="B10" s="251"/>
      <c r="C10" s="8"/>
      <c r="D10" s="9"/>
    </row>
    <row r="11" spans="1:10" ht="60" x14ac:dyDescent="0.25">
      <c r="A11" s="12" t="s">
        <v>0</v>
      </c>
      <c r="B11" s="12" t="s">
        <v>1</v>
      </c>
      <c r="C11" s="12" t="s">
        <v>17</v>
      </c>
      <c r="D11" s="12" t="s">
        <v>18</v>
      </c>
    </row>
    <row r="12" spans="1:10" x14ac:dyDescent="0.25">
      <c r="A12" s="13">
        <v>1</v>
      </c>
      <c r="B12" s="14">
        <v>2</v>
      </c>
      <c r="C12" s="13">
        <v>3</v>
      </c>
      <c r="D12" s="13">
        <v>4</v>
      </c>
    </row>
    <row r="13" spans="1:10" x14ac:dyDescent="0.25">
      <c r="A13" s="15"/>
      <c r="B13" s="22" t="s">
        <v>13</v>
      </c>
      <c r="C13" s="17"/>
      <c r="D13" s="17"/>
    </row>
    <row r="14" spans="1:10" x14ac:dyDescent="0.25">
      <c r="A14" s="37">
        <v>1100</v>
      </c>
      <c r="B14" s="16" t="s">
        <v>14</v>
      </c>
      <c r="C14" s="38"/>
      <c r="D14" s="38"/>
    </row>
    <row r="15" spans="1:10" ht="126" customHeight="1" x14ac:dyDescent="0.25">
      <c r="A15" s="18"/>
      <c r="B15" s="157" t="s">
        <v>388</v>
      </c>
      <c r="C15" s="55">
        <f>0.11*20+1.43</f>
        <v>3.63</v>
      </c>
      <c r="D15" s="55">
        <f>C15*60</f>
        <v>217.79999999999998</v>
      </c>
    </row>
    <row r="16" spans="1:10" ht="34.5" customHeight="1" x14ac:dyDescent="0.25">
      <c r="A16" s="18">
        <v>1200</v>
      </c>
      <c r="B16" s="158" t="s">
        <v>283</v>
      </c>
      <c r="C16" s="55">
        <f>ROUND(C15*0.2359,2)</f>
        <v>0.86</v>
      </c>
      <c r="D16" s="55">
        <f>C16*60</f>
        <v>51.6</v>
      </c>
    </row>
    <row r="17" spans="1:4" x14ac:dyDescent="0.25">
      <c r="A17" s="18">
        <v>2341</v>
      </c>
      <c r="B17" s="18" t="s">
        <v>77</v>
      </c>
      <c r="C17" s="19"/>
      <c r="D17" s="19"/>
    </row>
    <row r="18" spans="1:4" ht="62.25" customHeight="1" x14ac:dyDescent="0.25">
      <c r="A18" s="18"/>
      <c r="B18" s="158" t="s">
        <v>389</v>
      </c>
      <c r="C18" s="55">
        <f>0.07+0.1+0.04+0.02+0.01</f>
        <v>0.24000000000000002</v>
      </c>
      <c r="D18" s="55">
        <f>C18*60</f>
        <v>14.4</v>
      </c>
    </row>
    <row r="19" spans="1:4" ht="15.75" hidden="1" customHeight="1" x14ac:dyDescent="0.25">
      <c r="A19" s="18"/>
      <c r="B19" s="158" t="s">
        <v>73</v>
      </c>
      <c r="C19" s="36"/>
      <c r="D19" s="19"/>
    </row>
    <row r="20" spans="1:4" x14ac:dyDescent="0.25">
      <c r="A20" s="68"/>
      <c r="B20" s="159" t="s">
        <v>2</v>
      </c>
      <c r="C20" s="71">
        <f>SUM(C14:C18)</f>
        <v>4.7300000000000004</v>
      </c>
      <c r="D20" s="71">
        <f>SUM(D14:D19)</f>
        <v>283.79999999999995</v>
      </c>
    </row>
    <row r="21" spans="1:4" x14ac:dyDescent="0.25">
      <c r="A21" s="18"/>
      <c r="B21" s="160" t="s">
        <v>20</v>
      </c>
      <c r="C21" s="19"/>
      <c r="D21" s="19"/>
    </row>
    <row r="22" spans="1:4" x14ac:dyDescent="0.25">
      <c r="A22" s="18">
        <v>2219</v>
      </c>
      <c r="B22" s="158" t="s">
        <v>3</v>
      </c>
      <c r="C22" s="19"/>
      <c r="D22" s="19"/>
    </row>
    <row r="23" spans="1:4" ht="96.75" customHeight="1" x14ac:dyDescent="0.25">
      <c r="A23" s="18"/>
      <c r="B23" s="158" t="s">
        <v>767</v>
      </c>
      <c r="C23" s="40">
        <f>ROUND(3.18/18154,4)</f>
        <v>2.0000000000000001E-4</v>
      </c>
      <c r="D23" s="55">
        <f>C23*60</f>
        <v>1.2E-2</v>
      </c>
    </row>
    <row r="24" spans="1:4" x14ac:dyDescent="0.25">
      <c r="A24" s="18">
        <v>2221</v>
      </c>
      <c r="B24" s="158" t="s">
        <v>4</v>
      </c>
      <c r="C24" s="19"/>
      <c r="D24" s="19"/>
    </row>
    <row r="25" spans="1:4" ht="47.25" customHeight="1" x14ac:dyDescent="0.25">
      <c r="A25" s="18"/>
      <c r="B25" s="158" t="s">
        <v>658</v>
      </c>
      <c r="C25" s="55">
        <f>ROUND(301.59/18154,4)</f>
        <v>1.66E-2</v>
      </c>
      <c r="D25" s="55">
        <f>C25*60</f>
        <v>0.996</v>
      </c>
    </row>
    <row r="26" spans="1:4" ht="15" customHeight="1" x14ac:dyDescent="0.25">
      <c r="A26" s="18">
        <v>2222</v>
      </c>
      <c r="B26" s="158" t="s">
        <v>5</v>
      </c>
      <c r="C26" s="19"/>
      <c r="D26" s="19"/>
    </row>
    <row r="27" spans="1:4" ht="54" customHeight="1" x14ac:dyDescent="0.25">
      <c r="A27" s="18"/>
      <c r="B27" s="158" t="s">
        <v>181</v>
      </c>
      <c r="C27" s="36">
        <f>ROUND(31.02/18154,4)</f>
        <v>1.6999999999999999E-3</v>
      </c>
      <c r="D27" s="55">
        <f>C27*60</f>
        <v>0.10199999999999999</v>
      </c>
    </row>
    <row r="28" spans="1:4" x14ac:dyDescent="0.25">
      <c r="A28" s="18">
        <v>2223</v>
      </c>
      <c r="B28" s="18" t="s">
        <v>6</v>
      </c>
      <c r="C28" s="19"/>
      <c r="D28" s="19"/>
    </row>
    <row r="29" spans="1:4" ht="50.25" customHeight="1" x14ac:dyDescent="0.25">
      <c r="A29" s="18"/>
      <c r="B29" s="158" t="s">
        <v>341</v>
      </c>
      <c r="C29" s="55">
        <f>ROUND(538.27/18154,3)</f>
        <v>0.03</v>
      </c>
      <c r="D29" s="55">
        <f>C29*60</f>
        <v>1.7999999999999998</v>
      </c>
    </row>
    <row r="30" spans="1:4" x14ac:dyDescent="0.25">
      <c r="A30" s="18">
        <v>2224</v>
      </c>
      <c r="B30" s="158" t="s">
        <v>7</v>
      </c>
      <c r="C30" s="19"/>
      <c r="D30" s="19"/>
    </row>
    <row r="31" spans="1:4" ht="53.25" customHeight="1" x14ac:dyDescent="0.25">
      <c r="A31" s="18"/>
      <c r="B31" s="158" t="s">
        <v>390</v>
      </c>
      <c r="C31" s="36">
        <f>ROUND(28.86/18154,4)</f>
        <v>1.6000000000000001E-3</v>
      </c>
      <c r="D31" s="55">
        <f>C31*60</f>
        <v>9.6000000000000002E-2</v>
      </c>
    </row>
    <row r="32" spans="1:4" x14ac:dyDescent="0.25">
      <c r="A32" s="45">
        <v>2231</v>
      </c>
      <c r="B32" s="158" t="s">
        <v>22</v>
      </c>
      <c r="C32" s="36"/>
      <c r="D32" s="19"/>
    </row>
    <row r="33" spans="1:4" ht="185.25" customHeight="1" x14ac:dyDescent="0.25">
      <c r="A33" s="45"/>
      <c r="B33" s="158" t="s">
        <v>768</v>
      </c>
      <c r="C33" s="55">
        <f>ROUND(1201.87/18154,2)</f>
        <v>7.0000000000000007E-2</v>
      </c>
      <c r="D33" s="55">
        <f>C33*60</f>
        <v>4.2</v>
      </c>
    </row>
    <row r="34" spans="1:4" ht="16.5" customHeight="1" x14ac:dyDescent="0.25">
      <c r="A34" s="45">
        <v>2243</v>
      </c>
      <c r="B34" s="158" t="s">
        <v>132</v>
      </c>
      <c r="C34" s="55"/>
      <c r="D34" s="55"/>
    </row>
    <row r="35" spans="1:4" ht="63" customHeight="1" x14ac:dyDescent="0.25">
      <c r="A35" s="45"/>
      <c r="B35" s="158" t="s">
        <v>677</v>
      </c>
      <c r="C35" s="55">
        <f>ROUND(386.87/18154,3)</f>
        <v>2.1000000000000001E-2</v>
      </c>
      <c r="D35" s="82">
        <f>C35*60</f>
        <v>1.26</v>
      </c>
    </row>
    <row r="36" spans="1:4" x14ac:dyDescent="0.25">
      <c r="A36" s="18">
        <v>2244</v>
      </c>
      <c r="B36" s="158" t="s">
        <v>24</v>
      </c>
      <c r="C36" s="19"/>
      <c r="D36" s="19"/>
    </row>
    <row r="37" spans="1:4" ht="63.75" customHeight="1" x14ac:dyDescent="0.25">
      <c r="A37" s="21"/>
      <c r="B37" s="158" t="s">
        <v>391</v>
      </c>
      <c r="C37" s="55">
        <f>ROUND(383.44/18154,4)</f>
        <v>2.1100000000000001E-2</v>
      </c>
      <c r="D37" s="55">
        <f>C37*60</f>
        <v>1.266</v>
      </c>
    </row>
    <row r="38" spans="1:4" ht="50.25" customHeight="1" x14ac:dyDescent="0.25">
      <c r="A38" s="21"/>
      <c r="B38" s="158" t="s">
        <v>342</v>
      </c>
      <c r="C38" s="40">
        <f>ROUND(5.03/18154,4)</f>
        <v>2.9999999999999997E-4</v>
      </c>
      <c r="D38" s="55">
        <f>C38*60</f>
        <v>1.7999999999999999E-2</v>
      </c>
    </row>
    <row r="39" spans="1:4" x14ac:dyDescent="0.25">
      <c r="A39" s="18">
        <v>2249</v>
      </c>
      <c r="B39" s="158" t="s">
        <v>8</v>
      </c>
      <c r="C39" s="19"/>
      <c r="D39" s="19"/>
    </row>
    <row r="40" spans="1:4" ht="60.75" customHeight="1" x14ac:dyDescent="0.25">
      <c r="A40" s="18"/>
      <c r="B40" s="158" t="s">
        <v>769</v>
      </c>
      <c r="C40" s="36">
        <f>ROUND(9.76/18154,4)</f>
        <v>5.0000000000000001E-4</v>
      </c>
      <c r="D40" s="55">
        <f>C40*60</f>
        <v>0.03</v>
      </c>
    </row>
    <row r="41" spans="1:4" x14ac:dyDescent="0.25">
      <c r="A41" s="18">
        <v>2311</v>
      </c>
      <c r="B41" s="158" t="s">
        <v>9</v>
      </c>
      <c r="C41" s="36"/>
      <c r="D41" s="19"/>
    </row>
    <row r="42" spans="1:4" ht="62.25" customHeight="1" x14ac:dyDescent="0.25">
      <c r="A42" s="18"/>
      <c r="B42" s="158" t="s">
        <v>392</v>
      </c>
      <c r="C42" s="36">
        <f>ROUND(54.99/18154,4)</f>
        <v>3.0000000000000001E-3</v>
      </c>
      <c r="D42" s="55">
        <f>C42*60</f>
        <v>0.18</v>
      </c>
    </row>
    <row r="43" spans="1:4" x14ac:dyDescent="0.25">
      <c r="A43" s="18">
        <v>2350</v>
      </c>
      <c r="B43" s="158" t="s">
        <v>21</v>
      </c>
      <c r="C43" s="36"/>
      <c r="D43" s="19"/>
    </row>
    <row r="44" spans="1:4" ht="96.75" customHeight="1" x14ac:dyDescent="0.25">
      <c r="A44" s="18"/>
      <c r="B44" s="158" t="s">
        <v>770</v>
      </c>
      <c r="C44" s="40">
        <f>ROUND(6.69/18154,4)</f>
        <v>4.0000000000000002E-4</v>
      </c>
      <c r="D44" s="55">
        <f>C44*60</f>
        <v>2.4E-2</v>
      </c>
    </row>
    <row r="45" spans="1:4" ht="16.5" customHeight="1" x14ac:dyDescent="0.25">
      <c r="A45" s="18">
        <v>2513</v>
      </c>
      <c r="B45" s="158" t="s">
        <v>133</v>
      </c>
      <c r="C45" s="40"/>
      <c r="D45" s="55"/>
    </row>
    <row r="46" spans="1:4" ht="48" customHeight="1" x14ac:dyDescent="0.25">
      <c r="A46" s="18"/>
      <c r="B46" s="158" t="s">
        <v>393</v>
      </c>
      <c r="C46" s="36">
        <f>ROUND(9.53/18154,4)</f>
        <v>5.0000000000000001E-4</v>
      </c>
      <c r="D46" s="55">
        <f>C46*60</f>
        <v>0.03</v>
      </c>
    </row>
    <row r="47" spans="1:4" ht="15.75" customHeight="1" x14ac:dyDescent="0.25">
      <c r="A47" s="18">
        <v>5220</v>
      </c>
      <c r="B47" s="158" t="s">
        <v>136</v>
      </c>
      <c r="C47" s="40"/>
      <c r="D47" s="55"/>
    </row>
    <row r="48" spans="1:4" ht="66.75" customHeight="1" x14ac:dyDescent="0.25">
      <c r="A48" s="18"/>
      <c r="B48" s="158" t="s">
        <v>394</v>
      </c>
      <c r="C48" s="36">
        <f>ROUND(19.33/18154,4)</f>
        <v>1.1000000000000001E-3</v>
      </c>
      <c r="D48" s="55">
        <f>C48*60</f>
        <v>6.6000000000000003E-2</v>
      </c>
    </row>
    <row r="49" spans="1:4" ht="16.5" customHeight="1" x14ac:dyDescent="0.25">
      <c r="A49" s="18">
        <v>5238</v>
      </c>
      <c r="B49" s="158" t="s">
        <v>134</v>
      </c>
      <c r="C49" s="40"/>
      <c r="D49" s="55"/>
    </row>
    <row r="50" spans="1:4" ht="51.75" customHeight="1" x14ac:dyDescent="0.25">
      <c r="A50" s="18"/>
      <c r="B50" s="158" t="s">
        <v>771</v>
      </c>
      <c r="C50" s="36">
        <f>ROUND(33.68/18154,3)</f>
        <v>2E-3</v>
      </c>
      <c r="D50" s="55">
        <f>C50*60</f>
        <v>0.12</v>
      </c>
    </row>
    <row r="51" spans="1:4" x14ac:dyDescent="0.25">
      <c r="A51" s="68"/>
      <c r="B51" s="72" t="s">
        <v>10</v>
      </c>
      <c r="C51" s="71">
        <f>ROUND(C50+C48+C46+C44+C42+C40+C38+C37+C35+C33+C31+C29+C27+C25+C23,2)</f>
        <v>0.17</v>
      </c>
      <c r="D51" s="71">
        <f>ROUND(D50+D48+D46+D44+D42+D40+D38+D37+D35+D33+D31+D29+D27+D25+D23,2)</f>
        <v>10.199999999999999</v>
      </c>
    </row>
    <row r="52" spans="1:4" x14ac:dyDescent="0.25">
      <c r="A52" s="23"/>
      <c r="B52" s="24" t="s">
        <v>15</v>
      </c>
      <c r="C52" s="52">
        <f>ROUND(C51+C20,2)</f>
        <v>4.9000000000000004</v>
      </c>
      <c r="D52" s="52">
        <f>D51+D20</f>
        <v>293.99999999999994</v>
      </c>
    </row>
    <row r="53" spans="1:4" x14ac:dyDescent="0.25">
      <c r="A53" s="25"/>
      <c r="B53" s="26"/>
      <c r="C53" s="27"/>
      <c r="D53" s="27"/>
    </row>
    <row r="54" spans="1:4" x14ac:dyDescent="0.25">
      <c r="A54" s="26"/>
      <c r="B54" s="28"/>
      <c r="C54" s="28"/>
      <c r="D54" s="9"/>
    </row>
    <row r="55" spans="1:4" ht="15" customHeight="1" x14ac:dyDescent="0.25">
      <c r="A55" s="252" t="s">
        <v>16</v>
      </c>
      <c r="B55" s="253"/>
      <c r="C55" s="138">
        <v>60</v>
      </c>
      <c r="D55" s="29"/>
    </row>
    <row r="56" spans="1:4" ht="34.5" customHeight="1" x14ac:dyDescent="0.25">
      <c r="A56" s="254" t="s">
        <v>23</v>
      </c>
      <c r="B56" s="255"/>
      <c r="C56" s="139">
        <f>D52/C55</f>
        <v>4.8999999999999995</v>
      </c>
      <c r="D56" s="29"/>
    </row>
    <row r="57" spans="1:4" x14ac:dyDescent="0.25">
      <c r="A57" s="30"/>
      <c r="B57" s="30"/>
      <c r="C57" s="30"/>
      <c r="D57" s="30"/>
    </row>
    <row r="58" spans="1:4" x14ac:dyDescent="0.25">
      <c r="A58" s="30"/>
      <c r="B58" s="30"/>
      <c r="C58" s="30"/>
      <c r="D58" s="152"/>
    </row>
    <row r="59" spans="1:4" x14ac:dyDescent="0.25">
      <c r="A59" s="30"/>
      <c r="B59" s="30"/>
      <c r="C59" s="30"/>
      <c r="D59" s="152"/>
    </row>
    <row r="60" spans="1:4" x14ac:dyDescent="0.25">
      <c r="A60" s="30"/>
      <c r="B60" s="30"/>
      <c r="C60" s="30"/>
      <c r="D60" s="152"/>
    </row>
    <row r="61" spans="1:4" x14ac:dyDescent="0.25">
      <c r="A61" s="30"/>
      <c r="B61" s="30"/>
      <c r="C61" s="30"/>
      <c r="D61" s="30"/>
    </row>
    <row r="62" spans="1:4" x14ac:dyDescent="0.25">
      <c r="A62" s="231"/>
      <c r="B62" s="231"/>
      <c r="C62" s="9"/>
      <c r="D62" s="9"/>
    </row>
    <row r="63" spans="1:4" x14ac:dyDescent="0.25">
      <c r="A63" s="250"/>
      <c r="B63" s="231"/>
      <c r="C63" s="9"/>
      <c r="D63" s="9"/>
    </row>
    <row r="64" spans="1:4" x14ac:dyDescent="0.25">
      <c r="A64" s="154"/>
      <c r="B64" s="9"/>
      <c r="C64" s="31"/>
      <c r="D64" s="9"/>
    </row>
    <row r="65" spans="1:4" x14ac:dyDescent="0.25">
      <c r="A65" s="250"/>
      <c r="B65" s="250"/>
      <c r="C65" s="31"/>
      <c r="D65" s="9"/>
    </row>
  </sheetData>
  <customSheetViews>
    <customSheetView guid="{3046F990-4623-45D5-BDDC-01BD5999DDBC}" scale="60" showPageBreaks="1" fitToPage="1" printArea="1" hiddenRows="1" view="pageBreakPreview">
      <selection activeCell="B53" sqref="B53"/>
      <rowBreaks count="1" manualBreakCount="1">
        <brk id="33" max="3" man="1"/>
      </rowBreaks>
      <pageMargins left="0.70866141732283472" right="0.70866141732283472" top="0.74803149606299213" bottom="0.74803149606299213" header="0.31496062992125984" footer="0.31496062992125984"/>
      <pageSetup paperSize="9" scale="65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hiddenRows="1" view="pageBreakPreview" topLeftCell="A14">
      <selection activeCell="B48" sqref="B48"/>
      <rowBreaks count="1" manualBreakCount="1">
        <brk id="33" max="3" man="1"/>
      </rowBreaks>
      <pageMargins left="0.70866141732283472" right="0.70866141732283472" top="0.74803149606299213" bottom="0.74803149606299213" header="0.31496062992125984" footer="0.31496062992125984"/>
      <pageSetup paperSize="9" scale="65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hiddenRows="1" view="pageBreakPreview">
      <selection activeCell="C13" sqref="C13"/>
      <rowBreaks count="1" manualBreakCount="1">
        <brk id="33" max="3" man="1"/>
      </rowBreaks>
      <pageMargins left="0.70866141732283472" right="0.70866141732283472" top="0.74803149606299213" bottom="0.74803149606299213" header="0.31496062992125984" footer="0.31496062992125984"/>
      <pageSetup paperSize="9" scale="65" fitToHeight="0" orientation="portrait" r:id="rId3"/>
      <headerFooter>
        <oddFooter>&amp;C&amp;P</oddFooter>
      </headerFooter>
    </customSheetView>
  </customSheetViews>
  <mergeCells count="10">
    <mergeCell ref="A63:B63"/>
    <mergeCell ref="A65:B65"/>
    <mergeCell ref="A56:B56"/>
    <mergeCell ref="C3:D3"/>
    <mergeCell ref="A55:B55"/>
    <mergeCell ref="A2:D2"/>
    <mergeCell ref="A6:D6"/>
    <mergeCell ref="A8:B8"/>
    <mergeCell ref="A10:B10"/>
    <mergeCell ref="A62:B62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4"/>
  <headerFooter>
    <oddFooter>&amp;C&amp;P</oddFooter>
  </headerFooter>
  <rowBreaks count="1" manualBreakCount="1">
    <brk id="33" max="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view="pageBreakPreview" zoomScale="60" zoomScaleNormal="100" workbookViewId="0">
      <selection activeCell="B17" sqref="B17"/>
    </sheetView>
  </sheetViews>
  <sheetFormatPr defaultRowHeight="15" x14ac:dyDescent="0.25"/>
  <cols>
    <col min="1" max="1" width="13.5703125" customWidth="1"/>
    <col min="2" max="2" width="75.7109375" customWidth="1"/>
    <col min="3" max="3" width="14.5703125" customWidth="1"/>
    <col min="4" max="4" width="16.5703125" customWidth="1"/>
  </cols>
  <sheetData>
    <row r="1" spans="1:10" ht="18.75" x14ac:dyDescent="0.3">
      <c r="A1" s="4"/>
      <c r="B1" s="5"/>
      <c r="C1" s="35"/>
      <c r="D1" s="5"/>
    </row>
    <row r="2" spans="1:10" ht="15.75" customHeight="1" x14ac:dyDescent="0.25">
      <c r="A2" s="256" t="s">
        <v>307</v>
      </c>
      <c r="B2" s="256"/>
      <c r="C2" s="256"/>
      <c r="D2" s="256"/>
    </row>
    <row r="3" spans="1:10" ht="15" customHeight="1" x14ac:dyDescent="0.25">
      <c r="A3" s="4"/>
      <c r="B3" s="4"/>
      <c r="C3" s="273"/>
      <c r="D3" s="274"/>
    </row>
    <row r="4" spans="1:10" ht="15.75" x14ac:dyDescent="0.25">
      <c r="A4" s="186" t="s">
        <v>723</v>
      </c>
      <c r="B4" s="32"/>
      <c r="C4" s="32"/>
      <c r="D4" s="32"/>
    </row>
    <row r="5" spans="1:10" x14ac:dyDescent="0.25">
      <c r="A5" s="4"/>
      <c r="B5" s="33"/>
      <c r="C5" s="33"/>
      <c r="D5" s="9"/>
    </row>
    <row r="6" spans="1:10" ht="21" customHeight="1" x14ac:dyDescent="0.25">
      <c r="A6" s="277" t="s">
        <v>1025</v>
      </c>
      <c r="B6" s="277"/>
      <c r="C6" s="277"/>
      <c r="D6" s="277"/>
    </row>
    <row r="7" spans="1:10" ht="15.75" x14ac:dyDescent="0.25">
      <c r="A7" s="180"/>
      <c r="B7" s="34"/>
      <c r="C7" s="34"/>
      <c r="D7" s="9"/>
      <c r="E7" s="41"/>
      <c r="F7" s="41"/>
      <c r="G7" s="44"/>
      <c r="H7" s="44"/>
      <c r="I7" s="41"/>
      <c r="J7" s="41"/>
    </row>
    <row r="8" spans="1:10" x14ac:dyDescent="0.25">
      <c r="A8" s="270" t="s">
        <v>309</v>
      </c>
      <c r="B8" s="271"/>
      <c r="C8" s="34"/>
      <c r="D8" s="9"/>
    </row>
    <row r="9" spans="1:10" ht="15" customHeight="1" x14ac:dyDescent="0.25">
      <c r="A9" s="183"/>
      <c r="B9" s="184"/>
      <c r="C9" s="34"/>
      <c r="D9" s="9"/>
    </row>
    <row r="10" spans="1:10" ht="15.75" x14ac:dyDescent="0.25">
      <c r="A10" s="251" t="s">
        <v>772</v>
      </c>
      <c r="B10" s="251"/>
      <c r="C10" s="8"/>
      <c r="D10" s="9"/>
    </row>
    <row r="11" spans="1:10" ht="90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10" x14ac:dyDescent="0.25">
      <c r="A12" s="13">
        <v>1</v>
      </c>
      <c r="B12" s="14">
        <v>2</v>
      </c>
      <c r="C12" s="13">
        <v>3</v>
      </c>
      <c r="D12" s="13">
        <v>4</v>
      </c>
    </row>
    <row r="13" spans="1:10" x14ac:dyDescent="0.25">
      <c r="A13" s="15"/>
      <c r="B13" s="22" t="s">
        <v>13</v>
      </c>
      <c r="C13" s="17"/>
      <c r="D13" s="17"/>
    </row>
    <row r="14" spans="1:10" x14ac:dyDescent="0.25">
      <c r="A14" s="37">
        <v>1100</v>
      </c>
      <c r="B14" s="16" t="s">
        <v>14</v>
      </c>
      <c r="C14" s="38"/>
      <c r="D14" s="38"/>
    </row>
    <row r="15" spans="1:10" ht="95.25" customHeight="1" x14ac:dyDescent="0.25">
      <c r="A15" s="18"/>
      <c r="B15" s="157" t="s">
        <v>396</v>
      </c>
      <c r="C15" s="55">
        <f>0.11*20</f>
        <v>2.2000000000000002</v>
      </c>
      <c r="D15" s="36">
        <f>C15*700</f>
        <v>1540.0000000000002</v>
      </c>
    </row>
    <row r="16" spans="1:10" ht="36" customHeight="1" x14ac:dyDescent="0.25">
      <c r="A16" s="18">
        <v>1200</v>
      </c>
      <c r="B16" s="158" t="s">
        <v>201</v>
      </c>
      <c r="C16" s="55">
        <f>ROUND(C15*0.2359,2)</f>
        <v>0.52</v>
      </c>
      <c r="D16" s="55">
        <f>C16*700</f>
        <v>364</v>
      </c>
    </row>
    <row r="17" spans="1:4" x14ac:dyDescent="0.25">
      <c r="A17" s="18">
        <v>2341</v>
      </c>
      <c r="B17" s="18" t="s">
        <v>77</v>
      </c>
      <c r="C17" s="19"/>
      <c r="D17" s="19"/>
    </row>
    <row r="18" spans="1:4" ht="79.5" customHeight="1" x14ac:dyDescent="0.25">
      <c r="A18" s="18"/>
      <c r="B18" s="158" t="s">
        <v>397</v>
      </c>
      <c r="C18" s="55">
        <f>4.18+0.18+0.04+0.01+0.03</f>
        <v>4.4399999999999995</v>
      </c>
      <c r="D18" s="55">
        <f>C18*700</f>
        <v>3107.9999999999995</v>
      </c>
    </row>
    <row r="19" spans="1:4" hidden="1" x14ac:dyDescent="0.25">
      <c r="A19" s="18"/>
      <c r="B19" s="158" t="s">
        <v>74</v>
      </c>
      <c r="C19" s="36"/>
      <c r="D19" s="55"/>
    </row>
    <row r="20" spans="1:4" x14ac:dyDescent="0.25">
      <c r="A20" s="68"/>
      <c r="B20" s="159" t="s">
        <v>2</v>
      </c>
      <c r="C20" s="71">
        <f>SUM(C14:C18)</f>
        <v>7.16</v>
      </c>
      <c r="D20" s="71">
        <f>SUM(D14:D18)</f>
        <v>5012</v>
      </c>
    </row>
    <row r="21" spans="1:4" x14ac:dyDescent="0.25">
      <c r="A21" s="18"/>
      <c r="B21" s="160" t="s">
        <v>20</v>
      </c>
      <c r="C21" s="19"/>
      <c r="D21" s="19"/>
    </row>
    <row r="22" spans="1:4" x14ac:dyDescent="0.25">
      <c r="A22" s="18">
        <v>2219</v>
      </c>
      <c r="B22" s="158" t="s">
        <v>3</v>
      </c>
      <c r="C22" s="19"/>
      <c r="D22" s="19"/>
    </row>
    <row r="23" spans="1:4" ht="98.25" customHeight="1" x14ac:dyDescent="0.25">
      <c r="A23" s="18"/>
      <c r="B23" s="158" t="s">
        <v>830</v>
      </c>
      <c r="C23" s="40">
        <f>ROUND(3.18/18154,4)</f>
        <v>2.0000000000000001E-4</v>
      </c>
      <c r="D23" s="55">
        <f>C23*700</f>
        <v>0.14000000000000001</v>
      </c>
    </row>
    <row r="24" spans="1:4" x14ac:dyDescent="0.25">
      <c r="A24" s="18">
        <v>2221</v>
      </c>
      <c r="B24" s="158" t="s">
        <v>4</v>
      </c>
      <c r="C24" s="19"/>
      <c r="D24" s="19"/>
    </row>
    <row r="25" spans="1:4" ht="50.25" customHeight="1" x14ac:dyDescent="0.25">
      <c r="A25" s="18"/>
      <c r="B25" s="158" t="s">
        <v>398</v>
      </c>
      <c r="C25" s="55">
        <f>ROUND(301.59/18154,4)</f>
        <v>1.66E-2</v>
      </c>
      <c r="D25" s="55">
        <f>700*C25</f>
        <v>11.620000000000001</v>
      </c>
    </row>
    <row r="26" spans="1:4" ht="15" customHeight="1" x14ac:dyDescent="0.25">
      <c r="A26" s="18">
        <v>2222</v>
      </c>
      <c r="B26" s="158" t="s">
        <v>5</v>
      </c>
      <c r="C26" s="19"/>
      <c r="D26" s="19"/>
    </row>
    <row r="27" spans="1:4" ht="48" customHeight="1" x14ac:dyDescent="0.25">
      <c r="A27" s="18"/>
      <c r="B27" s="158" t="s">
        <v>182</v>
      </c>
      <c r="C27" s="36">
        <f>ROUND(31.02/18154,4)</f>
        <v>1.6999999999999999E-3</v>
      </c>
      <c r="D27" s="55">
        <f>C27*700</f>
        <v>1.19</v>
      </c>
    </row>
    <row r="28" spans="1:4" ht="17.25" customHeight="1" x14ac:dyDescent="0.25">
      <c r="A28" s="18">
        <v>2223</v>
      </c>
      <c r="B28" s="18" t="s">
        <v>6</v>
      </c>
      <c r="C28" s="19"/>
      <c r="D28" s="19"/>
    </row>
    <row r="29" spans="1:4" ht="45" customHeight="1" x14ac:dyDescent="0.25">
      <c r="A29" s="18"/>
      <c r="B29" s="158" t="s">
        <v>399</v>
      </c>
      <c r="C29" s="55">
        <f>ROUND(538.27/18154,3)</f>
        <v>0.03</v>
      </c>
      <c r="D29" s="55">
        <f>C29*700</f>
        <v>21</v>
      </c>
    </row>
    <row r="30" spans="1:4" x14ac:dyDescent="0.25">
      <c r="A30" s="18">
        <v>2224</v>
      </c>
      <c r="B30" s="158" t="s">
        <v>7</v>
      </c>
      <c r="C30" s="19"/>
      <c r="D30" s="19"/>
    </row>
    <row r="31" spans="1:4" ht="48" customHeight="1" x14ac:dyDescent="0.25">
      <c r="A31" s="18"/>
      <c r="B31" s="158" t="s">
        <v>831</v>
      </c>
      <c r="C31" s="36">
        <f>ROUND(28.86/18154,4)</f>
        <v>1.6000000000000001E-3</v>
      </c>
      <c r="D31" s="55">
        <f>C31*700</f>
        <v>1.1200000000000001</v>
      </c>
    </row>
    <row r="32" spans="1:4" x14ac:dyDescent="0.25">
      <c r="A32" s="45">
        <v>2231</v>
      </c>
      <c r="B32" s="158" t="s">
        <v>22</v>
      </c>
      <c r="C32" s="36"/>
      <c r="D32" s="19"/>
    </row>
    <row r="33" spans="1:4" ht="185.25" customHeight="1" x14ac:dyDescent="0.25">
      <c r="A33" s="45"/>
      <c r="B33" s="158" t="s">
        <v>660</v>
      </c>
      <c r="C33" s="55">
        <f>ROUND(1201.87/18154,2)</f>
        <v>7.0000000000000007E-2</v>
      </c>
      <c r="D33" s="55">
        <f>C33*700</f>
        <v>49.000000000000007</v>
      </c>
    </row>
    <row r="34" spans="1:4" ht="16.5" customHeight="1" x14ac:dyDescent="0.25">
      <c r="A34" s="45">
        <v>2243</v>
      </c>
      <c r="B34" s="158" t="s">
        <v>132</v>
      </c>
      <c r="C34" s="55"/>
      <c r="D34" s="55"/>
    </row>
    <row r="35" spans="1:4" ht="65.25" customHeight="1" x14ac:dyDescent="0.25">
      <c r="A35" s="45"/>
      <c r="B35" s="158" t="s">
        <v>832</v>
      </c>
      <c r="C35" s="55">
        <f>ROUND(386.87/18154,3)</f>
        <v>2.1000000000000001E-2</v>
      </c>
      <c r="D35" s="82">
        <f>C35*700</f>
        <v>14.700000000000001</v>
      </c>
    </row>
    <row r="36" spans="1:4" x14ac:dyDescent="0.25">
      <c r="A36" s="18">
        <v>2244</v>
      </c>
      <c r="B36" s="158" t="s">
        <v>24</v>
      </c>
      <c r="C36" s="19"/>
      <c r="D36" s="19"/>
    </row>
    <row r="37" spans="1:4" ht="62.25" customHeight="1" x14ac:dyDescent="0.25">
      <c r="A37" s="21"/>
      <c r="B37" s="158" t="s">
        <v>400</v>
      </c>
      <c r="C37" s="55">
        <f>ROUND(383.44/18154,4)</f>
        <v>2.1100000000000001E-2</v>
      </c>
      <c r="D37" s="55">
        <f>C37*700</f>
        <v>14.770000000000001</v>
      </c>
    </row>
    <row r="38" spans="1:4" ht="51" customHeight="1" x14ac:dyDescent="0.25">
      <c r="A38" s="21"/>
      <c r="B38" s="158" t="s">
        <v>183</v>
      </c>
      <c r="C38" s="40">
        <f>ROUND(5.03/18154,4)</f>
        <v>2.9999999999999997E-4</v>
      </c>
      <c r="D38" s="55">
        <f>C38*700</f>
        <v>0.21</v>
      </c>
    </row>
    <row r="39" spans="1:4" x14ac:dyDescent="0.25">
      <c r="A39" s="18">
        <v>2249</v>
      </c>
      <c r="B39" s="158" t="s">
        <v>8</v>
      </c>
      <c r="C39" s="19"/>
      <c r="D39" s="19"/>
    </row>
    <row r="40" spans="1:4" ht="60.75" customHeight="1" x14ac:dyDescent="0.25">
      <c r="A40" s="18"/>
      <c r="B40" s="158" t="s">
        <v>833</v>
      </c>
      <c r="C40" s="36">
        <f>ROUND(9.76/18154,4)</f>
        <v>5.0000000000000001E-4</v>
      </c>
      <c r="D40" s="55">
        <f>C40*700</f>
        <v>0.35000000000000003</v>
      </c>
    </row>
    <row r="41" spans="1:4" x14ac:dyDescent="0.25">
      <c r="A41" s="18">
        <v>2311</v>
      </c>
      <c r="B41" s="158" t="s">
        <v>9</v>
      </c>
      <c r="C41" s="36"/>
      <c r="D41" s="19"/>
    </row>
    <row r="42" spans="1:4" ht="66" customHeight="1" x14ac:dyDescent="0.25">
      <c r="A42" s="18"/>
      <c r="B42" s="158" t="s">
        <v>834</v>
      </c>
      <c r="C42" s="36">
        <f>ROUND(54.99/18154,4)</f>
        <v>3.0000000000000001E-3</v>
      </c>
      <c r="D42" s="55">
        <f>C42*700</f>
        <v>2.1</v>
      </c>
    </row>
    <row r="43" spans="1:4" x14ac:dyDescent="0.25">
      <c r="A43" s="18">
        <v>2350</v>
      </c>
      <c r="B43" s="158" t="s">
        <v>21</v>
      </c>
      <c r="C43" s="36"/>
      <c r="D43" s="19"/>
    </row>
    <row r="44" spans="1:4" ht="95.25" customHeight="1" x14ac:dyDescent="0.25">
      <c r="A44" s="18"/>
      <c r="B44" s="158" t="s">
        <v>401</v>
      </c>
      <c r="C44" s="40">
        <f>ROUND(6.69/18154,4)</f>
        <v>4.0000000000000002E-4</v>
      </c>
      <c r="D44" s="55">
        <f>C44*700</f>
        <v>0.28000000000000003</v>
      </c>
    </row>
    <row r="45" spans="1:4" ht="15.75" customHeight="1" x14ac:dyDescent="0.25">
      <c r="A45" s="18">
        <v>2513</v>
      </c>
      <c r="B45" s="158" t="s">
        <v>133</v>
      </c>
      <c r="C45" s="40"/>
      <c r="D45" s="55"/>
    </row>
    <row r="46" spans="1:4" ht="45" customHeight="1" x14ac:dyDescent="0.25">
      <c r="A46" s="18"/>
      <c r="B46" s="158" t="s">
        <v>835</v>
      </c>
      <c r="C46" s="36">
        <f>ROUND(9.53/18154,4)</f>
        <v>5.0000000000000001E-4</v>
      </c>
      <c r="D46" s="55">
        <f>C46*700</f>
        <v>0.35000000000000003</v>
      </c>
    </row>
    <row r="47" spans="1:4" ht="16.5" customHeight="1" x14ac:dyDescent="0.25">
      <c r="A47" s="18">
        <v>5220</v>
      </c>
      <c r="B47" s="158" t="s">
        <v>136</v>
      </c>
      <c r="C47" s="40"/>
      <c r="D47" s="55"/>
    </row>
    <row r="48" spans="1:4" ht="60.75" customHeight="1" x14ac:dyDescent="0.25">
      <c r="A48" s="18"/>
      <c r="B48" s="158" t="s">
        <v>402</v>
      </c>
      <c r="C48" s="40">
        <f>ROUND(19.33/18154,4)</f>
        <v>1.1000000000000001E-3</v>
      </c>
      <c r="D48" s="55">
        <f>C48*700</f>
        <v>0.77</v>
      </c>
    </row>
    <row r="49" spans="1:4" ht="15.75" customHeight="1" x14ac:dyDescent="0.25">
      <c r="A49" s="18">
        <v>5238</v>
      </c>
      <c r="B49" s="158" t="s">
        <v>134</v>
      </c>
      <c r="C49" s="40"/>
      <c r="D49" s="55"/>
    </row>
    <row r="50" spans="1:4" ht="48" customHeight="1" x14ac:dyDescent="0.25">
      <c r="A50" s="18"/>
      <c r="B50" s="158" t="s">
        <v>966</v>
      </c>
      <c r="C50" s="36">
        <f>ROUND(33.68/18154,3)</f>
        <v>2E-3</v>
      </c>
      <c r="D50" s="55">
        <f>C50*700</f>
        <v>1.4000000000000001</v>
      </c>
    </row>
    <row r="51" spans="1:4" x14ac:dyDescent="0.25">
      <c r="A51" s="68"/>
      <c r="B51" s="72" t="s">
        <v>10</v>
      </c>
      <c r="C51" s="71">
        <f>ROUND(C50+C48+C46+C44+C42+C40+C38+C37+C35+C33+C31+C29+C27+C25+C23,2)</f>
        <v>0.17</v>
      </c>
      <c r="D51" s="71">
        <f>ROUND(D50+D48+D46+D44+D42+D40+D38+D37+D35+D33+D31+D29+D27+D25+D23,2)</f>
        <v>119</v>
      </c>
    </row>
    <row r="52" spans="1:4" x14ac:dyDescent="0.25">
      <c r="A52" s="23"/>
      <c r="B52" s="24" t="s">
        <v>15</v>
      </c>
      <c r="C52" s="52">
        <f>ROUND(C51+C20,2)</f>
        <v>7.33</v>
      </c>
      <c r="D52" s="52">
        <f>D51+D20</f>
        <v>5131</v>
      </c>
    </row>
    <row r="53" spans="1:4" x14ac:dyDescent="0.25">
      <c r="A53" s="25"/>
      <c r="B53" s="26"/>
      <c r="C53" s="27"/>
      <c r="D53" s="27"/>
    </row>
    <row r="54" spans="1:4" x14ac:dyDescent="0.25">
      <c r="A54" s="26"/>
      <c r="B54" s="28"/>
      <c r="C54" s="28"/>
      <c r="D54" s="9"/>
    </row>
    <row r="55" spans="1:4" ht="15" customHeight="1" x14ac:dyDescent="0.25">
      <c r="A55" s="252" t="s">
        <v>16</v>
      </c>
      <c r="B55" s="253"/>
      <c r="C55" s="138">
        <v>700</v>
      </c>
      <c r="D55" s="29"/>
    </row>
    <row r="56" spans="1:4" ht="35.25" customHeight="1" x14ac:dyDescent="0.25">
      <c r="A56" s="254" t="s">
        <v>23</v>
      </c>
      <c r="B56" s="255"/>
      <c r="C56" s="139">
        <f>D52/700</f>
        <v>7.33</v>
      </c>
      <c r="D56" s="29"/>
    </row>
    <row r="57" spans="1:4" x14ac:dyDescent="0.25">
      <c r="A57" s="30"/>
      <c r="B57" s="30"/>
      <c r="C57" s="30"/>
      <c r="D57" s="30"/>
    </row>
    <row r="58" spans="1:4" x14ac:dyDescent="0.25">
      <c r="A58" s="30"/>
      <c r="B58" s="30"/>
      <c r="C58" s="30"/>
      <c r="D58" s="152"/>
    </row>
    <row r="59" spans="1:4" x14ac:dyDescent="0.25">
      <c r="A59" s="30"/>
      <c r="B59" s="30"/>
      <c r="C59" s="30"/>
      <c r="D59" s="152"/>
    </row>
    <row r="60" spans="1:4" x14ac:dyDescent="0.25">
      <c r="A60" s="30"/>
      <c r="B60" s="30"/>
      <c r="C60" s="30"/>
      <c r="D60" s="152"/>
    </row>
    <row r="61" spans="1:4" x14ac:dyDescent="0.25">
      <c r="A61" s="30"/>
      <c r="B61" s="30"/>
      <c r="C61" s="30"/>
      <c r="D61" s="30"/>
    </row>
    <row r="62" spans="1:4" x14ac:dyDescent="0.25">
      <c r="A62" s="231"/>
      <c r="B62" s="231"/>
      <c r="C62" s="9"/>
      <c r="D62" s="9"/>
    </row>
    <row r="63" spans="1:4" x14ac:dyDescent="0.25">
      <c r="A63" s="250"/>
      <c r="B63" s="231"/>
      <c r="C63" s="9"/>
      <c r="D63" s="9"/>
    </row>
    <row r="64" spans="1:4" x14ac:dyDescent="0.25">
      <c r="A64" s="154"/>
      <c r="B64" s="9"/>
      <c r="C64" s="31"/>
      <c r="D64" s="9"/>
    </row>
    <row r="65" spans="1:4" x14ac:dyDescent="0.25">
      <c r="A65" s="250"/>
      <c r="B65" s="250"/>
      <c r="C65" s="31"/>
      <c r="D65" s="9"/>
    </row>
  </sheetData>
  <customSheetViews>
    <customSheetView guid="{3046F990-4623-45D5-BDDC-01BD5999DDBC}" scale="60" showPageBreaks="1" fitToPage="1" printArea="1" hiddenRows="1" view="pageBreakPreview">
      <selection activeCell="B53" sqref="B53"/>
      <rowBreaks count="1" manualBreakCount="1">
        <brk id="31" max="3" man="1"/>
      </rowBreaks>
      <pageMargins left="0.70866141732283472" right="0.70866141732283472" top="0.74803149606299213" bottom="0.74803149606299213" header="0.31496062992125984" footer="0.31496062992125984"/>
      <pageSetup paperSize="9" scale="72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hiddenRows="1" view="pageBreakPreview" topLeftCell="A11">
      <selection activeCell="B50" sqref="B50"/>
      <rowBreaks count="1" manualBreakCount="1">
        <brk id="31" max="3" man="1"/>
      </rowBreaks>
      <pageMargins left="0.70866141732283472" right="0.70866141732283472" top="0.74803149606299213" bottom="0.74803149606299213" header="0.31496062992125984" footer="0.31496062992125984"/>
      <pageSetup paperSize="9" scale="72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hiddenRows="1" view="pageBreakPreview">
      <selection activeCell="B17" sqref="B17"/>
      <rowBreaks count="1" manualBreakCount="1">
        <brk id="31" max="3" man="1"/>
      </rowBreaks>
      <pageMargins left="0.70866141732283472" right="0.70866141732283472" top="0.74803149606299213" bottom="0.74803149606299213" header="0.31496062992125984" footer="0.31496062992125984"/>
      <pageSetup paperSize="9" scale="72" fitToHeight="0" orientation="portrait" r:id="rId3"/>
      <headerFooter>
        <oddFooter>&amp;C&amp;P</oddFooter>
      </headerFooter>
    </customSheetView>
  </customSheetViews>
  <mergeCells count="10">
    <mergeCell ref="A63:B63"/>
    <mergeCell ref="A65:B65"/>
    <mergeCell ref="A56:B56"/>
    <mergeCell ref="C3:D3"/>
    <mergeCell ref="A55:B55"/>
    <mergeCell ref="A2:D2"/>
    <mergeCell ref="A6:D6"/>
    <mergeCell ref="A8:B8"/>
    <mergeCell ref="A10:B10"/>
    <mergeCell ref="A62:B62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4"/>
  <headerFooter>
    <oddFooter>&amp;C&amp;P</oddFooter>
  </headerFooter>
  <rowBreaks count="1" manualBreakCount="1">
    <brk id="31" max="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view="pageBreakPreview" topLeftCell="A4" zoomScale="60" zoomScaleNormal="100" workbookViewId="0">
      <selection activeCell="A9" sqref="A9:D9"/>
    </sheetView>
  </sheetViews>
  <sheetFormatPr defaultRowHeight="15" x14ac:dyDescent="0.25"/>
  <cols>
    <col min="1" max="1" width="14.42578125" customWidth="1"/>
    <col min="2" max="2" width="89.5703125" customWidth="1"/>
    <col min="3" max="3" width="14.85546875" customWidth="1"/>
    <col min="4" max="4" width="19.42578125" customWidth="1"/>
  </cols>
  <sheetData>
    <row r="1" spans="1:10" hidden="1" x14ac:dyDescent="0.25">
      <c r="A1" s="4"/>
      <c r="B1" s="5"/>
      <c r="C1" s="43"/>
      <c r="D1" s="5"/>
    </row>
    <row r="2" spans="1:10" hidden="1" x14ac:dyDescent="0.25">
      <c r="A2" s="4"/>
      <c r="B2" s="6"/>
      <c r="C2" s="6"/>
      <c r="D2" s="5"/>
    </row>
    <row r="3" spans="1:10" hidden="1" x14ac:dyDescent="0.25">
      <c r="A3" s="4"/>
      <c r="B3" s="6"/>
      <c r="C3" s="6"/>
      <c r="D3" s="7"/>
    </row>
    <row r="4" spans="1:10" ht="18.75" x14ac:dyDescent="0.3">
      <c r="A4" s="4"/>
      <c r="B4" s="5"/>
      <c r="C4" s="35"/>
      <c r="D4" s="5"/>
    </row>
    <row r="5" spans="1:10" ht="15.75" customHeight="1" x14ac:dyDescent="0.25">
      <c r="A5" s="256" t="s">
        <v>307</v>
      </c>
      <c r="B5" s="256"/>
      <c r="C5" s="256"/>
      <c r="D5" s="256"/>
    </row>
    <row r="6" spans="1:10" ht="15" customHeight="1" x14ac:dyDescent="0.25">
      <c r="A6" s="4"/>
      <c r="B6" s="4"/>
      <c r="C6" s="273"/>
      <c r="D6" s="274"/>
    </row>
    <row r="7" spans="1:10" ht="15.75" x14ac:dyDescent="0.25">
      <c r="A7" s="186" t="s">
        <v>723</v>
      </c>
      <c r="B7" s="32"/>
      <c r="C7" s="32"/>
      <c r="D7" s="32"/>
    </row>
    <row r="8" spans="1:10" x14ac:dyDescent="0.25">
      <c r="A8" s="4"/>
      <c r="B8" s="33"/>
      <c r="C8" s="33"/>
      <c r="D8" s="9"/>
    </row>
    <row r="9" spans="1:10" ht="31.5" customHeight="1" x14ac:dyDescent="0.25">
      <c r="A9" s="272" t="s">
        <v>1079</v>
      </c>
      <c r="B9" s="272"/>
      <c r="C9" s="272"/>
      <c r="D9" s="272"/>
    </row>
    <row r="10" spans="1:10" ht="15.75" x14ac:dyDescent="0.25">
      <c r="A10" s="180"/>
      <c r="B10" s="34"/>
      <c r="C10" s="34"/>
      <c r="D10" s="9"/>
      <c r="E10" s="41"/>
      <c r="F10" s="41"/>
      <c r="G10" s="44"/>
      <c r="H10" s="44"/>
      <c r="I10" s="41"/>
      <c r="J10" s="41"/>
    </row>
    <row r="11" spans="1:10" x14ac:dyDescent="0.25">
      <c r="A11" s="270" t="s">
        <v>309</v>
      </c>
      <c r="B11" s="271"/>
      <c r="C11" s="34"/>
      <c r="D11" s="9"/>
    </row>
    <row r="12" spans="1:10" ht="15" customHeight="1" x14ac:dyDescent="0.25">
      <c r="A12" s="183"/>
      <c r="B12" s="184"/>
      <c r="C12" s="34"/>
      <c r="D12" s="9"/>
    </row>
    <row r="13" spans="1:10" ht="15.75" x14ac:dyDescent="0.25">
      <c r="A13" s="251" t="s">
        <v>753</v>
      </c>
      <c r="B13" s="251"/>
      <c r="C13" s="8"/>
      <c r="D13" s="9"/>
    </row>
    <row r="14" spans="1:10" hidden="1" x14ac:dyDescent="0.25">
      <c r="A14" s="4"/>
      <c r="B14" s="11"/>
      <c r="C14" s="8"/>
      <c r="D14" s="9"/>
    </row>
    <row r="15" spans="1:10" ht="90" x14ac:dyDescent="0.25">
      <c r="A15" s="12" t="s">
        <v>0</v>
      </c>
      <c r="B15" s="12" t="s">
        <v>1</v>
      </c>
      <c r="C15" s="12" t="s">
        <v>17</v>
      </c>
      <c r="D15" s="12" t="s">
        <v>18</v>
      </c>
    </row>
    <row r="16" spans="1:10" x14ac:dyDescent="0.25">
      <c r="A16" s="13">
        <v>1</v>
      </c>
      <c r="B16" s="14">
        <v>2</v>
      </c>
      <c r="C16" s="13">
        <v>3</v>
      </c>
      <c r="D16" s="13">
        <v>4</v>
      </c>
    </row>
    <row r="17" spans="1:4" x14ac:dyDescent="0.25">
      <c r="A17" s="15"/>
      <c r="B17" s="22" t="s">
        <v>13</v>
      </c>
      <c r="C17" s="17"/>
      <c r="D17" s="17"/>
    </row>
    <row r="18" spans="1:4" x14ac:dyDescent="0.25">
      <c r="A18" s="37">
        <v>1100</v>
      </c>
      <c r="B18" s="16" t="s">
        <v>14</v>
      </c>
      <c r="C18" s="38"/>
      <c r="D18" s="38"/>
    </row>
    <row r="19" spans="1:4" ht="93" customHeight="1" x14ac:dyDescent="0.25">
      <c r="A19" s="18"/>
      <c r="B19" s="157" t="s">
        <v>773</v>
      </c>
      <c r="C19" s="55">
        <f>0.11*20+0.11*13</f>
        <v>3.63</v>
      </c>
      <c r="D19" s="55">
        <f>C19*60</f>
        <v>217.79999999999998</v>
      </c>
    </row>
    <row r="20" spans="1:4" ht="34.5" customHeight="1" x14ac:dyDescent="0.25">
      <c r="A20" s="18">
        <v>1200</v>
      </c>
      <c r="B20" s="158" t="s">
        <v>285</v>
      </c>
      <c r="C20" s="55">
        <f>ROUND(C19*0.2359,2)</f>
        <v>0.86</v>
      </c>
      <c r="D20" s="55">
        <f>C20*60</f>
        <v>51.6</v>
      </c>
    </row>
    <row r="21" spans="1:4" x14ac:dyDescent="0.25">
      <c r="A21" s="18">
        <v>2341</v>
      </c>
      <c r="B21" s="18" t="s">
        <v>77</v>
      </c>
      <c r="C21" s="19"/>
      <c r="D21" s="19"/>
    </row>
    <row r="22" spans="1:4" ht="65.25" customHeight="1" x14ac:dyDescent="0.25">
      <c r="A22" s="18"/>
      <c r="B22" s="158" t="s">
        <v>774</v>
      </c>
      <c r="C22" s="55">
        <f>4.18+0.18+0.04+0.01+0.03</f>
        <v>4.4399999999999995</v>
      </c>
      <c r="D22" s="55">
        <f>C22*60</f>
        <v>266.39999999999998</v>
      </c>
    </row>
    <row r="23" spans="1:4" hidden="1" x14ac:dyDescent="0.25">
      <c r="A23" s="18"/>
      <c r="B23" s="158" t="s">
        <v>74</v>
      </c>
      <c r="C23" s="36"/>
      <c r="D23" s="55"/>
    </row>
    <row r="24" spans="1:4" hidden="1" x14ac:dyDescent="0.25">
      <c r="A24" s="18"/>
      <c r="B24" s="158" t="s">
        <v>73</v>
      </c>
      <c r="C24" s="36"/>
      <c r="D24" s="19"/>
    </row>
    <row r="25" spans="1:4" x14ac:dyDescent="0.25">
      <c r="A25" s="68"/>
      <c r="B25" s="159" t="s">
        <v>2</v>
      </c>
      <c r="C25" s="71">
        <f>SUM(C18:C22)</f>
        <v>8.93</v>
      </c>
      <c r="D25" s="71">
        <f>SUM(D18:D24)</f>
        <v>535.79999999999995</v>
      </c>
    </row>
    <row r="26" spans="1:4" x14ac:dyDescent="0.25">
      <c r="A26" s="18"/>
      <c r="B26" s="160" t="s">
        <v>20</v>
      </c>
      <c r="C26" s="19"/>
      <c r="D26" s="19"/>
    </row>
    <row r="27" spans="1:4" x14ac:dyDescent="0.25">
      <c r="A27" s="18">
        <v>2219</v>
      </c>
      <c r="B27" s="158" t="s">
        <v>3</v>
      </c>
      <c r="C27" s="19"/>
      <c r="D27" s="19"/>
    </row>
    <row r="28" spans="1:4" ht="75.75" customHeight="1" x14ac:dyDescent="0.25">
      <c r="A28" s="18"/>
      <c r="B28" s="158" t="s">
        <v>659</v>
      </c>
      <c r="C28" s="40">
        <f>ROUND(3.18/18154,4)</f>
        <v>2.0000000000000001E-4</v>
      </c>
      <c r="D28" s="55">
        <f>C28*60</f>
        <v>1.2E-2</v>
      </c>
    </row>
    <row r="29" spans="1:4" x14ac:dyDescent="0.25">
      <c r="A29" s="18">
        <v>2221</v>
      </c>
      <c r="B29" s="158" t="s">
        <v>4</v>
      </c>
      <c r="C29" s="19"/>
      <c r="D29" s="19"/>
    </row>
    <row r="30" spans="1:4" ht="48" customHeight="1" x14ac:dyDescent="0.25">
      <c r="A30" s="18"/>
      <c r="B30" s="158" t="s">
        <v>658</v>
      </c>
      <c r="C30" s="55">
        <f>ROUND(301.59/18154,4)</f>
        <v>1.66E-2</v>
      </c>
      <c r="D30" s="55">
        <f>C30*60</f>
        <v>0.996</v>
      </c>
    </row>
    <row r="31" spans="1:4" ht="15" customHeight="1" x14ac:dyDescent="0.25">
      <c r="A31" s="18">
        <v>2222</v>
      </c>
      <c r="B31" s="158" t="s">
        <v>5</v>
      </c>
      <c r="C31" s="19"/>
      <c r="D31" s="19"/>
    </row>
    <row r="32" spans="1:4" ht="45.75" customHeight="1" x14ac:dyDescent="0.25">
      <c r="A32" s="18"/>
      <c r="B32" s="158" t="s">
        <v>181</v>
      </c>
      <c r="C32" s="36">
        <f>ROUND(31.02/18154,4)</f>
        <v>1.6999999999999999E-3</v>
      </c>
      <c r="D32" s="55">
        <f>C32*60</f>
        <v>0.10199999999999999</v>
      </c>
    </row>
    <row r="33" spans="1:4" x14ac:dyDescent="0.25">
      <c r="A33" s="18">
        <v>2223</v>
      </c>
      <c r="B33" s="18" t="s">
        <v>6</v>
      </c>
      <c r="C33" s="19"/>
      <c r="D33" s="19"/>
    </row>
    <row r="34" spans="1:4" ht="48.75" customHeight="1" x14ac:dyDescent="0.25">
      <c r="A34" s="18"/>
      <c r="B34" s="158" t="s">
        <v>341</v>
      </c>
      <c r="C34" s="55">
        <f>ROUND(538.27/18154,3)</f>
        <v>0.03</v>
      </c>
      <c r="D34" s="55">
        <f>C34*60</f>
        <v>1.7999999999999998</v>
      </c>
    </row>
    <row r="35" spans="1:4" x14ac:dyDescent="0.25">
      <c r="A35" s="18">
        <v>2224</v>
      </c>
      <c r="B35" s="158" t="s">
        <v>7</v>
      </c>
      <c r="C35" s="19"/>
      <c r="D35" s="19"/>
    </row>
    <row r="36" spans="1:4" ht="48.75" customHeight="1" x14ac:dyDescent="0.25">
      <c r="A36" s="18"/>
      <c r="B36" s="158" t="s">
        <v>403</v>
      </c>
      <c r="C36" s="36">
        <f>ROUND(28.86/18154,4)</f>
        <v>1.6000000000000001E-3</v>
      </c>
      <c r="D36" s="55">
        <f>C36*60</f>
        <v>9.6000000000000002E-2</v>
      </c>
    </row>
    <row r="37" spans="1:4" x14ac:dyDescent="0.25">
      <c r="A37" s="45">
        <v>2231</v>
      </c>
      <c r="B37" s="158" t="s">
        <v>22</v>
      </c>
      <c r="C37" s="36"/>
      <c r="D37" s="19"/>
    </row>
    <row r="38" spans="1:4" ht="153" customHeight="1" x14ac:dyDescent="0.25">
      <c r="A38" s="45"/>
      <c r="B38" s="158" t="s">
        <v>661</v>
      </c>
      <c r="C38" s="55">
        <f>ROUND(1201.87/18154,2)</f>
        <v>7.0000000000000007E-2</v>
      </c>
      <c r="D38" s="55">
        <f>C38*60</f>
        <v>4.2</v>
      </c>
    </row>
    <row r="39" spans="1:4" ht="21.75" customHeight="1" x14ac:dyDescent="0.25">
      <c r="A39" s="45">
        <v>2243</v>
      </c>
      <c r="B39" s="158" t="s">
        <v>132</v>
      </c>
      <c r="C39" s="55"/>
      <c r="D39" s="55"/>
    </row>
    <row r="40" spans="1:4" ht="51.75" customHeight="1" x14ac:dyDescent="0.25">
      <c r="A40" s="45"/>
      <c r="B40" s="158" t="s">
        <v>836</v>
      </c>
      <c r="C40" s="55">
        <f>ROUND(386.87/18154,3)</f>
        <v>2.1000000000000001E-2</v>
      </c>
      <c r="D40" s="82">
        <f>C40*60</f>
        <v>1.26</v>
      </c>
    </row>
    <row r="41" spans="1:4" x14ac:dyDescent="0.25">
      <c r="A41" s="18">
        <v>2244</v>
      </c>
      <c r="B41" s="158" t="s">
        <v>24</v>
      </c>
      <c r="C41" s="19"/>
      <c r="D41" s="19"/>
    </row>
    <row r="42" spans="1:4" ht="46.5" customHeight="1" x14ac:dyDescent="0.25">
      <c r="A42" s="21"/>
      <c r="B42" s="158" t="s">
        <v>391</v>
      </c>
      <c r="C42" s="55">
        <f>ROUND(383.44/18154,4)</f>
        <v>2.1100000000000001E-2</v>
      </c>
      <c r="D42" s="55">
        <f>C42*60</f>
        <v>1.266</v>
      </c>
    </row>
    <row r="43" spans="1:4" ht="51" customHeight="1" x14ac:dyDescent="0.25">
      <c r="A43" s="21"/>
      <c r="B43" s="158" t="s">
        <v>342</v>
      </c>
      <c r="C43" s="40">
        <f>ROUND(5.03/18154,4)</f>
        <v>2.9999999999999997E-4</v>
      </c>
      <c r="D43" s="55">
        <f>C43*60</f>
        <v>1.7999999999999999E-2</v>
      </c>
    </row>
    <row r="44" spans="1:4" x14ac:dyDescent="0.25">
      <c r="A44" s="18">
        <v>2249</v>
      </c>
      <c r="B44" s="158" t="s">
        <v>8</v>
      </c>
      <c r="C44" s="19"/>
      <c r="D44" s="19"/>
    </row>
    <row r="45" spans="1:4" ht="48" customHeight="1" x14ac:dyDescent="0.25">
      <c r="A45" s="18"/>
      <c r="B45" s="158" t="s">
        <v>965</v>
      </c>
      <c r="C45" s="36">
        <f>ROUND(9.76/18154,4)</f>
        <v>5.0000000000000001E-4</v>
      </c>
      <c r="D45" s="55">
        <f>C45*60</f>
        <v>0.03</v>
      </c>
    </row>
    <row r="46" spans="1:4" x14ac:dyDescent="0.25">
      <c r="A46" s="18">
        <v>2311</v>
      </c>
      <c r="B46" s="158" t="s">
        <v>9</v>
      </c>
      <c r="C46" s="36"/>
      <c r="D46" s="19"/>
    </row>
    <row r="47" spans="1:4" ht="54" customHeight="1" x14ac:dyDescent="0.25">
      <c r="A47" s="18"/>
      <c r="B47" s="158" t="s">
        <v>392</v>
      </c>
      <c r="C47" s="36">
        <f>ROUND(54.99/18154,4)</f>
        <v>3.0000000000000001E-3</v>
      </c>
      <c r="D47" s="55">
        <f>C47*60</f>
        <v>0.18</v>
      </c>
    </row>
    <row r="48" spans="1:4" x14ac:dyDescent="0.25">
      <c r="A48" s="18">
        <v>2350</v>
      </c>
      <c r="B48" s="158" t="s">
        <v>21</v>
      </c>
      <c r="C48" s="36"/>
      <c r="D48" s="19"/>
    </row>
    <row r="49" spans="1:4" ht="81" customHeight="1" x14ac:dyDescent="0.25">
      <c r="A49" s="18"/>
      <c r="B49" s="158" t="s">
        <v>775</v>
      </c>
      <c r="C49" s="40">
        <f>ROUND(6.69/18154,4)</f>
        <v>4.0000000000000002E-4</v>
      </c>
      <c r="D49" s="55">
        <f>C49*60</f>
        <v>2.4E-2</v>
      </c>
    </row>
    <row r="50" spans="1:4" ht="15.75" customHeight="1" x14ac:dyDescent="0.25">
      <c r="A50" s="18">
        <v>2513</v>
      </c>
      <c r="B50" s="158" t="s">
        <v>133</v>
      </c>
      <c r="C50" s="40"/>
      <c r="D50" s="55"/>
    </row>
    <row r="51" spans="1:4" ht="45.75" customHeight="1" x14ac:dyDescent="0.25">
      <c r="A51" s="18"/>
      <c r="B51" s="158" t="s">
        <v>393</v>
      </c>
      <c r="C51" s="36">
        <f>ROUND(9.53/18154,4)</f>
        <v>5.0000000000000001E-4</v>
      </c>
      <c r="D51" s="55">
        <f>C51*60</f>
        <v>0.03</v>
      </c>
    </row>
    <row r="52" spans="1:4" ht="15" customHeight="1" x14ac:dyDescent="0.25">
      <c r="A52" s="18">
        <v>5220</v>
      </c>
      <c r="B52" s="158" t="s">
        <v>136</v>
      </c>
      <c r="C52" s="40"/>
      <c r="D52" s="55"/>
    </row>
    <row r="53" spans="1:4" ht="46.5" customHeight="1" x14ac:dyDescent="0.25">
      <c r="A53" s="18"/>
      <c r="B53" s="158" t="s">
        <v>394</v>
      </c>
      <c r="C53" s="40">
        <f>ROUND(19.33/18154,4)</f>
        <v>1.1000000000000001E-3</v>
      </c>
      <c r="D53" s="55">
        <f>C53*60</f>
        <v>6.6000000000000003E-2</v>
      </c>
    </row>
    <row r="54" spans="1:4" ht="15" customHeight="1" x14ac:dyDescent="0.25">
      <c r="A54" s="18">
        <v>5238</v>
      </c>
      <c r="B54" s="158" t="s">
        <v>134</v>
      </c>
      <c r="C54" s="40"/>
      <c r="D54" s="55"/>
    </row>
    <row r="55" spans="1:4" ht="48.75" customHeight="1" x14ac:dyDescent="0.25">
      <c r="A55" s="18"/>
      <c r="B55" s="158" t="s">
        <v>395</v>
      </c>
      <c r="C55" s="36">
        <f>ROUND(33.68/18154,3)</f>
        <v>2E-3</v>
      </c>
      <c r="D55" s="55">
        <f>C55*60</f>
        <v>0.12</v>
      </c>
    </row>
    <row r="56" spans="1:4" x14ac:dyDescent="0.25">
      <c r="A56" s="68"/>
      <c r="B56" s="72" t="s">
        <v>10</v>
      </c>
      <c r="C56" s="71">
        <f>ROUND(C55+C53+C51+C49+C47+C45+C43+C42+C40+C38+C36+C34+C32+C30+C28,2)</f>
        <v>0.17</v>
      </c>
      <c r="D56" s="71">
        <f>ROUND(D55+D53+D51+D49+D47+D45+D43+D42+D40+D38+D36+D34+D32+D30+D28,2)</f>
        <v>10.199999999999999</v>
      </c>
    </row>
    <row r="57" spans="1:4" x14ac:dyDescent="0.25">
      <c r="A57" s="23"/>
      <c r="B57" s="24" t="s">
        <v>15</v>
      </c>
      <c r="C57" s="52">
        <f>ROUND(C56+C25,2)</f>
        <v>9.1</v>
      </c>
      <c r="D57" s="52">
        <f>D56+D25</f>
        <v>546</v>
      </c>
    </row>
    <row r="58" spans="1:4" x14ac:dyDescent="0.25">
      <c r="A58" s="25"/>
      <c r="B58" s="26"/>
      <c r="C58" s="27"/>
      <c r="D58" s="27"/>
    </row>
    <row r="59" spans="1:4" x14ac:dyDescent="0.25">
      <c r="A59" s="26"/>
      <c r="B59" s="28"/>
      <c r="C59" s="28"/>
      <c r="D59" s="9"/>
    </row>
    <row r="60" spans="1:4" ht="15" customHeight="1" x14ac:dyDescent="0.25">
      <c r="A60" s="252" t="s">
        <v>16</v>
      </c>
      <c r="B60" s="253"/>
      <c r="C60" s="138">
        <v>60</v>
      </c>
      <c r="D60" s="29"/>
    </row>
    <row r="61" spans="1:4" ht="36" customHeight="1" x14ac:dyDescent="0.25">
      <c r="A61" s="254" t="s">
        <v>23</v>
      </c>
      <c r="B61" s="255"/>
      <c r="C61" s="139">
        <f>D57/60</f>
        <v>9.1</v>
      </c>
      <c r="D61" s="29"/>
    </row>
    <row r="62" spans="1:4" x14ac:dyDescent="0.25">
      <c r="A62" s="30"/>
      <c r="B62" s="30"/>
      <c r="C62" s="30"/>
      <c r="D62" s="30"/>
    </row>
    <row r="63" spans="1:4" x14ac:dyDescent="0.25">
      <c r="A63" s="30"/>
      <c r="B63" s="30"/>
      <c r="C63" s="30"/>
      <c r="D63" s="152"/>
    </row>
    <row r="64" spans="1:4" x14ac:dyDescent="0.25">
      <c r="A64" s="30"/>
      <c r="B64" s="30"/>
      <c r="C64" s="30"/>
      <c r="D64" s="152"/>
    </row>
    <row r="65" spans="1:4" x14ac:dyDescent="0.25">
      <c r="A65" s="30"/>
      <c r="B65" s="30"/>
      <c r="C65" s="30"/>
      <c r="D65" s="152"/>
    </row>
    <row r="66" spans="1:4" x14ac:dyDescent="0.25">
      <c r="A66" s="30"/>
      <c r="B66" s="30"/>
      <c r="C66" s="30"/>
      <c r="D66" s="30"/>
    </row>
    <row r="67" spans="1:4" x14ac:dyDescent="0.25">
      <c r="A67" s="231"/>
      <c r="B67" s="231"/>
      <c r="C67" s="9"/>
      <c r="D67" s="9"/>
    </row>
    <row r="68" spans="1:4" x14ac:dyDescent="0.25">
      <c r="A68" s="250"/>
      <c r="B68" s="231"/>
      <c r="C68" s="9"/>
      <c r="D68" s="9"/>
    </row>
    <row r="69" spans="1:4" x14ac:dyDescent="0.25">
      <c r="A69" s="154"/>
      <c r="B69" s="9"/>
      <c r="C69" s="31"/>
      <c r="D69" s="9"/>
    </row>
    <row r="70" spans="1:4" x14ac:dyDescent="0.25">
      <c r="A70" s="250"/>
      <c r="B70" s="250"/>
      <c r="C70" s="31"/>
      <c r="D70" s="9"/>
    </row>
    <row r="71" spans="1:4" x14ac:dyDescent="0.25">
      <c r="A71" s="156"/>
      <c r="B71" s="156"/>
    </row>
  </sheetData>
  <customSheetViews>
    <customSheetView guid="{3046F990-4623-45D5-BDDC-01BD5999DDBC}" scale="60" showPageBreaks="1" fitToPage="1" printArea="1" hiddenRows="1" view="pageBreakPreview" topLeftCell="A4">
      <selection activeCell="B53" sqref="B53"/>
      <rowBreaks count="1" manualBreakCount="1">
        <brk id="40" max="3" man="1"/>
      </rowBreaks>
      <pageMargins left="0.70866141732283472" right="0.70866141732283472" top="0.74803149606299213" bottom="0.74803149606299213" header="0.31496062992125984" footer="0.31496062992125984"/>
      <pageSetup paperSize="9" scale="63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hiddenRows="1" view="pageBreakPreview" topLeftCell="A25">
      <selection activeCell="A11" sqref="A11:B11"/>
      <rowBreaks count="1" manualBreakCount="1">
        <brk id="40" max="3" man="1"/>
      </rowBreaks>
      <pageMargins left="0.70866141732283472" right="0.70866141732283472" top="0.74803149606299213" bottom="0.74803149606299213" header="0.31496062992125984" footer="0.31496062992125984"/>
      <pageSetup paperSize="9" scale="63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hiddenRows="1" view="pageBreakPreview" topLeftCell="A4">
      <selection activeCell="A9" sqref="A9:D9"/>
      <rowBreaks count="1" manualBreakCount="1">
        <brk id="40" max="3" man="1"/>
      </rowBreaks>
      <pageMargins left="0.70866141732283472" right="0.70866141732283472" top="0.74803149606299213" bottom="0.74803149606299213" header="0.31496062992125984" footer="0.31496062992125984"/>
      <pageSetup paperSize="9" scale="64" fitToHeight="0" orientation="portrait" r:id="rId3"/>
      <headerFooter>
        <oddFooter>&amp;C&amp;P</oddFooter>
      </headerFooter>
    </customSheetView>
  </customSheetViews>
  <mergeCells count="10">
    <mergeCell ref="A68:B68"/>
    <mergeCell ref="A70:B70"/>
    <mergeCell ref="A61:B61"/>
    <mergeCell ref="C6:D6"/>
    <mergeCell ref="A60:B60"/>
    <mergeCell ref="A5:D5"/>
    <mergeCell ref="A9:D9"/>
    <mergeCell ref="A11:B11"/>
    <mergeCell ref="A13:B13"/>
    <mergeCell ref="A67:B67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4"/>
  <headerFooter>
    <oddFooter>&amp;C&amp;P</oddFooter>
  </headerFooter>
  <rowBreaks count="1" manualBreakCount="1">
    <brk id="40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view="pageBreakPreview" topLeftCell="A19" zoomScale="60" zoomScaleNormal="100" workbookViewId="0">
      <selection activeCell="C36" sqref="C36"/>
    </sheetView>
  </sheetViews>
  <sheetFormatPr defaultRowHeight="15" x14ac:dyDescent="0.25"/>
  <cols>
    <col min="1" max="1" width="13.85546875" customWidth="1"/>
    <col min="2" max="2" width="83.42578125" customWidth="1"/>
    <col min="3" max="3" width="15.140625" customWidth="1"/>
    <col min="4" max="4" width="20" customWidth="1"/>
  </cols>
  <sheetData>
    <row r="1" spans="1:4" ht="18.75" x14ac:dyDescent="0.3">
      <c r="A1" s="4"/>
      <c r="B1" s="5"/>
      <c r="C1" s="35"/>
      <c r="D1" s="5"/>
    </row>
    <row r="2" spans="1:4" ht="15.75" customHeight="1" x14ac:dyDescent="0.25">
      <c r="A2" s="256" t="s">
        <v>307</v>
      </c>
      <c r="B2" s="256"/>
      <c r="C2" s="256"/>
      <c r="D2" s="256"/>
    </row>
    <row r="3" spans="1:4" ht="18" customHeight="1" x14ac:dyDescent="0.25">
      <c r="A3" s="4"/>
      <c r="B3" s="4"/>
      <c r="C3" s="264"/>
      <c r="D3" s="265"/>
    </row>
    <row r="4" spans="1:4" ht="15.75" customHeight="1" x14ac:dyDescent="0.25">
      <c r="A4" s="186" t="s">
        <v>723</v>
      </c>
      <c r="B4" s="32"/>
      <c r="C4" s="32"/>
      <c r="D4" s="32"/>
    </row>
    <row r="5" spans="1:4" x14ac:dyDescent="0.25">
      <c r="A5" s="4"/>
      <c r="B5" s="33"/>
      <c r="C5" s="33"/>
      <c r="D5" s="9"/>
    </row>
    <row r="6" spans="1:4" ht="15" customHeight="1" x14ac:dyDescent="0.25">
      <c r="A6" s="34" t="s">
        <v>724</v>
      </c>
      <c r="B6" s="34"/>
      <c r="C6" s="34"/>
      <c r="D6" s="9"/>
    </row>
    <row r="7" spans="1:4" ht="15.75" x14ac:dyDescent="0.25">
      <c r="A7" s="266"/>
      <c r="B7" s="266"/>
      <c r="C7" s="266"/>
      <c r="D7" s="266"/>
    </row>
    <row r="8" spans="1:4" ht="15.75" customHeight="1" x14ac:dyDescent="0.25">
      <c r="A8" s="258" t="s">
        <v>309</v>
      </c>
      <c r="B8" s="267"/>
      <c r="C8" s="34"/>
      <c r="D8" s="9"/>
    </row>
    <row r="9" spans="1:4" ht="15" customHeight="1" x14ac:dyDescent="0.25">
      <c r="A9" s="258"/>
      <c r="B9" s="267"/>
      <c r="C9" s="34"/>
      <c r="D9" s="9"/>
    </row>
    <row r="10" spans="1:4" ht="15.75" x14ac:dyDescent="0.25">
      <c r="A10" s="251" t="s">
        <v>728</v>
      </c>
      <c r="B10" s="251"/>
      <c r="C10" s="8"/>
      <c r="D10" s="9"/>
    </row>
    <row r="11" spans="1:4" ht="90.75" customHeight="1" x14ac:dyDescent="0.25">
      <c r="A11" s="12" t="s">
        <v>0</v>
      </c>
      <c r="B11" s="12" t="s">
        <v>1</v>
      </c>
      <c r="C11" s="12" t="s">
        <v>120</v>
      </c>
      <c r="D11" s="12" t="s">
        <v>18</v>
      </c>
    </row>
    <row r="12" spans="1:4" x14ac:dyDescent="0.25">
      <c r="A12" s="13">
        <v>1</v>
      </c>
      <c r="B12" s="14">
        <v>2</v>
      </c>
      <c r="C12" s="13">
        <v>3</v>
      </c>
      <c r="D12" s="13">
        <v>4</v>
      </c>
    </row>
    <row r="13" spans="1:4" x14ac:dyDescent="0.25">
      <c r="A13" s="15"/>
      <c r="B13" s="22" t="s">
        <v>13</v>
      </c>
      <c r="C13" s="17"/>
      <c r="D13" s="17"/>
    </row>
    <row r="14" spans="1:4" x14ac:dyDescent="0.25">
      <c r="A14" s="37">
        <v>1100</v>
      </c>
      <c r="B14" s="16" t="s">
        <v>14</v>
      </c>
      <c r="C14" s="38"/>
      <c r="D14" s="38"/>
    </row>
    <row r="15" spans="1:4" ht="60.75" customHeight="1" x14ac:dyDescent="0.25">
      <c r="A15" s="18"/>
      <c r="B15" s="157" t="s">
        <v>1002</v>
      </c>
      <c r="C15" s="55">
        <f>8*0.78</f>
        <v>6.24</v>
      </c>
      <c r="D15" s="55">
        <f>C15*40</f>
        <v>249.60000000000002</v>
      </c>
    </row>
    <row r="16" spans="1:4" ht="35.25" customHeight="1" x14ac:dyDescent="0.25">
      <c r="A16" s="85">
        <v>1200</v>
      </c>
      <c r="B16" s="158" t="s">
        <v>1003</v>
      </c>
      <c r="C16" s="55">
        <f>ROUND(C15*0.2359,2)</f>
        <v>1.47</v>
      </c>
      <c r="D16" s="55">
        <f>C16*C40</f>
        <v>58.8</v>
      </c>
    </row>
    <row r="17" spans="1:4" ht="21" customHeight="1" x14ac:dyDescent="0.25">
      <c r="A17" s="68"/>
      <c r="B17" s="159" t="s">
        <v>2</v>
      </c>
      <c r="C17" s="71">
        <f>SUM(C14:C16)</f>
        <v>7.71</v>
      </c>
      <c r="D17" s="73">
        <f>SUM(D14:D16)</f>
        <v>308.40000000000003</v>
      </c>
    </row>
    <row r="18" spans="1:4" ht="19.5" customHeight="1" x14ac:dyDescent="0.25">
      <c r="A18" s="18"/>
      <c r="B18" s="160" t="s">
        <v>119</v>
      </c>
      <c r="C18" s="19"/>
      <c r="D18" s="54"/>
    </row>
    <row r="19" spans="1:4" x14ac:dyDescent="0.25">
      <c r="A19" s="85">
        <v>2219</v>
      </c>
      <c r="B19" s="158" t="s">
        <v>3</v>
      </c>
      <c r="C19" s="19"/>
      <c r="D19" s="54"/>
    </row>
    <row r="20" spans="1:4" ht="48" customHeight="1" x14ac:dyDescent="0.25">
      <c r="A20" s="18"/>
      <c r="B20" s="158" t="s">
        <v>141</v>
      </c>
      <c r="C20" s="55">
        <f>ROUND(0.35/10,2)</f>
        <v>0.04</v>
      </c>
      <c r="D20" s="55">
        <f>C20*C40</f>
        <v>1.6</v>
      </c>
    </row>
    <row r="21" spans="1:4" ht="14.25" customHeight="1" x14ac:dyDescent="0.25">
      <c r="A21" s="85">
        <v>2221</v>
      </c>
      <c r="B21" s="158" t="s">
        <v>4</v>
      </c>
      <c r="C21" s="19"/>
      <c r="D21" s="54"/>
    </row>
    <row r="22" spans="1:4" ht="48.75" customHeight="1" x14ac:dyDescent="0.25">
      <c r="A22" s="18"/>
      <c r="B22" s="158" t="s">
        <v>142</v>
      </c>
      <c r="C22" s="55">
        <f>ROUND(0.81/10,2)</f>
        <v>0.08</v>
      </c>
      <c r="D22" s="55">
        <f>C22*C40</f>
        <v>3.2</v>
      </c>
    </row>
    <row r="23" spans="1:4" ht="13.5" customHeight="1" x14ac:dyDescent="0.25">
      <c r="A23" s="85">
        <v>2222</v>
      </c>
      <c r="B23" s="158" t="s">
        <v>5</v>
      </c>
      <c r="C23" s="19"/>
      <c r="D23" s="54"/>
    </row>
    <row r="24" spans="1:4" ht="48" customHeight="1" x14ac:dyDescent="0.25">
      <c r="A24" s="18"/>
      <c r="B24" s="158" t="s">
        <v>143</v>
      </c>
      <c r="C24" s="55">
        <f>ROUND(0.06/10,2)</f>
        <v>0.01</v>
      </c>
      <c r="D24" s="55">
        <f>C24*C40</f>
        <v>0.4</v>
      </c>
    </row>
    <row r="25" spans="1:4" ht="14.25" customHeight="1" x14ac:dyDescent="0.25">
      <c r="A25" s="85">
        <v>2223</v>
      </c>
      <c r="B25" s="161" t="s">
        <v>6</v>
      </c>
      <c r="C25" s="19"/>
      <c r="D25" s="54"/>
    </row>
    <row r="26" spans="1:4" ht="48.75" customHeight="1" x14ac:dyDescent="0.25">
      <c r="A26" s="18"/>
      <c r="B26" s="158" t="s">
        <v>144</v>
      </c>
      <c r="C26" s="55">
        <f>ROUND(1.57/10,2)</f>
        <v>0.16</v>
      </c>
      <c r="D26" s="55">
        <f>C26*C40</f>
        <v>6.4</v>
      </c>
    </row>
    <row r="27" spans="1:4" x14ac:dyDescent="0.25">
      <c r="A27" s="86">
        <v>2231</v>
      </c>
      <c r="B27" s="158" t="s">
        <v>22</v>
      </c>
      <c r="C27" s="36"/>
      <c r="D27" s="54"/>
    </row>
    <row r="28" spans="1:4" ht="79.5" customHeight="1" x14ac:dyDescent="0.25">
      <c r="A28" s="45"/>
      <c r="B28" s="158" t="s">
        <v>239</v>
      </c>
      <c r="C28" s="55">
        <f>ROUND(0.17/10,2)</f>
        <v>0.02</v>
      </c>
      <c r="D28" s="55">
        <f>C28*C40</f>
        <v>0.8</v>
      </c>
    </row>
    <row r="29" spans="1:4" x14ac:dyDescent="0.25">
      <c r="A29" s="85">
        <v>2244</v>
      </c>
      <c r="B29" s="158" t="s">
        <v>24</v>
      </c>
      <c r="C29" s="19"/>
      <c r="D29" s="54"/>
    </row>
    <row r="30" spans="1:4" ht="51.75" customHeight="1" x14ac:dyDescent="0.25">
      <c r="A30" s="21"/>
      <c r="B30" s="158" t="s">
        <v>808</v>
      </c>
      <c r="C30" s="55">
        <f>ROUND(0.82/10,2)</f>
        <v>0.08</v>
      </c>
      <c r="D30" s="55">
        <f>C30*C40</f>
        <v>3.2</v>
      </c>
    </row>
    <row r="31" spans="1:4" x14ac:dyDescent="0.25">
      <c r="A31" s="85">
        <v>2311</v>
      </c>
      <c r="B31" s="158" t="s">
        <v>9</v>
      </c>
      <c r="C31" s="36"/>
      <c r="D31" s="54"/>
    </row>
    <row r="32" spans="1:4" ht="49.5" customHeight="1" x14ac:dyDescent="0.25">
      <c r="A32" s="18"/>
      <c r="B32" s="158" t="s">
        <v>149</v>
      </c>
      <c r="C32" s="55">
        <f>ROUND(0.09/10,2)</f>
        <v>0.01</v>
      </c>
      <c r="D32" s="55">
        <f>C32*C40</f>
        <v>0.4</v>
      </c>
    </row>
    <row r="33" spans="1:4" x14ac:dyDescent="0.25">
      <c r="A33" s="85">
        <v>2350</v>
      </c>
      <c r="B33" s="158" t="s">
        <v>21</v>
      </c>
      <c r="C33" s="36"/>
      <c r="D33" s="54"/>
    </row>
    <row r="34" spans="1:4" ht="47.25" customHeight="1" x14ac:dyDescent="0.25">
      <c r="A34" s="18"/>
      <c r="B34" s="158" t="s">
        <v>809</v>
      </c>
      <c r="C34" s="55">
        <f>ROUND(0.36/10,2)</f>
        <v>0.04</v>
      </c>
      <c r="D34" s="55">
        <f>C34*C40</f>
        <v>1.6</v>
      </c>
    </row>
    <row r="35" spans="1:4" x14ac:dyDescent="0.25">
      <c r="A35" s="68"/>
      <c r="B35" s="72" t="s">
        <v>10</v>
      </c>
      <c r="C35" s="71">
        <f>SUM(C19:C34)</f>
        <v>0.44000000000000006</v>
      </c>
      <c r="D35" s="71">
        <f>SUM(D20:D34)</f>
        <v>17.600000000000001</v>
      </c>
    </row>
    <row r="36" spans="1:4" ht="19.5" customHeight="1" x14ac:dyDescent="0.25">
      <c r="A36" s="23"/>
      <c r="B36" s="24" t="s">
        <v>116</v>
      </c>
      <c r="C36" s="52">
        <f>C35+C17</f>
        <v>8.15</v>
      </c>
      <c r="D36" s="52">
        <f>C36*C40</f>
        <v>326</v>
      </c>
    </row>
    <row r="37" spans="1:4" x14ac:dyDescent="0.25">
      <c r="A37" s="23"/>
      <c r="B37" s="24" t="s">
        <v>117</v>
      </c>
      <c r="C37" s="52">
        <f>ROUND(C36*0.21,2)</f>
        <v>1.71</v>
      </c>
      <c r="D37" s="52">
        <f>C37*C40</f>
        <v>68.400000000000006</v>
      </c>
    </row>
    <row r="38" spans="1:4" ht="32.25" customHeight="1" x14ac:dyDescent="0.25">
      <c r="A38" s="23"/>
      <c r="B38" s="83" t="s">
        <v>118</v>
      </c>
      <c r="C38" s="52">
        <f>C36+C37</f>
        <v>9.86</v>
      </c>
      <c r="D38" s="52">
        <f>D36+D37</f>
        <v>394.4</v>
      </c>
    </row>
    <row r="39" spans="1:4" ht="23.25" customHeight="1" x14ac:dyDescent="0.25">
      <c r="A39" s="26"/>
      <c r="B39" s="28"/>
      <c r="C39" s="28"/>
      <c r="D39" s="9"/>
    </row>
    <row r="40" spans="1:4" ht="16.5" customHeight="1" x14ac:dyDescent="0.25">
      <c r="A40" s="260" t="s">
        <v>16</v>
      </c>
      <c r="B40" s="261"/>
      <c r="C40" s="138">
        <v>40</v>
      </c>
      <c r="D40" s="29"/>
    </row>
    <row r="41" spans="1:4" ht="33" customHeight="1" x14ac:dyDescent="0.25">
      <c r="A41" s="262" t="s">
        <v>23</v>
      </c>
      <c r="B41" s="263"/>
      <c r="C41" s="139">
        <f>D38/C40</f>
        <v>9.86</v>
      </c>
      <c r="D41" s="29"/>
    </row>
    <row r="42" spans="1:4" ht="30" customHeight="1" x14ac:dyDescent="0.25">
      <c r="A42" s="30"/>
      <c r="B42" s="30"/>
      <c r="C42" s="30"/>
      <c r="D42" s="30"/>
    </row>
    <row r="43" spans="1:4" s="148" customFormat="1" ht="18.75" customHeight="1" x14ac:dyDescent="0.25">
      <c r="A43" s="30"/>
      <c r="B43" s="30"/>
      <c r="C43" s="30"/>
      <c r="D43" s="152"/>
    </row>
    <row r="44" spans="1:4" s="148" customFormat="1" ht="18" customHeight="1" x14ac:dyDescent="0.25">
      <c r="A44" s="30"/>
      <c r="B44" s="30"/>
      <c r="C44" s="30"/>
      <c r="D44" s="152"/>
    </row>
    <row r="45" spans="1:4" s="148" customFormat="1" ht="17.25" customHeight="1" x14ac:dyDescent="0.25">
      <c r="A45" s="30"/>
      <c r="B45" s="30"/>
      <c r="C45" s="30"/>
      <c r="D45" s="152"/>
    </row>
    <row r="46" spans="1:4" s="148" customFormat="1" ht="24" customHeight="1" x14ac:dyDescent="0.25">
      <c r="A46" s="30"/>
      <c r="B46" s="30"/>
      <c r="C46" s="30"/>
      <c r="D46" s="30"/>
    </row>
    <row r="47" spans="1:4" x14ac:dyDescent="0.25">
      <c r="A47" s="231"/>
      <c r="B47" s="231"/>
      <c r="C47" s="30"/>
      <c r="D47" s="30"/>
    </row>
    <row r="48" spans="1:4" ht="15" customHeight="1" x14ac:dyDescent="0.25">
      <c r="A48" s="250"/>
      <c r="B48" s="231"/>
      <c r="C48" s="30"/>
      <c r="D48" s="30"/>
    </row>
    <row r="49" spans="1:4" ht="15" customHeight="1" x14ac:dyDescent="0.25">
      <c r="A49" s="154"/>
      <c r="B49" s="9"/>
      <c r="C49" s="30"/>
      <c r="D49" s="30"/>
    </row>
    <row r="50" spans="1:4" x14ac:dyDescent="0.25">
      <c r="A50" s="250"/>
      <c r="B50" s="250"/>
      <c r="C50" s="30"/>
      <c r="D50" s="30"/>
    </row>
    <row r="51" spans="1:4" x14ac:dyDescent="0.25">
      <c r="A51" s="9"/>
      <c r="B51" s="9"/>
      <c r="C51" s="9"/>
      <c r="D51" s="9"/>
    </row>
    <row r="52" spans="1:4" x14ac:dyDescent="0.25">
      <c r="A52" s="9"/>
      <c r="B52" s="9"/>
      <c r="C52" s="31"/>
      <c r="D52" s="9"/>
    </row>
    <row r="53" spans="1:4" x14ac:dyDescent="0.25">
      <c r="A53" s="9"/>
      <c r="B53" s="9"/>
      <c r="C53" s="31"/>
      <c r="D53" s="9"/>
    </row>
  </sheetData>
  <customSheetViews>
    <customSheetView guid="{3046F990-4623-45D5-BDDC-01BD5999DDBC}" scale="60" showPageBreaks="1" fitToPage="1" printArea="1" view="pageBreakPreview" topLeftCell="A13">
      <selection activeCell="B53" sqref="B53"/>
      <pageMargins left="0.70866141732283472" right="0.70866141732283472" top="0.74803149606299213" bottom="0.74803149606299213" header="0.31496062992125984" footer="0.31496062992125984"/>
      <pageSetup paperSize="9" scale="65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view="pageBreakPreview" topLeftCell="A13">
      <selection activeCell="B30" sqref="B30"/>
      <pageMargins left="0.70866141732283472" right="0.70866141732283472" top="0.74803149606299213" bottom="0.74803149606299213" header="0.31496062992125984" footer="0.31496062992125984"/>
      <pageSetup paperSize="9" scale="65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view="pageBreakPreview" topLeftCell="A19">
      <selection activeCell="C36" sqref="C36"/>
      <pageMargins left="0.70866141732283472" right="0.70866141732283472" top="0.74803149606299213" bottom="0.74803149606299213" header="0.31496062992125984" footer="0.31496062992125984"/>
      <pageSetup paperSize="9" scale="66" fitToHeight="0" orientation="portrait" r:id="rId3"/>
      <headerFooter>
        <oddFooter>&amp;C&amp;P</oddFooter>
      </headerFooter>
    </customSheetView>
  </customSheetViews>
  <mergeCells count="11">
    <mergeCell ref="A2:D2"/>
    <mergeCell ref="A48:B48"/>
    <mergeCell ref="A50:B50"/>
    <mergeCell ref="A40:B40"/>
    <mergeCell ref="A41:B41"/>
    <mergeCell ref="C3:D3"/>
    <mergeCell ref="A7:D7"/>
    <mergeCell ref="A9:B9"/>
    <mergeCell ref="A47:B47"/>
    <mergeCell ref="A10:B10"/>
    <mergeCell ref="A8:B8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4"/>
  <headerFoot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view="pageBreakPreview" zoomScale="60" zoomScaleNormal="100" workbookViewId="0">
      <selection activeCell="A6" sqref="A6:D6"/>
    </sheetView>
  </sheetViews>
  <sheetFormatPr defaultRowHeight="15" x14ac:dyDescent="0.25"/>
  <cols>
    <col min="1" max="1" width="14.5703125" customWidth="1"/>
    <col min="2" max="2" width="82.5703125" customWidth="1"/>
    <col min="3" max="3" width="15" customWidth="1"/>
    <col min="4" max="4" width="19" customWidth="1"/>
  </cols>
  <sheetData>
    <row r="1" spans="1:10" ht="18.75" x14ac:dyDescent="0.3">
      <c r="A1" s="4"/>
      <c r="B1" s="5"/>
      <c r="C1" s="35"/>
      <c r="D1" s="5"/>
    </row>
    <row r="2" spans="1:10" ht="15.75" customHeight="1" x14ac:dyDescent="0.25">
      <c r="A2" s="256" t="s">
        <v>307</v>
      </c>
      <c r="B2" s="256"/>
      <c r="C2" s="256"/>
      <c r="D2" s="256"/>
    </row>
    <row r="3" spans="1:10" ht="15" customHeight="1" x14ac:dyDescent="0.25">
      <c r="A3" s="4"/>
      <c r="B3" s="4"/>
      <c r="C3" s="273"/>
      <c r="D3" s="274"/>
    </row>
    <row r="4" spans="1:10" ht="15.75" x14ac:dyDescent="0.25">
      <c r="A4" s="186" t="s">
        <v>723</v>
      </c>
      <c r="B4" s="32"/>
      <c r="C4" s="32"/>
      <c r="D4" s="32"/>
    </row>
    <row r="5" spans="1:10" x14ac:dyDescent="0.25">
      <c r="A5" s="4"/>
      <c r="B5" s="33"/>
      <c r="C5" s="33"/>
      <c r="D5" s="9"/>
    </row>
    <row r="6" spans="1:10" ht="15.75" x14ac:dyDescent="0.25">
      <c r="A6" s="272" t="s">
        <v>1026</v>
      </c>
      <c r="B6" s="272"/>
      <c r="C6" s="272"/>
      <c r="D6" s="272"/>
    </row>
    <row r="7" spans="1:10" ht="15.75" x14ac:dyDescent="0.25">
      <c r="A7" s="180"/>
      <c r="B7" s="34"/>
      <c r="C7" s="34"/>
      <c r="D7" s="9"/>
      <c r="E7" s="41"/>
      <c r="F7" s="41"/>
      <c r="G7" s="44"/>
      <c r="H7" s="44"/>
      <c r="I7" s="41"/>
      <c r="J7" s="41"/>
    </row>
    <row r="8" spans="1:10" x14ac:dyDescent="0.25">
      <c r="A8" s="270" t="s">
        <v>309</v>
      </c>
      <c r="B8" s="271"/>
      <c r="C8" s="34"/>
      <c r="D8" s="9"/>
    </row>
    <row r="9" spans="1:10" ht="15" customHeight="1" x14ac:dyDescent="0.25">
      <c r="A9" s="183"/>
      <c r="B9" s="184"/>
      <c r="C9" s="34"/>
      <c r="D9" s="9"/>
    </row>
    <row r="10" spans="1:10" ht="15" hidden="1" customHeight="1" x14ac:dyDescent="0.25">
      <c r="A10" s="251" t="s">
        <v>753</v>
      </c>
      <c r="B10" s="251"/>
      <c r="C10" s="8"/>
      <c r="D10" s="9"/>
    </row>
    <row r="11" spans="1:10" ht="15.75" x14ac:dyDescent="0.25">
      <c r="A11" s="251" t="s">
        <v>776</v>
      </c>
      <c r="B11" s="251"/>
      <c r="C11" s="8"/>
      <c r="D11" s="9"/>
    </row>
    <row r="12" spans="1:10" ht="90" x14ac:dyDescent="0.25">
      <c r="A12" s="12" t="s">
        <v>0</v>
      </c>
      <c r="B12" s="12" t="s">
        <v>1</v>
      </c>
      <c r="C12" s="12" t="s">
        <v>83</v>
      </c>
      <c r="D12" s="12" t="s">
        <v>18</v>
      </c>
    </row>
    <row r="13" spans="1:10" x14ac:dyDescent="0.25">
      <c r="A13" s="13">
        <v>1</v>
      </c>
      <c r="B13" s="14">
        <v>2</v>
      </c>
      <c r="C13" s="13">
        <v>3</v>
      </c>
      <c r="D13" s="13">
        <v>4</v>
      </c>
    </row>
    <row r="14" spans="1:10" x14ac:dyDescent="0.25">
      <c r="A14" s="15"/>
      <c r="B14" s="22" t="s">
        <v>13</v>
      </c>
      <c r="C14" s="17"/>
      <c r="D14" s="17"/>
    </row>
    <row r="15" spans="1:10" x14ac:dyDescent="0.25">
      <c r="A15" s="37">
        <v>1100</v>
      </c>
      <c r="B15" s="16" t="s">
        <v>14</v>
      </c>
      <c r="C15" s="38"/>
      <c r="D15" s="38"/>
    </row>
    <row r="16" spans="1:10" ht="78.75" customHeight="1" x14ac:dyDescent="0.25">
      <c r="A16" s="18"/>
      <c r="B16" s="157" t="s">
        <v>777</v>
      </c>
      <c r="C16" s="55">
        <f>0.11*20</f>
        <v>2.2000000000000002</v>
      </c>
      <c r="D16" s="55">
        <f>C16*400</f>
        <v>880.00000000000011</v>
      </c>
    </row>
    <row r="17" spans="1:4" ht="35.25" customHeight="1" x14ac:dyDescent="0.25">
      <c r="A17" s="18">
        <v>1200</v>
      </c>
      <c r="B17" s="158" t="s">
        <v>284</v>
      </c>
      <c r="C17" s="55">
        <f>ROUND(C16*0.2359,2)</f>
        <v>0.52</v>
      </c>
      <c r="D17" s="55">
        <f>C17*400</f>
        <v>208</v>
      </c>
    </row>
    <row r="18" spans="1:4" x14ac:dyDescent="0.25">
      <c r="A18" s="18">
        <v>2341</v>
      </c>
      <c r="B18" s="18" t="s">
        <v>77</v>
      </c>
      <c r="C18" s="19"/>
      <c r="D18" s="19"/>
    </row>
    <row r="19" spans="1:4" ht="149.25" customHeight="1" x14ac:dyDescent="0.25">
      <c r="A19" s="18"/>
      <c r="B19" s="158" t="s">
        <v>778</v>
      </c>
      <c r="C19" s="55">
        <f>1.85+0.18+0.04+0.01+0.02+0.54</f>
        <v>2.64</v>
      </c>
      <c r="D19" s="55">
        <f>C19*400</f>
        <v>1056</v>
      </c>
    </row>
    <row r="20" spans="1:4" x14ac:dyDescent="0.25">
      <c r="A20" s="74"/>
      <c r="B20" s="159" t="s">
        <v>2</v>
      </c>
      <c r="C20" s="71">
        <f>SUM(C15:C19)</f>
        <v>5.36</v>
      </c>
      <c r="D20" s="71">
        <f>SUM(D15:D19)</f>
        <v>2144</v>
      </c>
    </row>
    <row r="21" spans="1:4" x14ac:dyDescent="0.25">
      <c r="A21" s="18"/>
      <c r="B21" s="160" t="s">
        <v>20</v>
      </c>
      <c r="C21" s="19"/>
      <c r="D21" s="19"/>
    </row>
    <row r="22" spans="1:4" x14ac:dyDescent="0.25">
      <c r="A22" s="18">
        <v>2219</v>
      </c>
      <c r="B22" s="158" t="s">
        <v>3</v>
      </c>
      <c r="C22" s="19"/>
      <c r="D22" s="19"/>
    </row>
    <row r="23" spans="1:4" ht="91.5" customHeight="1" x14ac:dyDescent="0.25">
      <c r="A23" s="18"/>
      <c r="B23" s="158" t="s">
        <v>657</v>
      </c>
      <c r="C23" s="40">
        <f>ROUND(3.18/18154,4)</f>
        <v>2.0000000000000001E-4</v>
      </c>
      <c r="D23" s="55">
        <f>C23*400</f>
        <v>0.08</v>
      </c>
    </row>
    <row r="24" spans="1:4" x14ac:dyDescent="0.25">
      <c r="A24" s="18">
        <v>2221</v>
      </c>
      <c r="B24" s="158" t="s">
        <v>4</v>
      </c>
      <c r="C24" s="19"/>
      <c r="D24" s="19"/>
    </row>
    <row r="25" spans="1:4" ht="51.75" customHeight="1" x14ac:dyDescent="0.25">
      <c r="A25" s="18"/>
      <c r="B25" s="158" t="s">
        <v>779</v>
      </c>
      <c r="C25" s="55">
        <f>ROUND(301.59/18154,4)</f>
        <v>1.66E-2</v>
      </c>
      <c r="D25" s="55">
        <f>C25*400</f>
        <v>6.64</v>
      </c>
    </row>
    <row r="26" spans="1:4" ht="15" customHeight="1" x14ac:dyDescent="0.25">
      <c r="A26" s="18">
        <v>2222</v>
      </c>
      <c r="B26" s="158" t="s">
        <v>5</v>
      </c>
      <c r="C26" s="19"/>
      <c r="D26" s="19"/>
    </row>
    <row r="27" spans="1:4" ht="49.5" customHeight="1" x14ac:dyDescent="0.25">
      <c r="A27" s="18"/>
      <c r="B27" s="158" t="s">
        <v>780</v>
      </c>
      <c r="C27" s="36">
        <f>ROUND(31.02/18154,4)</f>
        <v>1.6999999999999999E-3</v>
      </c>
      <c r="D27" s="55">
        <f>C27*400</f>
        <v>0.67999999999999994</v>
      </c>
    </row>
    <row r="28" spans="1:4" x14ac:dyDescent="0.25">
      <c r="A28" s="18">
        <v>2223</v>
      </c>
      <c r="B28" s="18" t="s">
        <v>6</v>
      </c>
      <c r="C28" s="19"/>
      <c r="D28" s="19"/>
    </row>
    <row r="29" spans="1:4" ht="45" x14ac:dyDescent="0.25">
      <c r="A29" s="18"/>
      <c r="B29" s="158" t="s">
        <v>404</v>
      </c>
      <c r="C29" s="55">
        <f>ROUND(538.27/18154,3)</f>
        <v>0.03</v>
      </c>
      <c r="D29" s="55">
        <f>C29*400</f>
        <v>12</v>
      </c>
    </row>
    <row r="30" spans="1:4" x14ac:dyDescent="0.25">
      <c r="A30" s="18">
        <v>2224</v>
      </c>
      <c r="B30" s="158" t="s">
        <v>7</v>
      </c>
      <c r="C30" s="19"/>
      <c r="D30" s="19"/>
    </row>
    <row r="31" spans="1:4" ht="47.25" customHeight="1" x14ac:dyDescent="0.25">
      <c r="A31" s="18"/>
      <c r="B31" s="158" t="s">
        <v>405</v>
      </c>
      <c r="C31" s="36">
        <f>ROUND(28.86/18154,4)</f>
        <v>1.6000000000000001E-3</v>
      </c>
      <c r="D31" s="55">
        <f>C31*400</f>
        <v>0.64</v>
      </c>
    </row>
    <row r="32" spans="1:4" x14ac:dyDescent="0.25">
      <c r="A32" s="45">
        <v>2231</v>
      </c>
      <c r="B32" s="158" t="s">
        <v>22</v>
      </c>
      <c r="C32" s="36"/>
      <c r="D32" s="19"/>
    </row>
    <row r="33" spans="1:4" ht="153.75" customHeight="1" x14ac:dyDescent="0.25">
      <c r="A33" s="45"/>
      <c r="B33" s="158" t="s">
        <v>656</v>
      </c>
      <c r="C33" s="55">
        <f>ROUND(1201.87/18154,2)</f>
        <v>7.0000000000000007E-2</v>
      </c>
      <c r="D33" s="55">
        <f>C33*400</f>
        <v>28.000000000000004</v>
      </c>
    </row>
    <row r="34" spans="1:4" ht="15.75" customHeight="1" x14ac:dyDescent="0.25">
      <c r="A34" s="45">
        <v>2243</v>
      </c>
      <c r="B34" s="158" t="s">
        <v>132</v>
      </c>
      <c r="C34" s="55"/>
      <c r="D34" s="55"/>
    </row>
    <row r="35" spans="1:4" ht="64.5" customHeight="1" x14ac:dyDescent="0.25">
      <c r="A35" s="45"/>
      <c r="B35" s="158" t="s">
        <v>406</v>
      </c>
      <c r="C35" s="55">
        <f>ROUND(386.87/18154,3)</f>
        <v>2.1000000000000001E-2</v>
      </c>
      <c r="D35" s="82">
        <f>C35*400</f>
        <v>8.4</v>
      </c>
    </row>
    <row r="36" spans="1:4" x14ac:dyDescent="0.25">
      <c r="A36" s="18">
        <v>2244</v>
      </c>
      <c r="B36" s="158" t="s">
        <v>24</v>
      </c>
      <c r="C36" s="19"/>
      <c r="D36" s="19"/>
    </row>
    <row r="37" spans="1:4" ht="45" x14ac:dyDescent="0.25">
      <c r="A37" s="21"/>
      <c r="B37" s="158" t="s">
        <v>184</v>
      </c>
      <c r="C37" s="55">
        <f>ROUND(383.44/18154,4)</f>
        <v>2.1100000000000001E-2</v>
      </c>
      <c r="D37" s="55">
        <f>C37*400</f>
        <v>8.44</v>
      </c>
    </row>
    <row r="38" spans="1:4" ht="49.5" customHeight="1" x14ac:dyDescent="0.25">
      <c r="A38" s="21"/>
      <c r="B38" s="158" t="s">
        <v>837</v>
      </c>
      <c r="C38" s="40">
        <f>ROUND(5.03/18154,4)</f>
        <v>2.9999999999999997E-4</v>
      </c>
      <c r="D38" s="55">
        <f>C38*400</f>
        <v>0.12</v>
      </c>
    </row>
    <row r="39" spans="1:4" x14ac:dyDescent="0.25">
      <c r="A39" s="18">
        <v>2249</v>
      </c>
      <c r="B39" s="158" t="s">
        <v>8</v>
      </c>
      <c r="C39" s="19"/>
      <c r="D39" s="19"/>
    </row>
    <row r="40" spans="1:4" ht="51" customHeight="1" x14ac:dyDescent="0.25">
      <c r="A40" s="18"/>
      <c r="B40" s="158" t="s">
        <v>407</v>
      </c>
      <c r="C40" s="36">
        <f>ROUND(9.76/18154,4)</f>
        <v>5.0000000000000001E-4</v>
      </c>
      <c r="D40" s="55">
        <f>C40*400</f>
        <v>0.2</v>
      </c>
    </row>
    <row r="41" spans="1:4" x14ac:dyDescent="0.25">
      <c r="A41" s="18">
        <v>2311</v>
      </c>
      <c r="B41" s="158" t="s">
        <v>9</v>
      </c>
      <c r="C41" s="36"/>
      <c r="D41" s="19"/>
    </row>
    <row r="42" spans="1:4" ht="51.75" customHeight="1" x14ac:dyDescent="0.25">
      <c r="A42" s="18"/>
      <c r="B42" s="158" t="s">
        <v>408</v>
      </c>
      <c r="C42" s="36">
        <f>ROUND(54.99/18154,4)</f>
        <v>3.0000000000000001E-3</v>
      </c>
      <c r="D42" s="55">
        <f>C42*400</f>
        <v>1.2</v>
      </c>
    </row>
    <row r="43" spans="1:4" x14ac:dyDescent="0.25">
      <c r="A43" s="18">
        <v>2350</v>
      </c>
      <c r="B43" s="158" t="s">
        <v>21</v>
      </c>
      <c r="C43" s="36"/>
      <c r="D43" s="19"/>
    </row>
    <row r="44" spans="1:4" ht="82.5" customHeight="1" x14ac:dyDescent="0.25">
      <c r="A44" s="18"/>
      <c r="B44" s="158" t="s">
        <v>409</v>
      </c>
      <c r="C44" s="40">
        <f>ROUND(6.69/18154,4)</f>
        <v>4.0000000000000002E-4</v>
      </c>
      <c r="D44" s="55">
        <f>C44*400</f>
        <v>0.16</v>
      </c>
    </row>
    <row r="45" spans="1:4" ht="15.75" customHeight="1" x14ac:dyDescent="0.25">
      <c r="A45" s="18">
        <v>2513</v>
      </c>
      <c r="B45" s="158" t="s">
        <v>133</v>
      </c>
      <c r="C45" s="40"/>
      <c r="D45" s="55"/>
    </row>
    <row r="46" spans="1:4" ht="48.75" customHeight="1" x14ac:dyDescent="0.25">
      <c r="A46" s="18"/>
      <c r="B46" s="158" t="s">
        <v>410</v>
      </c>
      <c r="C46" s="36">
        <f>ROUND(9.53/18154,4)</f>
        <v>5.0000000000000001E-4</v>
      </c>
      <c r="D46" s="55">
        <f>C46*400</f>
        <v>0.2</v>
      </c>
    </row>
    <row r="47" spans="1:4" ht="16.5" customHeight="1" x14ac:dyDescent="0.25">
      <c r="A47" s="18">
        <v>5220</v>
      </c>
      <c r="B47" s="158" t="s">
        <v>136</v>
      </c>
      <c r="C47" s="40"/>
      <c r="D47" s="55"/>
    </row>
    <row r="48" spans="1:4" ht="51" customHeight="1" x14ac:dyDescent="0.25">
      <c r="A48" s="18"/>
      <c r="B48" s="158" t="s">
        <v>411</v>
      </c>
      <c r="C48" s="40">
        <f>ROUND(19.33/18154,4)</f>
        <v>1.1000000000000001E-3</v>
      </c>
      <c r="D48" s="55">
        <f>C48*400</f>
        <v>0.44</v>
      </c>
    </row>
    <row r="49" spans="1:4" ht="14.25" customHeight="1" x14ac:dyDescent="0.25">
      <c r="A49" s="18">
        <v>5238</v>
      </c>
      <c r="B49" s="158" t="s">
        <v>134</v>
      </c>
      <c r="C49" s="40"/>
      <c r="D49" s="55"/>
    </row>
    <row r="50" spans="1:4" ht="63.75" customHeight="1" x14ac:dyDescent="0.25">
      <c r="A50" s="18"/>
      <c r="B50" s="158" t="s">
        <v>781</v>
      </c>
      <c r="C50" s="36">
        <f>ROUND(33.68/18154,3)</f>
        <v>2E-3</v>
      </c>
      <c r="D50" s="55">
        <f>C50*400</f>
        <v>0.8</v>
      </c>
    </row>
    <row r="51" spans="1:4" x14ac:dyDescent="0.25">
      <c r="A51" s="68"/>
      <c r="B51" s="72" t="s">
        <v>10</v>
      </c>
      <c r="C51" s="71">
        <f>ROUND(C50+C48+C46+C44+C42+C40+C38+C37+C35+C33+C31+C29+C27+C25+C23,2)</f>
        <v>0.17</v>
      </c>
      <c r="D51" s="71">
        <f>ROUND(D50+D48+D46+D44+D42+D40+D38+D37+D35+D33+D31+D29+D27+D25+D23,2)</f>
        <v>68</v>
      </c>
    </row>
    <row r="52" spans="1:4" x14ac:dyDescent="0.25">
      <c r="A52" s="23"/>
      <c r="B52" s="24" t="s">
        <v>15</v>
      </c>
      <c r="C52" s="52">
        <f>ROUND(C51+C20,2)</f>
        <v>5.53</v>
      </c>
      <c r="D52" s="52">
        <f>D51+D20</f>
        <v>2212</v>
      </c>
    </row>
    <row r="53" spans="1:4" x14ac:dyDescent="0.25">
      <c r="A53" s="25"/>
      <c r="B53" s="26"/>
      <c r="C53" s="27"/>
      <c r="D53" s="27"/>
    </row>
    <row r="54" spans="1:4" x14ac:dyDescent="0.25">
      <c r="A54" s="26"/>
      <c r="B54" s="28"/>
      <c r="C54" s="28"/>
      <c r="D54" s="9"/>
    </row>
    <row r="55" spans="1:4" ht="15" customHeight="1" x14ac:dyDescent="0.25">
      <c r="A55" s="252" t="s">
        <v>16</v>
      </c>
      <c r="B55" s="253"/>
      <c r="C55" s="138">
        <v>400</v>
      </c>
      <c r="D55" s="29"/>
    </row>
    <row r="56" spans="1:4" ht="34.5" customHeight="1" x14ac:dyDescent="0.25">
      <c r="A56" s="254" t="s">
        <v>23</v>
      </c>
      <c r="B56" s="255"/>
      <c r="C56" s="139">
        <f>D52/400</f>
        <v>5.53</v>
      </c>
      <c r="D56" s="29"/>
    </row>
    <row r="57" spans="1:4" x14ac:dyDescent="0.25">
      <c r="A57" s="30"/>
      <c r="B57" s="30"/>
      <c r="C57" s="30"/>
      <c r="D57" s="30"/>
    </row>
    <row r="58" spans="1:4" x14ac:dyDescent="0.25">
      <c r="A58" s="30"/>
      <c r="B58" s="30"/>
      <c r="C58" s="30"/>
      <c r="D58" s="152"/>
    </row>
    <row r="59" spans="1:4" x14ac:dyDescent="0.25">
      <c r="A59" s="30"/>
      <c r="B59" s="30"/>
      <c r="C59" s="30"/>
      <c r="D59" s="152"/>
    </row>
    <row r="60" spans="1:4" x14ac:dyDescent="0.25">
      <c r="A60" s="30"/>
      <c r="B60" s="30"/>
      <c r="C60" s="30"/>
      <c r="D60" s="152"/>
    </row>
    <row r="61" spans="1:4" x14ac:dyDescent="0.25">
      <c r="A61" s="30"/>
      <c r="B61" s="30"/>
      <c r="C61" s="30"/>
      <c r="D61" s="30"/>
    </row>
    <row r="62" spans="1:4" x14ac:dyDescent="0.25">
      <c r="A62" s="231"/>
      <c r="B62" s="231"/>
      <c r="C62" s="9"/>
      <c r="D62" s="9"/>
    </row>
    <row r="63" spans="1:4" x14ac:dyDescent="0.25">
      <c r="A63" s="250"/>
      <c r="B63" s="231"/>
      <c r="C63" s="9"/>
      <c r="D63" s="9"/>
    </row>
    <row r="64" spans="1:4" x14ac:dyDescent="0.25">
      <c r="A64" s="154"/>
      <c r="B64" s="9"/>
      <c r="C64" s="31"/>
      <c r="D64" s="9"/>
    </row>
    <row r="65" spans="1:4" x14ac:dyDescent="0.25">
      <c r="A65" s="250"/>
      <c r="B65" s="250"/>
      <c r="C65" s="31"/>
      <c r="D65" s="9"/>
    </row>
  </sheetData>
  <customSheetViews>
    <customSheetView guid="{3046F990-4623-45D5-BDDC-01BD5999DDBC}" scale="60" showPageBreaks="1" fitToPage="1" printArea="1" hiddenRows="1" view="pageBreakPreview">
      <selection activeCell="B53" sqref="B53"/>
      <rowBreaks count="1" manualBreakCount="1">
        <brk id="33" max="3" man="1"/>
      </rowBreaks>
      <pageMargins left="0.70866141732283472" right="0.70866141732283472" top="0.74803149606299213" bottom="0.74803149606299213" header="0.31496062992125984" footer="0.31496062992125984"/>
      <pageSetup paperSize="9" scale="66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hiddenRows="1" view="pageBreakPreview" topLeftCell="A17">
      <selection activeCell="A56" sqref="A56:B56"/>
      <rowBreaks count="1" manualBreakCount="1">
        <brk id="33" max="3" man="1"/>
      </rowBreaks>
      <pageMargins left="0.70866141732283472" right="0.70866141732283472" top="0.74803149606299213" bottom="0.74803149606299213" header="0.31496062992125984" footer="0.31496062992125984"/>
      <pageSetup paperSize="9" scale="66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hiddenRows="1" view="pageBreakPreview">
      <selection activeCell="A6" sqref="A6:D6"/>
      <rowBreaks count="1" manualBreakCount="1">
        <brk id="33" max="3" man="1"/>
      </rowBreaks>
      <pageMargins left="0.70866141732283472" right="0.70866141732283472" top="0.74803149606299213" bottom="0.74803149606299213" header="0.31496062992125984" footer="0.31496062992125984"/>
      <pageSetup paperSize="9" scale="67" fitToHeight="0" orientation="portrait" r:id="rId3"/>
      <headerFooter>
        <oddFooter>&amp;C&amp;P</oddFooter>
      </headerFooter>
    </customSheetView>
  </customSheetViews>
  <mergeCells count="11">
    <mergeCell ref="A62:B62"/>
    <mergeCell ref="A63:B63"/>
    <mergeCell ref="A65:B65"/>
    <mergeCell ref="A56:B56"/>
    <mergeCell ref="C3:D3"/>
    <mergeCell ref="A55:B55"/>
    <mergeCell ref="A2:D2"/>
    <mergeCell ref="A6:D6"/>
    <mergeCell ref="A8:B8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4"/>
  <headerFooter>
    <oddFooter>&amp;C&amp;P</oddFooter>
  </headerFooter>
  <rowBreaks count="1" manualBreakCount="1">
    <brk id="33" max="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view="pageBreakPreview" zoomScale="60" zoomScaleNormal="100" workbookViewId="0">
      <selection activeCell="A6" sqref="A6:D6"/>
    </sheetView>
  </sheetViews>
  <sheetFormatPr defaultRowHeight="15" x14ac:dyDescent="0.25"/>
  <cols>
    <col min="1" max="1" width="15" customWidth="1"/>
    <col min="2" max="2" width="72.7109375" customWidth="1"/>
    <col min="3" max="3" width="18.140625" customWidth="1"/>
    <col min="4" max="4" width="16.5703125" customWidth="1"/>
  </cols>
  <sheetData>
    <row r="1" spans="1:10" ht="18.75" x14ac:dyDescent="0.3">
      <c r="A1" s="4"/>
      <c r="B1" s="5"/>
      <c r="C1" s="35"/>
      <c r="D1" s="5"/>
    </row>
    <row r="2" spans="1:10" ht="15.75" customHeight="1" x14ac:dyDescent="0.25">
      <c r="A2" s="256" t="s">
        <v>307</v>
      </c>
      <c r="B2" s="256"/>
      <c r="C2" s="256"/>
      <c r="D2" s="256"/>
    </row>
    <row r="3" spans="1:10" ht="15" customHeight="1" x14ac:dyDescent="0.25">
      <c r="A3" s="4"/>
      <c r="B3" s="4"/>
      <c r="C3" s="273"/>
      <c r="D3" s="274"/>
    </row>
    <row r="4" spans="1:10" ht="15.75" x14ac:dyDescent="0.25">
      <c r="A4" s="186" t="s">
        <v>723</v>
      </c>
      <c r="B4" s="32"/>
      <c r="C4" s="32"/>
      <c r="D4" s="32"/>
    </row>
    <row r="5" spans="1:10" x14ac:dyDescent="0.25">
      <c r="A5" s="4"/>
      <c r="B5" s="33"/>
      <c r="C5" s="33"/>
      <c r="D5" s="9"/>
    </row>
    <row r="6" spans="1:10" ht="33" customHeight="1" x14ac:dyDescent="0.25">
      <c r="A6" s="272" t="s">
        <v>1027</v>
      </c>
      <c r="B6" s="272"/>
      <c r="C6" s="272"/>
      <c r="D6" s="272"/>
    </row>
    <row r="7" spans="1:10" ht="15" customHeight="1" x14ac:dyDescent="0.25">
      <c r="A7" s="180"/>
      <c r="B7" s="34"/>
      <c r="C7" s="34"/>
      <c r="D7" s="9"/>
      <c r="E7" s="41"/>
      <c r="F7" s="41"/>
      <c r="G7" s="44"/>
      <c r="H7" s="44"/>
      <c r="I7" s="41"/>
      <c r="J7" s="41"/>
    </row>
    <row r="8" spans="1:10" ht="15" customHeight="1" x14ac:dyDescent="0.25">
      <c r="A8" s="270" t="s">
        <v>309</v>
      </c>
      <c r="B8" s="271"/>
      <c r="C8" s="34"/>
      <c r="D8" s="9"/>
    </row>
    <row r="9" spans="1:10" ht="15" customHeight="1" x14ac:dyDescent="0.25">
      <c r="A9" s="183"/>
      <c r="B9" s="184"/>
      <c r="C9" s="34"/>
      <c r="D9" s="9"/>
    </row>
    <row r="10" spans="1:10" ht="15.75" x14ac:dyDescent="0.25">
      <c r="A10" s="251" t="s">
        <v>747</v>
      </c>
      <c r="B10" s="251"/>
      <c r="C10" s="8"/>
      <c r="D10" s="9"/>
    </row>
    <row r="11" spans="1:10" ht="90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10" x14ac:dyDescent="0.25">
      <c r="A12" s="13">
        <v>1</v>
      </c>
      <c r="B12" s="14">
        <v>2</v>
      </c>
      <c r="C12" s="13">
        <v>3</v>
      </c>
      <c r="D12" s="13">
        <v>4</v>
      </c>
    </row>
    <row r="13" spans="1:10" x14ac:dyDescent="0.25">
      <c r="A13" s="15"/>
      <c r="B13" s="22" t="s">
        <v>13</v>
      </c>
      <c r="C13" s="17"/>
      <c r="D13" s="17"/>
    </row>
    <row r="14" spans="1:10" x14ac:dyDescent="0.25">
      <c r="A14" s="37">
        <v>1100</v>
      </c>
      <c r="B14" s="16" t="s">
        <v>14</v>
      </c>
      <c r="C14" s="38"/>
      <c r="D14" s="38"/>
    </row>
    <row r="15" spans="1:10" ht="74.25" customHeight="1" x14ac:dyDescent="0.25">
      <c r="A15" s="18"/>
      <c r="B15" s="157" t="s">
        <v>412</v>
      </c>
      <c r="C15" s="55">
        <f>0.11*20</f>
        <v>2.2000000000000002</v>
      </c>
      <c r="D15" s="55">
        <f>C15*30</f>
        <v>66</v>
      </c>
    </row>
    <row r="16" spans="1:10" ht="33" customHeight="1" x14ac:dyDescent="0.25">
      <c r="A16" s="18">
        <v>1200</v>
      </c>
      <c r="B16" s="158" t="s">
        <v>284</v>
      </c>
      <c r="C16" s="36">
        <f>ROUND(C15*0.2359,2)</f>
        <v>0.52</v>
      </c>
      <c r="D16" s="55">
        <f>C16*30</f>
        <v>15.600000000000001</v>
      </c>
    </row>
    <row r="17" spans="1:4" x14ac:dyDescent="0.25">
      <c r="A17" s="18">
        <v>2341</v>
      </c>
      <c r="B17" s="18" t="s">
        <v>77</v>
      </c>
      <c r="C17" s="19"/>
      <c r="D17" s="19"/>
    </row>
    <row r="18" spans="1:4" ht="75.75" customHeight="1" x14ac:dyDescent="0.25">
      <c r="A18" s="18"/>
      <c r="B18" s="158" t="s">
        <v>413</v>
      </c>
      <c r="C18" s="55">
        <f>12.61+0.54+0.04+0.01+0.02</f>
        <v>13.219999999999997</v>
      </c>
      <c r="D18" s="55">
        <f>C18*30</f>
        <v>396.59999999999991</v>
      </c>
    </row>
    <row r="19" spans="1:4" x14ac:dyDescent="0.25">
      <c r="A19" s="68"/>
      <c r="B19" s="159" t="s">
        <v>2</v>
      </c>
      <c r="C19" s="71">
        <f>SUM(C14:C18)</f>
        <v>15.939999999999998</v>
      </c>
      <c r="D19" s="71">
        <f>SUM(D14:D18)</f>
        <v>478.19999999999993</v>
      </c>
    </row>
    <row r="20" spans="1:4" x14ac:dyDescent="0.25">
      <c r="A20" s="18"/>
      <c r="B20" s="160" t="s">
        <v>20</v>
      </c>
      <c r="C20" s="19"/>
      <c r="D20" s="19"/>
    </row>
    <row r="21" spans="1:4" x14ac:dyDescent="0.25">
      <c r="A21" s="18">
        <v>2219</v>
      </c>
      <c r="B21" s="158" t="s">
        <v>3</v>
      </c>
      <c r="C21" s="19"/>
      <c r="D21" s="19"/>
    </row>
    <row r="22" spans="1:4" ht="98.25" customHeight="1" x14ac:dyDescent="0.25">
      <c r="A22" s="18"/>
      <c r="B22" s="158" t="s">
        <v>838</v>
      </c>
      <c r="C22" s="40">
        <f>ROUND(3.18/18154,4)</f>
        <v>2.0000000000000001E-4</v>
      </c>
      <c r="D22" s="55">
        <f>C22*30</f>
        <v>6.0000000000000001E-3</v>
      </c>
    </row>
    <row r="23" spans="1:4" x14ac:dyDescent="0.25">
      <c r="A23" s="18">
        <v>2221</v>
      </c>
      <c r="B23" s="158" t="s">
        <v>4</v>
      </c>
      <c r="C23" s="19"/>
      <c r="D23" s="19"/>
    </row>
    <row r="24" spans="1:4" ht="41.25" customHeight="1" x14ac:dyDescent="0.25">
      <c r="A24" s="18"/>
      <c r="B24" s="158" t="s">
        <v>185</v>
      </c>
      <c r="C24" s="55">
        <f>ROUND(301.59/18154,4)</f>
        <v>1.66E-2</v>
      </c>
      <c r="D24" s="55">
        <f>C24*30</f>
        <v>0.498</v>
      </c>
    </row>
    <row r="25" spans="1:4" ht="14.25" customHeight="1" x14ac:dyDescent="0.25">
      <c r="A25" s="18">
        <v>2222</v>
      </c>
      <c r="B25" s="158" t="s">
        <v>5</v>
      </c>
      <c r="C25" s="19"/>
      <c r="D25" s="19"/>
    </row>
    <row r="26" spans="1:4" ht="53.25" customHeight="1" x14ac:dyDescent="0.25">
      <c r="A26" s="18"/>
      <c r="B26" s="158" t="s">
        <v>186</v>
      </c>
      <c r="C26" s="36">
        <f>ROUND(31.02/18154,4)</f>
        <v>1.6999999999999999E-3</v>
      </c>
      <c r="D26" s="55">
        <f>C26*30</f>
        <v>5.0999999999999997E-2</v>
      </c>
    </row>
    <row r="27" spans="1:4" x14ac:dyDescent="0.25">
      <c r="A27" s="18">
        <v>2223</v>
      </c>
      <c r="B27" s="18" t="s">
        <v>6</v>
      </c>
      <c r="C27" s="19"/>
      <c r="D27" s="19"/>
    </row>
    <row r="28" spans="1:4" ht="45" customHeight="1" x14ac:dyDescent="0.25">
      <c r="A28" s="18"/>
      <c r="B28" s="158" t="s">
        <v>414</v>
      </c>
      <c r="C28" s="55">
        <f>ROUND(538.27/18154,3)</f>
        <v>0.03</v>
      </c>
      <c r="D28" s="55">
        <f>C28*30</f>
        <v>0.89999999999999991</v>
      </c>
    </row>
    <row r="29" spans="1:4" x14ac:dyDescent="0.25">
      <c r="A29" s="18">
        <v>2224</v>
      </c>
      <c r="B29" s="158" t="s">
        <v>7</v>
      </c>
      <c r="C29" s="19"/>
      <c r="D29" s="19"/>
    </row>
    <row r="30" spans="1:4" ht="57.75" customHeight="1" x14ac:dyDescent="0.25">
      <c r="A30" s="18"/>
      <c r="B30" s="158" t="s">
        <v>415</v>
      </c>
      <c r="C30" s="36">
        <f>ROUND(28.86/18154,4)</f>
        <v>1.6000000000000001E-3</v>
      </c>
      <c r="D30" s="55">
        <f>C30*30</f>
        <v>4.8000000000000001E-2</v>
      </c>
    </row>
    <row r="31" spans="1:4" x14ac:dyDescent="0.25">
      <c r="A31" s="45">
        <v>2231</v>
      </c>
      <c r="B31" s="158" t="s">
        <v>22</v>
      </c>
      <c r="C31" s="36"/>
      <c r="D31" s="19"/>
    </row>
    <row r="32" spans="1:4" ht="165" customHeight="1" x14ac:dyDescent="0.25">
      <c r="A32" s="45"/>
      <c r="B32" s="158" t="s">
        <v>587</v>
      </c>
      <c r="C32" s="55">
        <f>ROUND(1201.87/18154,2)</f>
        <v>7.0000000000000007E-2</v>
      </c>
      <c r="D32" s="55">
        <f>C32*30</f>
        <v>2.1</v>
      </c>
    </row>
    <row r="33" spans="1:4" ht="14.25" customHeight="1" x14ac:dyDescent="0.25">
      <c r="A33" s="45">
        <v>2243</v>
      </c>
      <c r="B33" s="158" t="s">
        <v>132</v>
      </c>
      <c r="C33" s="55"/>
      <c r="D33" s="55"/>
    </row>
    <row r="34" spans="1:4" ht="63" customHeight="1" x14ac:dyDescent="0.25">
      <c r="A34" s="45"/>
      <c r="B34" s="158" t="s">
        <v>416</v>
      </c>
      <c r="C34" s="55">
        <f>ROUND(386.87/18154,3)</f>
        <v>2.1000000000000001E-2</v>
      </c>
      <c r="D34" s="82">
        <f>C34*30</f>
        <v>0.63</v>
      </c>
    </row>
    <row r="35" spans="1:4" x14ac:dyDescent="0.25">
      <c r="A35" s="18">
        <v>2244</v>
      </c>
      <c r="B35" s="158" t="s">
        <v>24</v>
      </c>
      <c r="C35" s="19"/>
      <c r="D35" s="19"/>
    </row>
    <row r="36" spans="1:4" ht="63.75" customHeight="1" x14ac:dyDescent="0.25">
      <c r="A36" s="21"/>
      <c r="B36" s="158" t="s">
        <v>417</v>
      </c>
      <c r="C36" s="55">
        <f>ROUND(383.44/18154,4)</f>
        <v>2.1100000000000001E-2</v>
      </c>
      <c r="D36" s="55">
        <f>C36*30</f>
        <v>0.63300000000000001</v>
      </c>
    </row>
    <row r="37" spans="1:4" ht="61.5" customHeight="1" x14ac:dyDescent="0.25">
      <c r="A37" s="21"/>
      <c r="B37" s="158" t="s">
        <v>575</v>
      </c>
      <c r="C37" s="40">
        <f>ROUND(5.03/18154,4)</f>
        <v>2.9999999999999997E-4</v>
      </c>
      <c r="D37" s="55">
        <f>C37*30</f>
        <v>8.9999999999999993E-3</v>
      </c>
    </row>
    <row r="38" spans="1:4" x14ac:dyDescent="0.25">
      <c r="A38" s="18">
        <v>2249</v>
      </c>
      <c r="B38" s="158" t="s">
        <v>8</v>
      </c>
      <c r="C38" s="19"/>
      <c r="D38" s="19"/>
    </row>
    <row r="39" spans="1:4" ht="60.75" customHeight="1" x14ac:dyDescent="0.25">
      <c r="A39" s="18"/>
      <c r="B39" s="158" t="s">
        <v>654</v>
      </c>
      <c r="C39" s="36">
        <f>ROUND(9.76/18154,4)</f>
        <v>5.0000000000000001E-4</v>
      </c>
      <c r="D39" s="55">
        <f>C39*30</f>
        <v>1.4999999999999999E-2</v>
      </c>
    </row>
    <row r="40" spans="1:4" x14ac:dyDescent="0.25">
      <c r="A40" s="18">
        <v>2311</v>
      </c>
      <c r="B40" s="158" t="s">
        <v>9</v>
      </c>
      <c r="C40" s="36"/>
      <c r="D40" s="19"/>
    </row>
    <row r="41" spans="1:4" ht="65.25" customHeight="1" x14ac:dyDescent="0.25">
      <c r="A41" s="18"/>
      <c r="B41" s="158" t="s">
        <v>424</v>
      </c>
      <c r="C41" s="36">
        <f>ROUND(54.99/18154,4)</f>
        <v>3.0000000000000001E-3</v>
      </c>
      <c r="D41" s="55">
        <f>C41*30</f>
        <v>0.09</v>
      </c>
    </row>
    <row r="42" spans="1:4" x14ac:dyDescent="0.25">
      <c r="A42" s="18">
        <v>2350</v>
      </c>
      <c r="B42" s="158" t="s">
        <v>21</v>
      </c>
      <c r="C42" s="36"/>
      <c r="D42" s="19"/>
    </row>
    <row r="43" spans="1:4" ht="94.5" customHeight="1" x14ac:dyDescent="0.25">
      <c r="A43" s="18"/>
      <c r="B43" s="158" t="s">
        <v>655</v>
      </c>
      <c r="C43" s="40">
        <f>ROUND(6.69/18154,4)</f>
        <v>4.0000000000000002E-4</v>
      </c>
      <c r="D43" s="55">
        <f>C43*30</f>
        <v>1.2E-2</v>
      </c>
    </row>
    <row r="44" spans="1:4" ht="21" customHeight="1" x14ac:dyDescent="0.25">
      <c r="A44" s="18">
        <v>2513</v>
      </c>
      <c r="B44" s="158" t="s">
        <v>133</v>
      </c>
      <c r="C44" s="40"/>
      <c r="D44" s="55"/>
    </row>
    <row r="45" spans="1:4" ht="61.5" customHeight="1" x14ac:dyDescent="0.25">
      <c r="A45" s="18"/>
      <c r="B45" s="158" t="s">
        <v>420</v>
      </c>
      <c r="C45" s="36">
        <f>ROUND(9.53/18154,4)</f>
        <v>5.0000000000000001E-4</v>
      </c>
      <c r="D45" s="55">
        <f>C45*30</f>
        <v>1.4999999999999999E-2</v>
      </c>
    </row>
    <row r="46" spans="1:4" ht="18.75" customHeight="1" x14ac:dyDescent="0.25">
      <c r="A46" s="18">
        <v>5220</v>
      </c>
      <c r="B46" s="158" t="s">
        <v>136</v>
      </c>
      <c r="C46" s="40"/>
      <c r="D46" s="55"/>
    </row>
    <row r="47" spans="1:4" ht="57.75" customHeight="1" x14ac:dyDescent="0.25">
      <c r="A47" s="18"/>
      <c r="B47" s="158" t="s">
        <v>944</v>
      </c>
      <c r="C47" s="40">
        <f>ROUND(19.33/18154,4)</f>
        <v>1.1000000000000001E-3</v>
      </c>
      <c r="D47" s="55">
        <f>C47*30</f>
        <v>3.3000000000000002E-2</v>
      </c>
    </row>
    <row r="48" spans="1:4" ht="18" customHeight="1" x14ac:dyDescent="0.25">
      <c r="A48" s="18">
        <v>5238</v>
      </c>
      <c r="B48" s="158" t="s">
        <v>134</v>
      </c>
      <c r="C48" s="40"/>
      <c r="D48" s="55"/>
    </row>
    <row r="49" spans="1:4" ht="63" customHeight="1" x14ac:dyDescent="0.25">
      <c r="A49" s="18"/>
      <c r="B49" s="158" t="s">
        <v>627</v>
      </c>
      <c r="C49" s="36">
        <f>ROUND(33.68/18154,3)</f>
        <v>2E-3</v>
      </c>
      <c r="D49" s="55">
        <f>C49*30</f>
        <v>0.06</v>
      </c>
    </row>
    <row r="50" spans="1:4" x14ac:dyDescent="0.25">
      <c r="A50" s="68"/>
      <c r="B50" s="72" t="s">
        <v>10</v>
      </c>
      <c r="C50" s="71">
        <f>ROUND(C49+C47+C45+C43+C41+C39+C37+C36+C34+C32+C30+C28+C26+C24+C22,2)</f>
        <v>0.17</v>
      </c>
      <c r="D50" s="71">
        <f>ROUND(D49+D47+D45+D43+D41+D39+D37+D36+D34+D32+D30+D28+D26+D24+D22,2)</f>
        <v>5.0999999999999996</v>
      </c>
    </row>
    <row r="51" spans="1:4" x14ac:dyDescent="0.25">
      <c r="A51" s="23"/>
      <c r="B51" s="24" t="s">
        <v>15</v>
      </c>
      <c r="C51" s="52">
        <f>ROUND(C50+C19,2)</f>
        <v>16.11</v>
      </c>
      <c r="D51" s="52">
        <f>D50+D19</f>
        <v>483.29999999999995</v>
      </c>
    </row>
    <row r="52" spans="1:4" x14ac:dyDescent="0.25">
      <c r="A52" s="25"/>
      <c r="B52" s="26"/>
      <c r="C52" s="27"/>
      <c r="D52" s="27"/>
    </row>
    <row r="53" spans="1:4" x14ac:dyDescent="0.25">
      <c r="A53" s="26"/>
      <c r="B53" s="28"/>
      <c r="C53" s="28"/>
      <c r="D53" s="9"/>
    </row>
    <row r="54" spans="1:4" ht="15" customHeight="1" x14ac:dyDescent="0.25">
      <c r="A54" s="252" t="s">
        <v>16</v>
      </c>
      <c r="B54" s="253"/>
      <c r="C54" s="138">
        <v>30</v>
      </c>
      <c r="D54" s="29"/>
    </row>
    <row r="55" spans="1:4" ht="33.75" customHeight="1" x14ac:dyDescent="0.25">
      <c r="A55" s="254" t="s">
        <v>23</v>
      </c>
      <c r="B55" s="255"/>
      <c r="C55" s="139">
        <f>D51/30</f>
        <v>16.11</v>
      </c>
      <c r="D55" s="29"/>
    </row>
    <row r="56" spans="1:4" x14ac:dyDescent="0.25">
      <c r="A56" s="30"/>
      <c r="B56" s="30"/>
      <c r="C56" s="30"/>
      <c r="D56" s="30"/>
    </row>
    <row r="57" spans="1:4" x14ac:dyDescent="0.25">
      <c r="A57" s="30"/>
      <c r="B57" s="30"/>
      <c r="C57" s="30"/>
      <c r="D57" s="152"/>
    </row>
    <row r="58" spans="1:4" x14ac:dyDescent="0.25">
      <c r="A58" s="30"/>
      <c r="B58" s="30"/>
      <c r="C58" s="30"/>
      <c r="D58" s="152"/>
    </row>
    <row r="59" spans="1:4" x14ac:dyDescent="0.25">
      <c r="A59" s="30"/>
      <c r="B59" s="30"/>
      <c r="C59" s="30"/>
      <c r="D59" s="152"/>
    </row>
    <row r="60" spans="1:4" x14ac:dyDescent="0.25">
      <c r="A60" s="30"/>
      <c r="B60" s="30"/>
      <c r="C60" s="30"/>
      <c r="D60" s="30"/>
    </row>
    <row r="61" spans="1:4" x14ac:dyDescent="0.25">
      <c r="A61" s="231"/>
      <c r="B61" s="231"/>
      <c r="C61" s="9"/>
      <c r="D61" s="9"/>
    </row>
    <row r="62" spans="1:4" x14ac:dyDescent="0.25">
      <c r="A62" s="250"/>
      <c r="B62" s="231"/>
      <c r="C62" s="9"/>
      <c r="D62" s="9"/>
    </row>
    <row r="63" spans="1:4" x14ac:dyDescent="0.25">
      <c r="A63" s="154"/>
      <c r="B63" s="9"/>
      <c r="C63" s="31"/>
      <c r="D63" s="9"/>
    </row>
    <row r="64" spans="1:4" x14ac:dyDescent="0.25">
      <c r="A64" s="250"/>
      <c r="B64" s="250"/>
      <c r="C64" s="31"/>
      <c r="D64" s="9"/>
    </row>
  </sheetData>
  <customSheetViews>
    <customSheetView guid="{3046F990-4623-45D5-BDDC-01BD5999DDBC}" scale="60" showPageBreaks="1" fitToPage="1" printArea="1" view="pageBreakPreview">
      <selection activeCell="B53" sqref="B53"/>
      <rowBreaks count="1" manualBreakCount="1">
        <brk id="32" max="3" man="1"/>
      </rowBreaks>
      <pageMargins left="0.70866141732283472" right="0.70866141732283472" top="0.74803149606299213" bottom="0.74803149606299213" header="0.31496062992125984" footer="0.31496062992125984"/>
      <pageSetup paperSize="9" scale="71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view="pageBreakPreview">
      <selection activeCell="C12" sqref="C12"/>
      <rowBreaks count="1" manualBreakCount="1">
        <brk id="32" max="3" man="1"/>
      </rowBreaks>
      <pageMargins left="0.70866141732283472" right="0.70866141732283472" top="0.74803149606299213" bottom="0.74803149606299213" header="0.31496062992125984" footer="0.31496062992125984"/>
      <pageSetup paperSize="9" scale="71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view="pageBreakPreview">
      <selection activeCell="A6" sqref="A6:D6"/>
      <rowBreaks count="1" manualBreakCount="1">
        <brk id="32" max="3" man="1"/>
      </rowBreaks>
      <pageMargins left="0.70866141732283472" right="0.70866141732283472" top="0.74803149606299213" bottom="0.74803149606299213" header="0.31496062992125984" footer="0.31496062992125984"/>
      <pageSetup paperSize="9" scale="71" fitToHeight="0" orientation="portrait" r:id="rId3"/>
      <headerFooter>
        <oddFooter>&amp;C&amp;P</oddFooter>
      </headerFooter>
    </customSheetView>
  </customSheetViews>
  <mergeCells count="10">
    <mergeCell ref="A64:B64"/>
    <mergeCell ref="A55:B55"/>
    <mergeCell ref="C3:D3"/>
    <mergeCell ref="A54:B54"/>
    <mergeCell ref="A61:B61"/>
    <mergeCell ref="A2:D2"/>
    <mergeCell ref="A6:D6"/>
    <mergeCell ref="A8:B8"/>
    <mergeCell ref="A10:B10"/>
    <mergeCell ref="A62:B62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4"/>
  <headerFooter>
    <oddFooter>&amp;C&amp;P</oddFooter>
  </headerFooter>
  <rowBreaks count="1" manualBreakCount="1">
    <brk id="32" max="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view="pageBreakPreview" topLeftCell="A4" zoomScale="60" zoomScaleNormal="100" workbookViewId="0">
      <selection activeCell="A6" sqref="A6:D6"/>
    </sheetView>
  </sheetViews>
  <sheetFormatPr defaultRowHeight="15" x14ac:dyDescent="0.25"/>
  <cols>
    <col min="1" max="1" width="13.7109375" customWidth="1"/>
    <col min="2" max="2" width="96.140625" customWidth="1"/>
    <col min="3" max="3" width="14.42578125" customWidth="1"/>
    <col min="4" max="4" width="16.5703125" customWidth="1"/>
  </cols>
  <sheetData>
    <row r="1" spans="1:10" ht="18.75" x14ac:dyDescent="0.3">
      <c r="A1" s="4"/>
      <c r="B1" s="5"/>
      <c r="C1" s="35"/>
      <c r="D1" s="5"/>
    </row>
    <row r="2" spans="1:10" ht="15.75" customHeight="1" x14ac:dyDescent="0.25">
      <c r="A2" s="256" t="s">
        <v>307</v>
      </c>
      <c r="B2" s="256"/>
      <c r="C2" s="256"/>
      <c r="D2" s="256"/>
    </row>
    <row r="3" spans="1:10" ht="15" customHeight="1" x14ac:dyDescent="0.25">
      <c r="A3" s="4"/>
      <c r="B3" s="4"/>
      <c r="C3" s="273"/>
      <c r="D3" s="274"/>
    </row>
    <row r="4" spans="1:10" ht="15.75" x14ac:dyDescent="0.25">
      <c r="A4" s="186" t="s">
        <v>723</v>
      </c>
      <c r="B4" s="32"/>
      <c r="C4" s="32"/>
      <c r="D4" s="32"/>
    </row>
    <row r="5" spans="1:10" x14ac:dyDescent="0.25">
      <c r="A5" s="4"/>
      <c r="B5" s="33"/>
      <c r="C5" s="33"/>
      <c r="D5" s="9"/>
    </row>
    <row r="6" spans="1:10" ht="33" customHeight="1" x14ac:dyDescent="0.25">
      <c r="A6" s="272" t="s">
        <v>1028</v>
      </c>
      <c r="B6" s="272"/>
      <c r="C6" s="272"/>
      <c r="D6" s="272"/>
    </row>
    <row r="7" spans="1:10" ht="12.75" customHeight="1" x14ac:dyDescent="0.25">
      <c r="A7" s="180"/>
      <c r="B7" s="34"/>
      <c r="C7" s="34"/>
      <c r="D7" s="9"/>
      <c r="E7" s="41"/>
      <c r="F7" s="41"/>
      <c r="G7" s="44"/>
      <c r="H7" s="44"/>
      <c r="I7" s="41"/>
      <c r="J7" s="41"/>
    </row>
    <row r="8" spans="1:10" x14ac:dyDescent="0.25">
      <c r="A8" s="270" t="s">
        <v>309</v>
      </c>
      <c r="B8" s="271"/>
      <c r="C8" s="34"/>
      <c r="D8" s="9"/>
    </row>
    <row r="9" spans="1:10" ht="15" customHeight="1" x14ac:dyDescent="0.25">
      <c r="A9" s="183"/>
      <c r="B9" s="184"/>
      <c r="C9" s="34"/>
      <c r="D9" s="9"/>
    </row>
    <row r="10" spans="1:10" ht="15.75" x14ac:dyDescent="0.25">
      <c r="A10" s="251" t="s">
        <v>747</v>
      </c>
      <c r="B10" s="251"/>
      <c r="C10" s="8"/>
      <c r="D10" s="9"/>
    </row>
    <row r="11" spans="1:10" ht="90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10" x14ac:dyDescent="0.25">
      <c r="A12" s="13">
        <v>1</v>
      </c>
      <c r="B12" s="14">
        <v>2</v>
      </c>
      <c r="C12" s="13">
        <v>3</v>
      </c>
      <c r="D12" s="13">
        <v>4</v>
      </c>
    </row>
    <row r="13" spans="1:10" x14ac:dyDescent="0.25">
      <c r="A13" s="15"/>
      <c r="B13" s="22" t="s">
        <v>13</v>
      </c>
      <c r="C13" s="17"/>
      <c r="D13" s="17"/>
    </row>
    <row r="14" spans="1:10" x14ac:dyDescent="0.25">
      <c r="A14" s="37">
        <v>1100</v>
      </c>
      <c r="B14" s="16" t="s">
        <v>14</v>
      </c>
      <c r="C14" s="38"/>
      <c r="D14" s="38"/>
    </row>
    <row r="15" spans="1:10" ht="80.25" customHeight="1" x14ac:dyDescent="0.25">
      <c r="A15" s="18"/>
      <c r="B15" s="157" t="s">
        <v>422</v>
      </c>
      <c r="C15" s="55">
        <f>0.11*20</f>
        <v>2.2000000000000002</v>
      </c>
      <c r="D15" s="55">
        <f>C15*30</f>
        <v>66</v>
      </c>
    </row>
    <row r="16" spans="1:10" ht="34.5" customHeight="1" x14ac:dyDescent="0.25">
      <c r="A16" s="18">
        <v>1200</v>
      </c>
      <c r="B16" s="158" t="s">
        <v>284</v>
      </c>
      <c r="C16" s="55">
        <f>ROUND(C15*0.2359,2)</f>
        <v>0.52</v>
      </c>
      <c r="D16" s="55">
        <f>C16*30</f>
        <v>15.600000000000001</v>
      </c>
    </row>
    <row r="17" spans="1:4" x14ac:dyDescent="0.25">
      <c r="A17" s="18">
        <v>2341</v>
      </c>
      <c r="B17" s="18" t="s">
        <v>77</v>
      </c>
      <c r="C17" s="19"/>
      <c r="D17" s="19"/>
    </row>
    <row r="18" spans="1:4" ht="63.75" customHeight="1" x14ac:dyDescent="0.25">
      <c r="A18" s="18"/>
      <c r="B18" s="158" t="s">
        <v>423</v>
      </c>
      <c r="C18" s="55">
        <f>5.45+0.18+0.04+0.01+0.02+5.89</f>
        <v>11.59</v>
      </c>
      <c r="D18" s="55">
        <f>C18*30</f>
        <v>347.7</v>
      </c>
    </row>
    <row r="19" spans="1:4" x14ac:dyDescent="0.25">
      <c r="A19" s="68"/>
      <c r="B19" s="159" t="s">
        <v>2</v>
      </c>
      <c r="C19" s="71">
        <f>SUM(C14:C18)</f>
        <v>14.31</v>
      </c>
      <c r="D19" s="71">
        <f>SUM(D14:D18)</f>
        <v>429.29999999999995</v>
      </c>
    </row>
    <row r="20" spans="1:4" x14ac:dyDescent="0.25">
      <c r="A20" s="18"/>
      <c r="B20" s="160" t="s">
        <v>20</v>
      </c>
      <c r="C20" s="19"/>
      <c r="D20" s="19"/>
    </row>
    <row r="21" spans="1:4" x14ac:dyDescent="0.25">
      <c r="A21" s="18">
        <v>2219</v>
      </c>
      <c r="B21" s="158" t="s">
        <v>3</v>
      </c>
      <c r="C21" s="19"/>
      <c r="D21" s="19"/>
    </row>
    <row r="22" spans="1:4" ht="81" customHeight="1" x14ac:dyDescent="0.25">
      <c r="A22" s="18"/>
      <c r="B22" s="158" t="s">
        <v>622</v>
      </c>
      <c r="C22" s="40">
        <f>ROUND(3.18/18154,4)</f>
        <v>2.0000000000000001E-4</v>
      </c>
      <c r="D22" s="55">
        <f>C22*30</f>
        <v>6.0000000000000001E-3</v>
      </c>
    </row>
    <row r="23" spans="1:4" x14ac:dyDescent="0.25">
      <c r="A23" s="18">
        <v>2221</v>
      </c>
      <c r="B23" s="158" t="s">
        <v>4</v>
      </c>
      <c r="C23" s="19"/>
      <c r="D23" s="19"/>
    </row>
    <row r="24" spans="1:4" ht="45.75" customHeight="1" x14ac:dyDescent="0.25">
      <c r="A24" s="18"/>
      <c r="B24" s="158" t="s">
        <v>569</v>
      </c>
      <c r="C24" s="55">
        <f>ROUND(301.59/18154,4)</f>
        <v>1.66E-2</v>
      </c>
      <c r="D24" s="55">
        <f>C24*30</f>
        <v>0.498</v>
      </c>
    </row>
    <row r="25" spans="1:4" ht="15" customHeight="1" x14ac:dyDescent="0.25">
      <c r="A25" s="18">
        <v>2222</v>
      </c>
      <c r="B25" s="158" t="s">
        <v>5</v>
      </c>
      <c r="C25" s="19"/>
      <c r="D25" s="19"/>
    </row>
    <row r="26" spans="1:4" ht="45" customHeight="1" x14ac:dyDescent="0.25">
      <c r="A26" s="18"/>
      <c r="B26" s="158" t="s">
        <v>186</v>
      </c>
      <c r="C26" s="36">
        <f>ROUND(31.02/18154,4)</f>
        <v>1.6999999999999999E-3</v>
      </c>
      <c r="D26" s="55">
        <f>C26*30</f>
        <v>5.0999999999999997E-2</v>
      </c>
    </row>
    <row r="27" spans="1:4" x14ac:dyDescent="0.25">
      <c r="A27" s="18">
        <v>2223</v>
      </c>
      <c r="B27" s="18" t="s">
        <v>6</v>
      </c>
      <c r="C27" s="19"/>
      <c r="D27" s="19"/>
    </row>
    <row r="28" spans="1:4" ht="45" customHeight="1" x14ac:dyDescent="0.25">
      <c r="A28" s="18"/>
      <c r="B28" s="158" t="s">
        <v>414</v>
      </c>
      <c r="C28" s="55">
        <f>ROUND(538.27/18154,3)</f>
        <v>0.03</v>
      </c>
      <c r="D28" s="55">
        <f>C28*30</f>
        <v>0.89999999999999991</v>
      </c>
    </row>
    <row r="29" spans="1:4" x14ac:dyDescent="0.25">
      <c r="A29" s="18">
        <v>2224</v>
      </c>
      <c r="B29" s="158" t="s">
        <v>7</v>
      </c>
      <c r="C29" s="19"/>
      <c r="D29" s="19"/>
    </row>
    <row r="30" spans="1:4" ht="51" customHeight="1" x14ac:dyDescent="0.25">
      <c r="A30" s="18"/>
      <c r="B30" s="158" t="s">
        <v>571</v>
      </c>
      <c r="C30" s="36">
        <f>ROUND(28.86/18154,4)</f>
        <v>1.6000000000000001E-3</v>
      </c>
      <c r="D30" s="55">
        <f>C30*30</f>
        <v>4.8000000000000001E-2</v>
      </c>
    </row>
    <row r="31" spans="1:4" x14ac:dyDescent="0.25">
      <c r="A31" s="45">
        <v>2231</v>
      </c>
      <c r="B31" s="158" t="s">
        <v>22</v>
      </c>
      <c r="C31" s="36"/>
      <c r="D31" s="19"/>
    </row>
    <row r="32" spans="1:4" ht="138.75" customHeight="1" x14ac:dyDescent="0.25">
      <c r="A32" s="45"/>
      <c r="B32" s="158" t="s">
        <v>587</v>
      </c>
      <c r="C32" s="55">
        <f>ROUND(1201.87/18154,2)</f>
        <v>7.0000000000000007E-2</v>
      </c>
      <c r="D32" s="55">
        <f>C32*30</f>
        <v>2.1</v>
      </c>
    </row>
    <row r="33" spans="1:4" ht="19.5" customHeight="1" x14ac:dyDescent="0.25">
      <c r="A33" s="45">
        <v>2243</v>
      </c>
      <c r="B33" s="158" t="s">
        <v>132</v>
      </c>
      <c r="C33" s="55"/>
      <c r="D33" s="55"/>
    </row>
    <row r="34" spans="1:4" ht="48" customHeight="1" x14ac:dyDescent="0.25">
      <c r="A34" s="45"/>
      <c r="B34" s="158" t="s">
        <v>416</v>
      </c>
      <c r="C34" s="55">
        <f>ROUND(386.87/18154,3)</f>
        <v>2.1000000000000001E-2</v>
      </c>
      <c r="D34" s="82">
        <f>C34*30</f>
        <v>0.63</v>
      </c>
    </row>
    <row r="35" spans="1:4" x14ac:dyDescent="0.25">
      <c r="A35" s="18">
        <v>2244</v>
      </c>
      <c r="B35" s="158" t="s">
        <v>24</v>
      </c>
      <c r="C35" s="19"/>
      <c r="D35" s="19"/>
    </row>
    <row r="36" spans="1:4" ht="48.75" customHeight="1" x14ac:dyDescent="0.25">
      <c r="A36" s="21"/>
      <c r="B36" s="158" t="s">
        <v>188</v>
      </c>
      <c r="C36" s="55">
        <f>ROUND(383.44/18154,4)</f>
        <v>2.1100000000000001E-2</v>
      </c>
      <c r="D36" s="55">
        <f>C36*30</f>
        <v>0.63300000000000001</v>
      </c>
    </row>
    <row r="37" spans="1:4" ht="48.75" customHeight="1" x14ac:dyDescent="0.25">
      <c r="A37" s="21"/>
      <c r="B37" s="158" t="s">
        <v>575</v>
      </c>
      <c r="C37" s="40">
        <f>ROUND(5.03/18154,4)</f>
        <v>2.9999999999999997E-4</v>
      </c>
      <c r="D37" s="55">
        <f>C37*30</f>
        <v>8.9999999999999993E-3</v>
      </c>
    </row>
    <row r="38" spans="1:4" x14ac:dyDescent="0.25">
      <c r="A38" s="18">
        <v>2249</v>
      </c>
      <c r="B38" s="158" t="s">
        <v>8</v>
      </c>
      <c r="C38" s="19"/>
      <c r="D38" s="19"/>
    </row>
    <row r="39" spans="1:4" ht="49.5" customHeight="1" x14ac:dyDescent="0.25">
      <c r="A39" s="18"/>
      <c r="B39" s="158" t="s">
        <v>945</v>
      </c>
      <c r="C39" s="36">
        <f>ROUND(9.76/18154,4)</f>
        <v>5.0000000000000001E-4</v>
      </c>
      <c r="D39" s="55">
        <f>C39*30</f>
        <v>1.4999999999999999E-2</v>
      </c>
    </row>
    <row r="40" spans="1:4" x14ac:dyDescent="0.25">
      <c r="A40" s="18">
        <v>2311</v>
      </c>
      <c r="B40" s="158" t="s">
        <v>9</v>
      </c>
      <c r="C40" s="36"/>
      <c r="D40" s="19"/>
    </row>
    <row r="41" spans="1:4" ht="48" customHeight="1" x14ac:dyDescent="0.25">
      <c r="A41" s="18"/>
      <c r="B41" s="158" t="s">
        <v>424</v>
      </c>
      <c r="C41" s="36">
        <f>ROUND(54.99/18154,4)</f>
        <v>3.0000000000000001E-3</v>
      </c>
      <c r="D41" s="55">
        <f>C41*30</f>
        <v>0.09</v>
      </c>
    </row>
    <row r="42" spans="1:4" x14ac:dyDescent="0.25">
      <c r="A42" s="18">
        <v>2350</v>
      </c>
      <c r="B42" s="158" t="s">
        <v>21</v>
      </c>
      <c r="C42" s="36"/>
      <c r="D42" s="19"/>
    </row>
    <row r="43" spans="1:4" ht="81.75" customHeight="1" x14ac:dyDescent="0.25">
      <c r="A43" s="18"/>
      <c r="B43" s="158" t="s">
        <v>419</v>
      </c>
      <c r="C43" s="40">
        <f>ROUND(6.69/18154,4)</f>
        <v>4.0000000000000002E-4</v>
      </c>
      <c r="D43" s="55">
        <f>C43*30</f>
        <v>1.2E-2</v>
      </c>
    </row>
    <row r="44" spans="1:4" ht="20.25" customHeight="1" x14ac:dyDescent="0.25">
      <c r="A44" s="18">
        <v>2513</v>
      </c>
      <c r="B44" s="158" t="s">
        <v>133</v>
      </c>
      <c r="C44" s="40"/>
      <c r="D44" s="55"/>
    </row>
    <row r="45" spans="1:4" ht="51" customHeight="1" x14ac:dyDescent="0.25">
      <c r="A45" s="18"/>
      <c r="B45" s="158" t="s">
        <v>420</v>
      </c>
      <c r="C45" s="36">
        <f>ROUND(9.53/18154,4)</f>
        <v>5.0000000000000001E-4</v>
      </c>
      <c r="D45" s="55">
        <f>C45*30</f>
        <v>1.4999999999999999E-2</v>
      </c>
    </row>
    <row r="46" spans="1:4" ht="21" customHeight="1" x14ac:dyDescent="0.25">
      <c r="A46" s="18">
        <v>5220</v>
      </c>
      <c r="B46" s="158" t="s">
        <v>136</v>
      </c>
      <c r="C46" s="40"/>
      <c r="D46" s="55"/>
    </row>
    <row r="47" spans="1:4" ht="62.25" customHeight="1" x14ac:dyDescent="0.25">
      <c r="A47" s="18"/>
      <c r="B47" s="158" t="s">
        <v>839</v>
      </c>
      <c r="C47" s="40">
        <f>ROUND(25.06/18154,3)</f>
        <v>1E-3</v>
      </c>
      <c r="D47" s="55">
        <f>C47*30</f>
        <v>0.03</v>
      </c>
    </row>
    <row r="48" spans="1:4" ht="21" customHeight="1" x14ac:dyDescent="0.25">
      <c r="A48" s="18">
        <v>5238</v>
      </c>
      <c r="B48" s="158" t="s">
        <v>134</v>
      </c>
      <c r="C48" s="40"/>
      <c r="D48" s="55"/>
    </row>
    <row r="49" spans="1:4" ht="47.25" customHeight="1" x14ac:dyDescent="0.25">
      <c r="A49" s="18"/>
      <c r="B49" s="158" t="s">
        <v>840</v>
      </c>
      <c r="C49" s="36">
        <f>ROUND(33.68/18154,3)</f>
        <v>2E-3</v>
      </c>
      <c r="D49" s="55">
        <f>C49*30</f>
        <v>0.06</v>
      </c>
    </row>
    <row r="50" spans="1:4" x14ac:dyDescent="0.25">
      <c r="A50" s="68"/>
      <c r="B50" s="72" t="s">
        <v>10</v>
      </c>
      <c r="C50" s="71">
        <f>ROUND(C49+C47+C45+C43+C41+C39+C37+C36+C34+C32+C30+C28+C26+C24+C22,2)</f>
        <v>0.17</v>
      </c>
      <c r="D50" s="71">
        <f>ROUND(D49+D47+D45+D43+D41+D39+D37+D36+D34+D32+D30+D28+D26+D24+D22,2)</f>
        <v>5.0999999999999996</v>
      </c>
    </row>
    <row r="51" spans="1:4" x14ac:dyDescent="0.25">
      <c r="A51" s="23"/>
      <c r="B51" s="24" t="s">
        <v>15</v>
      </c>
      <c r="C51" s="52">
        <f>ROUND(C50+C19,2)</f>
        <v>14.48</v>
      </c>
      <c r="D51" s="52">
        <f>D50+D19</f>
        <v>434.4</v>
      </c>
    </row>
    <row r="52" spans="1:4" x14ac:dyDescent="0.25">
      <c r="A52" s="25"/>
      <c r="B52" s="26"/>
      <c r="C52" s="27"/>
      <c r="D52" s="27"/>
    </row>
    <row r="53" spans="1:4" x14ac:dyDescent="0.25">
      <c r="A53" s="26"/>
      <c r="B53" s="28"/>
      <c r="C53" s="28"/>
      <c r="D53" s="9"/>
    </row>
    <row r="54" spans="1:4" ht="15" customHeight="1" x14ac:dyDescent="0.25">
      <c r="A54" s="252" t="s">
        <v>16</v>
      </c>
      <c r="B54" s="253"/>
      <c r="C54" s="138">
        <v>30</v>
      </c>
      <c r="D54" s="29"/>
    </row>
    <row r="55" spans="1:4" ht="35.25" customHeight="1" x14ac:dyDescent="0.25">
      <c r="A55" s="254" t="s">
        <v>23</v>
      </c>
      <c r="B55" s="255"/>
      <c r="C55" s="139">
        <f>D51/30</f>
        <v>14.479999999999999</v>
      </c>
      <c r="D55" s="29"/>
    </row>
    <row r="56" spans="1:4" x14ac:dyDescent="0.25">
      <c r="A56" s="30"/>
      <c r="B56" s="30"/>
      <c r="C56" s="30"/>
      <c r="D56" s="30"/>
    </row>
    <row r="57" spans="1:4" x14ac:dyDescent="0.25">
      <c r="A57" s="30"/>
      <c r="B57" s="30"/>
      <c r="C57" s="30"/>
      <c r="D57" s="152"/>
    </row>
    <row r="58" spans="1:4" x14ac:dyDescent="0.25">
      <c r="A58" s="30"/>
      <c r="B58" s="30"/>
      <c r="C58" s="30"/>
      <c r="D58" s="152"/>
    </row>
    <row r="59" spans="1:4" x14ac:dyDescent="0.25">
      <c r="A59" s="30"/>
      <c r="B59" s="30"/>
      <c r="C59" s="30"/>
      <c r="D59" s="152"/>
    </row>
    <row r="60" spans="1:4" x14ac:dyDescent="0.25">
      <c r="A60" s="30"/>
      <c r="B60" s="30"/>
      <c r="C60" s="30"/>
      <c r="D60" s="30"/>
    </row>
    <row r="61" spans="1:4" x14ac:dyDescent="0.25">
      <c r="A61" s="231"/>
      <c r="B61" s="231"/>
      <c r="C61" s="9"/>
      <c r="D61" s="9"/>
    </row>
    <row r="62" spans="1:4" x14ac:dyDescent="0.25">
      <c r="A62" s="250"/>
      <c r="B62" s="231"/>
      <c r="C62" s="9"/>
      <c r="D62" s="9"/>
    </row>
    <row r="63" spans="1:4" x14ac:dyDescent="0.25">
      <c r="A63" s="154"/>
      <c r="B63" s="9"/>
      <c r="C63" s="31"/>
      <c r="D63" s="9"/>
    </row>
    <row r="64" spans="1:4" x14ac:dyDescent="0.25">
      <c r="A64" s="250"/>
      <c r="B64" s="250"/>
      <c r="C64" s="31"/>
      <c r="D64" s="9"/>
    </row>
  </sheetData>
  <customSheetViews>
    <customSheetView guid="{3046F990-4623-45D5-BDDC-01BD5999DDBC}" scale="60" showPageBreaks="1" fitToPage="1" printArea="1" view="pageBreakPreview" topLeftCell="A4">
      <selection activeCell="B53" sqref="B53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1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view="pageBreakPreview" topLeftCell="A13">
      <selection activeCell="B49" sqref="B49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1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view="pageBreakPreview" topLeftCell="A4">
      <selection activeCell="A6" sqref="A6:D6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6" fitToHeight="0" orientation="portrait" r:id="rId3"/>
      <headerFooter>
        <oddFooter>&amp;C&amp;P</oddFooter>
      </headerFooter>
    </customSheetView>
  </customSheetViews>
  <mergeCells count="10">
    <mergeCell ref="A64:B64"/>
    <mergeCell ref="A54:B54"/>
    <mergeCell ref="A55:B55"/>
    <mergeCell ref="C3:D3"/>
    <mergeCell ref="A61:B61"/>
    <mergeCell ref="A2:D2"/>
    <mergeCell ref="A6:D6"/>
    <mergeCell ref="A8:B8"/>
    <mergeCell ref="A10:B10"/>
    <mergeCell ref="A62:B62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4"/>
  <headerFooter>
    <oddFooter>&amp;C&amp;P</oddFooter>
  </headerFooter>
  <rowBreaks count="1" manualBreakCount="1">
    <brk id="34" max="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topLeftCell="A4" zoomScale="60" zoomScaleNormal="100" workbookViewId="0">
      <selection activeCell="B18" sqref="B18"/>
    </sheetView>
  </sheetViews>
  <sheetFormatPr defaultRowHeight="15" x14ac:dyDescent="0.25"/>
  <cols>
    <col min="1" max="1" width="13.7109375" customWidth="1"/>
    <col min="2" max="2" width="61" customWidth="1"/>
    <col min="3" max="3" width="15.5703125" customWidth="1"/>
    <col min="4" max="4" width="17.140625" customWidth="1"/>
  </cols>
  <sheetData>
    <row r="1" spans="1:11" hidden="1" x14ac:dyDescent="0.25">
      <c r="A1" s="4"/>
      <c r="B1" s="5"/>
      <c r="C1" s="43"/>
      <c r="D1" s="5"/>
    </row>
    <row r="2" spans="1:11" hidden="1" x14ac:dyDescent="0.25">
      <c r="A2" s="4"/>
      <c r="B2" s="6"/>
      <c r="C2" s="6"/>
      <c r="D2" s="5"/>
    </row>
    <row r="3" spans="1:11" hidden="1" x14ac:dyDescent="0.25">
      <c r="A3" s="4"/>
      <c r="B3" s="6"/>
      <c r="C3" s="6"/>
      <c r="D3" s="7"/>
    </row>
    <row r="4" spans="1:11" ht="18.75" x14ac:dyDescent="0.3">
      <c r="A4" s="4"/>
      <c r="B4" s="5"/>
      <c r="C4" s="35"/>
      <c r="D4" s="5"/>
    </row>
    <row r="5" spans="1:11" ht="15.75" customHeight="1" x14ac:dyDescent="0.25">
      <c r="A5" s="256" t="s">
        <v>307</v>
      </c>
      <c r="B5" s="256"/>
      <c r="C5" s="256"/>
      <c r="D5" s="256"/>
    </row>
    <row r="6" spans="1:11" ht="15" customHeight="1" x14ac:dyDescent="0.25">
      <c r="A6" s="4"/>
      <c r="B6" s="4"/>
      <c r="C6" s="273"/>
      <c r="D6" s="274"/>
    </row>
    <row r="7" spans="1:11" ht="15.75" x14ac:dyDescent="0.25">
      <c r="A7" s="186" t="s">
        <v>723</v>
      </c>
      <c r="B7" s="32"/>
      <c r="C7" s="32"/>
      <c r="D7" s="32"/>
    </row>
    <row r="8" spans="1:11" x14ac:dyDescent="0.25">
      <c r="A8" s="4"/>
      <c r="B8" s="33"/>
      <c r="C8" s="33"/>
      <c r="D8" s="9"/>
    </row>
    <row r="9" spans="1:11" ht="31.5" customHeight="1" x14ac:dyDescent="0.25">
      <c r="A9" s="272" t="s">
        <v>1029</v>
      </c>
      <c r="B9" s="272"/>
      <c r="C9" s="272"/>
      <c r="D9" s="272"/>
    </row>
    <row r="10" spans="1:11" ht="15.75" customHeight="1" x14ac:dyDescent="0.25">
      <c r="A10" s="180"/>
      <c r="B10" s="34"/>
      <c r="C10" s="34"/>
      <c r="D10" s="9"/>
      <c r="E10" s="42"/>
      <c r="F10" s="42"/>
      <c r="G10" s="42"/>
      <c r="H10" s="42"/>
      <c r="I10" s="42"/>
      <c r="J10" s="42"/>
      <c r="K10" s="42"/>
    </row>
    <row r="11" spans="1:11" x14ac:dyDescent="0.25">
      <c r="A11" s="270" t="s">
        <v>309</v>
      </c>
      <c r="B11" s="271"/>
      <c r="C11" s="34"/>
      <c r="D11" s="9"/>
    </row>
    <row r="12" spans="1:11" ht="15" customHeight="1" x14ac:dyDescent="0.25">
      <c r="A12" s="183"/>
      <c r="B12" s="184"/>
      <c r="C12" s="34"/>
      <c r="D12" s="9"/>
    </row>
    <row r="13" spans="1:11" ht="15.75" x14ac:dyDescent="0.25">
      <c r="A13" s="251" t="s">
        <v>730</v>
      </c>
      <c r="B13" s="251"/>
      <c r="C13" s="8"/>
      <c r="D13" s="9"/>
    </row>
    <row r="14" spans="1:11" hidden="1" x14ac:dyDescent="0.25">
      <c r="A14" s="4"/>
      <c r="B14" s="11"/>
      <c r="C14" s="8"/>
      <c r="D14" s="9"/>
    </row>
    <row r="15" spans="1:11" ht="90" x14ac:dyDescent="0.25">
      <c r="A15" s="12" t="s">
        <v>0</v>
      </c>
      <c r="B15" s="12" t="s">
        <v>1</v>
      </c>
      <c r="C15" s="12" t="s">
        <v>83</v>
      </c>
      <c r="D15" s="12" t="s">
        <v>18</v>
      </c>
    </row>
    <row r="16" spans="1:11" x14ac:dyDescent="0.25">
      <c r="A16" s="13">
        <v>1</v>
      </c>
      <c r="B16" s="14">
        <v>2</v>
      </c>
      <c r="C16" s="13">
        <v>3</v>
      </c>
      <c r="D16" s="13">
        <v>4</v>
      </c>
    </row>
    <row r="17" spans="1:4" x14ac:dyDescent="0.25">
      <c r="A17" s="15"/>
      <c r="B17" s="22" t="s">
        <v>13</v>
      </c>
      <c r="C17" s="17"/>
      <c r="D17" s="17"/>
    </row>
    <row r="18" spans="1:4" x14ac:dyDescent="0.25">
      <c r="A18" s="37">
        <v>1100</v>
      </c>
      <c r="B18" s="16" t="s">
        <v>14</v>
      </c>
      <c r="C18" s="38"/>
      <c r="D18" s="38"/>
    </row>
    <row r="19" spans="1:4" ht="89.25" customHeight="1" x14ac:dyDescent="0.25">
      <c r="A19" s="18"/>
      <c r="B19" s="157" t="s">
        <v>425</v>
      </c>
      <c r="C19" s="55">
        <f>0.11*45</f>
        <v>4.95</v>
      </c>
      <c r="D19" s="55">
        <f>C19*20</f>
        <v>99</v>
      </c>
    </row>
    <row r="20" spans="1:4" ht="34.5" customHeight="1" x14ac:dyDescent="0.25">
      <c r="A20" s="18">
        <v>1200</v>
      </c>
      <c r="B20" s="158" t="s">
        <v>426</v>
      </c>
      <c r="C20" s="55">
        <f>ROUND(C19*0.2359,2)</f>
        <v>1.17</v>
      </c>
      <c r="D20" s="55">
        <f>C20*20</f>
        <v>23.4</v>
      </c>
    </row>
    <row r="21" spans="1:4" x14ac:dyDescent="0.25">
      <c r="A21" s="18">
        <v>2341</v>
      </c>
      <c r="B21" s="18" t="s">
        <v>77</v>
      </c>
      <c r="C21" s="19"/>
      <c r="D21" s="19"/>
    </row>
    <row r="22" spans="1:4" ht="95.25" customHeight="1" x14ac:dyDescent="0.25">
      <c r="A22" s="18"/>
      <c r="B22" s="158" t="s">
        <v>427</v>
      </c>
      <c r="C22" s="55">
        <f>9.82+0.35+0.04+0.01+0.02+76.14</f>
        <v>86.38</v>
      </c>
      <c r="D22" s="55">
        <f>C22*20</f>
        <v>1727.6</v>
      </c>
    </row>
    <row r="23" spans="1:4" x14ac:dyDescent="0.25">
      <c r="A23" s="68"/>
      <c r="B23" s="159" t="s">
        <v>2</v>
      </c>
      <c r="C23" s="71">
        <f>SUM(C18:C22)</f>
        <v>92.5</v>
      </c>
      <c r="D23" s="71">
        <f>SUM(D18:D22)</f>
        <v>1850</v>
      </c>
    </row>
    <row r="24" spans="1:4" x14ac:dyDescent="0.25">
      <c r="A24" s="18"/>
      <c r="B24" s="160" t="s">
        <v>20</v>
      </c>
      <c r="C24" s="19"/>
      <c r="D24" s="19"/>
    </row>
    <row r="25" spans="1:4" x14ac:dyDescent="0.25">
      <c r="A25" s="18">
        <v>2219</v>
      </c>
      <c r="B25" s="158" t="s">
        <v>3</v>
      </c>
      <c r="C25" s="19"/>
      <c r="D25" s="19"/>
    </row>
    <row r="26" spans="1:4" ht="108" customHeight="1" x14ac:dyDescent="0.25">
      <c r="A26" s="18"/>
      <c r="B26" s="158" t="s">
        <v>645</v>
      </c>
      <c r="C26" s="40">
        <f>ROUND(3.18/18154,4)</f>
        <v>2.0000000000000001E-4</v>
      </c>
      <c r="D26" s="36">
        <f>C26*20</f>
        <v>4.0000000000000001E-3</v>
      </c>
    </row>
    <row r="27" spans="1:4" x14ac:dyDescent="0.25">
      <c r="A27" s="18">
        <v>2221</v>
      </c>
      <c r="B27" s="158" t="s">
        <v>4</v>
      </c>
      <c r="C27" s="19"/>
      <c r="D27" s="19"/>
    </row>
    <row r="28" spans="1:4" ht="52.5" customHeight="1" x14ac:dyDescent="0.25">
      <c r="A28" s="18"/>
      <c r="B28" s="158" t="s">
        <v>511</v>
      </c>
      <c r="C28" s="55">
        <f>ROUND(301.59/18154,4)</f>
        <v>1.66E-2</v>
      </c>
      <c r="D28" s="55">
        <f>C28*20</f>
        <v>0.33200000000000002</v>
      </c>
    </row>
    <row r="29" spans="1:4" ht="15" customHeight="1" x14ac:dyDescent="0.25">
      <c r="A29" s="18">
        <v>2222</v>
      </c>
      <c r="B29" s="158" t="s">
        <v>5</v>
      </c>
      <c r="C29" s="19"/>
      <c r="D29" s="19"/>
    </row>
    <row r="30" spans="1:4" ht="56.25" customHeight="1" x14ac:dyDescent="0.25">
      <c r="A30" s="18"/>
      <c r="B30" s="158" t="s">
        <v>173</v>
      </c>
      <c r="C30" s="36">
        <f>ROUND(31.02/18154,4)</f>
        <v>1.6999999999999999E-3</v>
      </c>
      <c r="D30" s="55">
        <f>C30*20</f>
        <v>3.3999999999999996E-2</v>
      </c>
    </row>
    <row r="31" spans="1:4" x14ac:dyDescent="0.25">
      <c r="A31" s="18">
        <v>2223</v>
      </c>
      <c r="B31" s="18" t="s">
        <v>6</v>
      </c>
      <c r="C31" s="19"/>
      <c r="D31" s="19"/>
    </row>
    <row r="32" spans="1:4" ht="60" x14ac:dyDescent="0.25">
      <c r="A32" s="18"/>
      <c r="B32" s="158" t="s">
        <v>364</v>
      </c>
      <c r="C32" s="55">
        <f>ROUND(538.27/18154,3)</f>
        <v>0.03</v>
      </c>
      <c r="D32" s="55">
        <f>C32*20</f>
        <v>0.6</v>
      </c>
    </row>
    <row r="33" spans="1:4" x14ac:dyDescent="0.25">
      <c r="A33" s="18">
        <v>2224</v>
      </c>
      <c r="B33" s="158" t="s">
        <v>7</v>
      </c>
      <c r="C33" s="19"/>
      <c r="D33" s="19"/>
    </row>
    <row r="34" spans="1:4" ht="65.25" customHeight="1" x14ac:dyDescent="0.25">
      <c r="A34" s="18"/>
      <c r="B34" s="158" t="s">
        <v>428</v>
      </c>
      <c r="C34" s="36">
        <f>ROUND(28.86/18154,4)</f>
        <v>1.6000000000000001E-3</v>
      </c>
      <c r="D34" s="55">
        <f>C34*20</f>
        <v>3.2000000000000001E-2</v>
      </c>
    </row>
    <row r="35" spans="1:4" x14ac:dyDescent="0.25">
      <c r="A35" s="45">
        <v>2231</v>
      </c>
      <c r="B35" s="158" t="s">
        <v>22</v>
      </c>
      <c r="C35" s="36"/>
      <c r="D35" s="19"/>
    </row>
    <row r="36" spans="1:4" ht="194.25" customHeight="1" x14ac:dyDescent="0.25">
      <c r="A36" s="45"/>
      <c r="B36" s="158" t="s">
        <v>644</v>
      </c>
      <c r="C36" s="55">
        <f>ROUND(1201.87/18154,2)</f>
        <v>7.0000000000000007E-2</v>
      </c>
      <c r="D36" s="55">
        <f>C36*20</f>
        <v>1.4000000000000001</v>
      </c>
    </row>
    <row r="37" spans="1:4" ht="18" customHeight="1" x14ac:dyDescent="0.25">
      <c r="A37" s="45">
        <v>2243</v>
      </c>
      <c r="B37" s="158" t="s">
        <v>132</v>
      </c>
      <c r="C37" s="55"/>
      <c r="D37" s="55"/>
    </row>
    <row r="38" spans="1:4" ht="66" customHeight="1" x14ac:dyDescent="0.25">
      <c r="A38" s="45"/>
      <c r="B38" s="158" t="s">
        <v>429</v>
      </c>
      <c r="C38" s="55">
        <f>ROUND(386.87/18154,3)</f>
        <v>2.1000000000000001E-2</v>
      </c>
      <c r="D38" s="82">
        <f>C38*20</f>
        <v>0.42000000000000004</v>
      </c>
    </row>
    <row r="39" spans="1:4" x14ac:dyDescent="0.25">
      <c r="A39" s="18">
        <v>2244</v>
      </c>
      <c r="B39" s="158" t="s">
        <v>24</v>
      </c>
      <c r="C39" s="19"/>
      <c r="D39" s="19"/>
    </row>
    <row r="40" spans="1:4" ht="74.25" customHeight="1" x14ac:dyDescent="0.25">
      <c r="A40" s="21"/>
      <c r="B40" s="158" t="s">
        <v>175</v>
      </c>
      <c r="C40" s="55">
        <f>ROUND(383.44/18154,4)</f>
        <v>2.1100000000000001E-2</v>
      </c>
      <c r="D40" s="55">
        <f>C40*20</f>
        <v>0.42200000000000004</v>
      </c>
    </row>
    <row r="41" spans="1:4" ht="58.5" customHeight="1" x14ac:dyDescent="0.25">
      <c r="A41" s="21"/>
      <c r="B41" s="158" t="s">
        <v>190</v>
      </c>
      <c r="C41" s="40">
        <f>ROUND(5.03/18154,4)</f>
        <v>2.9999999999999997E-4</v>
      </c>
      <c r="D41" s="55">
        <f>C41*20</f>
        <v>5.9999999999999993E-3</v>
      </c>
    </row>
    <row r="42" spans="1:4" x14ac:dyDescent="0.25">
      <c r="A42" s="18">
        <v>2249</v>
      </c>
      <c r="B42" s="158" t="s">
        <v>8</v>
      </c>
      <c r="C42" s="19"/>
      <c r="D42" s="19"/>
    </row>
    <row r="43" spans="1:4" ht="61.5" customHeight="1" x14ac:dyDescent="0.25">
      <c r="A43" s="18"/>
      <c r="B43" s="158" t="s">
        <v>430</v>
      </c>
      <c r="C43" s="36">
        <f>ROUND(9.76/18154,4)</f>
        <v>5.0000000000000001E-4</v>
      </c>
      <c r="D43" s="55">
        <f>C43*20</f>
        <v>0.01</v>
      </c>
    </row>
    <row r="44" spans="1:4" x14ac:dyDescent="0.25">
      <c r="A44" s="18">
        <v>2311</v>
      </c>
      <c r="B44" s="158" t="s">
        <v>9</v>
      </c>
      <c r="C44" s="36"/>
      <c r="D44" s="19"/>
    </row>
    <row r="45" spans="1:4" ht="69" customHeight="1" x14ac:dyDescent="0.25">
      <c r="A45" s="18"/>
      <c r="B45" s="158" t="s">
        <v>431</v>
      </c>
      <c r="C45" s="36">
        <f>ROUND(54.99/18154,4)</f>
        <v>3.0000000000000001E-3</v>
      </c>
      <c r="D45" s="55">
        <f>C45*20</f>
        <v>0.06</v>
      </c>
    </row>
    <row r="46" spans="1:4" x14ac:dyDescent="0.25">
      <c r="A46" s="18">
        <v>2350</v>
      </c>
      <c r="B46" s="158" t="s">
        <v>21</v>
      </c>
      <c r="C46" s="36"/>
      <c r="D46" s="19"/>
    </row>
    <row r="47" spans="1:4" ht="92.25" customHeight="1" x14ac:dyDescent="0.25">
      <c r="A47" s="18"/>
      <c r="B47" s="158" t="s">
        <v>361</v>
      </c>
      <c r="C47" s="40">
        <f>ROUND(6.69/18154,4)</f>
        <v>4.0000000000000002E-4</v>
      </c>
      <c r="D47" s="55">
        <f>C47*20</f>
        <v>8.0000000000000002E-3</v>
      </c>
    </row>
    <row r="48" spans="1:4" ht="17.25" customHeight="1" x14ac:dyDescent="0.25">
      <c r="A48" s="18">
        <v>2513</v>
      </c>
      <c r="B48" s="158" t="s">
        <v>133</v>
      </c>
      <c r="C48" s="40"/>
      <c r="D48" s="55"/>
    </row>
    <row r="49" spans="1:4" ht="55.5" customHeight="1" x14ac:dyDescent="0.25">
      <c r="A49" s="18"/>
      <c r="B49" s="158" t="s">
        <v>360</v>
      </c>
      <c r="C49" s="36">
        <f>ROUND(9.53/18154,4)</f>
        <v>5.0000000000000001E-4</v>
      </c>
      <c r="D49" s="55">
        <f>C49*20</f>
        <v>0.01</v>
      </c>
    </row>
    <row r="50" spans="1:4" ht="20.25" customHeight="1" x14ac:dyDescent="0.25">
      <c r="A50" s="18">
        <v>5220</v>
      </c>
      <c r="B50" s="158" t="s">
        <v>136</v>
      </c>
      <c r="C50" s="40"/>
      <c r="D50" s="55"/>
    </row>
    <row r="51" spans="1:4" ht="78.75" customHeight="1" x14ac:dyDescent="0.25">
      <c r="A51" s="18"/>
      <c r="B51" s="158" t="s">
        <v>432</v>
      </c>
      <c r="C51" s="36">
        <f>ROUND(25.06/18154,3)</f>
        <v>1E-3</v>
      </c>
      <c r="D51" s="55">
        <f>C51*20</f>
        <v>0.02</v>
      </c>
    </row>
    <row r="52" spans="1:4" ht="18.75" customHeight="1" x14ac:dyDescent="0.25">
      <c r="A52" s="18">
        <v>5238</v>
      </c>
      <c r="B52" s="158" t="s">
        <v>134</v>
      </c>
      <c r="C52" s="40"/>
      <c r="D52" s="55"/>
    </row>
    <row r="53" spans="1:4" ht="54" customHeight="1" x14ac:dyDescent="0.25">
      <c r="A53" s="18"/>
      <c r="B53" s="158" t="s">
        <v>367</v>
      </c>
      <c r="C53" s="36">
        <f>ROUND(33.68/18154,3)</f>
        <v>2E-3</v>
      </c>
      <c r="D53" s="55">
        <f>C53*20</f>
        <v>0.04</v>
      </c>
    </row>
    <row r="54" spans="1:4" x14ac:dyDescent="0.25">
      <c r="A54" s="68"/>
      <c r="B54" s="72" t="s">
        <v>10</v>
      </c>
      <c r="C54" s="71">
        <f>ROUND(C53+C51+C49+C47+C45+C43+C41+C40+C38+C36+C34+C32+C30+C28+C26,2)</f>
        <v>0.17</v>
      </c>
      <c r="D54" s="71">
        <f>ROUND(D53+D51+D49+D47+D45+D43+D41+D40+D38+D36+D34+D32+D30+D28+D26,2)</f>
        <v>3.4</v>
      </c>
    </row>
    <row r="55" spans="1:4" x14ac:dyDescent="0.25">
      <c r="A55" s="23"/>
      <c r="B55" s="24" t="s">
        <v>15</v>
      </c>
      <c r="C55" s="52">
        <f>ROUND(C54+C23,2)</f>
        <v>92.67</v>
      </c>
      <c r="D55" s="52">
        <f>D54+D23</f>
        <v>1853.4</v>
      </c>
    </row>
    <row r="56" spans="1:4" x14ac:dyDescent="0.25">
      <c r="A56" s="25"/>
      <c r="B56" s="26"/>
      <c r="C56" s="27"/>
      <c r="D56" s="27"/>
    </row>
    <row r="57" spans="1:4" x14ac:dyDescent="0.25">
      <c r="A57" s="26"/>
      <c r="B57" s="28"/>
      <c r="C57" s="28"/>
      <c r="D57" s="9"/>
    </row>
    <row r="58" spans="1:4" ht="15" customHeight="1" x14ac:dyDescent="0.25">
      <c r="A58" s="252" t="s">
        <v>16</v>
      </c>
      <c r="B58" s="253"/>
      <c r="C58" s="138">
        <v>20</v>
      </c>
      <c r="D58" s="29"/>
    </row>
    <row r="59" spans="1:4" ht="38.25" customHeight="1" x14ac:dyDescent="0.25">
      <c r="A59" s="254" t="s">
        <v>23</v>
      </c>
      <c r="B59" s="255"/>
      <c r="C59" s="139">
        <f>D55/C58</f>
        <v>92.67</v>
      </c>
      <c r="D59" s="29"/>
    </row>
    <row r="60" spans="1:4" x14ac:dyDescent="0.25">
      <c r="A60" s="30"/>
      <c r="B60" s="30"/>
      <c r="C60" s="30"/>
      <c r="D60" s="30"/>
    </row>
    <row r="61" spans="1:4" x14ac:dyDescent="0.25">
      <c r="A61" s="30"/>
      <c r="B61" s="30"/>
      <c r="C61" s="30"/>
      <c r="D61" s="152"/>
    </row>
    <row r="62" spans="1:4" x14ac:dyDescent="0.25">
      <c r="A62" s="30"/>
      <c r="B62" s="30"/>
      <c r="C62" s="30"/>
      <c r="D62" s="152"/>
    </row>
    <row r="63" spans="1:4" x14ac:dyDescent="0.25">
      <c r="A63" s="30"/>
      <c r="B63" s="30"/>
      <c r="C63" s="30"/>
      <c r="D63" s="152"/>
    </row>
    <row r="64" spans="1:4" x14ac:dyDescent="0.25">
      <c r="A64" s="30"/>
      <c r="B64" s="30"/>
      <c r="C64" s="30"/>
      <c r="D64" s="30"/>
    </row>
    <row r="65" spans="1:4" x14ac:dyDescent="0.25">
      <c r="A65" s="231"/>
      <c r="B65" s="231"/>
      <c r="C65" s="9"/>
      <c r="D65" s="9"/>
    </row>
    <row r="66" spans="1:4" x14ac:dyDescent="0.25">
      <c r="A66" s="250"/>
      <c r="B66" s="231"/>
      <c r="C66" s="9"/>
      <c r="D66" s="9"/>
    </row>
    <row r="67" spans="1:4" x14ac:dyDescent="0.25">
      <c r="A67" s="154"/>
      <c r="B67" s="9"/>
      <c r="C67" s="31"/>
      <c r="D67" s="9"/>
    </row>
    <row r="68" spans="1:4" x14ac:dyDescent="0.25">
      <c r="A68" s="250"/>
      <c r="B68" s="250"/>
      <c r="C68" s="31"/>
      <c r="D68" s="9"/>
    </row>
  </sheetData>
  <customSheetViews>
    <customSheetView guid="{3046F990-4623-45D5-BDDC-01BD5999DDBC}" scale="60" showPageBreaks="1" fitToPage="1" printArea="1" hiddenRows="1" view="pageBreakPreview" topLeftCell="A4">
      <selection activeCell="B53" sqref="B53"/>
      <rowBreaks count="2" manualBreakCount="2">
        <brk id="33" max="3" man="1"/>
        <brk id="51" max="3" man="1"/>
      </rowBreaks>
      <pageMargins left="0.70866141732283472" right="0.70866141732283472" top="0.74803149606299213" bottom="0.74803149606299213" header="0.31496062992125984" footer="0.31496062992125984"/>
      <pageSetup paperSize="9" scale="81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hiddenRows="1" view="pageBreakPreview" topLeftCell="A4">
      <selection activeCell="A9" sqref="A9:D9"/>
      <rowBreaks count="2" manualBreakCount="2">
        <brk id="33" max="3" man="1"/>
        <brk id="51" max="3" man="1"/>
      </rowBreaks>
      <pageMargins left="0.70866141732283472" right="0.70866141732283472" top="0.74803149606299213" bottom="0.74803149606299213" header="0.31496062992125984" footer="0.31496062992125984"/>
      <pageSetup paperSize="9" scale="81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hiddenRows="1" view="pageBreakPreview" topLeftCell="A4">
      <selection activeCell="B18" sqref="B18"/>
      <rowBreaks count="2" manualBreakCount="2">
        <brk id="33" max="3" man="1"/>
        <brk id="51" max="3" man="1"/>
      </rowBreaks>
      <pageMargins left="0.70866141732283472" right="0.70866141732283472" top="0.74803149606299213" bottom="0.74803149606299213" header="0.31496062992125984" footer="0.31496062992125984"/>
      <pageSetup paperSize="9" scale="81" fitToHeight="0" orientation="portrait" r:id="rId3"/>
      <headerFooter>
        <oddFooter>&amp;C&amp;P</oddFooter>
      </headerFooter>
    </customSheetView>
  </customSheetViews>
  <mergeCells count="10">
    <mergeCell ref="A68:B68"/>
    <mergeCell ref="A58:B58"/>
    <mergeCell ref="A59:B59"/>
    <mergeCell ref="C6:D6"/>
    <mergeCell ref="A65:B65"/>
    <mergeCell ref="A5:D5"/>
    <mergeCell ref="A9:D9"/>
    <mergeCell ref="A11:B11"/>
    <mergeCell ref="A13:B13"/>
    <mergeCell ref="A66:B66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4"/>
  <headerFooter>
    <oddFooter>&amp;C&amp;P</oddFooter>
  </headerFooter>
  <rowBreaks count="2" manualBreakCount="2">
    <brk id="33" max="3" man="1"/>
    <brk id="51" max="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view="pageBreakPreview" zoomScale="60" zoomScaleNormal="100" workbookViewId="0">
      <selection activeCell="B28" sqref="B28"/>
    </sheetView>
  </sheetViews>
  <sheetFormatPr defaultRowHeight="15" x14ac:dyDescent="0.25"/>
  <cols>
    <col min="1" max="1" width="13.42578125" customWidth="1"/>
    <col min="2" max="2" width="91.28515625" customWidth="1"/>
    <col min="3" max="3" width="14.85546875" customWidth="1"/>
    <col min="4" max="4" width="16.7109375" customWidth="1"/>
  </cols>
  <sheetData>
    <row r="1" spans="1:11" ht="18.75" x14ac:dyDescent="0.3">
      <c r="A1" s="4"/>
      <c r="B1" s="5"/>
      <c r="C1" s="35"/>
      <c r="D1" s="5"/>
    </row>
    <row r="2" spans="1:11" ht="15.75" customHeight="1" x14ac:dyDescent="0.25">
      <c r="A2" s="256" t="s">
        <v>307</v>
      </c>
      <c r="B2" s="256"/>
      <c r="C2" s="256"/>
      <c r="D2" s="256"/>
    </row>
    <row r="3" spans="1:11" ht="15" customHeight="1" x14ac:dyDescent="0.25">
      <c r="A3" s="4"/>
      <c r="B3" s="4"/>
      <c r="C3" s="273"/>
      <c r="D3" s="274"/>
    </row>
    <row r="4" spans="1:11" ht="15.75" x14ac:dyDescent="0.25">
      <c r="A4" s="186" t="s">
        <v>723</v>
      </c>
      <c r="B4" s="32"/>
      <c r="C4" s="32"/>
      <c r="D4" s="32"/>
    </row>
    <row r="5" spans="1:11" x14ac:dyDescent="0.25">
      <c r="A5" s="4"/>
      <c r="B5" s="33"/>
      <c r="C5" s="33"/>
      <c r="D5" s="9"/>
    </row>
    <row r="6" spans="1:11" ht="32.25" customHeight="1" x14ac:dyDescent="0.25">
      <c r="A6" s="272" t="s">
        <v>1030</v>
      </c>
      <c r="B6" s="272"/>
      <c r="C6" s="272"/>
      <c r="D6" s="272"/>
    </row>
    <row r="7" spans="1:11" ht="15.75" customHeight="1" x14ac:dyDescent="0.25">
      <c r="A7" s="180"/>
      <c r="B7" s="34"/>
      <c r="C7" s="34"/>
      <c r="D7" s="9"/>
      <c r="E7" s="42"/>
      <c r="F7" s="42"/>
      <c r="G7" s="42"/>
      <c r="H7" s="42"/>
      <c r="I7" s="42"/>
      <c r="J7" s="42"/>
      <c r="K7" s="42"/>
    </row>
    <row r="8" spans="1:11" x14ac:dyDescent="0.25">
      <c r="A8" s="270" t="s">
        <v>309</v>
      </c>
      <c r="B8" s="271"/>
      <c r="C8" s="34"/>
      <c r="D8" s="9"/>
    </row>
    <row r="9" spans="1:11" ht="15" customHeight="1" x14ac:dyDescent="0.25">
      <c r="A9" s="183"/>
      <c r="B9" s="184"/>
      <c r="C9" s="34"/>
      <c r="D9" s="9"/>
    </row>
    <row r="10" spans="1:11" ht="15.75" x14ac:dyDescent="0.25">
      <c r="A10" s="251" t="s">
        <v>730</v>
      </c>
      <c r="B10" s="251"/>
      <c r="C10" s="8"/>
      <c r="D10" s="9"/>
    </row>
    <row r="11" spans="1:11" hidden="1" x14ac:dyDescent="0.25">
      <c r="A11" s="4"/>
      <c r="B11" s="11"/>
      <c r="C11" s="8"/>
      <c r="D11" s="9"/>
    </row>
    <row r="12" spans="1:11" ht="90" x14ac:dyDescent="0.25">
      <c r="A12" s="12" t="s">
        <v>0</v>
      </c>
      <c r="B12" s="12" t="s">
        <v>1</v>
      </c>
      <c r="C12" s="12" t="s">
        <v>83</v>
      </c>
      <c r="D12" s="12" t="s">
        <v>18</v>
      </c>
    </row>
    <row r="13" spans="1:11" x14ac:dyDescent="0.25">
      <c r="A13" s="13">
        <v>1</v>
      </c>
      <c r="B13" s="14">
        <v>2</v>
      </c>
      <c r="C13" s="13">
        <v>3</v>
      </c>
      <c r="D13" s="13">
        <v>4</v>
      </c>
    </row>
    <row r="14" spans="1:11" x14ac:dyDescent="0.25">
      <c r="A14" s="15"/>
      <c r="B14" s="22" t="s">
        <v>13</v>
      </c>
      <c r="C14" s="17"/>
      <c r="D14" s="17"/>
    </row>
    <row r="15" spans="1:11" x14ac:dyDescent="0.25">
      <c r="A15" s="37">
        <v>1100</v>
      </c>
      <c r="B15" s="16" t="s">
        <v>14</v>
      </c>
      <c r="C15" s="38"/>
      <c r="D15" s="38"/>
    </row>
    <row r="16" spans="1:11" ht="72.75" customHeight="1" x14ac:dyDescent="0.25">
      <c r="A16" s="18"/>
      <c r="B16" s="157" t="s">
        <v>433</v>
      </c>
      <c r="C16" s="55">
        <f>0.11*20</f>
        <v>2.2000000000000002</v>
      </c>
      <c r="D16" s="55">
        <f>C16*200</f>
        <v>440.00000000000006</v>
      </c>
    </row>
    <row r="17" spans="1:4" ht="30" x14ac:dyDescent="0.25">
      <c r="A17" s="18">
        <v>1200</v>
      </c>
      <c r="B17" s="158" t="s">
        <v>284</v>
      </c>
      <c r="C17" s="55">
        <f>ROUND(C16*0.2359,2)</f>
        <v>0.52</v>
      </c>
      <c r="D17" s="55">
        <f>C17*200</f>
        <v>104</v>
      </c>
    </row>
    <row r="18" spans="1:4" x14ac:dyDescent="0.25">
      <c r="A18" s="18">
        <v>2341</v>
      </c>
      <c r="B18" s="18" t="s">
        <v>77</v>
      </c>
      <c r="C18" s="19"/>
      <c r="D18" s="19"/>
    </row>
    <row r="19" spans="1:4" ht="72" customHeight="1" x14ac:dyDescent="0.25">
      <c r="A19" s="18"/>
      <c r="B19" s="158" t="s">
        <v>434</v>
      </c>
      <c r="C19" s="55">
        <f>2.06+0.39+0.04+0.01+0.02+0.1</f>
        <v>2.62</v>
      </c>
      <c r="D19" s="55">
        <f>C19*200</f>
        <v>524</v>
      </c>
    </row>
    <row r="20" spans="1:4" hidden="1" x14ac:dyDescent="0.25">
      <c r="A20" s="18"/>
      <c r="B20" s="158" t="s">
        <v>72</v>
      </c>
      <c r="C20" s="36"/>
      <c r="D20" s="55"/>
    </row>
    <row r="21" spans="1:4" x14ac:dyDescent="0.25">
      <c r="A21" s="74"/>
      <c r="B21" s="159" t="s">
        <v>2</v>
      </c>
      <c r="C21" s="71">
        <f>SUM(C15:C19)</f>
        <v>5.34</v>
      </c>
      <c r="D21" s="71">
        <f>SUM(D15:D19)</f>
        <v>1068</v>
      </c>
    </row>
    <row r="22" spans="1:4" x14ac:dyDescent="0.25">
      <c r="A22" s="18"/>
      <c r="B22" s="160" t="s">
        <v>20</v>
      </c>
      <c r="C22" s="19"/>
      <c r="D22" s="19"/>
    </row>
    <row r="23" spans="1:4" x14ac:dyDescent="0.25">
      <c r="A23" s="18">
        <v>2219</v>
      </c>
      <c r="B23" s="158" t="s">
        <v>3</v>
      </c>
      <c r="C23" s="19"/>
      <c r="D23" s="19"/>
    </row>
    <row r="24" spans="1:4" ht="81.75" customHeight="1" x14ac:dyDescent="0.25">
      <c r="A24" s="18"/>
      <c r="B24" s="158" t="s">
        <v>841</v>
      </c>
      <c r="C24" s="40">
        <f>ROUND(3.18/18154,4)</f>
        <v>2.0000000000000001E-4</v>
      </c>
      <c r="D24" s="55">
        <f>C24*200</f>
        <v>0.04</v>
      </c>
    </row>
    <row r="25" spans="1:4" x14ac:dyDescent="0.25">
      <c r="A25" s="18">
        <v>2221</v>
      </c>
      <c r="B25" s="158" t="s">
        <v>4</v>
      </c>
      <c r="C25" s="19"/>
      <c r="D25" s="19"/>
    </row>
    <row r="26" spans="1:4" ht="35.25" customHeight="1" x14ac:dyDescent="0.25">
      <c r="A26" s="18"/>
      <c r="B26" s="158" t="s">
        <v>633</v>
      </c>
      <c r="C26" s="55">
        <f>ROUND(301.59/18154,4)</f>
        <v>1.66E-2</v>
      </c>
      <c r="D26" s="55">
        <f>C26*200</f>
        <v>3.32</v>
      </c>
    </row>
    <row r="27" spans="1:4" ht="15" customHeight="1" x14ac:dyDescent="0.25">
      <c r="A27" s="18">
        <v>2222</v>
      </c>
      <c r="B27" s="158" t="s">
        <v>5</v>
      </c>
      <c r="C27" s="19"/>
      <c r="D27" s="19"/>
    </row>
    <row r="28" spans="1:4" ht="47.25" customHeight="1" x14ac:dyDescent="0.25">
      <c r="A28" s="18"/>
      <c r="B28" s="158" t="s">
        <v>435</v>
      </c>
      <c r="C28" s="36">
        <f>ROUND(31.02/18154,4)</f>
        <v>1.6999999999999999E-3</v>
      </c>
      <c r="D28" s="55">
        <f>C28*200</f>
        <v>0.33999999999999997</v>
      </c>
    </row>
    <row r="29" spans="1:4" x14ac:dyDescent="0.25">
      <c r="A29" s="18">
        <v>2223</v>
      </c>
      <c r="B29" s="18" t="s">
        <v>6</v>
      </c>
      <c r="C29" s="19"/>
      <c r="D29" s="19"/>
    </row>
    <row r="30" spans="1:4" ht="47.25" customHeight="1" x14ac:dyDescent="0.25">
      <c r="A30" s="18"/>
      <c r="B30" s="158" t="s">
        <v>191</v>
      </c>
      <c r="C30" s="55">
        <f>ROUND(538.27/18154,2)</f>
        <v>0.03</v>
      </c>
      <c r="D30" s="55">
        <f>C30*200</f>
        <v>6</v>
      </c>
    </row>
    <row r="31" spans="1:4" x14ac:dyDescent="0.25">
      <c r="A31" s="18">
        <v>2224</v>
      </c>
      <c r="B31" s="158" t="s">
        <v>7</v>
      </c>
      <c r="C31" s="19"/>
      <c r="D31" s="19"/>
    </row>
    <row r="32" spans="1:4" ht="45" customHeight="1" x14ac:dyDescent="0.25">
      <c r="A32" s="18"/>
      <c r="B32" s="158" t="s">
        <v>436</v>
      </c>
      <c r="C32" s="36">
        <f>ROUND(28.86/18154,4)</f>
        <v>1.6000000000000001E-3</v>
      </c>
      <c r="D32" s="55">
        <f>C32*200</f>
        <v>0.32</v>
      </c>
    </row>
    <row r="33" spans="1:4" x14ac:dyDescent="0.25">
      <c r="A33" s="45">
        <v>2231</v>
      </c>
      <c r="B33" s="158" t="s">
        <v>22</v>
      </c>
      <c r="C33" s="36"/>
      <c r="D33" s="19"/>
    </row>
    <row r="34" spans="1:4" ht="143.25" customHeight="1" x14ac:dyDescent="0.25">
      <c r="A34" s="45"/>
      <c r="B34" s="158" t="s">
        <v>437</v>
      </c>
      <c r="C34" s="55">
        <f>ROUND(1201.87/18154,2)</f>
        <v>7.0000000000000007E-2</v>
      </c>
      <c r="D34" s="55">
        <f>C34*200</f>
        <v>14.000000000000002</v>
      </c>
    </row>
    <row r="35" spans="1:4" ht="19.5" customHeight="1" x14ac:dyDescent="0.25">
      <c r="A35" s="45">
        <v>2243</v>
      </c>
      <c r="B35" s="158" t="s">
        <v>132</v>
      </c>
      <c r="C35" s="55"/>
      <c r="D35" s="55"/>
    </row>
    <row r="36" spans="1:4" ht="49.5" customHeight="1" x14ac:dyDescent="0.25">
      <c r="A36" s="45"/>
      <c r="B36" s="158" t="s">
        <v>438</v>
      </c>
      <c r="C36" s="55">
        <f>ROUND(386.87/18154,4)</f>
        <v>2.1299999999999999E-2</v>
      </c>
      <c r="D36" s="82">
        <f>C36*200</f>
        <v>4.26</v>
      </c>
    </row>
    <row r="37" spans="1:4" x14ac:dyDescent="0.25">
      <c r="A37" s="18">
        <v>2244</v>
      </c>
      <c r="B37" s="158" t="s">
        <v>24</v>
      </c>
      <c r="C37" s="19"/>
      <c r="D37" s="19"/>
    </row>
    <row r="38" spans="1:4" ht="50.25" customHeight="1" x14ac:dyDescent="0.25">
      <c r="A38" s="21"/>
      <c r="B38" s="158" t="s">
        <v>193</v>
      </c>
      <c r="C38" s="55">
        <f>ROUND(383.44/18154,3)</f>
        <v>2.1000000000000001E-2</v>
      </c>
      <c r="D38" s="55">
        <f>C38*200</f>
        <v>4.2</v>
      </c>
    </row>
    <row r="39" spans="1:4" ht="48.75" customHeight="1" x14ac:dyDescent="0.25">
      <c r="A39" s="21"/>
      <c r="B39" s="158" t="s">
        <v>552</v>
      </c>
      <c r="C39" s="40">
        <f>ROUND(5.03/18154,4)</f>
        <v>2.9999999999999997E-4</v>
      </c>
      <c r="D39" s="55">
        <f>C39*200</f>
        <v>0.06</v>
      </c>
    </row>
    <row r="40" spans="1:4" x14ac:dyDescent="0.25">
      <c r="A40" s="18">
        <v>2249</v>
      </c>
      <c r="B40" s="158" t="s">
        <v>8</v>
      </c>
      <c r="C40" s="19"/>
      <c r="D40" s="19"/>
    </row>
    <row r="41" spans="1:4" ht="49.5" customHeight="1" x14ac:dyDescent="0.25">
      <c r="A41" s="18"/>
      <c r="B41" s="158" t="s">
        <v>440</v>
      </c>
      <c r="C41" s="36">
        <f>ROUND(9.76/18154,4)</f>
        <v>5.0000000000000001E-4</v>
      </c>
      <c r="D41" s="55">
        <f>C41*200</f>
        <v>0.1</v>
      </c>
    </row>
    <row r="42" spans="1:4" x14ac:dyDescent="0.25">
      <c r="A42" s="18">
        <v>2311</v>
      </c>
      <c r="B42" s="158" t="s">
        <v>9</v>
      </c>
      <c r="C42" s="36"/>
      <c r="D42" s="19"/>
    </row>
    <row r="43" spans="1:4" ht="45.75" customHeight="1" x14ac:dyDescent="0.25">
      <c r="A43" s="18"/>
      <c r="B43" s="158" t="s">
        <v>439</v>
      </c>
      <c r="C43" s="36">
        <f>ROUND(54.99/18154,4)</f>
        <v>3.0000000000000001E-3</v>
      </c>
      <c r="D43" s="55">
        <f>C43*200</f>
        <v>0.6</v>
      </c>
    </row>
    <row r="44" spans="1:4" x14ac:dyDescent="0.25">
      <c r="A44" s="18">
        <v>2350</v>
      </c>
      <c r="B44" s="158" t="s">
        <v>21</v>
      </c>
      <c r="C44" s="36"/>
      <c r="D44" s="19"/>
    </row>
    <row r="45" spans="1:4" ht="78" customHeight="1" x14ac:dyDescent="0.25">
      <c r="A45" s="18"/>
      <c r="B45" s="158" t="s">
        <v>441</v>
      </c>
      <c r="C45" s="40">
        <f>ROUND(6.69/18154,4)</f>
        <v>4.0000000000000002E-4</v>
      </c>
      <c r="D45" s="55">
        <f>C45*200</f>
        <v>0.08</v>
      </c>
    </row>
    <row r="46" spans="1:4" ht="18" customHeight="1" x14ac:dyDescent="0.25">
      <c r="A46" s="18">
        <v>2513</v>
      </c>
      <c r="B46" s="158" t="s">
        <v>133</v>
      </c>
      <c r="C46" s="40"/>
      <c r="D46" s="55"/>
    </row>
    <row r="47" spans="1:4" ht="51" customHeight="1" x14ac:dyDescent="0.25">
      <c r="A47" s="18"/>
      <c r="B47" s="158" t="s">
        <v>442</v>
      </c>
      <c r="C47" s="36">
        <f>ROUND(9.53/18154,4)</f>
        <v>5.0000000000000001E-4</v>
      </c>
      <c r="D47" s="55">
        <f>C47*200</f>
        <v>0.1</v>
      </c>
    </row>
    <row r="48" spans="1:4" ht="21.75" customHeight="1" x14ac:dyDescent="0.25">
      <c r="A48" s="18">
        <v>5220</v>
      </c>
      <c r="B48" s="158" t="s">
        <v>136</v>
      </c>
      <c r="C48" s="40"/>
      <c r="D48" s="55"/>
    </row>
    <row r="49" spans="1:4" ht="66.75" customHeight="1" x14ac:dyDescent="0.25">
      <c r="A49" s="18"/>
      <c r="B49" s="158" t="s">
        <v>443</v>
      </c>
      <c r="C49" s="36">
        <f>ROUND(25.06/18154,3)</f>
        <v>1E-3</v>
      </c>
      <c r="D49" s="55">
        <f>C49*200</f>
        <v>0.2</v>
      </c>
    </row>
    <row r="50" spans="1:4" ht="20.25" customHeight="1" x14ac:dyDescent="0.25">
      <c r="A50" s="18">
        <v>5238</v>
      </c>
      <c r="B50" s="158" t="s">
        <v>134</v>
      </c>
      <c r="C50" s="40"/>
      <c r="D50" s="55"/>
    </row>
    <row r="51" spans="1:4" ht="49.5" customHeight="1" x14ac:dyDescent="0.25">
      <c r="A51" s="18"/>
      <c r="B51" s="158" t="s">
        <v>842</v>
      </c>
      <c r="C51" s="36">
        <f>ROUND(33.68/18154,4)</f>
        <v>1.9E-3</v>
      </c>
      <c r="D51" s="55">
        <f>C51*200</f>
        <v>0.38</v>
      </c>
    </row>
    <row r="52" spans="1:4" x14ac:dyDescent="0.25">
      <c r="A52" s="68"/>
      <c r="B52" s="72" t="s">
        <v>10</v>
      </c>
      <c r="C52" s="71">
        <f>ROUND(C51+C49+C47+C45+C43+C41+C39+C38+C36+C34+C32+C30+C28+C26+C24,2)</f>
        <v>0.17</v>
      </c>
      <c r="D52" s="71">
        <f>ROUND(D51+D49+D47+D45+D43+D41+D39+D38+D36+D34+D32+D30+D28+D26+D24,2)</f>
        <v>34</v>
      </c>
    </row>
    <row r="53" spans="1:4" x14ac:dyDescent="0.25">
      <c r="A53" s="23"/>
      <c r="B53" s="24">
        <v>9876</v>
      </c>
      <c r="C53" s="52">
        <f>ROUND(C52+C21,2)</f>
        <v>5.51</v>
      </c>
      <c r="D53" s="52">
        <f>D52+D21</f>
        <v>1102</v>
      </c>
    </row>
    <row r="54" spans="1:4" x14ac:dyDescent="0.25">
      <c r="A54" s="25"/>
      <c r="B54" s="26"/>
      <c r="C54" s="27"/>
      <c r="D54" s="27"/>
    </row>
    <row r="55" spans="1:4" x14ac:dyDescent="0.25">
      <c r="A55" s="26"/>
      <c r="B55" s="28"/>
      <c r="C55" s="28"/>
      <c r="D55" s="9"/>
    </row>
    <row r="56" spans="1:4" ht="15" customHeight="1" x14ac:dyDescent="0.25">
      <c r="A56" s="252" t="s">
        <v>16</v>
      </c>
      <c r="B56" s="253"/>
      <c r="C56" s="84">
        <v>200</v>
      </c>
      <c r="D56" s="29"/>
    </row>
    <row r="57" spans="1:4" ht="38.25" customHeight="1" x14ac:dyDescent="0.25">
      <c r="A57" s="254" t="s">
        <v>23</v>
      </c>
      <c r="B57" s="255"/>
      <c r="C57" s="139">
        <f>D53/200</f>
        <v>5.51</v>
      </c>
      <c r="D57" s="29"/>
    </row>
    <row r="58" spans="1:4" x14ac:dyDescent="0.25">
      <c r="A58" s="30"/>
      <c r="B58" s="30"/>
      <c r="C58" s="30"/>
      <c r="D58" s="30"/>
    </row>
    <row r="59" spans="1:4" x14ac:dyDescent="0.25">
      <c r="A59" s="30"/>
      <c r="B59" s="30"/>
      <c r="C59" s="30"/>
      <c r="D59" s="152"/>
    </row>
    <row r="60" spans="1:4" x14ac:dyDescent="0.25">
      <c r="A60" s="30"/>
      <c r="B60" s="30"/>
      <c r="C60" s="30"/>
      <c r="D60" s="152"/>
    </row>
    <row r="61" spans="1:4" x14ac:dyDescent="0.25">
      <c r="A61" s="30"/>
      <c r="B61" s="30"/>
      <c r="C61" s="30"/>
      <c r="D61" s="152"/>
    </row>
    <row r="62" spans="1:4" x14ac:dyDescent="0.25">
      <c r="A62" s="30"/>
      <c r="B62" s="30"/>
      <c r="C62" s="30"/>
      <c r="D62" s="30"/>
    </row>
    <row r="63" spans="1:4" x14ac:dyDescent="0.25">
      <c r="A63" s="231"/>
      <c r="B63" s="231"/>
      <c r="C63" s="9"/>
      <c r="D63" s="9"/>
    </row>
    <row r="64" spans="1:4" x14ac:dyDescent="0.25">
      <c r="A64" s="250"/>
      <c r="B64" s="231"/>
      <c r="C64" s="9"/>
      <c r="D64" s="9"/>
    </row>
    <row r="65" spans="1:4" x14ac:dyDescent="0.25">
      <c r="A65" s="154"/>
      <c r="B65" s="9"/>
      <c r="C65" s="31"/>
      <c r="D65" s="9"/>
    </row>
    <row r="66" spans="1:4" x14ac:dyDescent="0.25">
      <c r="A66" s="250"/>
      <c r="B66" s="250"/>
      <c r="C66" s="31"/>
      <c r="D66" s="9"/>
    </row>
  </sheetData>
  <customSheetViews>
    <customSheetView guid="{3046F990-4623-45D5-BDDC-01BD5999DDBC}" scale="60" showPageBreaks="1" fitToPage="1" printArea="1" hiddenRows="1" view="pageBreakPreview">
      <selection activeCell="B53" sqref="B53"/>
      <rowBreaks count="1" manualBreakCount="1">
        <brk id="36" max="3" man="1"/>
      </rowBreaks>
      <pageMargins left="0.70866141732283472" right="0.70866141732283472" top="0.74803149606299213" bottom="0.74803149606299213" header="0.31496062992125984" footer="0.31496062992125984"/>
      <pageSetup paperSize="9" scale="64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hiddenRows="1" view="pageBreakPreview" topLeftCell="A13">
      <selection activeCell="B51" sqref="B51"/>
      <rowBreaks count="1" manualBreakCount="1">
        <brk id="36" max="3" man="1"/>
      </rowBreaks>
      <pageMargins left="0.70866141732283472" right="0.70866141732283472" top="0.74803149606299213" bottom="0.74803149606299213" header="0.31496062992125984" footer="0.31496062992125984"/>
      <pageSetup paperSize="9" scale="64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hiddenRows="1" view="pageBreakPreview">
      <selection activeCell="B28" sqref="B28"/>
      <rowBreaks count="1" manualBreakCount="1">
        <brk id="36" max="3" man="1"/>
      </rowBreaks>
      <pageMargins left="0.70866141732283472" right="0.70866141732283472" top="0.74803149606299213" bottom="0.74803149606299213" header="0.31496062992125984" footer="0.31496062992125984"/>
      <pageSetup paperSize="9" scale="66" fitToHeight="0" orientation="portrait" r:id="rId3"/>
      <headerFooter>
        <oddFooter>&amp;C&amp;P</oddFooter>
      </headerFooter>
    </customSheetView>
  </customSheetViews>
  <mergeCells count="10">
    <mergeCell ref="A66:B66"/>
    <mergeCell ref="A56:B56"/>
    <mergeCell ref="A57:B57"/>
    <mergeCell ref="C3:D3"/>
    <mergeCell ref="A63:B63"/>
    <mergeCell ref="A2:D2"/>
    <mergeCell ref="A6:D6"/>
    <mergeCell ref="A8:B8"/>
    <mergeCell ref="A10:B10"/>
    <mergeCell ref="A64:B64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4"/>
  <headerFooter>
    <oddFooter>&amp;C&amp;P</oddFooter>
  </headerFooter>
  <rowBreaks count="1" manualBreakCount="1">
    <brk id="36" max="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view="pageBreakPreview" topLeftCell="A4" zoomScale="60" zoomScaleNormal="100" workbookViewId="0">
      <selection activeCell="A9" sqref="A9:D9"/>
    </sheetView>
  </sheetViews>
  <sheetFormatPr defaultRowHeight="15" x14ac:dyDescent="0.25"/>
  <cols>
    <col min="1" max="1" width="14" customWidth="1"/>
    <col min="2" max="2" width="94.5703125" customWidth="1"/>
    <col min="3" max="3" width="14.42578125" customWidth="1"/>
    <col min="4" max="4" width="18.140625" customWidth="1"/>
  </cols>
  <sheetData>
    <row r="1" spans="1:11" hidden="1" x14ac:dyDescent="0.25">
      <c r="A1" s="4"/>
      <c r="B1" s="5"/>
      <c r="C1" s="43"/>
      <c r="D1" s="5"/>
    </row>
    <row r="2" spans="1:11" hidden="1" x14ac:dyDescent="0.25">
      <c r="A2" s="4"/>
      <c r="B2" s="6"/>
      <c r="C2" s="6"/>
      <c r="D2" s="5"/>
    </row>
    <row r="3" spans="1:11" hidden="1" x14ac:dyDescent="0.25">
      <c r="A3" s="4"/>
      <c r="B3" s="6"/>
      <c r="C3" s="6"/>
      <c r="D3" s="7"/>
    </row>
    <row r="4" spans="1:11" ht="18.75" x14ac:dyDescent="0.3">
      <c r="A4" s="4"/>
      <c r="B4" s="5"/>
      <c r="C4" s="35"/>
      <c r="D4" s="5"/>
    </row>
    <row r="5" spans="1:11" ht="15.75" customHeight="1" x14ac:dyDescent="0.25">
      <c r="A5" s="256" t="s">
        <v>307</v>
      </c>
      <c r="B5" s="256"/>
      <c r="C5" s="256"/>
      <c r="D5" s="256"/>
    </row>
    <row r="6" spans="1:11" ht="15" customHeight="1" x14ac:dyDescent="0.25">
      <c r="A6" s="4"/>
      <c r="B6" s="4"/>
      <c r="C6" s="273"/>
      <c r="D6" s="274"/>
    </row>
    <row r="7" spans="1:11" ht="15.75" x14ac:dyDescent="0.25">
      <c r="A7" s="186" t="s">
        <v>723</v>
      </c>
      <c r="B7" s="32"/>
      <c r="C7" s="32"/>
      <c r="D7" s="32"/>
    </row>
    <row r="8" spans="1:11" x14ac:dyDescent="0.25">
      <c r="A8" s="4"/>
      <c r="B8" s="33"/>
      <c r="C8" s="33"/>
      <c r="D8" s="9"/>
    </row>
    <row r="9" spans="1:11" ht="33" customHeight="1" x14ac:dyDescent="0.25">
      <c r="A9" s="272" t="s">
        <v>1080</v>
      </c>
      <c r="B9" s="272"/>
      <c r="C9" s="272"/>
      <c r="D9" s="272"/>
    </row>
    <row r="10" spans="1:11" ht="15" customHeight="1" x14ac:dyDescent="0.25">
      <c r="A10" s="180"/>
      <c r="B10" s="34"/>
      <c r="C10" s="34"/>
      <c r="D10" s="9"/>
      <c r="E10" s="42"/>
      <c r="F10" s="42"/>
      <c r="G10" s="42"/>
      <c r="H10" s="42"/>
      <c r="I10" s="42"/>
      <c r="J10" s="42"/>
      <c r="K10" s="42"/>
    </row>
    <row r="11" spans="1:11" x14ac:dyDescent="0.25">
      <c r="A11" s="270" t="s">
        <v>309</v>
      </c>
      <c r="B11" s="271"/>
      <c r="C11" s="34"/>
      <c r="D11" s="9"/>
    </row>
    <row r="12" spans="1:11" ht="15" customHeight="1" x14ac:dyDescent="0.25">
      <c r="A12" s="183"/>
      <c r="B12" s="184"/>
      <c r="C12" s="34"/>
      <c r="D12" s="9"/>
    </row>
    <row r="13" spans="1:11" ht="15.75" x14ac:dyDescent="0.25">
      <c r="A13" s="251" t="s">
        <v>727</v>
      </c>
      <c r="B13" s="251"/>
      <c r="C13" s="8"/>
      <c r="D13" s="9"/>
    </row>
    <row r="14" spans="1:11" hidden="1" x14ac:dyDescent="0.25">
      <c r="A14" s="4"/>
      <c r="B14" s="11"/>
      <c r="C14" s="8"/>
      <c r="D14" s="9"/>
    </row>
    <row r="15" spans="1:11" ht="90" x14ac:dyDescent="0.25">
      <c r="A15" s="12" t="s">
        <v>0</v>
      </c>
      <c r="B15" s="12" t="s">
        <v>1</v>
      </c>
      <c r="C15" s="12" t="s">
        <v>83</v>
      </c>
      <c r="D15" s="12" t="s">
        <v>18</v>
      </c>
    </row>
    <row r="16" spans="1:11" x14ac:dyDescent="0.25">
      <c r="A16" s="13">
        <v>1</v>
      </c>
      <c r="B16" s="14">
        <v>2</v>
      </c>
      <c r="C16" s="13">
        <v>3</v>
      </c>
      <c r="D16" s="13">
        <v>4</v>
      </c>
    </row>
    <row r="17" spans="1:4" x14ac:dyDescent="0.25">
      <c r="A17" s="15"/>
      <c r="B17" s="22" t="s">
        <v>13</v>
      </c>
      <c r="C17" s="17"/>
      <c r="D17" s="17"/>
    </row>
    <row r="18" spans="1:4" x14ac:dyDescent="0.25">
      <c r="A18" s="37">
        <v>1100</v>
      </c>
      <c r="B18" s="16" t="s">
        <v>14</v>
      </c>
      <c r="C18" s="38"/>
      <c r="D18" s="38"/>
    </row>
    <row r="19" spans="1:4" ht="93.75" customHeight="1" x14ac:dyDescent="0.25">
      <c r="A19" s="18"/>
      <c r="B19" s="157" t="s">
        <v>444</v>
      </c>
      <c r="C19" s="55">
        <f>0.11*20+0.11*13</f>
        <v>3.63</v>
      </c>
      <c r="D19" s="55">
        <f>C19*10</f>
        <v>36.299999999999997</v>
      </c>
    </row>
    <row r="20" spans="1:4" ht="30.75" customHeight="1" x14ac:dyDescent="0.25">
      <c r="A20" s="18">
        <v>1200</v>
      </c>
      <c r="B20" s="158" t="s">
        <v>285</v>
      </c>
      <c r="C20" s="55">
        <f>ROUND(C19*0.2359,2)</f>
        <v>0.86</v>
      </c>
      <c r="D20" s="55">
        <f>C20*10</f>
        <v>8.6</v>
      </c>
    </row>
    <row r="21" spans="1:4" x14ac:dyDescent="0.25">
      <c r="A21" s="18">
        <v>2341</v>
      </c>
      <c r="B21" s="18" t="s">
        <v>77</v>
      </c>
      <c r="C21" s="19"/>
      <c r="D21" s="19"/>
    </row>
    <row r="22" spans="1:4" ht="62.25" customHeight="1" x14ac:dyDescent="0.25">
      <c r="A22" s="18"/>
      <c r="B22" s="158" t="s">
        <v>445</v>
      </c>
      <c r="C22" s="55">
        <f>2.06+0.39+0.04+0.01+0.02+0.1</f>
        <v>2.62</v>
      </c>
      <c r="D22" s="55">
        <f>C22*10</f>
        <v>26.200000000000003</v>
      </c>
    </row>
    <row r="23" spans="1:4" hidden="1" x14ac:dyDescent="0.25">
      <c r="A23" s="18"/>
      <c r="B23" s="158" t="s">
        <v>72</v>
      </c>
      <c r="C23" s="36"/>
      <c r="D23" s="55"/>
    </row>
    <row r="24" spans="1:4" hidden="1" x14ac:dyDescent="0.25">
      <c r="A24" s="18"/>
      <c r="B24" s="158" t="s">
        <v>73</v>
      </c>
      <c r="C24" s="36"/>
      <c r="D24" s="55"/>
    </row>
    <row r="25" spans="1:4" x14ac:dyDescent="0.25">
      <c r="A25" s="74"/>
      <c r="B25" s="159" t="s">
        <v>2</v>
      </c>
      <c r="C25" s="71">
        <f>SUM(C18:C22)</f>
        <v>7.11</v>
      </c>
      <c r="D25" s="71">
        <f>SUM(D18:D24)</f>
        <v>71.099999999999994</v>
      </c>
    </row>
    <row r="26" spans="1:4" x14ac:dyDescent="0.25">
      <c r="A26" s="18"/>
      <c r="B26" s="160" t="s">
        <v>20</v>
      </c>
      <c r="C26" s="19"/>
      <c r="D26" s="19"/>
    </row>
    <row r="27" spans="1:4" x14ac:dyDescent="0.25">
      <c r="A27" s="18">
        <v>2219</v>
      </c>
      <c r="B27" s="158" t="s">
        <v>3</v>
      </c>
      <c r="C27" s="19"/>
      <c r="D27" s="19"/>
    </row>
    <row r="28" spans="1:4" ht="80.25" customHeight="1" x14ac:dyDescent="0.25">
      <c r="A28" s="18"/>
      <c r="B28" s="158" t="s">
        <v>843</v>
      </c>
      <c r="C28" s="40">
        <f>ROUND(3.18/18154,4)</f>
        <v>2.0000000000000001E-4</v>
      </c>
      <c r="D28" s="36">
        <f>C28*10</f>
        <v>2E-3</v>
      </c>
    </row>
    <row r="29" spans="1:4" x14ac:dyDescent="0.25">
      <c r="A29" s="18">
        <v>2221</v>
      </c>
      <c r="B29" s="158" t="s">
        <v>4</v>
      </c>
      <c r="C29" s="19"/>
      <c r="D29" s="19"/>
    </row>
    <row r="30" spans="1:4" ht="48.75" customHeight="1" x14ac:dyDescent="0.25">
      <c r="A30" s="18"/>
      <c r="B30" s="158" t="s">
        <v>626</v>
      </c>
      <c r="C30" s="55">
        <f>ROUND(301.59/18154,4)</f>
        <v>1.66E-2</v>
      </c>
      <c r="D30" s="55">
        <f>C30*10</f>
        <v>0.16600000000000001</v>
      </c>
    </row>
    <row r="31" spans="1:4" ht="15" customHeight="1" x14ac:dyDescent="0.25">
      <c r="A31" s="18">
        <v>2222</v>
      </c>
      <c r="B31" s="158" t="s">
        <v>5</v>
      </c>
      <c r="C31" s="19"/>
      <c r="D31" s="19"/>
    </row>
    <row r="32" spans="1:4" ht="46.5" customHeight="1" x14ac:dyDescent="0.25">
      <c r="A32" s="18"/>
      <c r="B32" s="158" t="s">
        <v>560</v>
      </c>
      <c r="C32" s="36">
        <f>ROUND(31.02/18154,4)</f>
        <v>1.6999999999999999E-3</v>
      </c>
      <c r="D32" s="55">
        <f>C32*10</f>
        <v>1.6999999999999998E-2</v>
      </c>
    </row>
    <row r="33" spans="1:4" x14ac:dyDescent="0.25">
      <c r="A33" s="18">
        <v>2223</v>
      </c>
      <c r="B33" s="18" t="s">
        <v>6</v>
      </c>
      <c r="C33" s="19"/>
      <c r="D33" s="19"/>
    </row>
    <row r="34" spans="1:4" ht="45.75" customHeight="1" x14ac:dyDescent="0.25">
      <c r="A34" s="18"/>
      <c r="B34" s="158" t="s">
        <v>447</v>
      </c>
      <c r="C34" s="55">
        <f>ROUND(538.27/18154,2)</f>
        <v>0.03</v>
      </c>
      <c r="D34" s="55">
        <f>C34*10</f>
        <v>0.3</v>
      </c>
    </row>
    <row r="35" spans="1:4" x14ac:dyDescent="0.25">
      <c r="A35" s="18">
        <v>2224</v>
      </c>
      <c r="B35" s="158" t="s">
        <v>7</v>
      </c>
      <c r="C35" s="19"/>
      <c r="D35" s="19"/>
    </row>
    <row r="36" spans="1:4" ht="47.25" customHeight="1" x14ac:dyDescent="0.25">
      <c r="A36" s="18"/>
      <c r="B36" s="158" t="s">
        <v>448</v>
      </c>
      <c r="C36" s="36">
        <f>ROUND(28.86/18154,4)</f>
        <v>1.6000000000000001E-3</v>
      </c>
      <c r="D36" s="55">
        <f>C36*10</f>
        <v>1.6E-2</v>
      </c>
    </row>
    <row r="37" spans="1:4" x14ac:dyDescent="0.25">
      <c r="A37" s="45">
        <v>2231</v>
      </c>
      <c r="B37" s="158" t="s">
        <v>22</v>
      </c>
      <c r="C37" s="36"/>
      <c r="D37" s="19"/>
    </row>
    <row r="38" spans="1:4" ht="144" customHeight="1" x14ac:dyDescent="0.25">
      <c r="A38" s="45"/>
      <c r="B38" s="158" t="s">
        <v>449</v>
      </c>
      <c r="C38" s="55">
        <f>ROUND(1201.87/18154,2)</f>
        <v>7.0000000000000007E-2</v>
      </c>
      <c r="D38" s="55">
        <f>C38*10</f>
        <v>0.70000000000000007</v>
      </c>
    </row>
    <row r="39" spans="1:4" ht="17.25" customHeight="1" x14ac:dyDescent="0.25">
      <c r="A39" s="45">
        <v>2243</v>
      </c>
      <c r="B39" s="158" t="s">
        <v>132</v>
      </c>
      <c r="C39" s="55"/>
      <c r="D39" s="55"/>
    </row>
    <row r="40" spans="1:4" ht="53.25" customHeight="1" x14ac:dyDescent="0.25">
      <c r="A40" s="45"/>
      <c r="B40" s="158" t="s">
        <v>525</v>
      </c>
      <c r="C40" s="55">
        <f>ROUND(386.87/18154,4)</f>
        <v>2.1299999999999999E-2</v>
      </c>
      <c r="D40" s="82">
        <f>C40*10</f>
        <v>0.21299999999999999</v>
      </c>
    </row>
    <row r="41" spans="1:4" x14ac:dyDescent="0.25">
      <c r="A41" s="18">
        <v>2244</v>
      </c>
      <c r="B41" s="158" t="s">
        <v>24</v>
      </c>
      <c r="C41" s="19"/>
      <c r="D41" s="19"/>
    </row>
    <row r="42" spans="1:4" ht="45" customHeight="1" x14ac:dyDescent="0.25">
      <c r="A42" s="21"/>
      <c r="B42" s="158" t="s">
        <v>951</v>
      </c>
      <c r="C42" s="55">
        <f>ROUND(383.44/18154,3)</f>
        <v>2.1000000000000001E-2</v>
      </c>
      <c r="D42" s="55">
        <f>C42*10</f>
        <v>0.21000000000000002</v>
      </c>
    </row>
    <row r="43" spans="1:4" ht="46.5" customHeight="1" x14ac:dyDescent="0.25">
      <c r="A43" s="21"/>
      <c r="B43" s="158" t="s">
        <v>451</v>
      </c>
      <c r="C43" s="40">
        <f>ROUND(5.03/18154,4)</f>
        <v>2.9999999999999997E-4</v>
      </c>
      <c r="D43" s="36">
        <f>C43*10</f>
        <v>2.9999999999999996E-3</v>
      </c>
    </row>
    <row r="44" spans="1:4" x14ac:dyDescent="0.25">
      <c r="A44" s="18">
        <v>2249</v>
      </c>
      <c r="B44" s="158" t="s">
        <v>8</v>
      </c>
      <c r="C44" s="19"/>
      <c r="D44" s="19"/>
    </row>
    <row r="45" spans="1:4" ht="46.5" customHeight="1" x14ac:dyDescent="0.25">
      <c r="A45" s="18"/>
      <c r="B45" s="158" t="s">
        <v>856</v>
      </c>
      <c r="C45" s="36">
        <f>ROUND(9.76/18154,4)</f>
        <v>5.0000000000000001E-4</v>
      </c>
      <c r="D45" s="55">
        <f>C45*10</f>
        <v>5.0000000000000001E-3</v>
      </c>
    </row>
    <row r="46" spans="1:4" x14ac:dyDescent="0.25">
      <c r="A46" s="18">
        <v>2311</v>
      </c>
      <c r="B46" s="158" t="s">
        <v>9</v>
      </c>
      <c r="C46" s="36"/>
      <c r="D46" s="19"/>
    </row>
    <row r="47" spans="1:4" ht="51.75" customHeight="1" x14ac:dyDescent="0.25">
      <c r="A47" s="18"/>
      <c r="B47" s="158" t="s">
        <v>452</v>
      </c>
      <c r="C47" s="36">
        <f>ROUND(54.99/18154,4)</f>
        <v>3.0000000000000001E-3</v>
      </c>
      <c r="D47" s="55">
        <f>C47*10</f>
        <v>0.03</v>
      </c>
    </row>
    <row r="48" spans="1:4" x14ac:dyDescent="0.25">
      <c r="A48" s="18">
        <v>2350</v>
      </c>
      <c r="B48" s="158" t="s">
        <v>21</v>
      </c>
      <c r="C48" s="36"/>
      <c r="D48" s="19"/>
    </row>
    <row r="49" spans="1:4" ht="74.25" customHeight="1" x14ac:dyDescent="0.25">
      <c r="A49" s="18"/>
      <c r="B49" s="158" t="s">
        <v>453</v>
      </c>
      <c r="C49" s="40">
        <f>ROUND(6.69/18154,4)</f>
        <v>4.0000000000000002E-4</v>
      </c>
      <c r="D49" s="36">
        <f>C49*10</f>
        <v>4.0000000000000001E-3</v>
      </c>
    </row>
    <row r="50" spans="1:4" ht="20.25" customHeight="1" x14ac:dyDescent="0.25">
      <c r="A50" s="18">
        <v>2513</v>
      </c>
      <c r="B50" s="158" t="s">
        <v>133</v>
      </c>
      <c r="C50" s="40"/>
      <c r="D50" s="55"/>
    </row>
    <row r="51" spans="1:4" ht="48.75" customHeight="1" x14ac:dyDescent="0.25">
      <c r="A51" s="18"/>
      <c r="B51" s="158" t="s">
        <v>454</v>
      </c>
      <c r="C51" s="36">
        <f>ROUND(9.53/18154,4)</f>
        <v>5.0000000000000001E-4</v>
      </c>
      <c r="D51" s="55">
        <f>C51*10</f>
        <v>5.0000000000000001E-3</v>
      </c>
    </row>
    <row r="52" spans="1:4" ht="20.25" customHeight="1" x14ac:dyDescent="0.25">
      <c r="A52" s="18">
        <v>5220</v>
      </c>
      <c r="B52" s="158" t="s">
        <v>136</v>
      </c>
      <c r="C52" s="40"/>
      <c r="D52" s="55"/>
    </row>
    <row r="53" spans="1:4" ht="63.75" customHeight="1" x14ac:dyDescent="0.25">
      <c r="A53" s="18"/>
      <c r="B53" s="158" t="s">
        <v>455</v>
      </c>
      <c r="C53" s="40">
        <f>ROUND(25.06/18154,3)</f>
        <v>1E-3</v>
      </c>
      <c r="D53" s="55">
        <f>C53*10</f>
        <v>0.01</v>
      </c>
    </row>
    <row r="54" spans="1:4" ht="19.5" customHeight="1" x14ac:dyDescent="0.25">
      <c r="A54" s="18">
        <v>5238</v>
      </c>
      <c r="B54" s="158" t="s">
        <v>134</v>
      </c>
      <c r="C54" s="40"/>
      <c r="D54" s="55"/>
    </row>
    <row r="55" spans="1:4" ht="48.75" customHeight="1" x14ac:dyDescent="0.25">
      <c r="A55" s="18"/>
      <c r="B55" s="158" t="s">
        <v>456</v>
      </c>
      <c r="C55" s="36">
        <f>ROUND(33.68/18154,4)</f>
        <v>1.9E-3</v>
      </c>
      <c r="D55" s="55">
        <f>C55*10</f>
        <v>1.9E-2</v>
      </c>
    </row>
    <row r="56" spans="1:4" x14ac:dyDescent="0.25">
      <c r="A56" s="68"/>
      <c r="B56" s="72" t="s">
        <v>10</v>
      </c>
      <c r="C56" s="71">
        <f>ROUND(C55+C53+C51+C49+C47+C45+C43+C42+C40+C38+C36+C34+C32+C30+C28,2)</f>
        <v>0.17</v>
      </c>
      <c r="D56" s="71">
        <f>ROUND(D55+D53+D51+D49+D47+D45+D43+D42+D40+D38+D36+D34+D32+D30+D28,2)</f>
        <v>1.7</v>
      </c>
    </row>
    <row r="57" spans="1:4" x14ac:dyDescent="0.25">
      <c r="A57" s="23"/>
      <c r="B57" s="24" t="s">
        <v>15</v>
      </c>
      <c r="C57" s="52">
        <f>ROUND(C56+C25,2)</f>
        <v>7.28</v>
      </c>
      <c r="D57" s="52">
        <f>D56+D25</f>
        <v>72.8</v>
      </c>
    </row>
    <row r="58" spans="1:4" x14ac:dyDescent="0.25">
      <c r="A58" s="25"/>
      <c r="B58" s="26"/>
      <c r="C58" s="27"/>
      <c r="D58" s="27"/>
    </row>
    <row r="59" spans="1:4" x14ac:dyDescent="0.25">
      <c r="A59" s="26"/>
      <c r="B59" s="28"/>
      <c r="C59" s="28"/>
      <c r="D59" s="9"/>
    </row>
    <row r="60" spans="1:4" ht="15" customHeight="1" x14ac:dyDescent="0.25">
      <c r="A60" s="252" t="s">
        <v>16</v>
      </c>
      <c r="B60" s="253"/>
      <c r="C60" s="138">
        <v>10</v>
      </c>
      <c r="D60" s="29"/>
    </row>
    <row r="61" spans="1:4" ht="32.25" customHeight="1" x14ac:dyDescent="0.25">
      <c r="A61" s="254" t="s">
        <v>23</v>
      </c>
      <c r="B61" s="255"/>
      <c r="C61" s="139">
        <f>D57/10</f>
        <v>7.2799999999999994</v>
      </c>
      <c r="D61" s="29"/>
    </row>
    <row r="62" spans="1:4" x14ac:dyDescent="0.25">
      <c r="A62" s="30"/>
      <c r="B62" s="30"/>
      <c r="C62" s="30"/>
      <c r="D62" s="30"/>
    </row>
    <row r="63" spans="1:4" x14ac:dyDescent="0.25">
      <c r="A63" s="30"/>
      <c r="B63" s="30"/>
      <c r="C63" s="30"/>
      <c r="D63" s="152"/>
    </row>
    <row r="64" spans="1:4" x14ac:dyDescent="0.25">
      <c r="A64" s="30"/>
      <c r="B64" s="30"/>
      <c r="C64" s="30"/>
      <c r="D64" s="152"/>
    </row>
    <row r="65" spans="1:4" x14ac:dyDescent="0.25">
      <c r="A65" s="30"/>
      <c r="B65" s="30"/>
      <c r="C65" s="30"/>
      <c r="D65" s="152"/>
    </row>
    <row r="66" spans="1:4" x14ac:dyDescent="0.25">
      <c r="A66" s="30"/>
      <c r="B66" s="30"/>
      <c r="C66" s="30"/>
      <c r="D66" s="30"/>
    </row>
    <row r="67" spans="1:4" x14ac:dyDescent="0.25">
      <c r="A67" s="231"/>
      <c r="B67" s="231"/>
      <c r="C67" s="9"/>
      <c r="D67" s="9"/>
    </row>
    <row r="68" spans="1:4" x14ac:dyDescent="0.25">
      <c r="A68" s="250"/>
      <c r="B68" s="231"/>
      <c r="C68" s="9"/>
      <c r="D68" s="9"/>
    </row>
    <row r="69" spans="1:4" x14ac:dyDescent="0.25">
      <c r="A69" s="154"/>
      <c r="B69" s="9"/>
      <c r="C69" s="31"/>
      <c r="D69" s="9"/>
    </row>
    <row r="70" spans="1:4" x14ac:dyDescent="0.25">
      <c r="A70" s="250"/>
      <c r="B70" s="250"/>
      <c r="C70" s="31"/>
      <c r="D70" s="9"/>
    </row>
  </sheetData>
  <customSheetViews>
    <customSheetView guid="{3046F990-4623-45D5-BDDC-01BD5999DDBC}" scale="60" showPageBreaks="1" fitToPage="1" printArea="1" hiddenRows="1" view="pageBreakPreview" topLeftCell="A4">
      <selection activeCell="B53" sqref="B53"/>
      <rowBreaks count="1" manualBreakCount="1">
        <brk id="41" max="3" man="1"/>
      </rowBreaks>
      <pageMargins left="0.70866141732283472" right="0.70866141732283472" top="0.74803149606299213" bottom="0.74803149606299213" header="0.31496062992125984" footer="0.31496062992125984"/>
      <pageSetup paperSize="9" scale="61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hiddenRows="1" view="pageBreakPreview" topLeftCell="A22">
      <selection activeCell="B53" sqref="B53"/>
      <rowBreaks count="1" manualBreakCount="1">
        <brk id="41" max="3" man="1"/>
      </rowBreaks>
      <pageMargins left="0.70866141732283472" right="0.70866141732283472" top="0.74803149606299213" bottom="0.74803149606299213" header="0.31496062992125984" footer="0.31496062992125984"/>
      <pageSetup paperSize="9" scale="61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hiddenRows="1" view="pageBreakPreview" topLeftCell="A4">
      <selection activeCell="A9" sqref="A9:D9"/>
      <rowBreaks count="1" manualBreakCount="1">
        <brk id="41" max="3" man="1"/>
      </rowBreaks>
      <pageMargins left="0.70866141732283472" right="0.70866141732283472" top="0.74803149606299213" bottom="0.74803149606299213" header="0.31496062992125984" footer="0.31496062992125984"/>
      <pageSetup paperSize="9" scale="65" fitToHeight="0" orientation="portrait" r:id="rId3"/>
      <headerFooter>
        <oddFooter>&amp;C&amp;P</oddFooter>
      </headerFooter>
    </customSheetView>
  </customSheetViews>
  <mergeCells count="10">
    <mergeCell ref="A70:B70"/>
    <mergeCell ref="A61:B61"/>
    <mergeCell ref="C6:D6"/>
    <mergeCell ref="A60:B60"/>
    <mergeCell ref="A67:B67"/>
    <mergeCell ref="A5:D5"/>
    <mergeCell ref="A9:D9"/>
    <mergeCell ref="A11:B11"/>
    <mergeCell ref="A13:B13"/>
    <mergeCell ref="A68:B68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4"/>
  <headerFooter>
    <oddFooter>&amp;C&amp;P</oddFooter>
  </headerFooter>
  <rowBreaks count="1" manualBreakCount="1">
    <brk id="41" max="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view="pageBreakPreview" zoomScale="60" zoomScaleNormal="100" workbookViewId="0">
      <selection activeCell="B30" sqref="B30"/>
    </sheetView>
  </sheetViews>
  <sheetFormatPr defaultRowHeight="15" x14ac:dyDescent="0.25"/>
  <cols>
    <col min="1" max="1" width="13.85546875" customWidth="1"/>
    <col min="2" max="2" width="80.85546875" customWidth="1"/>
    <col min="3" max="3" width="15.5703125" customWidth="1"/>
    <col min="4" max="4" width="16.42578125" customWidth="1"/>
  </cols>
  <sheetData>
    <row r="1" spans="1:11" ht="18.75" x14ac:dyDescent="0.3">
      <c r="A1" s="4"/>
      <c r="B1" s="5"/>
      <c r="C1" s="35"/>
      <c r="D1" s="5"/>
    </row>
    <row r="2" spans="1:11" ht="15.75" customHeight="1" x14ac:dyDescent="0.25">
      <c r="A2" s="256" t="s">
        <v>307</v>
      </c>
      <c r="B2" s="256"/>
      <c r="C2" s="256"/>
      <c r="D2" s="256"/>
      <c r="E2" s="187"/>
    </row>
    <row r="3" spans="1:11" ht="15" customHeight="1" x14ac:dyDescent="0.25">
      <c r="A3" s="4"/>
      <c r="B3" s="4"/>
      <c r="C3" s="273"/>
      <c r="D3" s="273"/>
      <c r="E3" s="274"/>
    </row>
    <row r="4" spans="1:11" ht="15.75" x14ac:dyDescent="0.25">
      <c r="A4" s="186" t="s">
        <v>723</v>
      </c>
      <c r="B4" s="32"/>
      <c r="C4" s="32"/>
      <c r="D4" s="32"/>
      <c r="E4" s="32"/>
    </row>
    <row r="5" spans="1:11" x14ac:dyDescent="0.25">
      <c r="A5" s="4"/>
      <c r="B5" s="33"/>
      <c r="C5" s="33"/>
      <c r="D5" s="33"/>
      <c r="E5" s="9"/>
    </row>
    <row r="6" spans="1:11" ht="33.75" customHeight="1" x14ac:dyDescent="0.25">
      <c r="A6" s="272" t="s">
        <v>1031</v>
      </c>
      <c r="B6" s="272"/>
      <c r="C6" s="272"/>
      <c r="D6" s="272"/>
      <c r="E6" s="188"/>
    </row>
    <row r="7" spans="1:11" ht="15.75" customHeight="1" x14ac:dyDescent="0.25">
      <c r="A7" s="180"/>
      <c r="B7" s="34"/>
      <c r="C7" s="34"/>
      <c r="D7" s="34"/>
      <c r="E7" s="9"/>
      <c r="F7" s="46"/>
      <c r="G7" s="46"/>
      <c r="H7" s="46"/>
      <c r="I7" s="46"/>
      <c r="J7" s="46"/>
      <c r="K7" s="46"/>
    </row>
    <row r="8" spans="1:11" x14ac:dyDescent="0.25">
      <c r="A8" s="270" t="s">
        <v>309</v>
      </c>
      <c r="B8" s="271"/>
      <c r="C8" s="34"/>
      <c r="D8" s="34"/>
      <c r="E8" s="9"/>
    </row>
    <row r="9" spans="1:11" ht="15" customHeight="1" x14ac:dyDescent="0.25">
      <c r="A9" s="183"/>
      <c r="B9" s="184"/>
      <c r="C9" s="34"/>
      <c r="D9" s="34"/>
      <c r="E9" s="9"/>
      <c r="F9" s="181"/>
    </row>
    <row r="10" spans="1:11" ht="15.75" x14ac:dyDescent="0.25">
      <c r="A10" s="251" t="s">
        <v>782</v>
      </c>
      <c r="B10" s="251"/>
      <c r="C10" s="8"/>
      <c r="D10" s="8"/>
      <c r="E10" s="9"/>
    </row>
    <row r="11" spans="1:11" ht="120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11" x14ac:dyDescent="0.25">
      <c r="A12" s="13">
        <v>1</v>
      </c>
      <c r="B12" s="14">
        <v>2</v>
      </c>
      <c r="C12" s="13">
        <v>3</v>
      </c>
      <c r="D12" s="13">
        <v>4</v>
      </c>
    </row>
    <row r="13" spans="1:11" x14ac:dyDescent="0.25">
      <c r="A13" s="15"/>
      <c r="B13" s="22" t="s">
        <v>13</v>
      </c>
      <c r="C13" s="17"/>
      <c r="D13" s="17"/>
    </row>
    <row r="14" spans="1:11" x14ac:dyDescent="0.25">
      <c r="A14" s="37">
        <v>1100</v>
      </c>
      <c r="B14" s="16" t="s">
        <v>14</v>
      </c>
      <c r="C14" s="38"/>
      <c r="D14" s="38"/>
    </row>
    <row r="15" spans="1:11" ht="75.75" customHeight="1" x14ac:dyDescent="0.25">
      <c r="A15" s="18"/>
      <c r="B15" s="157" t="s">
        <v>463</v>
      </c>
      <c r="C15" s="55">
        <f>0.11*20</f>
        <v>2.2000000000000002</v>
      </c>
      <c r="D15" s="55">
        <f>C15*200</f>
        <v>440.00000000000006</v>
      </c>
    </row>
    <row r="16" spans="1:11" ht="35.25" customHeight="1" x14ac:dyDescent="0.25">
      <c r="A16" s="18">
        <v>1200</v>
      </c>
      <c r="B16" s="158" t="s">
        <v>284</v>
      </c>
      <c r="C16" s="55">
        <f>ROUND(C15*0.2359,2)</f>
        <v>0.52</v>
      </c>
      <c r="D16" s="55">
        <f>C16*200</f>
        <v>104</v>
      </c>
    </row>
    <row r="17" spans="1:4" x14ac:dyDescent="0.25">
      <c r="A17" s="18">
        <v>2341</v>
      </c>
      <c r="B17" s="18" t="s">
        <v>77</v>
      </c>
      <c r="C17" s="19"/>
      <c r="D17" s="19"/>
    </row>
    <row r="18" spans="1:4" ht="81" customHeight="1" x14ac:dyDescent="0.25">
      <c r="A18" s="18"/>
      <c r="B18" s="158" t="s">
        <v>844</v>
      </c>
      <c r="C18" s="55">
        <f>2.01+0.44+0.04+0.01+0.02+0.1</f>
        <v>2.6199999999999997</v>
      </c>
      <c r="D18" s="55">
        <f>C18*200</f>
        <v>523.99999999999989</v>
      </c>
    </row>
    <row r="19" spans="1:4" x14ac:dyDescent="0.25">
      <c r="A19" s="68"/>
      <c r="B19" s="159" t="s">
        <v>2</v>
      </c>
      <c r="C19" s="71">
        <f>SUM(C14:C18)</f>
        <v>5.34</v>
      </c>
      <c r="D19" s="71">
        <f>SUM(D14:D18)</f>
        <v>1068</v>
      </c>
    </row>
    <row r="20" spans="1:4" x14ac:dyDescent="0.25">
      <c r="A20" s="18"/>
      <c r="B20" s="160" t="s">
        <v>20</v>
      </c>
      <c r="C20" s="19"/>
      <c r="D20" s="19"/>
    </row>
    <row r="21" spans="1:4" x14ac:dyDescent="0.25">
      <c r="A21" s="18">
        <v>2219</v>
      </c>
      <c r="B21" s="158" t="s">
        <v>3</v>
      </c>
      <c r="C21" s="19"/>
      <c r="D21" s="19"/>
    </row>
    <row r="22" spans="1:4" ht="88.5" customHeight="1" x14ac:dyDescent="0.25">
      <c r="A22" s="18"/>
      <c r="B22" s="158" t="s">
        <v>634</v>
      </c>
      <c r="C22" s="40">
        <f>ROUND(3.18/18154,4)</f>
        <v>2.0000000000000001E-4</v>
      </c>
      <c r="D22" s="55">
        <f>C22*200</f>
        <v>0.04</v>
      </c>
    </row>
    <row r="23" spans="1:4" x14ac:dyDescent="0.25">
      <c r="A23" s="18">
        <v>2221</v>
      </c>
      <c r="B23" s="158" t="s">
        <v>4</v>
      </c>
      <c r="C23" s="19"/>
      <c r="D23" s="19"/>
    </row>
    <row r="24" spans="1:4" ht="50.25" customHeight="1" x14ac:dyDescent="0.25">
      <c r="A24" s="18"/>
      <c r="B24" s="158" t="s">
        <v>635</v>
      </c>
      <c r="C24" s="55">
        <f>ROUND(301.59/18154,4)</f>
        <v>1.66E-2</v>
      </c>
      <c r="D24" s="55">
        <f>C24*200</f>
        <v>3.32</v>
      </c>
    </row>
    <row r="25" spans="1:4" ht="15" customHeight="1" x14ac:dyDescent="0.25">
      <c r="A25" s="18">
        <v>2222</v>
      </c>
      <c r="B25" s="158" t="s">
        <v>5</v>
      </c>
      <c r="C25" s="19"/>
      <c r="D25" s="19"/>
    </row>
    <row r="26" spans="1:4" ht="49.5" customHeight="1" x14ac:dyDescent="0.25">
      <c r="A26" s="18"/>
      <c r="B26" s="158" t="s">
        <v>457</v>
      </c>
      <c r="C26" s="36">
        <f>ROUND(31.02/18154,4)</f>
        <v>1.6999999999999999E-3</v>
      </c>
      <c r="D26" s="55">
        <f>C26*200</f>
        <v>0.33999999999999997</v>
      </c>
    </row>
    <row r="27" spans="1:4" x14ac:dyDescent="0.25">
      <c r="A27" s="18">
        <v>2223</v>
      </c>
      <c r="B27" s="18" t="s">
        <v>6</v>
      </c>
      <c r="C27" s="19"/>
      <c r="D27" s="19"/>
    </row>
    <row r="28" spans="1:4" ht="50.25" customHeight="1" x14ac:dyDescent="0.25">
      <c r="A28" s="18"/>
      <c r="B28" s="158" t="s">
        <v>191</v>
      </c>
      <c r="C28" s="55">
        <f>ROUND(538.27/18154,2)</f>
        <v>0.03</v>
      </c>
      <c r="D28" s="55">
        <f>C28*200</f>
        <v>6</v>
      </c>
    </row>
    <row r="29" spans="1:4" x14ac:dyDescent="0.25">
      <c r="A29" s="18">
        <v>2224</v>
      </c>
      <c r="B29" s="158" t="s">
        <v>7</v>
      </c>
      <c r="C29" s="19"/>
      <c r="D29" s="19"/>
    </row>
    <row r="30" spans="1:4" ht="45.75" customHeight="1" x14ac:dyDescent="0.25">
      <c r="A30" s="18"/>
      <c r="B30" s="158" t="s">
        <v>458</v>
      </c>
      <c r="C30" s="36">
        <f>ROUND(28.86/18154,4)</f>
        <v>1.6000000000000001E-3</v>
      </c>
      <c r="D30" s="55">
        <f>C30*200</f>
        <v>0.32</v>
      </c>
    </row>
    <row r="31" spans="1:4" x14ac:dyDescent="0.25">
      <c r="A31" s="45">
        <v>2231</v>
      </c>
      <c r="B31" s="158" t="s">
        <v>22</v>
      </c>
      <c r="C31" s="36"/>
      <c r="D31" s="19"/>
    </row>
    <row r="32" spans="1:4" ht="165.75" customHeight="1" x14ac:dyDescent="0.25">
      <c r="A32" s="45"/>
      <c r="B32" s="158" t="s">
        <v>632</v>
      </c>
      <c r="C32" s="55">
        <f>ROUND(1201.87/18154,2)</f>
        <v>7.0000000000000007E-2</v>
      </c>
      <c r="D32" s="55">
        <f>C32*200</f>
        <v>14.000000000000002</v>
      </c>
    </row>
    <row r="33" spans="1:5" ht="20.25" customHeight="1" x14ac:dyDescent="0.25">
      <c r="A33" s="45">
        <v>2243</v>
      </c>
      <c r="B33" s="158" t="s">
        <v>132</v>
      </c>
      <c r="C33" s="55"/>
      <c r="D33" s="40"/>
      <c r="E33" s="122"/>
    </row>
    <row r="34" spans="1:5" ht="63" customHeight="1" x14ac:dyDescent="0.25">
      <c r="A34" s="45"/>
      <c r="B34" s="158" t="s">
        <v>438</v>
      </c>
      <c r="C34" s="55">
        <f>ROUND(386.87/18154,4)</f>
        <v>2.1299999999999999E-2</v>
      </c>
      <c r="D34" s="55">
        <f>C34*200</f>
        <v>4.26</v>
      </c>
      <c r="E34" s="123"/>
    </row>
    <row r="35" spans="1:5" x14ac:dyDescent="0.25">
      <c r="A35" s="18">
        <v>2244</v>
      </c>
      <c r="B35" s="158" t="s">
        <v>24</v>
      </c>
      <c r="C35" s="19"/>
      <c r="D35" s="19"/>
    </row>
    <row r="36" spans="1:5" ht="58.5" customHeight="1" x14ac:dyDescent="0.25">
      <c r="A36" s="21"/>
      <c r="B36" s="158" t="s">
        <v>459</v>
      </c>
      <c r="C36" s="55">
        <f>ROUND(383.44/18154,3)</f>
        <v>2.1000000000000001E-2</v>
      </c>
      <c r="D36" s="55">
        <f>C36*200</f>
        <v>4.2</v>
      </c>
    </row>
    <row r="37" spans="1:5" ht="48" customHeight="1" x14ac:dyDescent="0.25">
      <c r="A37" s="21"/>
      <c r="B37" s="158" t="s">
        <v>845</v>
      </c>
      <c r="C37" s="40">
        <f>ROUND(5.03/18154,4)</f>
        <v>2.9999999999999997E-4</v>
      </c>
      <c r="D37" s="55">
        <f>C37*200</f>
        <v>0.06</v>
      </c>
    </row>
    <row r="38" spans="1:5" x14ac:dyDescent="0.25">
      <c r="A38" s="18">
        <v>2249</v>
      </c>
      <c r="B38" s="158" t="s">
        <v>8</v>
      </c>
      <c r="C38" s="19"/>
      <c r="D38" s="19"/>
    </row>
    <row r="39" spans="1:5" ht="60.75" customHeight="1" x14ac:dyDescent="0.25">
      <c r="A39" s="18"/>
      <c r="B39" s="158" t="s">
        <v>846</v>
      </c>
      <c r="C39" s="36">
        <f>ROUND(9.76/18154,4)</f>
        <v>5.0000000000000001E-4</v>
      </c>
      <c r="D39" s="55">
        <f>C39*200</f>
        <v>0.1</v>
      </c>
    </row>
    <row r="40" spans="1:5" x14ac:dyDescent="0.25">
      <c r="A40" s="18">
        <v>2311</v>
      </c>
      <c r="B40" s="158" t="s">
        <v>9</v>
      </c>
      <c r="C40" s="36"/>
      <c r="D40" s="19"/>
    </row>
    <row r="41" spans="1:5" ht="66" customHeight="1" x14ac:dyDescent="0.25">
      <c r="A41" s="18"/>
      <c r="B41" s="158" t="s">
        <v>439</v>
      </c>
      <c r="C41" s="36">
        <f>ROUND(54.99/18154,4)</f>
        <v>3.0000000000000001E-3</v>
      </c>
      <c r="D41" s="55">
        <f>C41*200</f>
        <v>0.6</v>
      </c>
    </row>
    <row r="42" spans="1:5" x14ac:dyDescent="0.25">
      <c r="A42" s="18">
        <v>2350</v>
      </c>
      <c r="B42" s="158" t="s">
        <v>21</v>
      </c>
      <c r="C42" s="36"/>
      <c r="D42" s="19"/>
    </row>
    <row r="43" spans="1:5" ht="96" customHeight="1" x14ac:dyDescent="0.25">
      <c r="A43" s="18"/>
      <c r="B43" s="158" t="s">
        <v>462</v>
      </c>
      <c r="C43" s="40">
        <f>ROUND(6.69/18154,4)</f>
        <v>4.0000000000000002E-4</v>
      </c>
      <c r="D43" s="55">
        <f>C43*200</f>
        <v>0.08</v>
      </c>
    </row>
    <row r="44" spans="1:5" ht="20.25" customHeight="1" x14ac:dyDescent="0.25">
      <c r="A44" s="18">
        <v>2513</v>
      </c>
      <c r="B44" s="158" t="s">
        <v>133</v>
      </c>
      <c r="C44" s="40"/>
      <c r="D44" s="124"/>
      <c r="E44" s="125"/>
    </row>
    <row r="45" spans="1:5" ht="48" customHeight="1" x14ac:dyDescent="0.25">
      <c r="A45" s="18"/>
      <c r="B45" s="158" t="s">
        <v>442</v>
      </c>
      <c r="C45" s="36">
        <f>ROUND(9.53/18154,4)</f>
        <v>5.0000000000000001E-4</v>
      </c>
      <c r="D45" s="133">
        <f>C45*200</f>
        <v>0.1</v>
      </c>
      <c r="E45" s="125"/>
    </row>
    <row r="46" spans="1:5" ht="19.5" customHeight="1" x14ac:dyDescent="0.25">
      <c r="A46" s="18">
        <v>5220</v>
      </c>
      <c r="B46" s="158" t="s">
        <v>136</v>
      </c>
      <c r="C46" s="40"/>
      <c r="D46" s="124"/>
      <c r="E46" s="125"/>
    </row>
    <row r="47" spans="1:5" ht="67.5" customHeight="1" x14ac:dyDescent="0.25">
      <c r="A47" s="18"/>
      <c r="B47" s="158" t="s">
        <v>556</v>
      </c>
      <c r="C47" s="36">
        <f>ROUND(25.06/18154,3)</f>
        <v>1E-3</v>
      </c>
      <c r="D47" s="133">
        <f>C47*200</f>
        <v>0.2</v>
      </c>
      <c r="E47" s="125"/>
    </row>
    <row r="48" spans="1:5" ht="15.75" customHeight="1" x14ac:dyDescent="0.25">
      <c r="A48" s="18">
        <v>5238</v>
      </c>
      <c r="B48" s="158" t="s">
        <v>134</v>
      </c>
      <c r="C48" s="40"/>
      <c r="D48" s="124"/>
      <c r="E48" s="125"/>
    </row>
    <row r="49" spans="1:5" ht="49.5" customHeight="1" x14ac:dyDescent="0.25">
      <c r="A49" s="18"/>
      <c r="B49" s="158" t="s">
        <v>461</v>
      </c>
      <c r="C49" s="36">
        <f>ROUND(33.68/18154,4)</f>
        <v>1.9E-3</v>
      </c>
      <c r="D49" s="133">
        <f>C49*200</f>
        <v>0.38</v>
      </c>
      <c r="E49" s="125"/>
    </row>
    <row r="50" spans="1:5" x14ac:dyDescent="0.25">
      <c r="A50" s="68"/>
      <c r="B50" s="72" t="s">
        <v>10</v>
      </c>
      <c r="C50" s="71">
        <f>ROUND(C49+C47+C45+C43+C41+C39+C37+C36+C34+C32+C30+C28+C26+C24+C22,2)</f>
        <v>0.17</v>
      </c>
      <c r="D50" s="71">
        <f>ROUND(D49+D47+D45+D43+D41+D39+D37+D36+D34+D32+D30+D28+D26+D24+D22,2)</f>
        <v>34</v>
      </c>
    </row>
    <row r="51" spans="1:5" x14ac:dyDescent="0.25">
      <c r="A51" s="23"/>
      <c r="B51" s="24" t="s">
        <v>15</v>
      </c>
      <c r="C51" s="52">
        <f>ROUND(C50+C19,2)</f>
        <v>5.51</v>
      </c>
      <c r="D51" s="52">
        <f>D50+D19</f>
        <v>1102</v>
      </c>
    </row>
    <row r="52" spans="1:5" x14ac:dyDescent="0.25">
      <c r="A52" s="25"/>
      <c r="B52" s="26"/>
      <c r="C52" s="27"/>
      <c r="D52" s="27"/>
    </row>
    <row r="53" spans="1:5" x14ac:dyDescent="0.25">
      <c r="A53" s="26"/>
      <c r="B53" s="28"/>
      <c r="C53" s="28"/>
      <c r="D53" s="9"/>
    </row>
    <row r="54" spans="1:5" ht="15" customHeight="1" x14ac:dyDescent="0.25">
      <c r="A54" s="252" t="s">
        <v>23</v>
      </c>
      <c r="B54" s="253"/>
      <c r="C54" s="138">
        <v>200</v>
      </c>
      <c r="D54" s="29"/>
    </row>
    <row r="55" spans="1:5" ht="34.5" customHeight="1" x14ac:dyDescent="0.25">
      <c r="A55" s="254" t="s">
        <v>23</v>
      </c>
      <c r="B55" s="255"/>
      <c r="C55" s="139">
        <f>D51/C54</f>
        <v>5.51</v>
      </c>
      <c r="D55" s="29"/>
    </row>
    <row r="56" spans="1:5" x14ac:dyDescent="0.25">
      <c r="A56" s="30"/>
      <c r="B56" s="30"/>
      <c r="C56" s="30"/>
      <c r="D56" s="30"/>
    </row>
    <row r="57" spans="1:5" x14ac:dyDescent="0.25">
      <c r="A57" s="30"/>
      <c r="B57" s="30"/>
      <c r="C57" s="30"/>
      <c r="D57" s="152"/>
    </row>
    <row r="58" spans="1:5" x14ac:dyDescent="0.25">
      <c r="A58" s="30"/>
      <c r="B58" s="30"/>
      <c r="C58" s="30"/>
      <c r="D58" s="152"/>
    </row>
    <row r="59" spans="1:5" x14ac:dyDescent="0.25">
      <c r="A59" s="30"/>
      <c r="B59" s="30"/>
      <c r="C59" s="30"/>
      <c r="D59" s="152"/>
    </row>
    <row r="60" spans="1:5" x14ac:dyDescent="0.25">
      <c r="A60" s="30"/>
      <c r="B60" s="30"/>
      <c r="C60" s="30"/>
      <c r="D60" s="30"/>
    </row>
    <row r="61" spans="1:5" x14ac:dyDescent="0.25">
      <c r="A61" s="231"/>
      <c r="B61" s="231"/>
      <c r="C61" s="9"/>
      <c r="D61" s="9"/>
    </row>
    <row r="62" spans="1:5" x14ac:dyDescent="0.25">
      <c r="A62" s="250"/>
      <c r="B62" s="231"/>
      <c r="C62" s="9"/>
      <c r="D62" s="9"/>
    </row>
    <row r="63" spans="1:5" x14ac:dyDescent="0.25">
      <c r="A63" s="154"/>
      <c r="B63" s="9"/>
      <c r="C63" s="31"/>
      <c r="D63" s="9"/>
    </row>
    <row r="64" spans="1:5" x14ac:dyDescent="0.25">
      <c r="A64" s="250"/>
      <c r="B64" s="250"/>
      <c r="C64" s="31"/>
      <c r="D64" s="9"/>
    </row>
    <row r="65" spans="1:2" x14ac:dyDescent="0.25">
      <c r="A65" s="156"/>
      <c r="B65" s="156"/>
    </row>
  </sheetData>
  <customSheetViews>
    <customSheetView guid="{3046F990-4623-45D5-BDDC-01BD5999DDBC}" scale="60" showPageBreaks="1" fitToPage="1" printArea="1" view="pageBreakPreview">
      <selection activeCell="B53" sqref="B53"/>
      <rowBreaks count="1" manualBreakCount="1">
        <brk id="32" max="3" man="1"/>
      </rowBreaks>
      <pageMargins left="0.70866141732283472" right="0.70866141732283472" top="0.74803149606299213" bottom="0.74803149606299213" header="0.31496062992125984" footer="0.31496062992125984"/>
      <pageSetup paperSize="9" scale="68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view="pageBreakPreview" topLeftCell="A13">
      <selection activeCell="B49" sqref="B49"/>
      <rowBreaks count="1" manualBreakCount="1">
        <brk id="32" max="3" man="1"/>
      </rowBreaks>
      <pageMargins left="0.70866141732283472" right="0.70866141732283472" top="0.74803149606299213" bottom="0.74803149606299213" header="0.31496062992125984" footer="0.31496062992125984"/>
      <pageSetup paperSize="9" scale="68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view="pageBreakPreview">
      <selection activeCell="B30" sqref="B30"/>
      <rowBreaks count="1" manualBreakCount="1">
        <brk id="32" max="3" man="1"/>
      </rowBreaks>
      <pageMargins left="0.70866141732283472" right="0.70866141732283472" top="0.74803149606299213" bottom="0.74803149606299213" header="0.31496062992125984" footer="0.31496062992125984"/>
      <pageSetup paperSize="9" scale="69" fitToHeight="0" orientation="portrait" r:id="rId3"/>
      <headerFooter>
        <oddFooter>&amp;C&amp;P</oddFooter>
      </headerFooter>
    </customSheetView>
  </customSheetViews>
  <mergeCells count="10">
    <mergeCell ref="A61:B61"/>
    <mergeCell ref="A62:B62"/>
    <mergeCell ref="A64:B64"/>
    <mergeCell ref="A55:B55"/>
    <mergeCell ref="A54:B54"/>
    <mergeCell ref="C3:E3"/>
    <mergeCell ref="A8:B8"/>
    <mergeCell ref="A10:B10"/>
    <mergeCell ref="A6:D6"/>
    <mergeCell ref="A2:D2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4"/>
  <headerFooter>
    <oddFooter>&amp;C&amp;P</oddFooter>
  </headerFooter>
  <rowBreaks count="1" manualBreakCount="1">
    <brk id="32" max="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view="pageBreakPreview" zoomScale="60" zoomScaleNormal="100" workbookViewId="0">
      <selection activeCell="A6" sqref="A6:D6"/>
    </sheetView>
  </sheetViews>
  <sheetFormatPr defaultRowHeight="15" x14ac:dyDescent="0.25"/>
  <cols>
    <col min="1" max="1" width="13.85546875" customWidth="1"/>
    <col min="2" max="2" width="66.7109375" customWidth="1"/>
    <col min="3" max="3" width="15" customWidth="1"/>
    <col min="4" max="4" width="23.85546875" customWidth="1"/>
  </cols>
  <sheetData>
    <row r="1" spans="1:11" ht="18.75" x14ac:dyDescent="0.3">
      <c r="A1" s="4"/>
      <c r="B1" s="5"/>
      <c r="C1" s="35"/>
      <c r="D1" s="5"/>
    </row>
    <row r="2" spans="1:11" ht="15.75" customHeight="1" x14ac:dyDescent="0.25">
      <c r="A2" s="256" t="s">
        <v>307</v>
      </c>
      <c r="B2" s="256"/>
      <c r="C2" s="256"/>
      <c r="D2" s="256"/>
      <c r="E2" s="187"/>
    </row>
    <row r="3" spans="1:11" ht="15" customHeight="1" x14ac:dyDescent="0.25">
      <c r="A3" s="4"/>
      <c r="B3" s="4"/>
      <c r="C3" s="273"/>
      <c r="D3" s="273"/>
      <c r="E3" s="274"/>
    </row>
    <row r="4" spans="1:11" ht="15.75" x14ac:dyDescent="0.25">
      <c r="A4" s="186" t="s">
        <v>723</v>
      </c>
      <c r="B4" s="32"/>
      <c r="C4" s="32"/>
      <c r="D4" s="32"/>
      <c r="E4" s="32"/>
    </row>
    <row r="5" spans="1:11" x14ac:dyDescent="0.25">
      <c r="A5" s="4"/>
      <c r="B5" s="33"/>
      <c r="C5" s="33"/>
      <c r="D5" s="33"/>
      <c r="E5" s="9"/>
    </row>
    <row r="6" spans="1:11" ht="33.75" customHeight="1" x14ac:dyDescent="0.25">
      <c r="A6" s="272" t="s">
        <v>1032</v>
      </c>
      <c r="B6" s="272"/>
      <c r="C6" s="272"/>
      <c r="D6" s="272"/>
      <c r="E6" s="188"/>
    </row>
    <row r="7" spans="1:11" ht="16.5" customHeight="1" x14ac:dyDescent="0.25">
      <c r="A7" s="180"/>
      <c r="B7" s="34"/>
      <c r="C7" s="34"/>
      <c r="D7" s="34"/>
      <c r="E7" s="9"/>
      <c r="F7" s="46"/>
      <c r="G7" s="46"/>
      <c r="H7" s="46"/>
      <c r="I7" s="46"/>
      <c r="J7" s="46"/>
      <c r="K7" s="46"/>
    </row>
    <row r="8" spans="1:11" x14ac:dyDescent="0.25">
      <c r="A8" s="270" t="s">
        <v>309</v>
      </c>
      <c r="B8" s="271"/>
      <c r="C8" s="34"/>
      <c r="D8" s="34"/>
      <c r="E8" s="9"/>
    </row>
    <row r="9" spans="1:11" ht="15" customHeight="1" x14ac:dyDescent="0.25">
      <c r="A9" s="183"/>
      <c r="B9" s="184"/>
      <c r="C9" s="34"/>
      <c r="D9" s="34"/>
      <c r="E9" s="9"/>
    </row>
    <row r="10" spans="1:11" ht="15.75" x14ac:dyDescent="0.25">
      <c r="A10" s="251" t="s">
        <v>783</v>
      </c>
      <c r="B10" s="251"/>
      <c r="C10" s="8"/>
      <c r="D10" s="8"/>
      <c r="E10" s="9"/>
    </row>
    <row r="11" spans="1:11" ht="60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11" x14ac:dyDescent="0.25">
      <c r="A12" s="13">
        <v>1</v>
      </c>
      <c r="B12" s="14">
        <v>2</v>
      </c>
      <c r="C12" s="13">
        <v>3</v>
      </c>
      <c r="D12" s="13">
        <v>4</v>
      </c>
    </row>
    <row r="13" spans="1:11" x14ac:dyDescent="0.25">
      <c r="A13" s="15"/>
      <c r="B13" s="22" t="s">
        <v>13</v>
      </c>
      <c r="C13" s="17"/>
      <c r="D13" s="17"/>
    </row>
    <row r="14" spans="1:11" x14ac:dyDescent="0.25">
      <c r="A14" s="37">
        <v>1100</v>
      </c>
      <c r="B14" s="16" t="s">
        <v>14</v>
      </c>
      <c r="C14" s="38"/>
      <c r="D14" s="38"/>
    </row>
    <row r="15" spans="1:11" ht="89.25" customHeight="1" x14ac:dyDescent="0.25">
      <c r="A15" s="18"/>
      <c r="B15" s="157" t="s">
        <v>946</v>
      </c>
      <c r="C15" s="55">
        <f>0.11*20</f>
        <v>2.2000000000000002</v>
      </c>
      <c r="D15" s="55">
        <f>C15*900</f>
        <v>1980.0000000000002</v>
      </c>
    </row>
    <row r="16" spans="1:11" ht="30.75" customHeight="1" x14ac:dyDescent="0.25">
      <c r="A16" s="18">
        <v>1200</v>
      </c>
      <c r="B16" s="158" t="s">
        <v>284</v>
      </c>
      <c r="C16" s="55">
        <f>ROUND(C15*0.2359,2)</f>
        <v>0.52</v>
      </c>
      <c r="D16" s="55">
        <f>C16*900</f>
        <v>468</v>
      </c>
    </row>
    <row r="17" spans="1:4" x14ac:dyDescent="0.25">
      <c r="A17" s="18">
        <v>2341</v>
      </c>
      <c r="B17" s="18" t="s">
        <v>77</v>
      </c>
      <c r="C17" s="19"/>
      <c r="D17" s="19"/>
    </row>
    <row r="18" spans="1:4" ht="97.5" customHeight="1" x14ac:dyDescent="0.25">
      <c r="A18" s="18"/>
      <c r="B18" s="158" t="s">
        <v>847</v>
      </c>
      <c r="C18" s="55">
        <f>8.25+2.22+0.18+0.04+0.01+0.02+0.4</f>
        <v>11.12</v>
      </c>
      <c r="D18" s="55">
        <f>C18*900</f>
        <v>10008</v>
      </c>
    </row>
    <row r="19" spans="1:4" hidden="1" x14ac:dyDescent="0.25">
      <c r="A19" s="18"/>
      <c r="B19" s="158" t="s">
        <v>72</v>
      </c>
      <c r="C19" s="55"/>
      <c r="D19" s="55"/>
    </row>
    <row r="20" spans="1:4" x14ac:dyDescent="0.25">
      <c r="A20" s="68"/>
      <c r="B20" s="159" t="s">
        <v>2</v>
      </c>
      <c r="C20" s="71">
        <f>SUM(C14:C18)</f>
        <v>13.84</v>
      </c>
      <c r="D20" s="71">
        <f>SUM(D14:D18)</f>
        <v>12456</v>
      </c>
    </row>
    <row r="21" spans="1:4" x14ac:dyDescent="0.25">
      <c r="A21" s="18"/>
      <c r="B21" s="160" t="s">
        <v>20</v>
      </c>
      <c r="C21" s="19"/>
      <c r="D21" s="19"/>
    </row>
    <row r="22" spans="1:4" x14ac:dyDescent="0.25">
      <c r="A22" s="18">
        <v>2219</v>
      </c>
      <c r="B22" s="158" t="s">
        <v>3</v>
      </c>
      <c r="C22" s="19"/>
      <c r="D22" s="19"/>
    </row>
    <row r="23" spans="1:4" ht="97.5" customHeight="1" x14ac:dyDescent="0.25">
      <c r="A23" s="18"/>
      <c r="B23" s="158" t="s">
        <v>653</v>
      </c>
      <c r="C23" s="40">
        <f>ROUND(3.18/18154,4)</f>
        <v>2.0000000000000001E-4</v>
      </c>
      <c r="D23" s="55">
        <f>C23*900</f>
        <v>0.18000000000000002</v>
      </c>
    </row>
    <row r="24" spans="1:4" x14ac:dyDescent="0.25">
      <c r="A24" s="18">
        <v>2221</v>
      </c>
      <c r="B24" s="158" t="s">
        <v>4</v>
      </c>
      <c r="C24" s="19"/>
      <c r="D24" s="19"/>
    </row>
    <row r="25" spans="1:4" ht="51.75" customHeight="1" x14ac:dyDescent="0.25">
      <c r="A25" s="18"/>
      <c r="B25" s="158" t="s">
        <v>483</v>
      </c>
      <c r="C25" s="55">
        <f>ROUND(301.59/18154,4)</f>
        <v>1.66E-2</v>
      </c>
      <c r="D25" s="55">
        <f>C25*900</f>
        <v>14.94</v>
      </c>
    </row>
    <row r="26" spans="1:4" ht="15" customHeight="1" x14ac:dyDescent="0.25">
      <c r="A26" s="18">
        <v>2222</v>
      </c>
      <c r="B26" s="158" t="s">
        <v>5</v>
      </c>
      <c r="C26" s="19"/>
      <c r="D26" s="19"/>
    </row>
    <row r="27" spans="1:4" ht="53.25" customHeight="1" x14ac:dyDescent="0.25">
      <c r="A27" s="18"/>
      <c r="B27" s="158" t="s">
        <v>464</v>
      </c>
      <c r="C27" s="36">
        <f>ROUND(31.02/18154,4)</f>
        <v>1.6999999999999999E-3</v>
      </c>
      <c r="D27" s="55">
        <f>C27*900</f>
        <v>1.5299999999999998</v>
      </c>
    </row>
    <row r="28" spans="1:4" x14ac:dyDescent="0.25">
      <c r="A28" s="18">
        <v>2223</v>
      </c>
      <c r="B28" s="18" t="s">
        <v>6</v>
      </c>
      <c r="C28" s="19"/>
      <c r="D28" s="19"/>
    </row>
    <row r="29" spans="1:4" ht="55.5" customHeight="1" x14ac:dyDescent="0.25">
      <c r="A29" s="18"/>
      <c r="B29" s="158" t="s">
        <v>196</v>
      </c>
      <c r="C29" s="55">
        <f>ROUND(538.27/18154,2)</f>
        <v>0.03</v>
      </c>
      <c r="D29" s="55">
        <f>C29*900</f>
        <v>27</v>
      </c>
    </row>
    <row r="30" spans="1:4" x14ac:dyDescent="0.25">
      <c r="A30" s="18">
        <v>2224</v>
      </c>
      <c r="B30" s="158" t="s">
        <v>7</v>
      </c>
      <c r="C30" s="19"/>
      <c r="D30" s="19"/>
    </row>
    <row r="31" spans="1:4" ht="51.75" customHeight="1" x14ac:dyDescent="0.25">
      <c r="A31" s="18"/>
      <c r="B31" s="158" t="s">
        <v>197</v>
      </c>
      <c r="C31" s="36">
        <f>ROUND(28.86/18154,4)</f>
        <v>1.6000000000000001E-3</v>
      </c>
      <c r="D31" s="55">
        <f>C31*900</f>
        <v>1.4400000000000002</v>
      </c>
    </row>
    <row r="32" spans="1:4" x14ac:dyDescent="0.25">
      <c r="A32" s="45">
        <v>2231</v>
      </c>
      <c r="B32" s="158" t="s">
        <v>22</v>
      </c>
      <c r="C32" s="36"/>
      <c r="D32" s="19"/>
    </row>
    <row r="33" spans="1:4" ht="182.25" customHeight="1" x14ac:dyDescent="0.25">
      <c r="A33" s="45"/>
      <c r="B33" s="158" t="s">
        <v>465</v>
      </c>
      <c r="C33" s="55">
        <f>ROUND(1201.87/18154,2)</f>
        <v>7.0000000000000007E-2</v>
      </c>
      <c r="D33" s="55">
        <f>C33*900</f>
        <v>63.000000000000007</v>
      </c>
    </row>
    <row r="34" spans="1:4" ht="15.75" customHeight="1" x14ac:dyDescent="0.25">
      <c r="A34" s="45">
        <v>2243</v>
      </c>
      <c r="B34" s="158" t="s">
        <v>132</v>
      </c>
      <c r="C34" s="55"/>
      <c r="D34" s="40"/>
    </row>
    <row r="35" spans="1:4" ht="59.25" customHeight="1" x14ac:dyDescent="0.25">
      <c r="A35" s="45"/>
      <c r="B35" s="158" t="s">
        <v>466</v>
      </c>
      <c r="C35" s="55">
        <f>ROUND(386.87/18154,4)</f>
        <v>2.1299999999999999E-2</v>
      </c>
      <c r="D35" s="55">
        <f>C35*900</f>
        <v>19.169999999999998</v>
      </c>
    </row>
    <row r="36" spans="1:4" x14ac:dyDescent="0.25">
      <c r="A36" s="18">
        <v>2244</v>
      </c>
      <c r="B36" s="158" t="s">
        <v>24</v>
      </c>
      <c r="C36" s="19"/>
      <c r="D36" s="19"/>
    </row>
    <row r="37" spans="1:4" ht="61.5" customHeight="1" x14ac:dyDescent="0.25">
      <c r="A37" s="21"/>
      <c r="B37" s="158" t="s">
        <v>952</v>
      </c>
      <c r="C37" s="55">
        <f>ROUND(383.44/18154,3)</f>
        <v>2.1000000000000001E-2</v>
      </c>
      <c r="D37" s="55">
        <f>C37*900</f>
        <v>18.900000000000002</v>
      </c>
    </row>
    <row r="38" spans="1:4" ht="60.75" customHeight="1" x14ac:dyDescent="0.25">
      <c r="A38" s="21"/>
      <c r="B38" s="158" t="s">
        <v>487</v>
      </c>
      <c r="C38" s="40">
        <f>ROUND(5.03/18154,4)</f>
        <v>2.9999999999999997E-4</v>
      </c>
      <c r="D38" s="55">
        <f>C38*900</f>
        <v>0.26999999999999996</v>
      </c>
    </row>
    <row r="39" spans="1:4" x14ac:dyDescent="0.25">
      <c r="A39" s="18">
        <v>2249</v>
      </c>
      <c r="B39" s="158" t="s">
        <v>8</v>
      </c>
      <c r="C39" s="19"/>
      <c r="D39" s="19"/>
    </row>
    <row r="40" spans="1:4" ht="60.75" customHeight="1" x14ac:dyDescent="0.25">
      <c r="A40" s="18"/>
      <c r="B40" s="158" t="s">
        <v>468</v>
      </c>
      <c r="C40" s="36">
        <f>ROUND(9.76/18154,4)</f>
        <v>5.0000000000000001E-4</v>
      </c>
      <c r="D40" s="55">
        <f>C40*900</f>
        <v>0.45</v>
      </c>
    </row>
    <row r="41" spans="1:4" x14ac:dyDescent="0.25">
      <c r="A41" s="18">
        <v>2311</v>
      </c>
      <c r="B41" s="158" t="s">
        <v>9</v>
      </c>
      <c r="C41" s="36"/>
      <c r="D41" s="19"/>
    </row>
    <row r="42" spans="1:4" ht="60" customHeight="1" x14ac:dyDescent="0.25">
      <c r="A42" s="18"/>
      <c r="B42" s="158" t="s">
        <v>488</v>
      </c>
      <c r="C42" s="36">
        <f>ROUND(54.99/18154,4)</f>
        <v>3.0000000000000001E-3</v>
      </c>
      <c r="D42" s="55">
        <f>C42*900</f>
        <v>2.7</v>
      </c>
    </row>
    <row r="43" spans="1:4" x14ac:dyDescent="0.25">
      <c r="A43" s="18">
        <v>2350</v>
      </c>
      <c r="B43" s="158" t="s">
        <v>21</v>
      </c>
      <c r="C43" s="36"/>
      <c r="D43" s="19"/>
    </row>
    <row r="44" spans="1:4" ht="99" customHeight="1" x14ac:dyDescent="0.25">
      <c r="A44" s="18"/>
      <c r="B44" s="158" t="s">
        <v>469</v>
      </c>
      <c r="C44" s="40">
        <f>ROUND(6.69/18154,4)</f>
        <v>4.0000000000000002E-4</v>
      </c>
      <c r="D44" s="55">
        <f>C44*900</f>
        <v>0.36000000000000004</v>
      </c>
    </row>
    <row r="45" spans="1:4" ht="15.75" customHeight="1" x14ac:dyDescent="0.25">
      <c r="A45" s="18">
        <v>2513</v>
      </c>
      <c r="B45" s="158" t="s">
        <v>133</v>
      </c>
      <c r="C45" s="40"/>
      <c r="D45" s="36"/>
    </row>
    <row r="46" spans="1:4" ht="62.25" customHeight="1" x14ac:dyDescent="0.25">
      <c r="A46" s="18"/>
      <c r="B46" s="158" t="s">
        <v>470</v>
      </c>
      <c r="C46" s="36">
        <f>ROUND(9.53/18154,4)</f>
        <v>5.0000000000000001E-4</v>
      </c>
      <c r="D46" s="55">
        <f>C46*900</f>
        <v>0.45</v>
      </c>
    </row>
    <row r="47" spans="1:4" ht="18.75" customHeight="1" x14ac:dyDescent="0.25">
      <c r="A47" s="18">
        <v>5220</v>
      </c>
      <c r="B47" s="158" t="s">
        <v>136</v>
      </c>
      <c r="C47" s="40"/>
      <c r="D47" s="36"/>
    </row>
    <row r="48" spans="1:4" ht="63.75" customHeight="1" x14ac:dyDescent="0.25">
      <c r="A48" s="18"/>
      <c r="B48" s="158" t="s">
        <v>471</v>
      </c>
      <c r="C48" s="40">
        <f>ROUND(25.06/18154,3)</f>
        <v>1E-3</v>
      </c>
      <c r="D48" s="55">
        <f>C48*900</f>
        <v>0.9</v>
      </c>
    </row>
    <row r="49" spans="1:4" ht="15.75" customHeight="1" x14ac:dyDescent="0.25">
      <c r="A49" s="18">
        <v>5238</v>
      </c>
      <c r="B49" s="158" t="s">
        <v>134</v>
      </c>
      <c r="C49" s="40"/>
      <c r="D49" s="36"/>
    </row>
    <row r="50" spans="1:4" ht="63" customHeight="1" x14ac:dyDescent="0.25">
      <c r="A50" s="18"/>
      <c r="B50" s="158" t="s">
        <v>472</v>
      </c>
      <c r="C50" s="36">
        <f>ROUND(33.68/18154,4)</f>
        <v>1.9E-3</v>
      </c>
      <c r="D50" s="55">
        <f>C50*900</f>
        <v>1.71</v>
      </c>
    </row>
    <row r="51" spans="1:4" x14ac:dyDescent="0.25">
      <c r="A51" s="68"/>
      <c r="B51" s="72" t="s">
        <v>10</v>
      </c>
      <c r="C51" s="71">
        <f>ROUND(C50+C48+C46+C44+C42+C40+C38+C37+C35+C33+C31+C29+C27+C25+C23,2)</f>
        <v>0.17</v>
      </c>
      <c r="D51" s="70">
        <f>D50+D48+D46+D44+D42+D40+D38+D37+D35+D33+D31+D29+D27+D25+D23</f>
        <v>153</v>
      </c>
    </row>
    <row r="52" spans="1:4" x14ac:dyDescent="0.25">
      <c r="A52" s="23"/>
      <c r="B52" s="24" t="s">
        <v>15</v>
      </c>
      <c r="C52" s="52">
        <f>ROUND(C51+C20,2)</f>
        <v>14.01</v>
      </c>
      <c r="D52" s="52">
        <f>D51+D20</f>
        <v>12609</v>
      </c>
    </row>
    <row r="53" spans="1:4" x14ac:dyDescent="0.25">
      <c r="A53" s="25"/>
      <c r="B53" s="26"/>
      <c r="C53" s="27"/>
      <c r="D53" s="27"/>
    </row>
    <row r="54" spans="1:4" x14ac:dyDescent="0.25">
      <c r="A54" s="26"/>
      <c r="B54" s="28"/>
      <c r="C54" s="28"/>
      <c r="D54" s="9"/>
    </row>
    <row r="55" spans="1:4" ht="15" customHeight="1" x14ac:dyDescent="0.25">
      <c r="A55" s="252" t="s">
        <v>16</v>
      </c>
      <c r="B55" s="253"/>
      <c r="C55" s="138">
        <v>900</v>
      </c>
      <c r="D55" s="29"/>
    </row>
    <row r="56" spans="1:4" ht="33.75" customHeight="1" x14ac:dyDescent="0.25">
      <c r="A56" s="254" t="s">
        <v>23</v>
      </c>
      <c r="B56" s="255"/>
      <c r="C56" s="139">
        <f>D52/C55</f>
        <v>14.01</v>
      </c>
      <c r="D56" s="29"/>
    </row>
    <row r="57" spans="1:4" x14ac:dyDescent="0.25">
      <c r="A57" s="30"/>
      <c r="B57" s="30"/>
      <c r="C57" s="30"/>
      <c r="D57" s="30"/>
    </row>
    <row r="58" spans="1:4" x14ac:dyDescent="0.25">
      <c r="A58" s="30"/>
      <c r="B58" s="30"/>
      <c r="C58" s="30"/>
      <c r="D58" s="152"/>
    </row>
    <row r="59" spans="1:4" x14ac:dyDescent="0.25">
      <c r="A59" s="30"/>
      <c r="B59" s="30"/>
      <c r="C59" s="30"/>
      <c r="D59" s="152"/>
    </row>
    <row r="60" spans="1:4" x14ac:dyDescent="0.25">
      <c r="A60" s="30"/>
      <c r="B60" s="30"/>
      <c r="C60" s="30"/>
      <c r="D60" s="152"/>
    </row>
    <row r="61" spans="1:4" x14ac:dyDescent="0.25">
      <c r="A61" s="30"/>
      <c r="B61" s="30"/>
      <c r="C61" s="30"/>
      <c r="D61" s="30"/>
    </row>
    <row r="62" spans="1:4" x14ac:dyDescent="0.25">
      <c r="A62" s="231"/>
      <c r="B62" s="231"/>
      <c r="C62" s="9"/>
      <c r="D62" s="9"/>
    </row>
    <row r="63" spans="1:4" x14ac:dyDescent="0.25">
      <c r="A63" s="250"/>
      <c r="B63" s="231"/>
      <c r="C63" s="9"/>
      <c r="D63" s="9"/>
    </row>
    <row r="64" spans="1:4" x14ac:dyDescent="0.25">
      <c r="A64" s="154"/>
      <c r="B64" s="9"/>
      <c r="C64" s="31"/>
      <c r="D64" s="9"/>
    </row>
    <row r="65" spans="1:4" x14ac:dyDescent="0.25">
      <c r="A65" s="250"/>
      <c r="B65" s="250"/>
      <c r="C65" s="31"/>
      <c r="D65" s="9"/>
    </row>
  </sheetData>
  <customSheetViews>
    <customSheetView guid="{3046F990-4623-45D5-BDDC-01BD5999DDBC}" scale="60" showPageBreaks="1" fitToPage="1" printArea="1" hiddenRows="1" view="pageBreakPreview">
      <selection activeCell="B53" sqref="B53"/>
      <rowBreaks count="1" manualBreakCount="1">
        <brk id="31" max="3" man="1"/>
      </rowBreaks>
      <colBreaks count="1" manualBreakCount="1">
        <brk id="4" max="55" man="1"/>
      </colBreaks>
      <pageMargins left="0.70866141732283472" right="0.70866141732283472" top="0.74803149606299213" bottom="0.74803149606299213" header="0.31496062992125984" footer="0.31496062992125984"/>
      <pageSetup paperSize="9" scale="73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hiddenRows="1" view="pageBreakPreview" topLeftCell="A7">
      <selection activeCell="B48" sqref="B48"/>
      <rowBreaks count="1" manualBreakCount="1">
        <brk id="31" max="3" man="1"/>
      </rowBreaks>
      <colBreaks count="1" manualBreakCount="1">
        <brk id="4" max="55" man="1"/>
      </colBreaks>
      <pageMargins left="0.70866141732283472" right="0.70866141732283472" top="0.74803149606299213" bottom="0.74803149606299213" header="0.31496062992125984" footer="0.31496062992125984"/>
      <pageSetup paperSize="9" scale="73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hiddenRows="1" view="pageBreakPreview">
      <selection activeCell="A6" sqref="A6:D6"/>
      <rowBreaks count="1" manualBreakCount="1">
        <brk id="31" max="3" man="1"/>
      </rowBreaks>
      <colBreaks count="1" manualBreakCount="1">
        <brk id="4" max="55" man="1"/>
      </colBreaks>
      <pageMargins left="0.70866141732283472" right="0.70866141732283472" top="0.74803149606299213" bottom="0.74803149606299213" header="0.31496062992125984" footer="0.31496062992125984"/>
      <pageSetup paperSize="9" scale="73" fitToHeight="0" orientation="portrait" r:id="rId3"/>
      <headerFooter>
        <oddFooter>&amp;C&amp;P</oddFooter>
      </headerFooter>
    </customSheetView>
  </customSheetViews>
  <mergeCells count="10">
    <mergeCell ref="A62:B62"/>
    <mergeCell ref="A63:B63"/>
    <mergeCell ref="A65:B65"/>
    <mergeCell ref="A56:B56"/>
    <mergeCell ref="A55:B55"/>
    <mergeCell ref="A2:D2"/>
    <mergeCell ref="C3:E3"/>
    <mergeCell ref="A6:D6"/>
    <mergeCell ref="A8:B8"/>
    <mergeCell ref="A10:B10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4"/>
  <headerFooter>
    <oddFooter>&amp;C&amp;P</oddFooter>
  </headerFooter>
  <rowBreaks count="1" manualBreakCount="1">
    <brk id="31" max="3" man="1"/>
  </rowBreaks>
  <colBreaks count="1" manualBreakCount="1">
    <brk id="4" max="5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view="pageBreakPreview" zoomScale="60" zoomScaleNormal="100" workbookViewId="0">
      <selection activeCell="A6" sqref="A6:D6"/>
    </sheetView>
  </sheetViews>
  <sheetFormatPr defaultRowHeight="15" x14ac:dyDescent="0.25"/>
  <cols>
    <col min="1" max="1" width="13.7109375" customWidth="1"/>
    <col min="2" max="2" width="86.42578125" customWidth="1"/>
    <col min="3" max="3" width="14.85546875" customWidth="1"/>
    <col min="4" max="4" width="16.42578125" customWidth="1"/>
  </cols>
  <sheetData>
    <row r="1" spans="1:11" ht="18.75" x14ac:dyDescent="0.3">
      <c r="A1" s="4"/>
      <c r="B1" s="5"/>
      <c r="C1" s="35"/>
      <c r="D1" s="5"/>
    </row>
    <row r="2" spans="1:11" ht="15.75" customHeight="1" x14ac:dyDescent="0.25">
      <c r="A2" s="256" t="s">
        <v>307</v>
      </c>
      <c r="B2" s="256"/>
      <c r="C2" s="256"/>
      <c r="D2" s="187"/>
    </row>
    <row r="3" spans="1:11" ht="15" customHeight="1" x14ac:dyDescent="0.25">
      <c r="A3" s="4"/>
      <c r="B3" s="4"/>
      <c r="C3" s="273"/>
      <c r="D3" s="274"/>
    </row>
    <row r="4" spans="1:11" ht="15.75" x14ac:dyDescent="0.25">
      <c r="A4" s="186" t="s">
        <v>723</v>
      </c>
      <c r="B4" s="32"/>
      <c r="C4" s="32"/>
      <c r="D4" s="32"/>
    </row>
    <row r="5" spans="1:11" x14ac:dyDescent="0.25">
      <c r="A5" s="4"/>
      <c r="B5" s="33"/>
      <c r="C5" s="33"/>
      <c r="D5" s="9"/>
    </row>
    <row r="6" spans="1:11" ht="34.5" customHeight="1" x14ac:dyDescent="0.25">
      <c r="A6" s="272" t="s">
        <v>1081</v>
      </c>
      <c r="B6" s="272"/>
      <c r="C6" s="272"/>
      <c r="D6" s="272"/>
    </row>
    <row r="7" spans="1:11" ht="16.5" customHeight="1" x14ac:dyDescent="0.25">
      <c r="A7" s="180"/>
      <c r="B7" s="34"/>
      <c r="C7" s="34"/>
      <c r="D7" s="9"/>
      <c r="E7" s="46"/>
      <c r="F7" s="46"/>
      <c r="G7" s="46"/>
      <c r="H7" s="46"/>
      <c r="I7" s="46"/>
      <c r="J7" s="46"/>
      <c r="K7" s="46"/>
    </row>
    <row r="8" spans="1:11" x14ac:dyDescent="0.25">
      <c r="A8" s="270" t="s">
        <v>309</v>
      </c>
      <c r="B8" s="271"/>
      <c r="C8" s="34"/>
      <c r="D8" s="9"/>
    </row>
    <row r="9" spans="1:11" ht="15" customHeight="1" x14ac:dyDescent="0.25">
      <c r="A9" s="183"/>
      <c r="B9" s="184"/>
      <c r="C9" s="34"/>
      <c r="D9" s="9"/>
    </row>
    <row r="10" spans="1:11" ht="15.75" x14ac:dyDescent="0.25">
      <c r="A10" s="251" t="s">
        <v>784</v>
      </c>
      <c r="B10" s="251"/>
      <c r="C10" s="8"/>
      <c r="D10" s="9"/>
    </row>
    <row r="11" spans="1:11" ht="120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11" x14ac:dyDescent="0.25">
      <c r="A12" s="13">
        <v>1</v>
      </c>
      <c r="B12" s="14">
        <v>2</v>
      </c>
      <c r="C12" s="13">
        <v>3</v>
      </c>
      <c r="D12" s="13">
        <v>4</v>
      </c>
    </row>
    <row r="13" spans="1:11" x14ac:dyDescent="0.25">
      <c r="A13" s="15"/>
      <c r="B13" s="22" t="s">
        <v>13</v>
      </c>
      <c r="C13" s="17"/>
      <c r="D13" s="17"/>
    </row>
    <row r="14" spans="1:11" x14ac:dyDescent="0.25">
      <c r="A14" s="37">
        <v>1100</v>
      </c>
      <c r="B14" s="16" t="s">
        <v>14</v>
      </c>
      <c r="C14" s="38"/>
      <c r="D14" s="38"/>
    </row>
    <row r="15" spans="1:11" ht="106.5" customHeight="1" x14ac:dyDescent="0.25">
      <c r="A15" s="18"/>
      <c r="B15" s="157" t="s">
        <v>473</v>
      </c>
      <c r="C15" s="55">
        <f>0.11*20+0.11*13</f>
        <v>3.63</v>
      </c>
      <c r="D15" s="55">
        <f>C15*99</f>
        <v>359.37</v>
      </c>
    </row>
    <row r="16" spans="1:11" ht="36.75" customHeight="1" x14ac:dyDescent="0.25">
      <c r="A16" s="18">
        <v>1200</v>
      </c>
      <c r="B16" s="158" t="s">
        <v>285</v>
      </c>
      <c r="C16" s="55">
        <f>ROUND(C15*0.2359,2)</f>
        <v>0.86</v>
      </c>
      <c r="D16" s="55">
        <f>C16*99</f>
        <v>85.14</v>
      </c>
    </row>
    <row r="17" spans="1:4" x14ac:dyDescent="0.25">
      <c r="A17" s="18">
        <v>2341</v>
      </c>
      <c r="B17" s="18" t="s">
        <v>77</v>
      </c>
      <c r="C17" s="19"/>
      <c r="D17" s="19"/>
    </row>
    <row r="18" spans="1:4" ht="93" customHeight="1" x14ac:dyDescent="0.25">
      <c r="A18" s="18"/>
      <c r="B18" s="158" t="s">
        <v>848</v>
      </c>
      <c r="C18" s="55">
        <f>8.25+2.22+0.18+0.04+0.01+0.02+0.4</f>
        <v>11.12</v>
      </c>
      <c r="D18" s="55">
        <f>C18*99</f>
        <v>1100.8799999999999</v>
      </c>
    </row>
    <row r="19" spans="1:4" hidden="1" x14ac:dyDescent="0.25">
      <c r="A19" s="18"/>
      <c r="B19" s="158" t="s">
        <v>74</v>
      </c>
      <c r="C19" s="36"/>
      <c r="D19" s="19"/>
    </row>
    <row r="20" spans="1:4" hidden="1" x14ac:dyDescent="0.25">
      <c r="A20" s="18"/>
      <c r="B20" s="158" t="s">
        <v>73</v>
      </c>
      <c r="C20" s="36"/>
      <c r="D20" s="19"/>
    </row>
    <row r="21" spans="1:4" x14ac:dyDescent="0.25">
      <c r="A21" s="74"/>
      <c r="B21" s="159" t="s">
        <v>2</v>
      </c>
      <c r="C21" s="71">
        <f>SUM(C14:C18)</f>
        <v>15.61</v>
      </c>
      <c r="D21" s="71">
        <f>SUM(D14:D20)</f>
        <v>1545.3899999999999</v>
      </c>
    </row>
    <row r="22" spans="1:4" x14ac:dyDescent="0.25">
      <c r="A22" s="18"/>
      <c r="B22" s="160" t="s">
        <v>20</v>
      </c>
      <c r="C22" s="19"/>
      <c r="D22" s="19"/>
    </row>
    <row r="23" spans="1:4" x14ac:dyDescent="0.25">
      <c r="A23" s="18">
        <v>2219</v>
      </c>
      <c r="B23" s="158" t="s">
        <v>3</v>
      </c>
      <c r="C23" s="19"/>
      <c r="D23" s="19"/>
    </row>
    <row r="24" spans="1:4" ht="97.5" customHeight="1" x14ac:dyDescent="0.25">
      <c r="A24" s="18"/>
      <c r="B24" s="158" t="s">
        <v>652</v>
      </c>
      <c r="C24" s="40">
        <f>ROUND(3.18/18154,4)</f>
        <v>2.0000000000000001E-4</v>
      </c>
      <c r="D24" s="55">
        <f>C24*99</f>
        <v>1.9800000000000002E-2</v>
      </c>
    </row>
    <row r="25" spans="1:4" x14ac:dyDescent="0.25">
      <c r="A25" s="18">
        <v>2221</v>
      </c>
      <c r="B25" s="158" t="s">
        <v>4</v>
      </c>
      <c r="C25" s="19"/>
      <c r="D25" s="19"/>
    </row>
    <row r="26" spans="1:4" ht="46.5" customHeight="1" x14ac:dyDescent="0.25">
      <c r="A26" s="18"/>
      <c r="B26" s="158" t="s">
        <v>651</v>
      </c>
      <c r="C26" s="55">
        <f>ROUND(301.59/18154,4)</f>
        <v>1.66E-2</v>
      </c>
      <c r="D26" s="55">
        <f>C26*99</f>
        <v>1.6434</v>
      </c>
    </row>
    <row r="27" spans="1:4" ht="15" customHeight="1" x14ac:dyDescent="0.25">
      <c r="A27" s="18">
        <v>2222</v>
      </c>
      <c r="B27" s="158" t="s">
        <v>5</v>
      </c>
      <c r="C27" s="19"/>
      <c r="D27" s="19"/>
    </row>
    <row r="28" spans="1:4" ht="45" customHeight="1" x14ac:dyDescent="0.25">
      <c r="A28" s="18"/>
      <c r="B28" s="158" t="s">
        <v>198</v>
      </c>
      <c r="C28" s="36">
        <f>ROUND(31.02/18154,4)</f>
        <v>1.6999999999999999E-3</v>
      </c>
      <c r="D28" s="55">
        <f>C28*99</f>
        <v>0.16829999999999998</v>
      </c>
    </row>
    <row r="29" spans="1:4" x14ac:dyDescent="0.25">
      <c r="A29" s="18">
        <v>2223</v>
      </c>
      <c r="B29" s="18" t="s">
        <v>6</v>
      </c>
      <c r="C29" s="19"/>
      <c r="D29" s="19"/>
    </row>
    <row r="30" spans="1:4" ht="45.75" customHeight="1" x14ac:dyDescent="0.25">
      <c r="A30" s="18"/>
      <c r="B30" s="158" t="s">
        <v>199</v>
      </c>
      <c r="C30" s="55">
        <f>ROUND(538.27/18154,2)</f>
        <v>0.03</v>
      </c>
      <c r="D30" s="55">
        <f>C30*99</f>
        <v>2.9699999999999998</v>
      </c>
    </row>
    <row r="31" spans="1:4" x14ac:dyDescent="0.25">
      <c r="A31" s="18">
        <v>2224</v>
      </c>
      <c r="B31" s="158" t="s">
        <v>7</v>
      </c>
      <c r="C31" s="19"/>
      <c r="D31" s="19"/>
    </row>
    <row r="32" spans="1:4" ht="52.5" customHeight="1" x14ac:dyDescent="0.25">
      <c r="A32" s="18"/>
      <c r="B32" s="158" t="s">
        <v>849</v>
      </c>
      <c r="C32" s="36">
        <f>ROUND(28.86/18154,4)</f>
        <v>1.6000000000000001E-3</v>
      </c>
      <c r="D32" s="55">
        <f>C32*99</f>
        <v>0.15840000000000001</v>
      </c>
    </row>
    <row r="33" spans="1:4" x14ac:dyDescent="0.25">
      <c r="A33" s="45">
        <v>2231</v>
      </c>
      <c r="B33" s="158" t="s">
        <v>22</v>
      </c>
      <c r="C33" s="36"/>
      <c r="D33" s="19"/>
    </row>
    <row r="34" spans="1:4" ht="151.5" customHeight="1" x14ac:dyDescent="0.25">
      <c r="A34" s="45"/>
      <c r="B34" s="158" t="s">
        <v>474</v>
      </c>
      <c r="C34" s="55">
        <f>ROUND(1201.87/18154,2)</f>
        <v>7.0000000000000007E-2</v>
      </c>
      <c r="D34" s="55">
        <f>C34*99</f>
        <v>6.9300000000000006</v>
      </c>
    </row>
    <row r="35" spans="1:4" ht="18" customHeight="1" x14ac:dyDescent="0.25">
      <c r="A35" s="45">
        <v>2243</v>
      </c>
      <c r="B35" s="158" t="s">
        <v>132</v>
      </c>
      <c r="C35" s="55"/>
      <c r="D35" s="55"/>
    </row>
    <row r="36" spans="1:4" ht="50.25" customHeight="1" x14ac:dyDescent="0.25">
      <c r="A36" s="45"/>
      <c r="B36" s="158" t="s">
        <v>650</v>
      </c>
      <c r="C36" s="55">
        <f>ROUND(386.87/18154,4)</f>
        <v>2.1299999999999999E-2</v>
      </c>
      <c r="D36" s="55">
        <f>C36*99</f>
        <v>2.1086999999999998</v>
      </c>
    </row>
    <row r="37" spans="1:4" x14ac:dyDescent="0.25">
      <c r="A37" s="18">
        <v>2244</v>
      </c>
      <c r="B37" s="158" t="s">
        <v>24</v>
      </c>
      <c r="C37" s="19"/>
      <c r="D37" s="19"/>
    </row>
    <row r="38" spans="1:4" ht="51.75" customHeight="1" x14ac:dyDescent="0.25">
      <c r="A38" s="21"/>
      <c r="B38" s="158" t="s">
        <v>475</v>
      </c>
      <c r="C38" s="55">
        <f>ROUND(383.44/18154,3)</f>
        <v>2.1000000000000001E-2</v>
      </c>
      <c r="D38" s="55">
        <f>C38*99</f>
        <v>2.0790000000000002</v>
      </c>
    </row>
    <row r="39" spans="1:4" ht="45" customHeight="1" x14ac:dyDescent="0.25">
      <c r="A39" s="21"/>
      <c r="B39" s="158" t="s">
        <v>200</v>
      </c>
      <c r="C39" s="40">
        <f>ROUND(5.03/18154,4)</f>
        <v>2.9999999999999997E-4</v>
      </c>
      <c r="D39" s="55">
        <f>C39*99</f>
        <v>2.9699999999999997E-2</v>
      </c>
    </row>
    <row r="40" spans="1:4" x14ac:dyDescent="0.25">
      <c r="A40" s="18">
        <v>2249</v>
      </c>
      <c r="B40" s="158" t="s">
        <v>8</v>
      </c>
      <c r="C40" s="19"/>
      <c r="D40" s="19"/>
    </row>
    <row r="41" spans="1:4" ht="51" customHeight="1" x14ac:dyDescent="0.25">
      <c r="A41" s="18"/>
      <c r="B41" s="158" t="s">
        <v>476</v>
      </c>
      <c r="C41" s="36">
        <f>ROUND(9.76/18154,4)</f>
        <v>5.0000000000000001E-4</v>
      </c>
      <c r="D41" s="55">
        <f>C41*99</f>
        <v>4.9500000000000002E-2</v>
      </c>
    </row>
    <row r="42" spans="1:4" x14ac:dyDescent="0.25">
      <c r="A42" s="18">
        <v>2311</v>
      </c>
      <c r="B42" s="158" t="s">
        <v>9</v>
      </c>
      <c r="C42" s="36"/>
      <c r="D42" s="19"/>
    </row>
    <row r="43" spans="1:4" ht="51" customHeight="1" x14ac:dyDescent="0.25">
      <c r="A43" s="18"/>
      <c r="B43" s="158" t="s">
        <v>477</v>
      </c>
      <c r="C43" s="36">
        <f>ROUND(54.99/18154,4)</f>
        <v>3.0000000000000001E-3</v>
      </c>
      <c r="D43" s="55">
        <f>C43*99</f>
        <v>0.29699999999999999</v>
      </c>
    </row>
    <row r="44" spans="1:4" x14ac:dyDescent="0.25">
      <c r="A44" s="18">
        <v>2350</v>
      </c>
      <c r="B44" s="158" t="s">
        <v>21</v>
      </c>
      <c r="C44" s="36"/>
      <c r="D44" s="19"/>
    </row>
    <row r="45" spans="1:4" ht="80.25" customHeight="1" x14ac:dyDescent="0.25">
      <c r="A45" s="18"/>
      <c r="B45" s="158" t="s">
        <v>478</v>
      </c>
      <c r="C45" s="40">
        <f>ROUND(6.69/18154,4)</f>
        <v>4.0000000000000002E-4</v>
      </c>
      <c r="D45" s="55">
        <f>C45*99</f>
        <v>3.9600000000000003E-2</v>
      </c>
    </row>
    <row r="46" spans="1:4" ht="16.5" customHeight="1" x14ac:dyDescent="0.25">
      <c r="A46" s="18">
        <v>2513</v>
      </c>
      <c r="B46" s="158" t="s">
        <v>133</v>
      </c>
      <c r="C46" s="40"/>
      <c r="D46" s="55"/>
    </row>
    <row r="47" spans="1:4" ht="50.25" customHeight="1" x14ac:dyDescent="0.25">
      <c r="A47" s="18"/>
      <c r="B47" s="158" t="s">
        <v>479</v>
      </c>
      <c r="C47" s="36">
        <f>ROUND(9.53/18154,4)</f>
        <v>5.0000000000000001E-4</v>
      </c>
      <c r="D47" s="55">
        <f>C47*99</f>
        <v>4.9500000000000002E-2</v>
      </c>
    </row>
    <row r="48" spans="1:4" ht="15.75" customHeight="1" x14ac:dyDescent="0.25">
      <c r="A48" s="18">
        <v>5220</v>
      </c>
      <c r="B48" s="158" t="s">
        <v>136</v>
      </c>
      <c r="C48" s="40"/>
      <c r="D48" s="55"/>
    </row>
    <row r="49" spans="1:4" ht="62.25" customHeight="1" x14ac:dyDescent="0.25">
      <c r="A49" s="18"/>
      <c r="B49" s="158" t="s">
        <v>480</v>
      </c>
      <c r="C49" s="40">
        <f>ROUND(25.06/18154,3)</f>
        <v>1E-3</v>
      </c>
      <c r="D49" s="55">
        <f>C49*99</f>
        <v>9.9000000000000005E-2</v>
      </c>
    </row>
    <row r="50" spans="1:4" ht="17.25" customHeight="1" x14ac:dyDescent="0.25">
      <c r="A50" s="18">
        <v>5238</v>
      </c>
      <c r="B50" s="158" t="s">
        <v>134</v>
      </c>
      <c r="C50" s="40"/>
      <c r="D50" s="55"/>
    </row>
    <row r="51" spans="1:4" ht="52.5" customHeight="1" x14ac:dyDescent="0.25">
      <c r="A51" s="18"/>
      <c r="B51" s="158" t="s">
        <v>481</v>
      </c>
      <c r="C51" s="36">
        <f>ROUND(33.68/18154,4)</f>
        <v>1.9E-3</v>
      </c>
      <c r="D51" s="55">
        <f>C51*99</f>
        <v>0.18809999999999999</v>
      </c>
    </row>
    <row r="52" spans="1:4" x14ac:dyDescent="0.25">
      <c r="A52" s="68"/>
      <c r="B52" s="72" t="s">
        <v>10</v>
      </c>
      <c r="C52" s="71">
        <f>ROUND(C51+C49+C47+C45+C43+C41+C39+C38+C36+C34+C32+C30+C28+C26+C24,2)</f>
        <v>0.17</v>
      </c>
      <c r="D52" s="70">
        <f>D51+D49+D47+D45+D43+D41+D39+D38+D36+D34+D32+D30+D28+D24+D26</f>
        <v>16.830000000000002</v>
      </c>
    </row>
    <row r="53" spans="1:4" x14ac:dyDescent="0.25">
      <c r="A53" s="23"/>
      <c r="B53" s="24" t="s">
        <v>15</v>
      </c>
      <c r="C53" s="52">
        <f>ROUND(C52+C21,2)</f>
        <v>15.78</v>
      </c>
      <c r="D53" s="52">
        <f>D52+D21</f>
        <v>1562.2199999999998</v>
      </c>
    </row>
    <row r="54" spans="1:4" x14ac:dyDescent="0.25">
      <c r="A54" s="25"/>
      <c r="B54" s="26"/>
      <c r="C54" s="27"/>
      <c r="D54" s="27"/>
    </row>
    <row r="55" spans="1:4" x14ac:dyDescent="0.25">
      <c r="A55" s="26"/>
      <c r="B55" s="28"/>
      <c r="C55" s="28"/>
      <c r="D55" s="9"/>
    </row>
    <row r="56" spans="1:4" ht="15" customHeight="1" x14ac:dyDescent="0.25">
      <c r="A56" s="252" t="s">
        <v>16</v>
      </c>
      <c r="B56" s="253"/>
      <c r="C56" s="138">
        <v>99</v>
      </c>
      <c r="D56" s="29"/>
    </row>
    <row r="57" spans="1:4" ht="29.25" customHeight="1" x14ac:dyDescent="0.25">
      <c r="A57" s="252" t="s">
        <v>23</v>
      </c>
      <c r="B57" s="253"/>
      <c r="C57" s="139">
        <f>D53/C56</f>
        <v>15.779999999999998</v>
      </c>
      <c r="D57" s="29"/>
    </row>
    <row r="58" spans="1:4" x14ac:dyDescent="0.25">
      <c r="A58" s="30"/>
      <c r="B58" s="30"/>
      <c r="C58" s="30"/>
      <c r="D58" s="30"/>
    </row>
    <row r="59" spans="1:4" x14ac:dyDescent="0.25">
      <c r="A59" s="30"/>
      <c r="B59" s="30"/>
      <c r="C59" s="30"/>
      <c r="D59" s="152"/>
    </row>
    <row r="60" spans="1:4" x14ac:dyDescent="0.25">
      <c r="A60" s="30"/>
      <c r="B60" s="30"/>
      <c r="C60" s="30"/>
      <c r="D60" s="152"/>
    </row>
    <row r="61" spans="1:4" x14ac:dyDescent="0.25">
      <c r="A61" s="30"/>
      <c r="B61" s="30"/>
      <c r="C61" s="30"/>
      <c r="D61" s="152"/>
    </row>
    <row r="62" spans="1:4" x14ac:dyDescent="0.25">
      <c r="A62" s="30"/>
      <c r="B62" s="30"/>
      <c r="C62" s="30"/>
      <c r="D62" s="30"/>
    </row>
    <row r="63" spans="1:4" x14ac:dyDescent="0.25">
      <c r="A63" s="231"/>
      <c r="B63" s="231"/>
      <c r="C63" s="9"/>
      <c r="D63" s="9"/>
    </row>
    <row r="64" spans="1:4" x14ac:dyDescent="0.25">
      <c r="A64" s="250"/>
      <c r="B64" s="231"/>
      <c r="C64" s="9"/>
      <c r="D64" s="9"/>
    </row>
    <row r="65" spans="1:4" x14ac:dyDescent="0.25">
      <c r="A65" s="154"/>
      <c r="B65" s="9"/>
      <c r="C65" s="31"/>
      <c r="D65" s="9"/>
    </row>
    <row r="66" spans="1:4" x14ac:dyDescent="0.25">
      <c r="A66" s="250"/>
      <c r="B66" s="250"/>
      <c r="C66" s="31"/>
      <c r="D66" s="9"/>
    </row>
  </sheetData>
  <customSheetViews>
    <customSheetView guid="{3046F990-4623-45D5-BDDC-01BD5999DDBC}" scale="60" showPageBreaks="1" fitToPage="1" printArea="1" hiddenRows="1" view="pageBreakPreview">
      <selection activeCell="B53" sqref="B53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6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hiddenRows="1" view="pageBreakPreview" topLeftCell="A33">
      <selection activeCell="B51" sqref="B51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6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hiddenRows="1" view="pageBreakPreview">
      <selection activeCell="A6" sqref="A6:D6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6" fitToHeight="0" orientation="portrait" r:id="rId3"/>
      <headerFooter>
        <oddFooter>&amp;C&amp;P</oddFooter>
      </headerFooter>
    </customSheetView>
  </customSheetViews>
  <mergeCells count="10">
    <mergeCell ref="A64:B64"/>
    <mergeCell ref="A66:B66"/>
    <mergeCell ref="A57:B57"/>
    <mergeCell ref="A2:C2"/>
    <mergeCell ref="A8:B8"/>
    <mergeCell ref="A10:B10"/>
    <mergeCell ref="A6:D6"/>
    <mergeCell ref="C3:D3"/>
    <mergeCell ref="A56:B56"/>
    <mergeCell ref="A63:B63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4"/>
  <headerFooter>
    <oddFooter>&amp;C&amp;P</oddFooter>
  </headerFooter>
  <rowBreaks count="1" manualBreakCount="1">
    <brk id="34" max="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view="pageBreakPreview" zoomScale="60" zoomScaleNormal="100" workbookViewId="0">
      <selection activeCell="A6" sqref="A6:D6"/>
    </sheetView>
  </sheetViews>
  <sheetFormatPr defaultRowHeight="15" x14ac:dyDescent="0.25"/>
  <cols>
    <col min="1" max="1" width="14.140625" customWidth="1"/>
    <col min="2" max="2" width="82" customWidth="1"/>
    <col min="3" max="3" width="15.85546875" customWidth="1"/>
    <col min="4" max="4" width="16.42578125" customWidth="1"/>
  </cols>
  <sheetData>
    <row r="1" spans="1:11" x14ac:dyDescent="0.25">
      <c r="A1" s="4"/>
      <c r="B1" s="6"/>
      <c r="C1" s="6"/>
      <c r="D1" s="7"/>
    </row>
    <row r="2" spans="1:11" ht="15.75" customHeight="1" x14ac:dyDescent="0.25">
      <c r="A2" s="278" t="s">
        <v>307</v>
      </c>
      <c r="B2" s="278"/>
      <c r="C2" s="278"/>
      <c r="D2" s="278"/>
    </row>
    <row r="3" spans="1:11" ht="15.75" customHeight="1" x14ac:dyDescent="0.25">
      <c r="A3" s="4"/>
      <c r="B3" s="4"/>
      <c r="C3" s="273"/>
      <c r="D3" s="274"/>
    </row>
    <row r="4" spans="1:11" ht="15" customHeight="1" x14ac:dyDescent="0.25">
      <c r="A4" s="186" t="s">
        <v>723</v>
      </c>
      <c r="B4" s="32"/>
      <c r="C4" s="32"/>
      <c r="D4" s="32"/>
    </row>
    <row r="5" spans="1:11" x14ac:dyDescent="0.25">
      <c r="A5" s="4"/>
      <c r="B5" s="33"/>
      <c r="C5" s="33"/>
      <c r="D5" s="9"/>
    </row>
    <row r="6" spans="1:11" ht="33" customHeight="1" x14ac:dyDescent="0.25">
      <c r="A6" s="272" t="s">
        <v>1033</v>
      </c>
      <c r="B6" s="272"/>
      <c r="C6" s="272"/>
      <c r="D6" s="272"/>
    </row>
    <row r="7" spans="1:11" x14ac:dyDescent="0.25">
      <c r="A7" s="180"/>
      <c r="B7" s="34"/>
      <c r="C7" s="34"/>
      <c r="D7" s="9"/>
    </row>
    <row r="8" spans="1:11" ht="15" customHeight="1" x14ac:dyDescent="0.25">
      <c r="A8" s="270" t="s">
        <v>309</v>
      </c>
      <c r="B8" s="271"/>
      <c r="C8" s="34"/>
      <c r="D8" s="9"/>
      <c r="E8" s="47"/>
      <c r="F8" s="47"/>
      <c r="G8" s="47"/>
      <c r="H8" s="47"/>
      <c r="I8" s="47"/>
      <c r="J8" s="47"/>
      <c r="K8" s="47"/>
    </row>
    <row r="9" spans="1:11" x14ac:dyDescent="0.25">
      <c r="A9" s="183"/>
      <c r="B9" s="184"/>
      <c r="C9" s="34"/>
      <c r="D9" s="9"/>
    </row>
    <row r="10" spans="1:11" ht="15" customHeight="1" x14ac:dyDescent="0.25">
      <c r="A10" s="251" t="s">
        <v>783</v>
      </c>
      <c r="B10" s="251"/>
      <c r="C10" s="8"/>
      <c r="D10" s="9"/>
    </row>
    <row r="11" spans="1:11" ht="120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11" x14ac:dyDescent="0.25">
      <c r="A12" s="13">
        <v>1</v>
      </c>
      <c r="B12" s="14">
        <v>2</v>
      </c>
      <c r="C12" s="13">
        <v>3</v>
      </c>
      <c r="D12" s="13">
        <v>4</v>
      </c>
    </row>
    <row r="13" spans="1:11" x14ac:dyDescent="0.25">
      <c r="A13" s="15"/>
      <c r="B13" s="22" t="s">
        <v>13</v>
      </c>
      <c r="C13" s="17"/>
      <c r="D13" s="17"/>
    </row>
    <row r="14" spans="1:11" x14ac:dyDescent="0.25">
      <c r="A14" s="37">
        <v>1100</v>
      </c>
      <c r="B14" s="16" t="s">
        <v>14</v>
      </c>
      <c r="C14" s="38"/>
      <c r="D14" s="38"/>
    </row>
    <row r="15" spans="1:11" ht="77.25" customHeight="1" x14ac:dyDescent="0.25">
      <c r="A15" s="18"/>
      <c r="B15" s="157" t="s">
        <v>482</v>
      </c>
      <c r="C15" s="55">
        <f>0.11*20</f>
        <v>2.2000000000000002</v>
      </c>
      <c r="D15" s="55">
        <f>C15*900</f>
        <v>1980.0000000000002</v>
      </c>
    </row>
    <row r="16" spans="1:11" ht="33.75" customHeight="1" x14ac:dyDescent="0.25">
      <c r="A16" s="18">
        <v>1200</v>
      </c>
      <c r="B16" s="158" t="s">
        <v>284</v>
      </c>
      <c r="C16" s="55">
        <f>ROUND(C15*0.2359,2)</f>
        <v>0.52</v>
      </c>
      <c r="D16" s="55">
        <f>C16*900</f>
        <v>468</v>
      </c>
    </row>
    <row r="17" spans="1:4" x14ac:dyDescent="0.25">
      <c r="A17" s="18">
        <v>2341</v>
      </c>
      <c r="B17" s="18" t="s">
        <v>77</v>
      </c>
      <c r="C17" s="54"/>
      <c r="D17" s="19"/>
    </row>
    <row r="18" spans="1:4" ht="93" customHeight="1" x14ac:dyDescent="0.25">
      <c r="A18" s="18"/>
      <c r="B18" s="158" t="s">
        <v>850</v>
      </c>
      <c r="C18" s="55">
        <f>8.03+2.22+0.18+0.04+0.01+0.02+0.4</f>
        <v>10.899999999999999</v>
      </c>
      <c r="D18" s="55">
        <f>C18*900</f>
        <v>9809.9999999999982</v>
      </c>
    </row>
    <row r="19" spans="1:4" ht="15" customHeight="1" x14ac:dyDescent="0.25">
      <c r="A19" s="18"/>
      <c r="B19" s="158" t="s">
        <v>72</v>
      </c>
      <c r="C19" s="36"/>
      <c r="D19" s="19"/>
    </row>
    <row r="20" spans="1:4" x14ac:dyDescent="0.25">
      <c r="A20" s="74"/>
      <c r="B20" s="159" t="s">
        <v>2</v>
      </c>
      <c r="C20" s="71">
        <f>SUM(C14:C18)</f>
        <v>13.62</v>
      </c>
      <c r="D20" s="71">
        <f>SUM(D14:D19)</f>
        <v>12257.999999999998</v>
      </c>
    </row>
    <row r="21" spans="1:4" x14ac:dyDescent="0.25">
      <c r="A21" s="18"/>
      <c r="B21" s="160" t="s">
        <v>20</v>
      </c>
      <c r="C21" s="19"/>
      <c r="D21" s="19"/>
    </row>
    <row r="22" spans="1:4" x14ac:dyDescent="0.25">
      <c r="A22" s="18">
        <v>2219</v>
      </c>
      <c r="B22" s="158" t="s">
        <v>3</v>
      </c>
      <c r="C22" s="19"/>
      <c r="D22" s="19"/>
    </row>
    <row r="23" spans="1:4" ht="90.75" customHeight="1" x14ac:dyDescent="0.25">
      <c r="A23" s="18"/>
      <c r="B23" s="158" t="s">
        <v>649</v>
      </c>
      <c r="C23" s="40">
        <f>ROUND(3.18/18154,4)</f>
        <v>2.0000000000000001E-4</v>
      </c>
      <c r="D23" s="55">
        <f>C23*900</f>
        <v>0.18000000000000002</v>
      </c>
    </row>
    <row r="24" spans="1:4" x14ac:dyDescent="0.25">
      <c r="A24" s="18">
        <v>2221</v>
      </c>
      <c r="B24" s="158" t="s">
        <v>4</v>
      </c>
      <c r="C24" s="19"/>
      <c r="D24" s="19"/>
    </row>
    <row r="25" spans="1:4" ht="45.75" customHeight="1" x14ac:dyDescent="0.25">
      <c r="A25" s="18"/>
      <c r="B25" s="158" t="s">
        <v>483</v>
      </c>
      <c r="C25" s="55">
        <f>ROUND(301.59/18154,4)</f>
        <v>1.66E-2</v>
      </c>
      <c r="D25" s="55">
        <f>C25*900</f>
        <v>14.94</v>
      </c>
    </row>
    <row r="26" spans="1:4" ht="15.75" customHeight="1" x14ac:dyDescent="0.25">
      <c r="A26" s="18">
        <v>2222</v>
      </c>
      <c r="B26" s="158" t="s">
        <v>5</v>
      </c>
      <c r="C26" s="19"/>
      <c r="D26" s="19"/>
    </row>
    <row r="27" spans="1:4" ht="50.25" customHeight="1" x14ac:dyDescent="0.25">
      <c r="A27" s="18"/>
      <c r="B27" s="158" t="s">
        <v>484</v>
      </c>
      <c r="C27" s="36">
        <f>ROUND(31.02/18154,4)</f>
        <v>1.6999999999999999E-3</v>
      </c>
      <c r="D27" s="55">
        <f>C27*900</f>
        <v>1.5299999999999998</v>
      </c>
    </row>
    <row r="28" spans="1:4" x14ac:dyDescent="0.25">
      <c r="A28" s="18">
        <v>2223</v>
      </c>
      <c r="B28" s="18" t="s">
        <v>6</v>
      </c>
      <c r="C28" s="19"/>
      <c r="D28" s="19"/>
    </row>
    <row r="29" spans="1:4" ht="45.75" customHeight="1" x14ac:dyDescent="0.25">
      <c r="A29" s="18"/>
      <c r="B29" s="158" t="s">
        <v>196</v>
      </c>
      <c r="C29" s="55">
        <f>ROUND(538.27/18154,2)</f>
        <v>0.03</v>
      </c>
      <c r="D29" s="55">
        <f>C29*900</f>
        <v>27</v>
      </c>
    </row>
    <row r="30" spans="1:4" x14ac:dyDescent="0.25">
      <c r="A30" s="18">
        <v>2224</v>
      </c>
      <c r="B30" s="158" t="s">
        <v>7</v>
      </c>
      <c r="C30" s="19"/>
      <c r="D30" s="19"/>
    </row>
    <row r="31" spans="1:4" ht="48" customHeight="1" x14ac:dyDescent="0.25">
      <c r="A31" s="18"/>
      <c r="B31" s="158" t="s">
        <v>485</v>
      </c>
      <c r="C31" s="36">
        <f>ROUND(28.86/18154,4)</f>
        <v>1.6000000000000001E-3</v>
      </c>
      <c r="D31" s="55">
        <f>C31*900</f>
        <v>1.4400000000000002</v>
      </c>
    </row>
    <row r="32" spans="1:4" ht="18" customHeight="1" x14ac:dyDescent="0.25">
      <c r="A32" s="45">
        <v>2231</v>
      </c>
      <c r="B32" s="158" t="s">
        <v>22</v>
      </c>
      <c r="C32" s="36"/>
      <c r="D32" s="55"/>
    </row>
    <row r="33" spans="1:4" ht="155.25" customHeight="1" x14ac:dyDescent="0.25">
      <c r="A33" s="45"/>
      <c r="B33" s="158" t="s">
        <v>648</v>
      </c>
      <c r="C33" s="55">
        <f>ROUND(1201.87/18154,2)</f>
        <v>7.0000000000000007E-2</v>
      </c>
      <c r="D33" s="55">
        <f>C33*900</f>
        <v>63.000000000000007</v>
      </c>
    </row>
    <row r="34" spans="1:4" x14ac:dyDescent="0.25">
      <c r="A34" s="45">
        <v>2243</v>
      </c>
      <c r="B34" s="158" t="s">
        <v>132</v>
      </c>
      <c r="C34" s="55"/>
      <c r="D34" s="19"/>
    </row>
    <row r="35" spans="1:4" ht="63.75" customHeight="1" x14ac:dyDescent="0.25">
      <c r="A35" s="45"/>
      <c r="B35" s="158" t="s">
        <v>486</v>
      </c>
      <c r="C35" s="55">
        <f>ROUND(386.87/18154,4)</f>
        <v>2.1299999999999999E-2</v>
      </c>
      <c r="D35" s="55">
        <f>C35*900</f>
        <v>19.169999999999998</v>
      </c>
    </row>
    <row r="36" spans="1:4" x14ac:dyDescent="0.25">
      <c r="A36" s="18">
        <v>2244</v>
      </c>
      <c r="B36" s="158" t="s">
        <v>24</v>
      </c>
      <c r="C36" s="19"/>
      <c r="D36" s="19"/>
    </row>
    <row r="37" spans="1:4" ht="63" customHeight="1" x14ac:dyDescent="0.25">
      <c r="A37" s="21"/>
      <c r="B37" s="158" t="s">
        <v>467</v>
      </c>
      <c r="C37" s="55">
        <f>ROUND(383.44/18154,3)</f>
        <v>2.1000000000000001E-2</v>
      </c>
      <c r="D37" s="55">
        <f>C37*900</f>
        <v>18.900000000000002</v>
      </c>
    </row>
    <row r="38" spans="1:4" ht="47.25" customHeight="1" x14ac:dyDescent="0.25">
      <c r="A38" s="21"/>
      <c r="B38" s="158" t="s">
        <v>487</v>
      </c>
      <c r="C38" s="40">
        <f>ROUND(5.03/18154,4)</f>
        <v>2.9999999999999997E-4</v>
      </c>
      <c r="D38" s="55">
        <f>C38*900</f>
        <v>0.26999999999999996</v>
      </c>
    </row>
    <row r="39" spans="1:4" x14ac:dyDescent="0.25">
      <c r="A39" s="18">
        <v>2249</v>
      </c>
      <c r="B39" s="158" t="s">
        <v>8</v>
      </c>
      <c r="C39" s="19"/>
      <c r="D39" s="19"/>
    </row>
    <row r="40" spans="1:4" ht="63" customHeight="1" x14ac:dyDescent="0.25">
      <c r="A40" s="18"/>
      <c r="B40" s="158" t="s">
        <v>851</v>
      </c>
      <c r="C40" s="36">
        <f>ROUND(9.76/18154,4)</f>
        <v>5.0000000000000001E-4</v>
      </c>
      <c r="D40" s="55">
        <f>C40*900</f>
        <v>0.45</v>
      </c>
    </row>
    <row r="41" spans="1:4" x14ac:dyDescent="0.25">
      <c r="A41" s="18">
        <v>2311</v>
      </c>
      <c r="B41" s="158" t="s">
        <v>9</v>
      </c>
      <c r="C41" s="36"/>
      <c r="D41" s="19"/>
    </row>
    <row r="42" spans="1:4" ht="51.75" customHeight="1" x14ac:dyDescent="0.25">
      <c r="A42" s="18"/>
      <c r="B42" s="158" t="s">
        <v>488</v>
      </c>
      <c r="C42" s="36">
        <f>ROUND(54.99/18154,4)</f>
        <v>3.0000000000000001E-3</v>
      </c>
      <c r="D42" s="55">
        <f>C42*900</f>
        <v>2.7</v>
      </c>
    </row>
    <row r="43" spans="1:4" x14ac:dyDescent="0.25">
      <c r="A43" s="18">
        <v>2350</v>
      </c>
      <c r="B43" s="158" t="s">
        <v>21</v>
      </c>
      <c r="C43" s="36"/>
      <c r="D43" s="19"/>
    </row>
    <row r="44" spans="1:4" ht="86.25" customHeight="1" x14ac:dyDescent="0.25">
      <c r="A44" s="18"/>
      <c r="B44" s="158" t="s">
        <v>489</v>
      </c>
      <c r="C44" s="40">
        <f>ROUND(6.69/18154,4)</f>
        <v>4.0000000000000002E-4</v>
      </c>
      <c r="D44" s="55">
        <f>C44*900</f>
        <v>0.36000000000000004</v>
      </c>
    </row>
    <row r="45" spans="1:4" ht="15" customHeight="1" x14ac:dyDescent="0.25">
      <c r="A45" s="18">
        <v>2513</v>
      </c>
      <c r="B45" s="158" t="s">
        <v>133</v>
      </c>
      <c r="C45" s="40"/>
      <c r="D45" s="55"/>
    </row>
    <row r="46" spans="1:4" ht="48.75" customHeight="1" x14ac:dyDescent="0.25">
      <c r="A46" s="18"/>
      <c r="B46" s="158" t="s">
        <v>470</v>
      </c>
      <c r="C46" s="36">
        <f>ROUND(9.53/18154,4)</f>
        <v>5.0000000000000001E-4</v>
      </c>
      <c r="D46" s="55">
        <f>C46*900</f>
        <v>0.45</v>
      </c>
    </row>
    <row r="47" spans="1:4" ht="16.5" customHeight="1" x14ac:dyDescent="0.25">
      <c r="A47" s="18">
        <v>5220</v>
      </c>
      <c r="B47" s="158" t="s">
        <v>136</v>
      </c>
      <c r="C47" s="40"/>
      <c r="D47" s="55"/>
    </row>
    <row r="48" spans="1:4" ht="63.75" customHeight="1" x14ac:dyDescent="0.25">
      <c r="A48" s="18"/>
      <c r="B48" s="158" t="s">
        <v>471</v>
      </c>
      <c r="C48" s="36">
        <f>ROUND(25.06/18154,3)</f>
        <v>1E-3</v>
      </c>
      <c r="D48" s="55">
        <f>C48*900</f>
        <v>0.9</v>
      </c>
    </row>
    <row r="49" spans="1:4" ht="14.25" customHeight="1" x14ac:dyDescent="0.25">
      <c r="A49" s="18">
        <v>5238</v>
      </c>
      <c r="B49" s="158" t="s">
        <v>134</v>
      </c>
      <c r="C49" s="40"/>
      <c r="D49" s="55"/>
    </row>
    <row r="50" spans="1:4" ht="48" customHeight="1" x14ac:dyDescent="0.25">
      <c r="A50" s="18"/>
      <c r="B50" s="158" t="s">
        <v>472</v>
      </c>
      <c r="C50" s="36">
        <f>ROUND(33.68/18154,4)</f>
        <v>1.9E-3</v>
      </c>
      <c r="D50" s="55">
        <f>C50*900</f>
        <v>1.71</v>
      </c>
    </row>
    <row r="51" spans="1:4" x14ac:dyDescent="0.25">
      <c r="A51" s="18"/>
      <c r="B51" s="72" t="s">
        <v>10</v>
      </c>
      <c r="C51" s="71">
        <f>ROUND(C50+C48+C46+C44+C42+C40+C38+C37+C35+C33+C31+C29+C27+C25+C23,2)</f>
        <v>0.17</v>
      </c>
      <c r="D51" s="71">
        <f>ROUND(D50+D48+D46+D44+D42+D40+D38+D37+D35+D33+D31+D29+D27+D25+D23,2)</f>
        <v>153</v>
      </c>
    </row>
    <row r="52" spans="1:4" x14ac:dyDescent="0.25">
      <c r="A52" s="23"/>
      <c r="B52" s="24" t="s">
        <v>15</v>
      </c>
      <c r="C52" s="52">
        <f>ROUND(C51+C20,2)</f>
        <v>13.79</v>
      </c>
      <c r="D52" s="52">
        <f>D51+D20</f>
        <v>12410.999999999998</v>
      </c>
    </row>
    <row r="53" spans="1:4" x14ac:dyDescent="0.25">
      <c r="A53" s="25"/>
      <c r="B53" s="26"/>
      <c r="C53" s="27"/>
      <c r="D53" s="27"/>
    </row>
    <row r="54" spans="1:4" x14ac:dyDescent="0.25">
      <c r="A54" s="26"/>
      <c r="B54" s="28"/>
      <c r="C54" s="28"/>
      <c r="D54" s="9"/>
    </row>
    <row r="55" spans="1:4" ht="15" customHeight="1" x14ac:dyDescent="0.25">
      <c r="A55" s="252" t="s">
        <v>16</v>
      </c>
      <c r="B55" s="253"/>
      <c r="C55" s="138">
        <v>900</v>
      </c>
      <c r="D55" s="29"/>
    </row>
    <row r="56" spans="1:4" ht="35.25" customHeight="1" x14ac:dyDescent="0.25">
      <c r="A56" s="254" t="s">
        <v>23</v>
      </c>
      <c r="B56" s="255"/>
      <c r="C56" s="139">
        <f>D52/C55</f>
        <v>13.789999999999997</v>
      </c>
      <c r="D56" s="29"/>
    </row>
    <row r="57" spans="1:4" x14ac:dyDescent="0.25">
      <c r="A57" s="30"/>
      <c r="B57" s="30"/>
      <c r="C57" s="30"/>
      <c r="D57" s="30"/>
    </row>
    <row r="58" spans="1:4" x14ac:dyDescent="0.25">
      <c r="A58" s="30"/>
      <c r="B58" s="30"/>
      <c r="C58" s="30"/>
      <c r="D58" s="152"/>
    </row>
    <row r="59" spans="1:4" x14ac:dyDescent="0.25">
      <c r="A59" s="30"/>
      <c r="B59" s="30"/>
      <c r="C59" s="30"/>
      <c r="D59" s="152"/>
    </row>
    <row r="60" spans="1:4" x14ac:dyDescent="0.25">
      <c r="A60" s="30"/>
      <c r="B60" s="30"/>
      <c r="C60" s="30"/>
      <c r="D60" s="152"/>
    </row>
    <row r="61" spans="1:4" x14ac:dyDescent="0.25">
      <c r="A61" s="30"/>
      <c r="B61" s="30"/>
      <c r="C61" s="30"/>
      <c r="D61" s="30"/>
    </row>
    <row r="62" spans="1:4" x14ac:dyDescent="0.25">
      <c r="A62" s="231"/>
      <c r="B62" s="231"/>
      <c r="C62" s="9"/>
      <c r="D62" s="9"/>
    </row>
    <row r="63" spans="1:4" x14ac:dyDescent="0.25">
      <c r="A63" s="250"/>
      <c r="B63" s="231"/>
      <c r="C63" s="9"/>
      <c r="D63" s="9"/>
    </row>
    <row r="64" spans="1:4" x14ac:dyDescent="0.25">
      <c r="A64" s="154"/>
      <c r="B64" s="9"/>
      <c r="C64" s="31"/>
      <c r="D64" s="9"/>
    </row>
    <row r="65" spans="1:4" x14ac:dyDescent="0.25">
      <c r="A65" s="250"/>
      <c r="B65" s="250"/>
      <c r="C65" s="31"/>
      <c r="D65" s="9"/>
    </row>
  </sheetData>
  <customSheetViews>
    <customSheetView guid="{3046F990-4623-45D5-BDDC-01BD5999DDBC}" scale="60" showPageBreaks="1" fitToPage="1" printArea="1" view="pageBreakPreview">
      <selection activeCell="B53" sqref="B53"/>
      <rowBreaks count="1" manualBreakCount="1">
        <brk id="33" max="3" man="1"/>
      </rowBreaks>
      <pageMargins left="0.70866141732283472" right="0.70866141732283472" top="0.74803149606299213" bottom="0.74803149606299213" header="0.31496062992125984" footer="0.31496062992125984"/>
      <pageSetup paperSize="9" scale="67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view="pageBreakPreview" topLeftCell="A7">
      <selection activeCell="B38" sqref="B38"/>
      <rowBreaks count="1" manualBreakCount="1">
        <brk id="33" max="3" man="1"/>
      </rowBreaks>
      <pageMargins left="0.70866141732283472" right="0.70866141732283472" top="0.74803149606299213" bottom="0.74803149606299213" header="0.31496062992125984" footer="0.31496062992125984"/>
      <pageSetup paperSize="9" scale="67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view="pageBreakPreview">
      <selection activeCell="A6" sqref="A6:D6"/>
      <rowBreaks count="1" manualBreakCount="1">
        <brk id="33" max="3" man="1"/>
      </rowBreaks>
      <pageMargins left="0.70866141732283472" right="0.70866141732283472" top="0.74803149606299213" bottom="0.74803149606299213" header="0.31496062992125984" footer="0.31496062992125984"/>
      <pageSetup paperSize="9" scale="68" fitToHeight="0" orientation="portrait" r:id="rId3"/>
      <headerFooter>
        <oddFooter>&amp;C&amp;P</oddFooter>
      </headerFooter>
    </customSheetView>
  </customSheetViews>
  <mergeCells count="10">
    <mergeCell ref="A2:D2"/>
    <mergeCell ref="A62:B62"/>
    <mergeCell ref="A63:B63"/>
    <mergeCell ref="A65:B65"/>
    <mergeCell ref="A56:B56"/>
    <mergeCell ref="C3:D3"/>
    <mergeCell ref="A10:B10"/>
    <mergeCell ref="A55:B55"/>
    <mergeCell ref="A6:D6"/>
    <mergeCell ref="A8:B8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4"/>
  <headerFooter>
    <oddFooter>&amp;C&amp;P</oddFooter>
  </headerFooter>
  <rowBreaks count="1" manualBreakCount="1">
    <brk id="33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view="pageBreakPreview" zoomScale="60" zoomScaleNormal="100" workbookViewId="0">
      <selection activeCell="C15" sqref="C15"/>
    </sheetView>
  </sheetViews>
  <sheetFormatPr defaultRowHeight="15" x14ac:dyDescent="0.25"/>
  <cols>
    <col min="1" max="1" width="13.42578125" customWidth="1"/>
    <col min="2" max="2" width="73" customWidth="1"/>
    <col min="3" max="3" width="11" customWidth="1"/>
    <col min="4" max="4" width="20" customWidth="1"/>
  </cols>
  <sheetData>
    <row r="1" spans="1:4" ht="18.75" x14ac:dyDescent="0.3">
      <c r="A1" s="87"/>
      <c r="B1" s="88"/>
      <c r="C1" s="89"/>
      <c r="D1" s="88"/>
    </row>
    <row r="2" spans="1:4" ht="15.75" x14ac:dyDescent="0.25">
      <c r="A2" s="256" t="s">
        <v>307</v>
      </c>
      <c r="B2" s="256"/>
      <c r="C2" s="256"/>
      <c r="D2" s="256"/>
    </row>
    <row r="3" spans="1:4" x14ac:dyDescent="0.25">
      <c r="A3" s="87"/>
      <c r="B3" s="87"/>
      <c r="C3" s="268"/>
      <c r="D3" s="269"/>
    </row>
    <row r="4" spans="1:4" ht="15.75" x14ac:dyDescent="0.25">
      <c r="A4" s="186" t="s">
        <v>723</v>
      </c>
      <c r="B4" s="90"/>
      <c r="C4" s="90"/>
      <c r="D4" s="90"/>
    </row>
    <row r="5" spans="1:4" x14ac:dyDescent="0.25">
      <c r="A5" s="87"/>
      <c r="B5" s="91"/>
      <c r="C5" s="91"/>
      <c r="D5" s="81"/>
    </row>
    <row r="6" spans="1:4" ht="15.75" customHeight="1" x14ac:dyDescent="0.25">
      <c r="A6" s="257" t="s">
        <v>725</v>
      </c>
      <c r="B6" s="257"/>
      <c r="C6" s="257"/>
      <c r="D6" s="257"/>
    </row>
    <row r="7" spans="1:4" x14ac:dyDescent="0.25">
      <c r="A7" s="137"/>
      <c r="B7" s="80"/>
      <c r="C7" s="80"/>
      <c r="D7" s="81"/>
    </row>
    <row r="8" spans="1:4" x14ac:dyDescent="0.25">
      <c r="A8" s="270" t="s">
        <v>726</v>
      </c>
      <c r="B8" s="271"/>
      <c r="C8" s="80"/>
      <c r="D8" s="81"/>
    </row>
    <row r="9" spans="1:4" s="174" customFormat="1" x14ac:dyDescent="0.25">
      <c r="A9" s="176"/>
      <c r="B9" s="177"/>
      <c r="C9" s="80"/>
      <c r="D9" s="81"/>
    </row>
    <row r="10" spans="1:4" ht="15.75" x14ac:dyDescent="0.25">
      <c r="A10" s="251" t="s">
        <v>727</v>
      </c>
      <c r="B10" s="251"/>
      <c r="C10" s="93"/>
      <c r="D10" s="81"/>
    </row>
    <row r="11" spans="1:4" ht="89.25" customHeight="1" x14ac:dyDescent="0.25">
      <c r="A11" s="94" t="s">
        <v>0</v>
      </c>
      <c r="B11" s="94" t="s">
        <v>1</v>
      </c>
      <c r="C11" s="94" t="s">
        <v>128</v>
      </c>
      <c r="D11" s="94" t="s">
        <v>18</v>
      </c>
    </row>
    <row r="12" spans="1:4" x14ac:dyDescent="0.25">
      <c r="A12" s="95">
        <v>1</v>
      </c>
      <c r="B12" s="96">
        <v>2</v>
      </c>
      <c r="C12" s="95">
        <v>3</v>
      </c>
      <c r="D12" s="95">
        <v>4</v>
      </c>
    </row>
    <row r="13" spans="1:4" x14ac:dyDescent="0.25">
      <c r="A13" s="97"/>
      <c r="B13" s="98" t="s">
        <v>13</v>
      </c>
      <c r="C13" s="99"/>
      <c r="D13" s="99"/>
    </row>
    <row r="14" spans="1:4" x14ac:dyDescent="0.25">
      <c r="A14" s="100">
        <v>1100</v>
      </c>
      <c r="B14" s="101" t="s">
        <v>14</v>
      </c>
      <c r="C14" s="102"/>
      <c r="D14" s="99"/>
    </row>
    <row r="15" spans="1:4" ht="80.25" customHeight="1" x14ac:dyDescent="0.25">
      <c r="A15" s="45"/>
      <c r="B15" s="162" t="s">
        <v>240</v>
      </c>
      <c r="C15" s="82">
        <f>14*7.79</f>
        <v>109.06</v>
      </c>
      <c r="D15" s="82">
        <f>C15*10</f>
        <v>1090.5999999999999</v>
      </c>
    </row>
    <row r="16" spans="1:4" ht="36" customHeight="1" x14ac:dyDescent="0.25">
      <c r="A16" s="86">
        <v>1200</v>
      </c>
      <c r="B16" s="158" t="s">
        <v>301</v>
      </c>
      <c r="C16" s="82">
        <f>ROUND(C15*0.2359,2)</f>
        <v>25.73</v>
      </c>
      <c r="D16" s="82">
        <f>C16*C30</f>
        <v>257.3</v>
      </c>
    </row>
    <row r="17" spans="1:4" x14ac:dyDescent="0.25">
      <c r="A17" s="68"/>
      <c r="B17" s="159" t="s">
        <v>2</v>
      </c>
      <c r="C17" s="71">
        <f>SUM(C14:C16)</f>
        <v>134.79</v>
      </c>
      <c r="D17" s="71">
        <f>SUM(D14:D16)</f>
        <v>1347.8999999999999</v>
      </c>
    </row>
    <row r="18" spans="1:4" x14ac:dyDescent="0.25">
      <c r="A18" s="45"/>
      <c r="B18" s="160" t="s">
        <v>115</v>
      </c>
      <c r="C18" s="103"/>
      <c r="D18" s="103"/>
    </row>
    <row r="19" spans="1:4" x14ac:dyDescent="0.25">
      <c r="A19" s="86">
        <v>2111</v>
      </c>
      <c r="B19" s="158" t="s">
        <v>121</v>
      </c>
      <c r="C19" s="103"/>
      <c r="D19" s="103"/>
    </row>
    <row r="20" spans="1:4" ht="15.75" customHeight="1" x14ac:dyDescent="0.25">
      <c r="A20" s="45"/>
      <c r="B20" s="158" t="s">
        <v>241</v>
      </c>
      <c r="C20" s="82">
        <f>2*6*2</f>
        <v>24</v>
      </c>
      <c r="D20" s="82">
        <f>C20*C30</f>
        <v>240</v>
      </c>
    </row>
    <row r="21" spans="1:4" ht="17.25" customHeight="1" x14ac:dyDescent="0.25">
      <c r="A21" s="86">
        <v>2112</v>
      </c>
      <c r="B21" s="158" t="s">
        <v>122</v>
      </c>
      <c r="C21" s="103"/>
      <c r="D21" s="103"/>
    </row>
    <row r="22" spans="1:4" ht="16.5" customHeight="1" x14ac:dyDescent="0.25">
      <c r="A22" s="45"/>
      <c r="B22" s="158" t="s">
        <v>242</v>
      </c>
      <c r="C22" s="105">
        <f>2*12*2</f>
        <v>48</v>
      </c>
      <c r="D22" s="105">
        <f>C22*C30</f>
        <v>480</v>
      </c>
    </row>
    <row r="23" spans="1:4" ht="15.75" customHeight="1" x14ac:dyDescent="0.25">
      <c r="A23" s="86">
        <v>2112</v>
      </c>
      <c r="B23" s="158" t="s">
        <v>123</v>
      </c>
      <c r="C23" s="105"/>
      <c r="D23" s="103"/>
    </row>
    <row r="24" spans="1:4" ht="16.5" customHeight="1" x14ac:dyDescent="0.25">
      <c r="A24" s="45"/>
      <c r="B24" s="158" t="s">
        <v>243</v>
      </c>
      <c r="C24" s="105">
        <f>43*2</f>
        <v>86</v>
      </c>
      <c r="D24" s="105">
        <f>C24*C30</f>
        <v>860</v>
      </c>
    </row>
    <row r="25" spans="1:4" x14ac:dyDescent="0.25">
      <c r="A25" s="68"/>
      <c r="B25" s="72" t="s">
        <v>10</v>
      </c>
      <c r="C25" s="71">
        <f>SUM(C19:C24)</f>
        <v>158</v>
      </c>
      <c r="D25" s="71">
        <f>SUM(D19:D24)</f>
        <v>1580</v>
      </c>
    </row>
    <row r="26" spans="1:4" x14ac:dyDescent="0.25">
      <c r="A26" s="107"/>
      <c r="B26" s="108" t="s">
        <v>116</v>
      </c>
      <c r="C26" s="104">
        <f>C17+C25</f>
        <v>292.78999999999996</v>
      </c>
      <c r="D26" s="104">
        <f>D17+D25</f>
        <v>2927.8999999999996</v>
      </c>
    </row>
    <row r="27" spans="1:4" x14ac:dyDescent="0.25">
      <c r="A27" s="107"/>
      <c r="B27" s="108" t="s">
        <v>117</v>
      </c>
      <c r="C27" s="104">
        <f>ROUND(C26*0.21,2)</f>
        <v>61.49</v>
      </c>
      <c r="D27" s="106">
        <f>C27*C30</f>
        <v>614.9</v>
      </c>
    </row>
    <row r="28" spans="1:4" x14ac:dyDescent="0.25">
      <c r="A28" s="107"/>
      <c r="B28" s="109" t="s">
        <v>124</v>
      </c>
      <c r="C28" s="104">
        <f>C26+C27</f>
        <v>354.28</v>
      </c>
      <c r="D28" s="104">
        <f>D26+D27</f>
        <v>3542.7999999999997</v>
      </c>
    </row>
    <row r="29" spans="1:4" x14ac:dyDescent="0.25">
      <c r="A29" s="110"/>
      <c r="B29" s="111"/>
      <c r="C29" s="112"/>
      <c r="D29" s="112"/>
    </row>
    <row r="30" spans="1:4" ht="15" customHeight="1" x14ac:dyDescent="0.25">
      <c r="A30" s="260" t="s">
        <v>16</v>
      </c>
      <c r="B30" s="261"/>
      <c r="C30" s="141">
        <v>10</v>
      </c>
      <c r="D30" s="113"/>
    </row>
    <row r="31" spans="1:4" ht="33" customHeight="1" x14ac:dyDescent="0.25">
      <c r="A31" s="262" t="s">
        <v>23</v>
      </c>
      <c r="B31" s="263"/>
      <c r="C31" s="142">
        <f>D28/C30</f>
        <v>354.28</v>
      </c>
      <c r="D31" s="113"/>
    </row>
    <row r="32" spans="1:4" x14ac:dyDescent="0.25">
      <c r="A32" s="114"/>
      <c r="B32" s="114"/>
      <c r="C32" s="114"/>
      <c r="D32" s="114"/>
    </row>
    <row r="33" spans="1:4" x14ac:dyDescent="0.25">
      <c r="A33" s="114"/>
      <c r="B33" s="114"/>
      <c r="C33" s="114"/>
      <c r="D33" s="114"/>
    </row>
    <row r="34" spans="1:4" x14ac:dyDescent="0.25">
      <c r="A34" s="30"/>
      <c r="B34" s="30"/>
      <c r="C34" s="114"/>
      <c r="D34" s="163"/>
    </row>
    <row r="35" spans="1:4" x14ac:dyDescent="0.25">
      <c r="A35" s="30"/>
      <c r="B35" s="30"/>
      <c r="C35" s="114"/>
      <c r="D35" s="163"/>
    </row>
    <row r="36" spans="1:4" x14ac:dyDescent="0.25">
      <c r="A36" s="30"/>
      <c r="B36" s="30"/>
      <c r="C36" s="81"/>
      <c r="D36" s="88"/>
    </row>
    <row r="37" spans="1:4" x14ac:dyDescent="0.25">
      <c r="A37" s="30"/>
      <c r="B37" s="30"/>
      <c r="C37" s="81"/>
      <c r="D37" s="81"/>
    </row>
    <row r="38" spans="1:4" x14ac:dyDescent="0.25">
      <c r="A38" s="231"/>
      <c r="B38" s="231"/>
      <c r="C38" s="115"/>
      <c r="D38" s="81"/>
    </row>
    <row r="39" spans="1:4" x14ac:dyDescent="0.25">
      <c r="A39" s="250"/>
      <c r="B39" s="231"/>
      <c r="C39" s="115"/>
      <c r="D39" s="81"/>
    </row>
    <row r="40" spans="1:4" x14ac:dyDescent="0.25">
      <c r="A40" s="154"/>
      <c r="B40" s="9"/>
      <c r="C40" s="116"/>
      <c r="D40" s="116"/>
    </row>
    <row r="41" spans="1:4" x14ac:dyDescent="0.25">
      <c r="A41" s="250"/>
      <c r="B41" s="250"/>
    </row>
  </sheetData>
  <customSheetViews>
    <customSheetView guid="{3046F990-4623-45D5-BDDC-01BD5999DDBC}" scale="60" showPageBreaks="1" fitToPage="1" printArea="1" view="pageBreakPreview">
      <selection activeCell="B53" sqref="B53"/>
      <pageMargins left="0.70866141732283472" right="0.70866141732283472" top="0.74803149606299213" bottom="0.74803149606299213" header="0.31496062992125984" footer="0.31496062992125984"/>
      <pageSetup paperSize="9" scale="74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view="pageBreakPreview">
      <selection activeCell="A31" sqref="A31:B31"/>
      <pageMargins left="0.70866141732283472" right="0.70866141732283472" top="0.74803149606299213" bottom="0.74803149606299213" header="0.31496062992125984" footer="0.31496062992125984"/>
      <pageSetup paperSize="9" scale="74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view="pageBreakPreview">
      <selection activeCell="C15" sqref="C15"/>
      <pageMargins left="0.70866141732283472" right="0.70866141732283472" top="0.74803149606299213" bottom="0.74803149606299213" header="0.31496062992125984" footer="0.31496062992125984"/>
      <pageSetup paperSize="9" scale="74" fitToHeight="0" orientation="portrait" r:id="rId3"/>
      <headerFooter>
        <oddFooter>&amp;C&amp;P</oddFooter>
      </headerFooter>
    </customSheetView>
  </customSheetViews>
  <mergeCells count="10">
    <mergeCell ref="A2:D2"/>
    <mergeCell ref="A10:B10"/>
    <mergeCell ref="A39:B39"/>
    <mergeCell ref="A41:B41"/>
    <mergeCell ref="A30:B30"/>
    <mergeCell ref="A31:B31"/>
    <mergeCell ref="C3:D3"/>
    <mergeCell ref="A6:D6"/>
    <mergeCell ref="A8:B8"/>
    <mergeCell ref="A38:B38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4"/>
  <headerFooter>
    <oddFooter>&amp;C&amp;P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view="pageBreakPreview" zoomScale="60" zoomScaleNormal="100" workbookViewId="0">
      <selection activeCell="A6" sqref="A6:E6"/>
    </sheetView>
  </sheetViews>
  <sheetFormatPr defaultRowHeight="15" x14ac:dyDescent="0.25"/>
  <cols>
    <col min="1" max="1" width="14.28515625" customWidth="1"/>
    <col min="2" max="2" width="76.5703125" customWidth="1"/>
    <col min="3" max="3" width="15.28515625" customWidth="1"/>
    <col min="4" max="4" width="14.28515625" hidden="1" customWidth="1"/>
    <col min="5" max="5" width="16.42578125" customWidth="1"/>
  </cols>
  <sheetData>
    <row r="1" spans="1:12" ht="18.75" x14ac:dyDescent="0.3">
      <c r="A1" s="4"/>
      <c r="B1" s="5"/>
      <c r="C1" s="35"/>
      <c r="D1" s="35"/>
      <c r="E1" s="5"/>
    </row>
    <row r="2" spans="1:12" ht="15.75" customHeight="1" x14ac:dyDescent="0.25">
      <c r="A2" s="278" t="s">
        <v>307</v>
      </c>
      <c r="B2" s="278"/>
      <c r="C2" s="278"/>
      <c r="D2" s="278"/>
      <c r="E2" s="278"/>
    </row>
    <row r="3" spans="1:12" ht="15" customHeight="1" x14ac:dyDescent="0.25">
      <c r="A3" s="4"/>
      <c r="B3" s="4"/>
      <c r="C3" s="273"/>
      <c r="D3" s="273"/>
      <c r="E3" s="274"/>
    </row>
    <row r="4" spans="1:12" ht="15.75" x14ac:dyDescent="0.25">
      <c r="A4" s="186" t="s">
        <v>723</v>
      </c>
      <c r="B4" s="32"/>
      <c r="C4" s="32"/>
      <c r="D4" s="32"/>
      <c r="E4" s="32"/>
    </row>
    <row r="5" spans="1:12" x14ac:dyDescent="0.25">
      <c r="A5" s="4"/>
      <c r="B5" s="33"/>
      <c r="C5" s="33"/>
      <c r="D5" s="33"/>
      <c r="E5" s="9"/>
    </row>
    <row r="6" spans="1:12" ht="32.25" customHeight="1" x14ac:dyDescent="0.25">
      <c r="A6" s="272" t="s">
        <v>1082</v>
      </c>
      <c r="B6" s="272"/>
      <c r="C6" s="272"/>
      <c r="D6" s="272"/>
      <c r="E6" s="272"/>
    </row>
    <row r="7" spans="1:12" ht="15.75" customHeight="1" x14ac:dyDescent="0.25">
      <c r="A7" s="180"/>
      <c r="B7" s="34"/>
      <c r="C7" s="34"/>
      <c r="D7" s="34"/>
      <c r="E7" s="9"/>
      <c r="F7" s="47"/>
      <c r="G7" s="47"/>
      <c r="H7" s="47"/>
      <c r="I7" s="47"/>
      <c r="J7" s="47"/>
      <c r="K7" s="47"/>
      <c r="L7" s="47"/>
    </row>
    <row r="8" spans="1:12" x14ac:dyDescent="0.25">
      <c r="A8" s="270" t="s">
        <v>309</v>
      </c>
      <c r="B8" s="271"/>
      <c r="C8" s="34"/>
      <c r="D8" s="34"/>
      <c r="E8" s="9"/>
    </row>
    <row r="9" spans="1:12" ht="15" customHeight="1" x14ac:dyDescent="0.25">
      <c r="A9" s="183"/>
      <c r="B9" s="184"/>
      <c r="C9" s="34"/>
      <c r="D9" s="34"/>
      <c r="E9" s="9"/>
    </row>
    <row r="10" spans="1:12" ht="15.75" x14ac:dyDescent="0.25">
      <c r="A10" s="251" t="s">
        <v>743</v>
      </c>
      <c r="B10" s="251"/>
      <c r="C10" s="8"/>
      <c r="D10" s="8"/>
      <c r="E10" s="9"/>
    </row>
    <row r="11" spans="1:12" ht="120" x14ac:dyDescent="0.25">
      <c r="A11" s="12" t="s">
        <v>0</v>
      </c>
      <c r="B11" s="12" t="s">
        <v>1</v>
      </c>
      <c r="C11" s="12" t="s">
        <v>83</v>
      </c>
      <c r="D11" s="12" t="s">
        <v>75</v>
      </c>
      <c r="E11" s="12" t="s">
        <v>18</v>
      </c>
    </row>
    <row r="12" spans="1:12" x14ac:dyDescent="0.25">
      <c r="A12" s="13">
        <v>1</v>
      </c>
      <c r="B12" s="14">
        <v>2</v>
      </c>
      <c r="C12" s="13">
        <v>3</v>
      </c>
      <c r="D12" s="13"/>
      <c r="E12" s="13">
        <v>4</v>
      </c>
    </row>
    <row r="13" spans="1:12" x14ac:dyDescent="0.25">
      <c r="A13" s="15"/>
      <c r="B13" s="22" t="s">
        <v>13</v>
      </c>
      <c r="C13" s="17"/>
      <c r="D13" s="17"/>
      <c r="E13" s="17"/>
    </row>
    <row r="14" spans="1:12" x14ac:dyDescent="0.25">
      <c r="A14" s="37">
        <v>1100</v>
      </c>
      <c r="B14" s="16" t="s">
        <v>14</v>
      </c>
      <c r="C14" s="38"/>
      <c r="D14" s="38"/>
      <c r="E14" s="38"/>
    </row>
    <row r="15" spans="1:12" ht="105" customHeight="1" x14ac:dyDescent="0.25">
      <c r="A15" s="18"/>
      <c r="B15" s="157" t="s">
        <v>490</v>
      </c>
      <c r="C15" s="55">
        <f>0.11*20+0.11*13</f>
        <v>3.63</v>
      </c>
      <c r="D15" s="36"/>
      <c r="E15" s="55">
        <f>C15*100</f>
        <v>363</v>
      </c>
    </row>
    <row r="16" spans="1:12" ht="30.75" customHeight="1" x14ac:dyDescent="0.25">
      <c r="A16" s="18">
        <v>1200</v>
      </c>
      <c r="B16" s="158" t="s">
        <v>285</v>
      </c>
      <c r="C16" s="55">
        <f>ROUND(C15*0.2359,2)</f>
        <v>0.86</v>
      </c>
      <c r="D16" s="55">
        <v>0.48</v>
      </c>
      <c r="E16" s="55">
        <f>C16*100</f>
        <v>86</v>
      </c>
    </row>
    <row r="17" spans="1:5" x14ac:dyDescent="0.25">
      <c r="A17" s="18">
        <v>2341</v>
      </c>
      <c r="B17" s="18" t="s">
        <v>77</v>
      </c>
      <c r="C17" s="19"/>
      <c r="D17" s="19"/>
      <c r="E17" s="19"/>
    </row>
    <row r="18" spans="1:5" ht="84" customHeight="1" x14ac:dyDescent="0.25">
      <c r="A18" s="18"/>
      <c r="B18" s="158" t="s">
        <v>491</v>
      </c>
      <c r="C18" s="55">
        <f>8.03+2.22+0.18+0.04+0.01+0.02+0.4</f>
        <v>10.899999999999999</v>
      </c>
      <c r="D18" s="36">
        <v>9.6999999999999993</v>
      </c>
      <c r="E18" s="55">
        <f>C18*100</f>
        <v>1089.9999999999998</v>
      </c>
    </row>
    <row r="19" spans="1:5" ht="15.75" hidden="1" customHeight="1" x14ac:dyDescent="0.25">
      <c r="A19" s="18"/>
      <c r="B19" s="158" t="s">
        <v>72</v>
      </c>
      <c r="C19" s="36"/>
      <c r="D19" s="55">
        <v>0.04</v>
      </c>
      <c r="E19" s="19"/>
    </row>
    <row r="20" spans="1:5" ht="1.5" hidden="1" customHeight="1" x14ac:dyDescent="0.25">
      <c r="A20" s="18"/>
      <c r="B20" s="158" t="s">
        <v>73</v>
      </c>
      <c r="C20" s="36"/>
      <c r="D20" s="55">
        <v>1.42</v>
      </c>
      <c r="E20" s="19"/>
    </row>
    <row r="21" spans="1:5" x14ac:dyDescent="0.25">
      <c r="A21" s="74"/>
      <c r="B21" s="159" t="s">
        <v>2</v>
      </c>
      <c r="C21" s="71">
        <f>SUM(C14:C18)</f>
        <v>15.389999999999999</v>
      </c>
      <c r="D21" s="71">
        <f>SUM(D14:D20)</f>
        <v>11.639999999999999</v>
      </c>
      <c r="E21" s="71">
        <f>SUM(E14:E20)</f>
        <v>1538.9999999999998</v>
      </c>
    </row>
    <row r="22" spans="1:5" x14ac:dyDescent="0.25">
      <c r="A22" s="18"/>
      <c r="B22" s="160" t="s">
        <v>20</v>
      </c>
      <c r="C22" s="19"/>
      <c r="D22" s="19"/>
      <c r="E22" s="19"/>
    </row>
    <row r="23" spans="1:5" x14ac:dyDescent="0.25">
      <c r="A23" s="18">
        <v>2219</v>
      </c>
      <c r="B23" s="158" t="s">
        <v>3</v>
      </c>
      <c r="C23" s="19"/>
      <c r="D23" s="19"/>
      <c r="E23" s="19"/>
    </row>
    <row r="24" spans="1:5" ht="87.75" customHeight="1" x14ac:dyDescent="0.25">
      <c r="A24" s="18"/>
      <c r="B24" s="158" t="s">
        <v>641</v>
      </c>
      <c r="C24" s="40">
        <f>ROUND(3.18/18154,4)</f>
        <v>2.0000000000000001E-4</v>
      </c>
      <c r="D24" s="40"/>
      <c r="E24" s="55">
        <f>C24*100</f>
        <v>0.02</v>
      </c>
    </row>
    <row r="25" spans="1:5" x14ac:dyDescent="0.25">
      <c r="A25" s="18">
        <v>2221</v>
      </c>
      <c r="B25" s="158" t="s">
        <v>4</v>
      </c>
      <c r="C25" s="19"/>
      <c r="D25" s="19"/>
      <c r="E25" s="54"/>
    </row>
    <row r="26" spans="1:5" ht="47.25" customHeight="1" x14ac:dyDescent="0.25">
      <c r="A26" s="18"/>
      <c r="B26" s="158" t="s">
        <v>647</v>
      </c>
      <c r="C26" s="55">
        <f>ROUND(301.59/18154,4)</f>
        <v>1.66E-2</v>
      </c>
      <c r="D26" s="36"/>
      <c r="E26" s="55">
        <f>C26*100</f>
        <v>1.66</v>
      </c>
    </row>
    <row r="27" spans="1:5" ht="15" customHeight="1" x14ac:dyDescent="0.25">
      <c r="A27" s="18">
        <v>2222</v>
      </c>
      <c r="B27" s="158" t="s">
        <v>5</v>
      </c>
      <c r="C27" s="19"/>
      <c r="D27" s="19"/>
      <c r="E27" s="54"/>
    </row>
    <row r="28" spans="1:5" ht="45.75" customHeight="1" x14ac:dyDescent="0.25">
      <c r="A28" s="18"/>
      <c r="B28" s="158" t="s">
        <v>643</v>
      </c>
      <c r="C28" s="36">
        <f>ROUND(31.02/18154,4)</f>
        <v>1.6999999999999999E-3</v>
      </c>
      <c r="D28" s="19"/>
      <c r="E28" s="55">
        <f>C28*100</f>
        <v>0.16999999999999998</v>
      </c>
    </row>
    <row r="29" spans="1:5" x14ac:dyDescent="0.25">
      <c r="A29" s="18">
        <v>2223</v>
      </c>
      <c r="B29" s="18" t="s">
        <v>6</v>
      </c>
      <c r="C29" s="19"/>
      <c r="D29" s="19"/>
      <c r="E29" s="54"/>
    </row>
    <row r="30" spans="1:5" ht="47.25" customHeight="1" x14ac:dyDescent="0.25">
      <c r="A30" s="18"/>
      <c r="B30" s="158" t="s">
        <v>157</v>
      </c>
      <c r="C30" s="55">
        <f>ROUND(538.27/18154,2)</f>
        <v>0.03</v>
      </c>
      <c r="D30" s="36"/>
      <c r="E30" s="55">
        <f>C30*100</f>
        <v>3</v>
      </c>
    </row>
    <row r="31" spans="1:5" x14ac:dyDescent="0.25">
      <c r="A31" s="18">
        <v>2224</v>
      </c>
      <c r="B31" s="158" t="s">
        <v>7</v>
      </c>
      <c r="C31" s="19"/>
      <c r="D31" s="19"/>
      <c r="E31" s="54"/>
    </row>
    <row r="32" spans="1:5" ht="44.25" customHeight="1" x14ac:dyDescent="0.25">
      <c r="A32" s="18"/>
      <c r="B32" s="158" t="s">
        <v>493</v>
      </c>
      <c r="C32" s="36">
        <f>ROUND(28.86/18154,4)</f>
        <v>1.6000000000000001E-3</v>
      </c>
      <c r="D32" s="36"/>
      <c r="E32" s="55">
        <f>C32*100</f>
        <v>0.16</v>
      </c>
    </row>
    <row r="33" spans="1:5" x14ac:dyDescent="0.25">
      <c r="A33" s="45">
        <v>2231</v>
      </c>
      <c r="B33" s="158" t="s">
        <v>22</v>
      </c>
      <c r="C33" s="36"/>
      <c r="D33" s="19"/>
      <c r="E33" s="54"/>
    </row>
    <row r="34" spans="1:5" ht="147.75" customHeight="1" x14ac:dyDescent="0.25">
      <c r="A34" s="45"/>
      <c r="B34" s="158" t="s">
        <v>646</v>
      </c>
      <c r="C34" s="55">
        <f>ROUND(1201.87/18154,2)</f>
        <v>7.0000000000000007E-2</v>
      </c>
      <c r="D34" s="19"/>
      <c r="E34" s="55">
        <f>C34*100</f>
        <v>7.0000000000000009</v>
      </c>
    </row>
    <row r="35" spans="1:5" ht="14.25" customHeight="1" x14ac:dyDescent="0.25">
      <c r="A35" s="45">
        <v>2243</v>
      </c>
      <c r="B35" s="158" t="s">
        <v>132</v>
      </c>
      <c r="C35" s="55"/>
      <c r="D35" s="40"/>
      <c r="E35" s="55"/>
    </row>
    <row r="36" spans="1:5" ht="61.5" customHeight="1" x14ac:dyDescent="0.25">
      <c r="A36" s="45"/>
      <c r="B36" s="158" t="s">
        <v>494</v>
      </c>
      <c r="C36" s="55">
        <f>ROUND(386.87/18154,4)</f>
        <v>2.1299999999999999E-2</v>
      </c>
      <c r="D36" s="55">
        <f>C36*900</f>
        <v>19.169999999999998</v>
      </c>
      <c r="E36" s="55">
        <f>C36*100</f>
        <v>2.13</v>
      </c>
    </row>
    <row r="37" spans="1:5" x14ac:dyDescent="0.25">
      <c r="A37" s="18">
        <v>2244</v>
      </c>
      <c r="B37" s="158" t="s">
        <v>24</v>
      </c>
      <c r="C37" s="19"/>
      <c r="D37" s="19"/>
      <c r="E37" s="54"/>
    </row>
    <row r="38" spans="1:5" ht="62.25" customHeight="1" x14ac:dyDescent="0.25">
      <c r="A38" s="21"/>
      <c r="B38" s="158" t="s">
        <v>495</v>
      </c>
      <c r="C38" s="55">
        <f>ROUND(383.44/18154,3)</f>
        <v>2.1000000000000001E-2</v>
      </c>
      <c r="D38" s="36"/>
      <c r="E38" s="55">
        <f>C38*100</f>
        <v>2.1</v>
      </c>
    </row>
    <row r="39" spans="1:5" ht="48.75" customHeight="1" x14ac:dyDescent="0.25">
      <c r="A39" s="21"/>
      <c r="B39" s="158" t="s">
        <v>497</v>
      </c>
      <c r="C39" s="40">
        <f>ROUND(5.03/18154,4)</f>
        <v>2.9999999999999997E-4</v>
      </c>
      <c r="D39" s="40"/>
      <c r="E39" s="55">
        <f>C39*100</f>
        <v>0.03</v>
      </c>
    </row>
    <row r="40" spans="1:5" x14ac:dyDescent="0.25">
      <c r="A40" s="18">
        <v>2249</v>
      </c>
      <c r="B40" s="158" t="s">
        <v>8</v>
      </c>
      <c r="C40" s="19"/>
      <c r="D40" s="19"/>
      <c r="E40" s="54"/>
    </row>
    <row r="41" spans="1:5" ht="54" customHeight="1" x14ac:dyDescent="0.25">
      <c r="A41" s="18"/>
      <c r="B41" s="158" t="s">
        <v>496</v>
      </c>
      <c r="C41" s="36">
        <f>ROUND(9.76/18154,4)</f>
        <v>5.0000000000000001E-4</v>
      </c>
      <c r="D41" s="36"/>
      <c r="E41" s="55">
        <f>C41*100</f>
        <v>0.05</v>
      </c>
    </row>
    <row r="42" spans="1:5" x14ac:dyDescent="0.25">
      <c r="A42" s="18">
        <v>2311</v>
      </c>
      <c r="B42" s="158" t="s">
        <v>9</v>
      </c>
      <c r="C42" s="36"/>
      <c r="D42" s="36"/>
      <c r="E42" s="54"/>
    </row>
    <row r="43" spans="1:5" ht="60" customHeight="1" x14ac:dyDescent="0.25">
      <c r="A43" s="18"/>
      <c r="B43" s="158" t="s">
        <v>498</v>
      </c>
      <c r="C43" s="36">
        <f>ROUND(54.99/18154,4)</f>
        <v>3.0000000000000001E-3</v>
      </c>
      <c r="D43" s="36"/>
      <c r="E43" s="55">
        <f>C43*100</f>
        <v>0.3</v>
      </c>
    </row>
    <row r="44" spans="1:5" x14ac:dyDescent="0.25">
      <c r="A44" s="18">
        <v>2350</v>
      </c>
      <c r="B44" s="158" t="s">
        <v>21</v>
      </c>
      <c r="C44" s="36"/>
      <c r="D44" s="36"/>
      <c r="E44" s="54"/>
    </row>
    <row r="45" spans="1:5" ht="92.25" customHeight="1" x14ac:dyDescent="0.25">
      <c r="A45" s="18"/>
      <c r="B45" s="158" t="s">
        <v>947</v>
      </c>
      <c r="C45" s="40">
        <f>ROUND(6.69/18154,4)</f>
        <v>4.0000000000000002E-4</v>
      </c>
      <c r="D45" s="36"/>
      <c r="E45" s="55">
        <f>C45*100</f>
        <v>0.04</v>
      </c>
    </row>
    <row r="46" spans="1:5" ht="16.5" customHeight="1" x14ac:dyDescent="0.25">
      <c r="A46" s="18">
        <v>2513</v>
      </c>
      <c r="B46" s="158" t="s">
        <v>133</v>
      </c>
      <c r="C46" s="40"/>
      <c r="D46" s="36"/>
      <c r="E46" s="55"/>
    </row>
    <row r="47" spans="1:5" ht="46.5" customHeight="1" x14ac:dyDescent="0.25">
      <c r="A47" s="18"/>
      <c r="B47" s="158" t="s">
        <v>327</v>
      </c>
      <c r="C47" s="36">
        <f>ROUND(9.53/18154,4)</f>
        <v>5.0000000000000001E-4</v>
      </c>
      <c r="D47" s="36">
        <f>C47*900</f>
        <v>0.45</v>
      </c>
      <c r="E47" s="55">
        <f>C47*100</f>
        <v>0.05</v>
      </c>
    </row>
    <row r="48" spans="1:5" ht="15.75" customHeight="1" x14ac:dyDescent="0.25">
      <c r="A48" s="18">
        <v>5220</v>
      </c>
      <c r="B48" s="158" t="s">
        <v>136</v>
      </c>
      <c r="C48" s="40"/>
      <c r="D48" s="36"/>
      <c r="E48" s="55"/>
    </row>
    <row r="49" spans="1:5" ht="68.25" customHeight="1" x14ac:dyDescent="0.25">
      <c r="A49" s="18"/>
      <c r="B49" s="158" t="s">
        <v>501</v>
      </c>
      <c r="C49" s="40">
        <f>ROUND(25.06/18154,3)</f>
        <v>1E-3</v>
      </c>
      <c r="D49" s="36">
        <f>C49*900</f>
        <v>0.9</v>
      </c>
      <c r="E49" s="55">
        <f>C49*100</f>
        <v>0.1</v>
      </c>
    </row>
    <row r="50" spans="1:5" x14ac:dyDescent="0.25">
      <c r="A50" s="18">
        <v>5238</v>
      </c>
      <c r="B50" s="158" t="s">
        <v>134</v>
      </c>
      <c r="C50" s="40"/>
      <c r="D50" s="36"/>
      <c r="E50" s="55"/>
    </row>
    <row r="51" spans="1:5" ht="48.75" customHeight="1" x14ac:dyDescent="0.25">
      <c r="A51" s="18"/>
      <c r="B51" s="158" t="s">
        <v>499</v>
      </c>
      <c r="C51" s="36">
        <f>ROUND(33.68/18154,4)</f>
        <v>1.9E-3</v>
      </c>
      <c r="D51" s="36">
        <f>C51*900</f>
        <v>1.71</v>
      </c>
      <c r="E51" s="55">
        <f>C51*100</f>
        <v>0.19</v>
      </c>
    </row>
    <row r="52" spans="1:5" x14ac:dyDescent="0.25">
      <c r="A52" s="18"/>
      <c r="B52" s="72" t="s">
        <v>10</v>
      </c>
      <c r="C52" s="71">
        <f>ROUND(C51+C49+C47+C45+C43+C41+C39+C38+C36+C34+C32+C30+C28+C26+C24,2)</f>
        <v>0.17</v>
      </c>
      <c r="D52" s="71">
        <f>ROUND(D51+D49+D47+D45+D43+D41+D39+D38+D36+D34+D32+D30+D28+D26+D24,2)</f>
        <v>22.23</v>
      </c>
      <c r="E52" s="71">
        <f>ROUND(E51+E49+E47+E45+E43+E41+E39+E38+E36+E34+E32+E30+E28+E26+E24,2)</f>
        <v>17</v>
      </c>
    </row>
    <row r="53" spans="1:5" x14ac:dyDescent="0.25">
      <c r="A53" s="23"/>
      <c r="B53" s="24" t="s">
        <v>15</v>
      </c>
      <c r="C53" s="52">
        <f>ROUND(C52+C21,2)</f>
        <v>15.56</v>
      </c>
      <c r="D53" s="52">
        <f>ROUND(D52+D21,2)</f>
        <v>33.869999999999997</v>
      </c>
      <c r="E53" s="52">
        <f>E52+E21</f>
        <v>1555.9999999999998</v>
      </c>
    </row>
    <row r="54" spans="1:5" x14ac:dyDescent="0.25">
      <c r="A54" s="126"/>
      <c r="B54" s="127"/>
      <c r="C54" s="128"/>
      <c r="D54" s="129"/>
      <c r="E54" s="122"/>
    </row>
    <row r="55" spans="1:5" x14ac:dyDescent="0.25">
      <c r="A55" s="26"/>
      <c r="B55" s="28"/>
      <c r="C55" s="28"/>
      <c r="D55" s="28"/>
      <c r="E55" s="9"/>
    </row>
    <row r="56" spans="1:5" ht="15" customHeight="1" x14ac:dyDescent="0.25">
      <c r="A56" s="252" t="s">
        <v>16</v>
      </c>
      <c r="B56" s="253"/>
      <c r="C56" s="138">
        <v>100</v>
      </c>
      <c r="D56" s="29"/>
      <c r="E56" s="29"/>
    </row>
    <row r="57" spans="1:5" ht="35.25" customHeight="1" x14ac:dyDescent="0.25">
      <c r="A57" s="254" t="s">
        <v>23</v>
      </c>
      <c r="B57" s="255"/>
      <c r="C57" s="139">
        <f>E53/C56</f>
        <v>15.559999999999997</v>
      </c>
      <c r="D57" s="29"/>
      <c r="E57" s="29"/>
    </row>
    <row r="58" spans="1:5" x14ac:dyDescent="0.25">
      <c r="A58" s="30"/>
      <c r="B58" s="30"/>
      <c r="C58" s="30"/>
      <c r="D58" s="30"/>
      <c r="E58" s="30"/>
    </row>
    <row r="59" spans="1:5" x14ac:dyDescent="0.25">
      <c r="A59" s="30"/>
      <c r="B59" s="30"/>
      <c r="C59" s="30"/>
      <c r="D59" s="30"/>
      <c r="E59" s="152"/>
    </row>
    <row r="60" spans="1:5" x14ac:dyDescent="0.25">
      <c r="A60" s="30"/>
      <c r="B60" s="30"/>
      <c r="C60" s="30"/>
      <c r="D60" s="30"/>
      <c r="E60" s="152"/>
    </row>
    <row r="61" spans="1:5" x14ac:dyDescent="0.25">
      <c r="A61" s="30"/>
      <c r="B61" s="30"/>
      <c r="C61" s="30"/>
      <c r="D61" s="30"/>
      <c r="E61" s="152"/>
    </row>
    <row r="62" spans="1:5" x14ac:dyDescent="0.25">
      <c r="A62" s="30"/>
      <c r="B62" s="30"/>
      <c r="C62" s="30"/>
      <c r="D62" s="30"/>
      <c r="E62" s="30"/>
    </row>
    <row r="63" spans="1:5" x14ac:dyDescent="0.25">
      <c r="A63" s="231"/>
      <c r="B63" s="231"/>
      <c r="C63" s="9"/>
      <c r="D63" s="9"/>
      <c r="E63" s="9"/>
    </row>
    <row r="64" spans="1:5" x14ac:dyDescent="0.25">
      <c r="A64" s="250"/>
      <c r="B64" s="231"/>
      <c r="C64" s="9"/>
      <c r="D64" s="9"/>
      <c r="E64" s="9"/>
    </row>
    <row r="65" spans="1:5" x14ac:dyDescent="0.25">
      <c r="A65" s="154"/>
      <c r="B65" s="9"/>
      <c r="C65" s="31"/>
      <c r="D65" s="31"/>
      <c r="E65" s="9"/>
    </row>
    <row r="66" spans="1:5" x14ac:dyDescent="0.25">
      <c r="A66" s="250"/>
      <c r="B66" s="250"/>
      <c r="C66" s="31"/>
      <c r="D66" s="31"/>
      <c r="E66" s="9"/>
    </row>
  </sheetData>
  <customSheetViews>
    <customSheetView guid="{3046F990-4623-45D5-BDDC-01BD5999DDBC}" scale="60" showPageBreaks="1" fitToPage="1" printArea="1" hiddenRows="1" hiddenColumns="1" view="pageBreakPreview">
      <selection activeCell="B53" sqref="B53"/>
      <rowBreaks count="1" manualBreakCount="1">
        <brk id="33" max="4" man="1"/>
      </rowBreaks>
      <pageMargins left="0.70866141732283472" right="0.70866141732283472" top="0.74803149606299213" bottom="0.74803149606299213" header="0.31496062992125984" footer="0.31496062992125984"/>
      <pageSetup paperSize="9" scale="71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hiddenRows="1" hiddenColumns="1" view="pageBreakPreview" topLeftCell="A36">
      <selection activeCell="E64" sqref="E64"/>
      <rowBreaks count="1" manualBreakCount="1">
        <brk id="33" max="4" man="1"/>
      </rowBreaks>
      <pageMargins left="0.70866141732283472" right="0.70866141732283472" top="0.74803149606299213" bottom="0.74803149606299213" header="0.31496062992125984" footer="0.31496062992125984"/>
      <pageSetup paperSize="9" scale="71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hiddenRows="1" hiddenColumns="1" view="pageBreakPreview">
      <selection activeCell="A6" sqref="A6:E6"/>
      <rowBreaks count="1" manualBreakCount="1">
        <brk id="33" max="4" man="1"/>
      </rowBreaks>
      <pageMargins left="0.70866141732283472" right="0.70866141732283472" top="0.74803149606299213" bottom="0.74803149606299213" header="0.31496062992125984" footer="0.31496062992125984"/>
      <pageSetup paperSize="9" scale="71" fitToHeight="0" orientation="portrait" r:id="rId3"/>
      <headerFooter>
        <oddFooter>&amp;C&amp;P</oddFooter>
      </headerFooter>
    </customSheetView>
  </customSheetViews>
  <mergeCells count="10">
    <mergeCell ref="A64:B64"/>
    <mergeCell ref="A66:B66"/>
    <mergeCell ref="A57:B57"/>
    <mergeCell ref="C3:E3"/>
    <mergeCell ref="A56:B56"/>
    <mergeCell ref="A2:E2"/>
    <mergeCell ref="A6:E6"/>
    <mergeCell ref="A8:B8"/>
    <mergeCell ref="A10:B10"/>
    <mergeCell ref="A63:B63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4"/>
  <headerFooter>
    <oddFooter>&amp;C&amp;P</oddFooter>
  </headerFooter>
  <rowBreaks count="1" manualBreakCount="1">
    <brk id="33" max="4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view="pageBreakPreview" zoomScale="60" zoomScaleNormal="100" workbookViewId="0">
      <selection activeCell="A6" sqref="A6:D6"/>
    </sheetView>
  </sheetViews>
  <sheetFormatPr defaultRowHeight="15" x14ac:dyDescent="0.25"/>
  <cols>
    <col min="1" max="1" width="14.42578125" customWidth="1"/>
    <col min="2" max="2" width="73.85546875" customWidth="1"/>
    <col min="3" max="3" width="15.85546875" customWidth="1"/>
    <col min="4" max="4" width="16.5703125" customWidth="1"/>
  </cols>
  <sheetData>
    <row r="1" spans="1:11" ht="18.75" x14ac:dyDescent="0.3">
      <c r="A1" s="4"/>
      <c r="B1" s="5"/>
      <c r="C1" s="35"/>
      <c r="D1" s="5"/>
    </row>
    <row r="2" spans="1:11" ht="15.75" customHeight="1" x14ac:dyDescent="0.25">
      <c r="A2" s="278" t="s">
        <v>307</v>
      </c>
      <c r="B2" s="278"/>
      <c r="C2" s="278"/>
      <c r="D2" s="278"/>
      <c r="E2" s="189"/>
    </row>
    <row r="3" spans="1:11" ht="15" customHeight="1" x14ac:dyDescent="0.25">
      <c r="A3" s="4"/>
      <c r="B3" s="4"/>
      <c r="C3" s="273"/>
      <c r="D3" s="273"/>
      <c r="E3" s="274"/>
    </row>
    <row r="4" spans="1:11" ht="15.75" x14ac:dyDescent="0.25">
      <c r="A4" s="186" t="s">
        <v>723</v>
      </c>
      <c r="B4" s="32"/>
      <c r="C4" s="32"/>
      <c r="D4" s="32"/>
      <c r="E4" s="32"/>
    </row>
    <row r="5" spans="1:11" x14ac:dyDescent="0.25">
      <c r="A5" s="4"/>
      <c r="B5" s="33"/>
      <c r="C5" s="33"/>
      <c r="D5" s="33"/>
      <c r="E5" s="9"/>
    </row>
    <row r="6" spans="1:11" ht="33" customHeight="1" x14ac:dyDescent="0.25">
      <c r="A6" s="272" t="s">
        <v>1034</v>
      </c>
      <c r="B6" s="272"/>
      <c r="C6" s="272"/>
      <c r="D6" s="272"/>
      <c r="E6" s="188"/>
    </row>
    <row r="7" spans="1:11" ht="13.5" customHeight="1" x14ac:dyDescent="0.25">
      <c r="A7" s="180"/>
      <c r="B7" s="34"/>
      <c r="C7" s="34"/>
      <c r="D7" s="34"/>
      <c r="E7" s="9"/>
      <c r="F7" s="46"/>
      <c r="G7" s="46"/>
      <c r="H7" s="46"/>
      <c r="I7" s="46"/>
      <c r="J7" s="46"/>
      <c r="K7" s="46"/>
    </row>
    <row r="8" spans="1:11" x14ac:dyDescent="0.25">
      <c r="A8" s="270" t="s">
        <v>309</v>
      </c>
      <c r="B8" s="271"/>
      <c r="C8" s="34"/>
      <c r="D8" s="34"/>
      <c r="E8" s="9"/>
    </row>
    <row r="9" spans="1:11" ht="15" customHeight="1" x14ac:dyDescent="0.25">
      <c r="A9" s="183"/>
      <c r="B9" s="184"/>
      <c r="C9" s="34"/>
      <c r="D9" s="34"/>
      <c r="E9" s="9"/>
    </row>
    <row r="10" spans="1:11" ht="15.75" x14ac:dyDescent="0.25">
      <c r="A10" s="251" t="s">
        <v>743</v>
      </c>
      <c r="B10" s="251"/>
      <c r="C10" s="8"/>
      <c r="D10" s="8"/>
      <c r="E10" s="9"/>
    </row>
    <row r="11" spans="1:11" ht="90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11" x14ac:dyDescent="0.25">
      <c r="A12" s="13">
        <v>1</v>
      </c>
      <c r="B12" s="14">
        <v>2</v>
      </c>
      <c r="C12" s="13">
        <v>3</v>
      </c>
      <c r="D12" s="13">
        <v>4</v>
      </c>
    </row>
    <row r="13" spans="1:11" x14ac:dyDescent="0.25">
      <c r="A13" s="15"/>
      <c r="B13" s="22" t="s">
        <v>13</v>
      </c>
      <c r="C13" s="17"/>
      <c r="D13" s="17"/>
    </row>
    <row r="14" spans="1:11" x14ac:dyDescent="0.25">
      <c r="A14" s="37">
        <v>1100</v>
      </c>
      <c r="B14" s="16" t="s">
        <v>14</v>
      </c>
      <c r="C14" s="38"/>
      <c r="D14" s="38"/>
    </row>
    <row r="15" spans="1:11" ht="84" customHeight="1" x14ac:dyDescent="0.25">
      <c r="A15" s="18"/>
      <c r="B15" s="157" t="s">
        <v>953</v>
      </c>
      <c r="C15" s="55">
        <f>0.11*20</f>
        <v>2.2000000000000002</v>
      </c>
      <c r="D15" s="55">
        <f>C15*100</f>
        <v>220.00000000000003</v>
      </c>
    </row>
    <row r="16" spans="1:11" ht="31.5" customHeight="1" x14ac:dyDescent="0.25">
      <c r="A16" s="18">
        <v>1200</v>
      </c>
      <c r="B16" s="158" t="s">
        <v>284</v>
      </c>
      <c r="C16" s="55">
        <f>ROUND(C15*0.2359,2)</f>
        <v>0.52</v>
      </c>
      <c r="D16" s="55">
        <f>C16*100</f>
        <v>52</v>
      </c>
    </row>
    <row r="17" spans="1:5" x14ac:dyDescent="0.25">
      <c r="A17" s="18">
        <v>2341</v>
      </c>
      <c r="B17" s="18" t="s">
        <v>77</v>
      </c>
      <c r="C17" s="19"/>
      <c r="D17" s="19"/>
    </row>
    <row r="18" spans="1:5" ht="77.25" customHeight="1" x14ac:dyDescent="0.25">
      <c r="A18" s="18"/>
      <c r="B18" s="158" t="s">
        <v>503</v>
      </c>
      <c r="C18" s="55">
        <f>4.13+1.6+0.04+0.01+0.02+0.24</f>
        <v>6.04</v>
      </c>
      <c r="D18" s="55">
        <f>C18*100</f>
        <v>604</v>
      </c>
    </row>
    <row r="19" spans="1:5" x14ac:dyDescent="0.25">
      <c r="A19" s="68"/>
      <c r="B19" s="159" t="s">
        <v>2</v>
      </c>
      <c r="C19" s="71">
        <f>SUM(C14:C18)</f>
        <v>8.76</v>
      </c>
      <c r="D19" s="71">
        <f>SUM(D14:D18)</f>
        <v>876</v>
      </c>
    </row>
    <row r="20" spans="1:5" x14ac:dyDescent="0.25">
      <c r="A20" s="18"/>
      <c r="B20" s="160" t="s">
        <v>20</v>
      </c>
      <c r="C20" s="19"/>
      <c r="D20" s="19"/>
    </row>
    <row r="21" spans="1:5" x14ac:dyDescent="0.25">
      <c r="A21" s="18">
        <v>2219</v>
      </c>
      <c r="B21" s="158" t="s">
        <v>3</v>
      </c>
      <c r="C21" s="19"/>
      <c r="D21" s="19"/>
    </row>
    <row r="22" spans="1:5" ht="87.75" customHeight="1" x14ac:dyDescent="0.25">
      <c r="A22" s="18"/>
      <c r="B22" s="158" t="s">
        <v>852</v>
      </c>
      <c r="C22" s="40">
        <f>ROUND(3.18/18154,4)</f>
        <v>2.0000000000000001E-4</v>
      </c>
      <c r="D22" s="55">
        <f>C22*100</f>
        <v>0.02</v>
      </c>
    </row>
    <row r="23" spans="1:5" x14ac:dyDescent="0.25">
      <c r="A23" s="18">
        <v>2221</v>
      </c>
      <c r="B23" s="158" t="s">
        <v>4</v>
      </c>
      <c r="C23" s="19"/>
      <c r="D23" s="19"/>
    </row>
    <row r="24" spans="1:5" ht="49.5" customHeight="1" x14ac:dyDescent="0.25">
      <c r="A24" s="18"/>
      <c r="B24" s="158" t="s">
        <v>517</v>
      </c>
      <c r="C24" s="55">
        <f>ROUND(301.59/18154,4)</f>
        <v>1.66E-2</v>
      </c>
      <c r="D24" s="55">
        <f>C24*100</f>
        <v>1.66</v>
      </c>
    </row>
    <row r="25" spans="1:5" ht="18.75" customHeight="1" x14ac:dyDescent="0.25">
      <c r="A25" s="18">
        <v>2222</v>
      </c>
      <c r="B25" s="158" t="s">
        <v>5</v>
      </c>
      <c r="C25" s="19"/>
      <c r="D25" s="19"/>
    </row>
    <row r="26" spans="1:5" ht="50.25" customHeight="1" x14ac:dyDescent="0.25">
      <c r="A26" s="18"/>
      <c r="B26" s="158" t="s">
        <v>492</v>
      </c>
      <c r="C26" s="36">
        <f>ROUND(31.02/18154,4)</f>
        <v>1.6999999999999999E-3</v>
      </c>
      <c r="D26" s="55">
        <f>C26*100</f>
        <v>0.16999999999999998</v>
      </c>
    </row>
    <row r="27" spans="1:5" x14ac:dyDescent="0.25">
      <c r="A27" s="18">
        <v>2223</v>
      </c>
      <c r="B27" s="18" t="s">
        <v>6</v>
      </c>
      <c r="C27" s="19"/>
      <c r="D27" s="19"/>
    </row>
    <row r="28" spans="1:5" ht="51" customHeight="1" x14ac:dyDescent="0.25">
      <c r="A28" s="18"/>
      <c r="B28" s="158" t="s">
        <v>157</v>
      </c>
      <c r="C28" s="55">
        <f>ROUND(538.27/18154,2)</f>
        <v>0.03</v>
      </c>
      <c r="D28" s="55">
        <f>C28*100</f>
        <v>3</v>
      </c>
    </row>
    <row r="29" spans="1:5" x14ac:dyDescent="0.25">
      <c r="A29" s="18">
        <v>2224</v>
      </c>
      <c r="B29" s="158" t="s">
        <v>7</v>
      </c>
      <c r="C29" s="19"/>
      <c r="D29" s="19"/>
    </row>
    <row r="30" spans="1:5" ht="65.25" customHeight="1" x14ac:dyDescent="0.25">
      <c r="A30" s="18"/>
      <c r="B30" s="158" t="s">
        <v>504</v>
      </c>
      <c r="C30" s="36">
        <f>ROUND(28.86/18154,4)</f>
        <v>1.6000000000000001E-3</v>
      </c>
      <c r="D30" s="55">
        <f>C30*100</f>
        <v>0.16</v>
      </c>
    </row>
    <row r="31" spans="1:5" x14ac:dyDescent="0.25">
      <c r="A31" s="45">
        <v>2231</v>
      </c>
      <c r="B31" s="158" t="s">
        <v>22</v>
      </c>
      <c r="C31" s="36"/>
      <c r="D31" s="19"/>
    </row>
    <row r="32" spans="1:5" ht="174.75" customHeight="1" x14ac:dyDescent="0.25">
      <c r="A32" s="45"/>
      <c r="B32" s="158" t="s">
        <v>505</v>
      </c>
      <c r="C32" s="55">
        <f>ROUND(1201.87/18154,2)</f>
        <v>7.0000000000000007E-2</v>
      </c>
      <c r="D32" s="55">
        <f>C32*100</f>
        <v>7.0000000000000009</v>
      </c>
      <c r="E32" s="130"/>
    </row>
    <row r="33" spans="1:5" ht="16.5" customHeight="1" x14ac:dyDescent="0.25">
      <c r="A33" s="45">
        <v>2243</v>
      </c>
      <c r="B33" s="158" t="s">
        <v>132</v>
      </c>
      <c r="C33" s="55"/>
      <c r="D33" s="40"/>
      <c r="E33" s="122"/>
    </row>
    <row r="34" spans="1:5" ht="60" customHeight="1" x14ac:dyDescent="0.25">
      <c r="A34" s="45"/>
      <c r="B34" s="158" t="s">
        <v>494</v>
      </c>
      <c r="C34" s="55">
        <f>ROUND(386.87/18154,4)</f>
        <v>2.1299999999999999E-2</v>
      </c>
      <c r="D34" s="55">
        <f>C34*100</f>
        <v>2.13</v>
      </c>
      <c r="E34" s="122"/>
    </row>
    <row r="35" spans="1:5" x14ac:dyDescent="0.25">
      <c r="A35" s="18">
        <v>2244</v>
      </c>
      <c r="B35" s="158" t="s">
        <v>24</v>
      </c>
      <c r="C35" s="19"/>
      <c r="D35" s="19"/>
    </row>
    <row r="36" spans="1:5" ht="58.5" customHeight="1" x14ac:dyDescent="0.25">
      <c r="A36" s="21"/>
      <c r="B36" s="158" t="s">
        <v>495</v>
      </c>
      <c r="C36" s="55">
        <f>ROUND(383.44/18154,3)</f>
        <v>2.1000000000000001E-2</v>
      </c>
      <c r="D36" s="55">
        <f>C36*100</f>
        <v>2.1</v>
      </c>
    </row>
    <row r="37" spans="1:5" ht="48" customHeight="1" x14ac:dyDescent="0.25">
      <c r="A37" s="21"/>
      <c r="B37" s="158" t="s">
        <v>954</v>
      </c>
      <c r="C37" s="40">
        <f>ROUND(5.03/18154,4)</f>
        <v>2.9999999999999997E-4</v>
      </c>
      <c r="D37" s="55">
        <f>C37*100</f>
        <v>0.03</v>
      </c>
    </row>
    <row r="38" spans="1:5" x14ac:dyDescent="0.25">
      <c r="A38" s="18">
        <v>2249</v>
      </c>
      <c r="B38" s="158" t="s">
        <v>8</v>
      </c>
      <c r="C38" s="19"/>
      <c r="D38" s="19"/>
    </row>
    <row r="39" spans="1:5" ht="61.5" customHeight="1" x14ac:dyDescent="0.25">
      <c r="A39" s="18"/>
      <c r="B39" s="158" t="s">
        <v>853</v>
      </c>
      <c r="C39" s="36">
        <f>ROUND(9.76/18154,4)</f>
        <v>5.0000000000000001E-4</v>
      </c>
      <c r="D39" s="55">
        <f>C39*100</f>
        <v>0.05</v>
      </c>
    </row>
    <row r="40" spans="1:5" x14ac:dyDescent="0.25">
      <c r="A40" s="18">
        <v>2311</v>
      </c>
      <c r="B40" s="158" t="s">
        <v>9</v>
      </c>
      <c r="C40" s="36"/>
      <c r="D40" s="19"/>
    </row>
    <row r="41" spans="1:5" ht="61.5" customHeight="1" x14ac:dyDescent="0.25">
      <c r="A41" s="18"/>
      <c r="B41" s="158" t="s">
        <v>506</v>
      </c>
      <c r="C41" s="36">
        <f>ROUND(54.99/18154,4)</f>
        <v>3.0000000000000001E-3</v>
      </c>
      <c r="D41" s="55">
        <f>C41*100</f>
        <v>0.3</v>
      </c>
    </row>
    <row r="42" spans="1:5" x14ac:dyDescent="0.25">
      <c r="A42" s="18">
        <v>2350</v>
      </c>
      <c r="B42" s="158" t="s">
        <v>21</v>
      </c>
      <c r="C42" s="36"/>
      <c r="D42" s="19"/>
    </row>
    <row r="43" spans="1:5" ht="90.75" customHeight="1" x14ac:dyDescent="0.25">
      <c r="A43" s="18"/>
      <c r="B43" s="158" t="s">
        <v>507</v>
      </c>
      <c r="C43" s="40">
        <f>ROUND(6.69/18154,4)</f>
        <v>4.0000000000000002E-4</v>
      </c>
      <c r="D43" s="55">
        <f>C43*100</f>
        <v>0.04</v>
      </c>
    </row>
    <row r="44" spans="1:5" ht="15" customHeight="1" x14ac:dyDescent="0.25">
      <c r="A44" s="18">
        <v>2513</v>
      </c>
      <c r="B44" s="158" t="s">
        <v>133</v>
      </c>
      <c r="C44" s="40"/>
      <c r="D44" s="124"/>
      <c r="E44" s="125"/>
    </row>
    <row r="45" spans="1:5" ht="47.25" customHeight="1" x14ac:dyDescent="0.25">
      <c r="A45" s="18"/>
      <c r="B45" s="158" t="s">
        <v>955</v>
      </c>
      <c r="C45" s="36">
        <f>ROUND(9.53/18154,4)</f>
        <v>5.0000000000000001E-4</v>
      </c>
      <c r="D45" s="133">
        <f>C45*100</f>
        <v>0.05</v>
      </c>
      <c r="E45" s="125"/>
    </row>
    <row r="46" spans="1:5" ht="15.75" customHeight="1" x14ac:dyDescent="0.25">
      <c r="A46" s="18">
        <v>5220</v>
      </c>
      <c r="B46" s="158" t="s">
        <v>136</v>
      </c>
      <c r="C46" s="40"/>
      <c r="D46" s="124"/>
      <c r="E46" s="125"/>
    </row>
    <row r="47" spans="1:5" ht="69.75" customHeight="1" x14ac:dyDescent="0.25">
      <c r="A47" s="18"/>
      <c r="B47" s="158" t="s">
        <v>500</v>
      </c>
      <c r="C47" s="36">
        <f>ROUND(25.06/18154,3)</f>
        <v>1E-3</v>
      </c>
      <c r="D47" s="133">
        <f>C47*100</f>
        <v>0.1</v>
      </c>
      <c r="E47" s="125"/>
    </row>
    <row r="48" spans="1:5" ht="15" customHeight="1" x14ac:dyDescent="0.25">
      <c r="A48" s="18">
        <v>5238</v>
      </c>
      <c r="B48" s="158" t="s">
        <v>134</v>
      </c>
      <c r="C48" s="40"/>
      <c r="D48" s="124"/>
      <c r="E48" s="125"/>
    </row>
    <row r="49" spans="1:5" ht="60" customHeight="1" x14ac:dyDescent="0.25">
      <c r="A49" s="18"/>
      <c r="B49" s="158" t="s">
        <v>499</v>
      </c>
      <c r="C49" s="36">
        <f>ROUND(33.68/18154,4)</f>
        <v>1.9E-3</v>
      </c>
      <c r="D49" s="133">
        <f>C49*100</f>
        <v>0.19</v>
      </c>
      <c r="E49" s="125"/>
    </row>
    <row r="50" spans="1:5" x14ac:dyDescent="0.25">
      <c r="A50" s="68"/>
      <c r="B50" s="72" t="s">
        <v>10</v>
      </c>
      <c r="C50" s="71">
        <f>ROUND(C49+C47+C45+C43+C41+C39+C37+C36+C34+C32+C30+C28+C26+C24+C22,2)</f>
        <v>0.17</v>
      </c>
      <c r="D50" s="71">
        <f>ROUND(D49+D47+D45+D43+D41+D39+D37+D36+D34+D32+D30+D28+D26+D24+D22,2)</f>
        <v>17</v>
      </c>
    </row>
    <row r="51" spans="1:5" x14ac:dyDescent="0.25">
      <c r="A51" s="23"/>
      <c r="B51" s="24" t="s">
        <v>15</v>
      </c>
      <c r="C51" s="52">
        <f>ROUND(C50+C19,2)</f>
        <v>8.93</v>
      </c>
      <c r="D51" s="52">
        <f>D50+D19</f>
        <v>893</v>
      </c>
    </row>
    <row r="52" spans="1:5" x14ac:dyDescent="0.25">
      <c r="A52" s="25"/>
      <c r="B52" s="26"/>
      <c r="C52" s="27"/>
      <c r="D52" s="27"/>
    </row>
    <row r="53" spans="1:5" x14ac:dyDescent="0.25">
      <c r="A53" s="26"/>
      <c r="B53" s="28"/>
      <c r="C53" s="28"/>
      <c r="D53" s="9"/>
    </row>
    <row r="54" spans="1:5" ht="15" customHeight="1" x14ac:dyDescent="0.25">
      <c r="A54" s="252" t="s">
        <v>16</v>
      </c>
      <c r="B54" s="253"/>
      <c r="C54" s="138">
        <v>100</v>
      </c>
      <c r="D54" s="29"/>
    </row>
    <row r="55" spans="1:5" ht="32.25" customHeight="1" x14ac:dyDescent="0.25">
      <c r="A55" s="254" t="s">
        <v>23</v>
      </c>
      <c r="B55" s="255"/>
      <c r="C55" s="139">
        <f>D51/C54</f>
        <v>8.93</v>
      </c>
      <c r="D55" s="29"/>
    </row>
    <row r="56" spans="1:5" x14ac:dyDescent="0.25">
      <c r="A56" s="30"/>
      <c r="B56" s="30"/>
      <c r="C56" s="30"/>
      <c r="D56" s="30"/>
    </row>
    <row r="57" spans="1:5" x14ac:dyDescent="0.25">
      <c r="A57" s="30"/>
      <c r="B57" s="30"/>
      <c r="C57" s="30"/>
      <c r="D57" s="152"/>
    </row>
    <row r="58" spans="1:5" x14ac:dyDescent="0.25">
      <c r="A58" s="30"/>
      <c r="B58" s="30"/>
      <c r="C58" s="30"/>
      <c r="D58" s="152"/>
    </row>
    <row r="59" spans="1:5" x14ac:dyDescent="0.25">
      <c r="A59" s="30"/>
      <c r="B59" s="30"/>
      <c r="C59" s="30"/>
      <c r="D59" s="152"/>
    </row>
    <row r="60" spans="1:5" x14ac:dyDescent="0.25">
      <c r="A60" s="30"/>
      <c r="B60" s="30"/>
      <c r="C60" s="30"/>
      <c r="D60" s="30"/>
    </row>
    <row r="61" spans="1:5" x14ac:dyDescent="0.25">
      <c r="A61" s="231"/>
      <c r="B61" s="231"/>
      <c r="C61" s="9"/>
      <c r="D61" s="9"/>
    </row>
    <row r="62" spans="1:5" x14ac:dyDescent="0.25">
      <c r="A62" s="250"/>
      <c r="B62" s="231"/>
      <c r="C62" s="9"/>
      <c r="D62" s="9"/>
    </row>
    <row r="63" spans="1:5" x14ac:dyDescent="0.25">
      <c r="A63" s="154"/>
      <c r="B63" s="9"/>
      <c r="C63" s="31"/>
      <c r="D63" s="9"/>
    </row>
    <row r="64" spans="1:5" x14ac:dyDescent="0.25">
      <c r="A64" s="250"/>
      <c r="B64" s="250"/>
      <c r="C64" s="31"/>
      <c r="D64" s="9"/>
    </row>
  </sheetData>
  <customSheetViews>
    <customSheetView guid="{3046F990-4623-45D5-BDDC-01BD5999DDBC}" scale="60" showPageBreaks="1" fitToPage="1" printArea="1" view="pageBreakPreview">
      <selection activeCell="B53" sqref="B53"/>
      <rowBreaks count="1" manualBreakCount="1">
        <brk id="30" max="3" man="1"/>
      </rowBreaks>
      <colBreaks count="1" manualBreakCount="1">
        <brk id="4" max="54" man="1"/>
      </colBreaks>
      <pageMargins left="0.70866141732283472" right="0.70866141732283472" top="0.74803149606299213" bottom="0.74803149606299213" header="0.31496062992125984" footer="0.31496062992125984"/>
      <pageSetup paperSize="9" scale="72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view="pageBreakPreview" topLeftCell="A34">
      <selection activeCell="C45" sqref="C45"/>
      <rowBreaks count="1" manualBreakCount="1">
        <brk id="30" max="3" man="1"/>
      </rowBreaks>
      <colBreaks count="1" manualBreakCount="1">
        <brk id="4" max="54" man="1"/>
      </colBreaks>
      <pageMargins left="0.70866141732283472" right="0.70866141732283472" top="0.74803149606299213" bottom="0.74803149606299213" header="0.31496062992125984" footer="0.31496062992125984"/>
      <pageSetup paperSize="9" scale="72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view="pageBreakPreview">
      <selection activeCell="A6" sqref="A6:D6"/>
      <rowBreaks count="1" manualBreakCount="1">
        <brk id="30" max="3" man="1"/>
      </rowBreaks>
      <colBreaks count="1" manualBreakCount="1">
        <brk id="4" max="54" man="1"/>
      </colBreaks>
      <pageMargins left="0.70866141732283472" right="0.70866141732283472" top="0.74803149606299213" bottom="0.74803149606299213" header="0.31496062992125984" footer="0.31496062992125984"/>
      <pageSetup paperSize="9" scale="72" fitToHeight="0" orientation="portrait" r:id="rId3"/>
      <headerFooter>
        <oddFooter>&amp;C&amp;P</oddFooter>
      </headerFooter>
    </customSheetView>
  </customSheetViews>
  <mergeCells count="10">
    <mergeCell ref="A2:D2"/>
    <mergeCell ref="A54:B54"/>
    <mergeCell ref="A61:B61"/>
    <mergeCell ref="A62:B62"/>
    <mergeCell ref="A64:B64"/>
    <mergeCell ref="A55:B55"/>
    <mergeCell ref="C3:E3"/>
    <mergeCell ref="A8:B8"/>
    <mergeCell ref="A10:B10"/>
    <mergeCell ref="A6:D6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4"/>
  <headerFooter>
    <oddFooter>&amp;C&amp;P</oddFooter>
  </headerFooter>
  <rowBreaks count="1" manualBreakCount="1">
    <brk id="30" max="3" man="1"/>
  </rowBreaks>
  <colBreaks count="1" manualBreakCount="1">
    <brk id="4" max="54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view="pageBreakPreview" zoomScale="60" zoomScaleNormal="100" workbookViewId="0">
      <selection activeCell="A6" sqref="A6:D6"/>
    </sheetView>
  </sheetViews>
  <sheetFormatPr defaultRowHeight="15" x14ac:dyDescent="0.25"/>
  <cols>
    <col min="1" max="1" width="14.28515625" customWidth="1"/>
    <col min="2" max="2" width="80" customWidth="1"/>
    <col min="3" max="3" width="14.5703125" customWidth="1"/>
    <col min="4" max="4" width="18.5703125" customWidth="1"/>
  </cols>
  <sheetData>
    <row r="1" spans="1:11" ht="18.75" x14ac:dyDescent="0.3">
      <c r="A1" s="4"/>
      <c r="B1" s="5"/>
      <c r="C1" s="35"/>
      <c r="D1" s="5"/>
    </row>
    <row r="2" spans="1:11" ht="15.75" customHeight="1" x14ac:dyDescent="0.25">
      <c r="A2" s="278" t="s">
        <v>307</v>
      </c>
      <c r="B2" s="278"/>
      <c r="C2" s="278"/>
      <c r="D2" s="278"/>
      <c r="E2" s="189"/>
    </row>
    <row r="3" spans="1:11" ht="15" customHeight="1" x14ac:dyDescent="0.25">
      <c r="A3" s="4"/>
      <c r="B3" s="4"/>
      <c r="C3" s="191"/>
      <c r="D3" s="191"/>
      <c r="E3" s="185"/>
    </row>
    <row r="4" spans="1:11" ht="15.75" x14ac:dyDescent="0.25">
      <c r="A4" s="186" t="s">
        <v>723</v>
      </c>
      <c r="B4" s="32"/>
      <c r="C4" s="32"/>
      <c r="D4" s="32"/>
      <c r="E4" s="32"/>
    </row>
    <row r="5" spans="1:11" x14ac:dyDescent="0.25">
      <c r="A5" s="4"/>
      <c r="B5" s="33"/>
      <c r="C5" s="33"/>
      <c r="D5" s="33"/>
      <c r="E5" s="9"/>
    </row>
    <row r="6" spans="1:11" ht="48" customHeight="1" x14ac:dyDescent="0.25">
      <c r="A6" s="272" t="s">
        <v>1083</v>
      </c>
      <c r="B6" s="272"/>
      <c r="C6" s="272"/>
      <c r="D6" s="272"/>
      <c r="E6" s="188"/>
    </row>
    <row r="7" spans="1:11" ht="14.25" customHeight="1" x14ac:dyDescent="0.25">
      <c r="A7" s="180"/>
      <c r="B7" s="34"/>
      <c r="C7" s="34"/>
      <c r="D7" s="34"/>
      <c r="E7" s="9"/>
      <c r="F7" s="46"/>
      <c r="G7" s="46"/>
      <c r="H7" s="46"/>
      <c r="I7" s="46"/>
      <c r="J7" s="46"/>
      <c r="K7" s="46"/>
    </row>
    <row r="8" spans="1:11" x14ac:dyDescent="0.25">
      <c r="A8" s="270" t="s">
        <v>309</v>
      </c>
      <c r="B8" s="271"/>
      <c r="C8" s="34"/>
      <c r="D8" s="34"/>
      <c r="E8" s="9"/>
    </row>
    <row r="9" spans="1:11" ht="15" customHeight="1" x14ac:dyDescent="0.25">
      <c r="A9" s="183"/>
      <c r="B9" s="184"/>
      <c r="C9" s="34"/>
      <c r="D9" s="34"/>
      <c r="E9" s="9"/>
    </row>
    <row r="10" spans="1:11" ht="15.75" x14ac:dyDescent="0.25">
      <c r="A10" s="251" t="s">
        <v>730</v>
      </c>
      <c r="B10" s="251"/>
      <c r="C10" s="8"/>
      <c r="D10" s="8"/>
      <c r="E10" s="9"/>
    </row>
    <row r="11" spans="1:11" ht="90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11" x14ac:dyDescent="0.25">
      <c r="A12" s="13">
        <v>1</v>
      </c>
      <c r="B12" s="14">
        <v>2</v>
      </c>
      <c r="C12" s="13">
        <v>3</v>
      </c>
      <c r="D12" s="13">
        <v>4</v>
      </c>
    </row>
    <row r="13" spans="1:11" x14ac:dyDescent="0.25">
      <c r="A13" s="15"/>
      <c r="B13" s="22" t="s">
        <v>13</v>
      </c>
      <c r="C13" s="17"/>
      <c r="D13" s="17"/>
    </row>
    <row r="14" spans="1:11" x14ac:dyDescent="0.25">
      <c r="A14" s="37">
        <v>1100</v>
      </c>
      <c r="B14" s="16" t="s">
        <v>14</v>
      </c>
      <c r="C14" s="38"/>
      <c r="D14" s="38"/>
      <c r="E14" s="59"/>
    </row>
    <row r="15" spans="1:11" ht="96" customHeight="1" x14ac:dyDescent="0.25">
      <c r="A15" s="18"/>
      <c r="B15" s="157" t="s">
        <v>509</v>
      </c>
      <c r="C15" s="55">
        <f>0.11*20+0.11*13</f>
        <v>3.63</v>
      </c>
      <c r="D15" s="38">
        <f>C15*20</f>
        <v>72.599999999999994</v>
      </c>
    </row>
    <row r="16" spans="1:11" ht="34.5" customHeight="1" x14ac:dyDescent="0.25">
      <c r="A16" s="18">
        <v>1200</v>
      </c>
      <c r="B16" s="158" t="s">
        <v>285</v>
      </c>
      <c r="C16" s="55">
        <f>ROUND(C15*0.2359,2)</f>
        <v>0.86</v>
      </c>
      <c r="D16" s="38">
        <f>C16*20</f>
        <v>17.2</v>
      </c>
    </row>
    <row r="17" spans="1:5" x14ac:dyDescent="0.25">
      <c r="A17" s="18">
        <v>2341</v>
      </c>
      <c r="B17" s="18" t="s">
        <v>77</v>
      </c>
      <c r="C17" s="19"/>
      <c r="D17" s="38"/>
    </row>
    <row r="18" spans="1:5" ht="81.75" customHeight="1" x14ac:dyDescent="0.25">
      <c r="A18" s="18"/>
      <c r="B18" s="158" t="s">
        <v>510</v>
      </c>
      <c r="C18" s="55">
        <f>4.13+1.6+0.04+0.01+0.02+0.24</f>
        <v>6.04</v>
      </c>
      <c r="D18" s="38">
        <f>C18*20</f>
        <v>120.8</v>
      </c>
      <c r="E18" s="59"/>
    </row>
    <row r="19" spans="1:5" x14ac:dyDescent="0.25">
      <c r="A19" s="68"/>
      <c r="B19" s="159" t="s">
        <v>2</v>
      </c>
      <c r="C19" s="71">
        <f>SUM(C14:C18)</f>
        <v>10.530000000000001</v>
      </c>
      <c r="D19" s="71">
        <f>SUM(D14:D18)</f>
        <v>210.6</v>
      </c>
    </row>
    <row r="20" spans="1:5" x14ac:dyDescent="0.25">
      <c r="A20" s="18"/>
      <c r="B20" s="160" t="s">
        <v>20</v>
      </c>
      <c r="C20" s="19"/>
      <c r="D20" s="19"/>
      <c r="E20" s="60"/>
    </row>
    <row r="21" spans="1:5" x14ac:dyDescent="0.25">
      <c r="A21" s="18">
        <v>2219</v>
      </c>
      <c r="B21" s="158" t="s">
        <v>3</v>
      </c>
      <c r="C21" s="19"/>
      <c r="D21" s="19"/>
    </row>
    <row r="22" spans="1:5" ht="80.25" customHeight="1" x14ac:dyDescent="0.25">
      <c r="A22" s="18"/>
      <c r="B22" s="158" t="s">
        <v>645</v>
      </c>
      <c r="C22" s="40">
        <f>ROUND(3.18/18154,4)</f>
        <v>2.0000000000000001E-4</v>
      </c>
      <c r="D22" s="36">
        <f>C22*20</f>
        <v>4.0000000000000001E-3</v>
      </c>
      <c r="E22" s="59"/>
    </row>
    <row r="23" spans="1:5" x14ac:dyDescent="0.25">
      <c r="A23" s="18">
        <v>2221</v>
      </c>
      <c r="B23" s="158" t="s">
        <v>4</v>
      </c>
      <c r="C23" s="19"/>
      <c r="D23" s="36"/>
    </row>
    <row r="24" spans="1:5" ht="48.75" customHeight="1" x14ac:dyDescent="0.25">
      <c r="A24" s="18"/>
      <c r="B24" s="158" t="s">
        <v>956</v>
      </c>
      <c r="C24" s="55">
        <f>ROUND(301.59/18154,4)</f>
        <v>1.66E-2</v>
      </c>
      <c r="D24" s="55">
        <f>C24*20</f>
        <v>0.33200000000000002</v>
      </c>
      <c r="E24" s="59"/>
    </row>
    <row r="25" spans="1:5" ht="18.75" customHeight="1" x14ac:dyDescent="0.25">
      <c r="A25" s="18">
        <v>2222</v>
      </c>
      <c r="B25" s="158" t="s">
        <v>5</v>
      </c>
      <c r="C25" s="19"/>
      <c r="D25" s="19"/>
    </row>
    <row r="26" spans="1:5" ht="48" customHeight="1" x14ac:dyDescent="0.25">
      <c r="A26" s="18"/>
      <c r="B26" s="158" t="s">
        <v>512</v>
      </c>
      <c r="C26" s="36">
        <f>ROUND(31.02/18154,4)</f>
        <v>1.6999999999999999E-3</v>
      </c>
      <c r="D26" s="55">
        <f>C26*20</f>
        <v>3.3999999999999996E-2</v>
      </c>
      <c r="E26" s="59"/>
    </row>
    <row r="27" spans="1:5" x14ac:dyDescent="0.25">
      <c r="A27" s="18">
        <v>2223</v>
      </c>
      <c r="B27" s="18" t="s">
        <v>6</v>
      </c>
      <c r="C27" s="19"/>
      <c r="D27" s="19"/>
    </row>
    <row r="28" spans="1:5" ht="45.75" customHeight="1" x14ac:dyDescent="0.25">
      <c r="A28" s="18"/>
      <c r="B28" s="158" t="s">
        <v>174</v>
      </c>
      <c r="C28" s="55">
        <f>ROUND(538.27/18154,2)</f>
        <v>0.03</v>
      </c>
      <c r="D28" s="55">
        <f>C28*20</f>
        <v>0.6</v>
      </c>
    </row>
    <row r="29" spans="1:5" x14ac:dyDescent="0.25">
      <c r="A29" s="18">
        <v>2224</v>
      </c>
      <c r="B29" s="158" t="s">
        <v>7</v>
      </c>
      <c r="C29" s="19"/>
      <c r="D29" s="19"/>
    </row>
    <row r="30" spans="1:5" ht="51.75" customHeight="1" x14ac:dyDescent="0.25">
      <c r="A30" s="18"/>
      <c r="B30" s="158" t="s">
        <v>964</v>
      </c>
      <c r="C30" s="36">
        <f>ROUND(28.86/18154,4)</f>
        <v>1.6000000000000001E-3</v>
      </c>
      <c r="D30" s="55">
        <f>C30*20</f>
        <v>3.2000000000000001E-2</v>
      </c>
    </row>
    <row r="31" spans="1:5" x14ac:dyDescent="0.25">
      <c r="A31" s="45">
        <v>2231</v>
      </c>
      <c r="B31" s="158" t="s">
        <v>22</v>
      </c>
      <c r="C31" s="36"/>
      <c r="D31" s="19"/>
    </row>
    <row r="32" spans="1:5" ht="156.75" customHeight="1" x14ac:dyDescent="0.25">
      <c r="A32" s="45"/>
      <c r="B32" s="158" t="s">
        <v>644</v>
      </c>
      <c r="C32" s="55">
        <f>ROUND(1201.87/18154,2)</f>
        <v>7.0000000000000007E-2</v>
      </c>
      <c r="D32" s="55">
        <f>C32*20</f>
        <v>1.4000000000000001</v>
      </c>
      <c r="E32" s="59"/>
    </row>
    <row r="33" spans="1:5" ht="17.25" customHeight="1" x14ac:dyDescent="0.25">
      <c r="A33" s="45">
        <v>2243</v>
      </c>
      <c r="B33" s="158" t="s">
        <v>132</v>
      </c>
      <c r="C33" s="55"/>
      <c r="D33" s="40"/>
      <c r="E33" s="59"/>
    </row>
    <row r="34" spans="1:5" ht="64.5" customHeight="1" x14ac:dyDescent="0.25">
      <c r="A34" s="45"/>
      <c r="B34" s="158" t="s">
        <v>429</v>
      </c>
      <c r="C34" s="55">
        <f>ROUND(386.87/18154,4)</f>
        <v>2.1299999999999999E-2</v>
      </c>
      <c r="D34" s="55">
        <f>C34*20</f>
        <v>0.42599999999999999</v>
      </c>
      <c r="E34" s="59"/>
    </row>
    <row r="35" spans="1:5" x14ac:dyDescent="0.25">
      <c r="A35" s="18">
        <v>2244</v>
      </c>
      <c r="B35" s="158" t="s">
        <v>24</v>
      </c>
      <c r="C35" s="19"/>
      <c r="D35" s="19"/>
    </row>
    <row r="36" spans="1:5" ht="62.25" customHeight="1" x14ac:dyDescent="0.25">
      <c r="A36" s="21"/>
      <c r="B36" s="158" t="s">
        <v>365</v>
      </c>
      <c r="C36" s="55">
        <f>ROUND(383.44/18154,3)</f>
        <v>2.1000000000000001E-2</v>
      </c>
      <c r="D36" s="55">
        <f>C36*20</f>
        <v>0.42000000000000004</v>
      </c>
    </row>
    <row r="37" spans="1:5" ht="46.5" customHeight="1" x14ac:dyDescent="0.25">
      <c r="A37" s="21"/>
      <c r="B37" s="158" t="s">
        <v>948</v>
      </c>
      <c r="C37" s="40">
        <f>ROUND(5.03/18154,4)</f>
        <v>2.9999999999999997E-4</v>
      </c>
      <c r="D37" s="55">
        <f>C37*20</f>
        <v>5.9999999999999993E-3</v>
      </c>
    </row>
    <row r="38" spans="1:5" x14ac:dyDescent="0.25">
      <c r="A38" s="18">
        <v>2249</v>
      </c>
      <c r="B38" s="158" t="s">
        <v>8</v>
      </c>
      <c r="C38" s="19"/>
      <c r="D38" s="19"/>
    </row>
    <row r="39" spans="1:5" ht="59.25" customHeight="1" x14ac:dyDescent="0.25">
      <c r="A39" s="18"/>
      <c r="B39" s="158" t="s">
        <v>513</v>
      </c>
      <c r="C39" s="36">
        <f>ROUND(9.76/18154,4)</f>
        <v>5.0000000000000001E-4</v>
      </c>
      <c r="D39" s="55">
        <f>C39*20</f>
        <v>0.01</v>
      </c>
    </row>
    <row r="40" spans="1:5" x14ac:dyDescent="0.25">
      <c r="A40" s="18">
        <v>2311</v>
      </c>
      <c r="B40" s="158" t="s">
        <v>9</v>
      </c>
      <c r="C40" s="36"/>
      <c r="D40" s="19"/>
    </row>
    <row r="41" spans="1:5" ht="60.75" customHeight="1" x14ac:dyDescent="0.25">
      <c r="A41" s="18"/>
      <c r="B41" s="158" t="s">
        <v>431</v>
      </c>
      <c r="C41" s="36">
        <f>ROUND(54.99/18154,4)</f>
        <v>3.0000000000000001E-3</v>
      </c>
      <c r="D41" s="55">
        <f>C41*20</f>
        <v>0.06</v>
      </c>
    </row>
    <row r="42" spans="1:5" x14ac:dyDescent="0.25">
      <c r="A42" s="18">
        <v>2350</v>
      </c>
      <c r="B42" s="158" t="s">
        <v>21</v>
      </c>
      <c r="C42" s="36"/>
      <c r="D42" s="19"/>
    </row>
    <row r="43" spans="1:5" ht="93.75" customHeight="1" x14ac:dyDescent="0.25">
      <c r="A43" s="18"/>
      <c r="B43" s="158" t="s">
        <v>361</v>
      </c>
      <c r="C43" s="40">
        <f>ROUND(6.69/18154,4)</f>
        <v>4.0000000000000002E-4</v>
      </c>
      <c r="D43" s="55">
        <f>C43*20</f>
        <v>8.0000000000000002E-3</v>
      </c>
    </row>
    <row r="44" spans="1:5" ht="17.25" customHeight="1" x14ac:dyDescent="0.25">
      <c r="A44" s="18">
        <v>2513</v>
      </c>
      <c r="B44" s="158" t="s">
        <v>133</v>
      </c>
      <c r="C44" s="40"/>
      <c r="D44" s="36"/>
    </row>
    <row r="45" spans="1:5" ht="46.5" customHeight="1" x14ac:dyDescent="0.25">
      <c r="A45" s="18"/>
      <c r="B45" s="158" t="s">
        <v>360</v>
      </c>
      <c r="C45" s="36">
        <f>ROUND(9.53/18154,4)</f>
        <v>5.0000000000000001E-4</v>
      </c>
      <c r="D45" s="55">
        <f>C45*20</f>
        <v>0.01</v>
      </c>
    </row>
    <row r="46" spans="1:5" ht="15.75" customHeight="1" x14ac:dyDescent="0.25">
      <c r="A46" s="18">
        <v>5220</v>
      </c>
      <c r="B46" s="158" t="s">
        <v>136</v>
      </c>
      <c r="C46" s="40"/>
      <c r="D46" s="36"/>
    </row>
    <row r="47" spans="1:5" ht="63" customHeight="1" x14ac:dyDescent="0.25">
      <c r="A47" s="18"/>
      <c r="B47" s="158" t="s">
        <v>514</v>
      </c>
      <c r="C47" s="36">
        <f>ROUND(25.06/18154,3)</f>
        <v>1E-3</v>
      </c>
      <c r="D47" s="55">
        <f>C47*20</f>
        <v>0.02</v>
      </c>
    </row>
    <row r="48" spans="1:5" ht="15.75" customHeight="1" x14ac:dyDescent="0.25">
      <c r="A48" s="18">
        <v>5238</v>
      </c>
      <c r="B48" s="158" t="s">
        <v>134</v>
      </c>
      <c r="C48" s="40"/>
      <c r="D48" s="36"/>
    </row>
    <row r="49" spans="1:5" ht="52.5" customHeight="1" x14ac:dyDescent="0.25">
      <c r="A49" s="18"/>
      <c r="B49" s="158" t="s">
        <v>515</v>
      </c>
      <c r="C49" s="36">
        <f>ROUND(33.68/18154,4)</f>
        <v>1.9E-3</v>
      </c>
      <c r="D49" s="55">
        <f>C49*20</f>
        <v>3.7999999999999999E-2</v>
      </c>
    </row>
    <row r="50" spans="1:5" x14ac:dyDescent="0.25">
      <c r="A50" s="68"/>
      <c r="B50" s="72" t="s">
        <v>10</v>
      </c>
      <c r="C50" s="71">
        <f>ROUND(C49+C47+C45+C43+C41+C39+C37+C36+C34+C32+C30+C28+C26+C24+C22,2)</f>
        <v>0.17</v>
      </c>
      <c r="D50" s="71">
        <f>ROUND(D49+D47+D45+D43+D41+D39+D37+D36+D34+D32+D30+D28+D26+D24+D22,2)</f>
        <v>3.4</v>
      </c>
    </row>
    <row r="51" spans="1:5" x14ac:dyDescent="0.25">
      <c r="A51" s="23"/>
      <c r="B51" s="24" t="s">
        <v>15</v>
      </c>
      <c r="C51" s="52">
        <f>ROUND(C50+C19,2)</f>
        <v>10.7</v>
      </c>
      <c r="D51" s="52">
        <f>D50+D19</f>
        <v>214</v>
      </c>
    </row>
    <row r="52" spans="1:5" x14ac:dyDescent="0.25">
      <c r="A52" s="25"/>
      <c r="B52" s="26"/>
      <c r="C52" s="27"/>
      <c r="D52" s="27"/>
    </row>
    <row r="53" spans="1:5" x14ac:dyDescent="0.25">
      <c r="A53" s="26"/>
      <c r="B53" s="28"/>
      <c r="C53" s="28"/>
      <c r="D53" s="9"/>
    </row>
    <row r="54" spans="1:5" ht="15" customHeight="1" x14ac:dyDescent="0.25">
      <c r="A54" s="252" t="s">
        <v>16</v>
      </c>
      <c r="B54" s="253"/>
      <c r="C54" s="138">
        <v>20</v>
      </c>
      <c r="D54" s="29"/>
    </row>
    <row r="55" spans="1:5" ht="33.75" customHeight="1" x14ac:dyDescent="0.25">
      <c r="A55" s="254" t="s">
        <v>23</v>
      </c>
      <c r="B55" s="255"/>
      <c r="C55" s="139">
        <f>D51/C54</f>
        <v>10.7</v>
      </c>
      <c r="D55" s="29"/>
      <c r="E55" s="59"/>
    </row>
    <row r="56" spans="1:5" x14ac:dyDescent="0.25">
      <c r="A56" s="30"/>
      <c r="B56" s="30"/>
      <c r="C56" s="30"/>
      <c r="D56" s="30"/>
    </row>
    <row r="57" spans="1:5" x14ac:dyDescent="0.25">
      <c r="A57" s="30"/>
      <c r="B57" s="30"/>
      <c r="C57" s="30"/>
      <c r="D57" s="152"/>
    </row>
    <row r="58" spans="1:5" x14ac:dyDescent="0.25">
      <c r="A58" s="30"/>
      <c r="B58" s="30"/>
      <c r="C58" s="30"/>
      <c r="D58" s="152"/>
    </row>
    <row r="59" spans="1:5" x14ac:dyDescent="0.25">
      <c r="A59" s="30"/>
      <c r="B59" s="30"/>
      <c r="C59" s="30"/>
      <c r="D59" s="152"/>
    </row>
    <row r="60" spans="1:5" x14ac:dyDescent="0.25">
      <c r="A60" s="30"/>
      <c r="B60" s="30"/>
      <c r="C60" s="30"/>
      <c r="D60" s="30"/>
    </row>
    <row r="61" spans="1:5" x14ac:dyDescent="0.25">
      <c r="A61" s="231"/>
      <c r="B61" s="231"/>
      <c r="C61" s="9"/>
      <c r="D61" s="9"/>
    </row>
    <row r="62" spans="1:5" x14ac:dyDescent="0.25">
      <c r="A62" s="250"/>
      <c r="B62" s="231"/>
      <c r="C62" s="9"/>
      <c r="D62" s="9"/>
    </row>
    <row r="63" spans="1:5" x14ac:dyDescent="0.25">
      <c r="A63" s="154"/>
      <c r="B63" s="9"/>
      <c r="C63" s="31"/>
      <c r="D63" s="9"/>
    </row>
    <row r="64" spans="1:5" x14ac:dyDescent="0.25">
      <c r="A64" s="250"/>
      <c r="B64" s="250"/>
      <c r="C64" s="31"/>
      <c r="D64" s="9"/>
    </row>
  </sheetData>
  <customSheetViews>
    <customSheetView guid="{3046F990-4623-45D5-BDDC-01BD5999DDBC}" scale="60" showPageBreaks="1" fitToPage="1" printArea="1" view="pageBreakPreview">
      <selection activeCell="B53" sqref="B53"/>
      <rowBreaks count="1" manualBreakCount="1">
        <brk id="32" max="3" man="1"/>
      </rowBreaks>
      <pageMargins left="0.70866141732283472" right="0.70866141732283472" top="0.74803149606299213" bottom="0.74803149606299213" header="0.31496062992125984" footer="0.31496062992125984"/>
      <pageSetup paperSize="9" scale="68" fitToHeight="0" orientation="portrait" r:id="rId1"/>
      <headerFooter>
        <oddHeader>&amp;C&amp;P</oddHeader>
        <oddFooter>&amp;C&amp;P</oddFooter>
      </headerFooter>
    </customSheetView>
    <customSheetView guid="{FC502735-BE91-49EC-9614-36ECAE88D000}" scale="60" showPageBreaks="1" fitToPage="1" printArea="1" view="pageBreakPreview" topLeftCell="A10">
      <selection activeCell="B15" sqref="B15"/>
      <rowBreaks count="1" manualBreakCount="1">
        <brk id="32" max="3" man="1"/>
      </rowBreaks>
      <pageMargins left="0.70866141732283472" right="0.70866141732283472" top="0.74803149606299213" bottom="0.74803149606299213" header="0.31496062992125984" footer="0.31496062992125984"/>
      <pageSetup paperSize="9" scale="68" fitToHeight="0" orientation="portrait" r:id="rId2"/>
      <headerFooter>
        <oddHeader>&amp;C&amp;P</oddHeader>
        <oddFooter>&amp;C&amp;P</oddFooter>
      </headerFooter>
    </customSheetView>
    <customSheetView guid="{2CF5EF93-C226-48EA-959E-36D142677DAA}" scale="60" showPageBreaks="1" fitToPage="1" printArea="1" view="pageBreakPreview">
      <selection activeCell="A6" sqref="A6:D6"/>
      <rowBreaks count="1" manualBreakCount="1">
        <brk id="32" max="3" man="1"/>
      </rowBreaks>
      <pageMargins left="0.70866141732283472" right="0.70866141732283472" top="0.74803149606299213" bottom="0.74803149606299213" header="0.31496062992125984" footer="0.31496062992125984"/>
      <pageSetup paperSize="9" scale="68" fitToHeight="0" orientation="portrait" r:id="rId3"/>
      <headerFooter>
        <oddHeader>&amp;C&amp;P</oddHeader>
        <oddFooter>&amp;C&amp;P</oddFooter>
      </headerFooter>
    </customSheetView>
  </customSheetViews>
  <mergeCells count="9">
    <mergeCell ref="A2:D2"/>
    <mergeCell ref="A61:B61"/>
    <mergeCell ref="A62:B62"/>
    <mergeCell ref="A64:B64"/>
    <mergeCell ref="A54:B54"/>
    <mergeCell ref="A55:B55"/>
    <mergeCell ref="A6:D6"/>
    <mergeCell ref="A8:B8"/>
    <mergeCell ref="A10:B10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4"/>
  <headerFooter>
    <oddHeader>&amp;C&amp;P</oddHeader>
    <oddFooter>&amp;C&amp;P</oddFooter>
  </headerFooter>
  <rowBreaks count="1" manualBreakCount="1">
    <brk id="32" max="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view="pageBreakPreview" zoomScale="60" zoomScaleNormal="100" workbookViewId="0">
      <selection activeCell="A6" sqref="A6:D6"/>
    </sheetView>
  </sheetViews>
  <sheetFormatPr defaultRowHeight="15" x14ac:dyDescent="0.25"/>
  <cols>
    <col min="1" max="1" width="13.85546875" customWidth="1"/>
    <col min="2" max="2" width="75.7109375" customWidth="1"/>
    <col min="3" max="3" width="17.42578125" customWidth="1"/>
    <col min="4" max="4" width="16.28515625" customWidth="1"/>
  </cols>
  <sheetData>
    <row r="1" spans="1:11" ht="18.75" x14ac:dyDescent="0.3">
      <c r="A1" s="4"/>
      <c r="B1" s="5"/>
      <c r="C1" s="35"/>
      <c r="D1" s="5"/>
    </row>
    <row r="2" spans="1:11" ht="15.75" customHeight="1" x14ac:dyDescent="0.25">
      <c r="A2" s="278" t="s">
        <v>307</v>
      </c>
      <c r="B2" s="278"/>
      <c r="C2" s="278"/>
      <c r="D2" s="278"/>
    </row>
    <row r="3" spans="1:11" ht="15" customHeight="1" x14ac:dyDescent="0.25">
      <c r="A3" s="4"/>
      <c r="B3" s="4"/>
      <c r="C3" s="273"/>
      <c r="D3" s="274"/>
    </row>
    <row r="4" spans="1:11" ht="15.75" x14ac:dyDescent="0.25">
      <c r="A4" s="186" t="s">
        <v>723</v>
      </c>
      <c r="B4" s="32"/>
      <c r="C4" s="32"/>
      <c r="D4" s="32"/>
    </row>
    <row r="5" spans="1:11" x14ac:dyDescent="0.25">
      <c r="A5" s="4"/>
      <c r="B5" s="33"/>
      <c r="C5" s="33"/>
      <c r="D5" s="9"/>
    </row>
    <row r="6" spans="1:11" ht="35.25" customHeight="1" x14ac:dyDescent="0.25">
      <c r="A6" s="272" t="s">
        <v>1035</v>
      </c>
      <c r="B6" s="272"/>
      <c r="C6" s="272"/>
      <c r="D6" s="272"/>
    </row>
    <row r="7" spans="1:11" ht="15" customHeight="1" x14ac:dyDescent="0.25">
      <c r="A7" s="180"/>
      <c r="B7" s="34"/>
      <c r="C7" s="34"/>
      <c r="D7" s="9"/>
      <c r="E7" s="46"/>
      <c r="F7" s="46"/>
      <c r="G7" s="46"/>
      <c r="H7" s="46"/>
      <c r="I7" s="46"/>
      <c r="J7" s="46"/>
      <c r="K7" s="46"/>
    </row>
    <row r="8" spans="1:11" x14ac:dyDescent="0.25">
      <c r="A8" s="270" t="s">
        <v>309</v>
      </c>
      <c r="B8" s="271"/>
      <c r="C8" s="34"/>
      <c r="D8" s="9"/>
    </row>
    <row r="9" spans="1:11" ht="15" customHeight="1" x14ac:dyDescent="0.25">
      <c r="A9" s="183"/>
      <c r="B9" s="184"/>
      <c r="C9" s="34"/>
      <c r="D9" s="9"/>
    </row>
    <row r="10" spans="1:11" ht="15" hidden="1" customHeight="1" x14ac:dyDescent="0.25">
      <c r="A10" s="251" t="s">
        <v>730</v>
      </c>
      <c r="B10" s="251"/>
      <c r="C10" s="8"/>
      <c r="D10" s="9"/>
    </row>
    <row r="11" spans="1:11" ht="15.75" x14ac:dyDescent="0.25">
      <c r="A11" s="251" t="s">
        <v>743</v>
      </c>
      <c r="B11" s="251"/>
      <c r="C11" s="8"/>
      <c r="D11" s="9"/>
    </row>
    <row r="12" spans="1:11" ht="120" x14ac:dyDescent="0.25">
      <c r="A12" s="12" t="s">
        <v>0</v>
      </c>
      <c r="B12" s="12" t="s">
        <v>1</v>
      </c>
      <c r="C12" s="12" t="s">
        <v>83</v>
      </c>
      <c r="D12" s="12" t="s">
        <v>18</v>
      </c>
    </row>
    <row r="13" spans="1:11" x14ac:dyDescent="0.25">
      <c r="A13" s="13">
        <v>1</v>
      </c>
      <c r="B13" s="14">
        <v>2</v>
      </c>
      <c r="C13" s="13">
        <v>3</v>
      </c>
      <c r="D13" s="13">
        <v>4</v>
      </c>
    </row>
    <row r="14" spans="1:11" x14ac:dyDescent="0.25">
      <c r="A14" s="15"/>
      <c r="B14" s="22" t="s">
        <v>13</v>
      </c>
      <c r="C14" s="17"/>
      <c r="D14" s="17"/>
    </row>
    <row r="15" spans="1:11" x14ac:dyDescent="0.25">
      <c r="A15" s="37">
        <v>1100</v>
      </c>
      <c r="B15" s="16" t="s">
        <v>14</v>
      </c>
      <c r="C15" s="38"/>
      <c r="D15" s="38"/>
    </row>
    <row r="16" spans="1:11" ht="83.25" customHeight="1" x14ac:dyDescent="0.25">
      <c r="A16" s="18"/>
      <c r="B16" s="157" t="s">
        <v>502</v>
      </c>
      <c r="C16" s="55">
        <f>0.11*20</f>
        <v>2.2000000000000002</v>
      </c>
      <c r="D16" s="55">
        <f>C16*100</f>
        <v>220.00000000000003</v>
      </c>
    </row>
    <row r="17" spans="1:4" ht="31.5" customHeight="1" x14ac:dyDescent="0.25">
      <c r="A17" s="18">
        <v>1200</v>
      </c>
      <c r="B17" s="158" t="s">
        <v>284</v>
      </c>
      <c r="C17" s="55">
        <f>ROUND(C16*0.2359,2)</f>
        <v>0.52</v>
      </c>
      <c r="D17" s="55">
        <f>C17*100</f>
        <v>52</v>
      </c>
    </row>
    <row r="18" spans="1:4" x14ac:dyDescent="0.25">
      <c r="A18" s="18">
        <v>2341</v>
      </c>
      <c r="B18" s="18" t="s">
        <v>77</v>
      </c>
      <c r="C18" s="19"/>
      <c r="D18" s="19"/>
    </row>
    <row r="19" spans="1:4" ht="108" customHeight="1" x14ac:dyDescent="0.25">
      <c r="A19" s="18"/>
      <c r="B19" s="158" t="s">
        <v>516</v>
      </c>
      <c r="C19" s="55">
        <f>12.38+0.18+2.3+0.04+0.01+0.02+0.57</f>
        <v>15.499999999999998</v>
      </c>
      <c r="D19" s="55">
        <f>C19*100</f>
        <v>1549.9999999999998</v>
      </c>
    </row>
    <row r="20" spans="1:4" ht="21.75" customHeight="1" x14ac:dyDescent="0.25">
      <c r="A20" s="68"/>
      <c r="B20" s="159" t="s">
        <v>2</v>
      </c>
      <c r="C20" s="71">
        <f>SUM(C15:C19)</f>
        <v>18.22</v>
      </c>
      <c r="D20" s="71">
        <f>SUM(D15:D19)</f>
        <v>1821.9999999999998</v>
      </c>
    </row>
    <row r="21" spans="1:4" x14ac:dyDescent="0.25">
      <c r="A21" s="18"/>
      <c r="B21" s="160" t="s">
        <v>20</v>
      </c>
      <c r="C21" s="19"/>
      <c r="D21" s="19"/>
    </row>
    <row r="22" spans="1:4" x14ac:dyDescent="0.25">
      <c r="A22" s="18">
        <v>2219</v>
      </c>
      <c r="B22" s="158" t="s">
        <v>3</v>
      </c>
      <c r="C22" s="19"/>
      <c r="D22" s="19"/>
    </row>
    <row r="23" spans="1:4" ht="94.5" customHeight="1" x14ac:dyDescent="0.25">
      <c r="A23" s="18"/>
      <c r="B23" s="158" t="s">
        <v>641</v>
      </c>
      <c r="C23" s="40">
        <f>ROUND(3.18/18154,4)</f>
        <v>2.0000000000000001E-4</v>
      </c>
      <c r="D23" s="55">
        <f>C23*100</f>
        <v>0.02</v>
      </c>
    </row>
    <row r="24" spans="1:4" x14ac:dyDescent="0.25">
      <c r="A24" s="18">
        <v>2221</v>
      </c>
      <c r="B24" s="158" t="s">
        <v>4</v>
      </c>
      <c r="C24" s="19"/>
      <c r="D24" s="19"/>
    </row>
    <row r="25" spans="1:4" ht="48" customHeight="1" x14ac:dyDescent="0.25">
      <c r="A25" s="18"/>
      <c r="B25" s="158" t="s">
        <v>642</v>
      </c>
      <c r="C25" s="55">
        <f>ROUND(301.59/18154,4)</f>
        <v>1.66E-2</v>
      </c>
      <c r="D25" s="55">
        <f>C25*100</f>
        <v>1.66</v>
      </c>
    </row>
    <row r="26" spans="1:4" ht="15" customHeight="1" x14ac:dyDescent="0.25">
      <c r="A26" s="18">
        <v>2222</v>
      </c>
      <c r="B26" s="158" t="s">
        <v>5</v>
      </c>
      <c r="C26" s="19"/>
      <c r="D26" s="19"/>
    </row>
    <row r="27" spans="1:4" ht="47.25" customHeight="1" x14ac:dyDescent="0.25">
      <c r="A27" s="18"/>
      <c r="B27" s="158" t="s">
        <v>643</v>
      </c>
      <c r="C27" s="36">
        <f>ROUND(31.02/18154,4)</f>
        <v>1.6999999999999999E-3</v>
      </c>
      <c r="D27" s="55">
        <f>C27*100</f>
        <v>0.16999999999999998</v>
      </c>
    </row>
    <row r="28" spans="1:4" x14ac:dyDescent="0.25">
      <c r="A28" s="18">
        <v>2223</v>
      </c>
      <c r="B28" s="18" t="s">
        <v>6</v>
      </c>
      <c r="C28" s="19"/>
      <c r="D28" s="19"/>
    </row>
    <row r="29" spans="1:4" ht="47.25" customHeight="1" x14ac:dyDescent="0.25">
      <c r="A29" s="18"/>
      <c r="B29" s="158" t="s">
        <v>157</v>
      </c>
      <c r="C29" s="55">
        <f>ROUND(538.27/18154,2)</f>
        <v>0.03</v>
      </c>
      <c r="D29" s="55">
        <f>C29*100</f>
        <v>3</v>
      </c>
    </row>
    <row r="30" spans="1:4" x14ac:dyDescent="0.25">
      <c r="A30" s="18">
        <v>2224</v>
      </c>
      <c r="B30" s="158" t="s">
        <v>7</v>
      </c>
      <c r="C30" s="19"/>
      <c r="D30" s="19"/>
    </row>
    <row r="31" spans="1:4" ht="48.75" customHeight="1" x14ac:dyDescent="0.25">
      <c r="A31" s="18"/>
      <c r="B31" s="158" t="s">
        <v>957</v>
      </c>
      <c r="C31" s="36">
        <f>ROUND(28.86/18154,4)</f>
        <v>1.6000000000000001E-3</v>
      </c>
      <c r="D31" s="55">
        <f>C31*100</f>
        <v>0.16</v>
      </c>
    </row>
    <row r="32" spans="1:4" x14ac:dyDescent="0.25">
      <c r="A32" s="45">
        <v>2231</v>
      </c>
      <c r="B32" s="158" t="s">
        <v>22</v>
      </c>
      <c r="C32" s="36"/>
      <c r="D32" s="19"/>
    </row>
    <row r="33" spans="1:4" ht="173.25" customHeight="1" x14ac:dyDescent="0.25">
      <c r="A33" s="45"/>
      <c r="B33" s="158" t="s">
        <v>518</v>
      </c>
      <c r="C33" s="55">
        <f>ROUND(1201.87/18154,2)</f>
        <v>7.0000000000000007E-2</v>
      </c>
      <c r="D33" s="55">
        <f>C33*100</f>
        <v>7.0000000000000009</v>
      </c>
    </row>
    <row r="34" spans="1:4" ht="15" customHeight="1" x14ac:dyDescent="0.25">
      <c r="A34" s="45">
        <v>2243</v>
      </c>
      <c r="B34" s="158" t="s">
        <v>132</v>
      </c>
      <c r="C34" s="55"/>
      <c r="D34" s="55"/>
    </row>
    <row r="35" spans="1:4" ht="65.25" customHeight="1" x14ac:dyDescent="0.25">
      <c r="A35" s="45"/>
      <c r="B35" s="158" t="s">
        <v>494</v>
      </c>
      <c r="C35" s="55">
        <f>ROUND(386.87/18154,4)</f>
        <v>2.1299999999999999E-2</v>
      </c>
      <c r="D35" s="55">
        <f>C35*100</f>
        <v>2.13</v>
      </c>
    </row>
    <row r="36" spans="1:4" x14ac:dyDescent="0.25">
      <c r="A36" s="18">
        <v>2244</v>
      </c>
      <c r="B36" s="158" t="s">
        <v>24</v>
      </c>
      <c r="C36" s="19"/>
      <c r="D36" s="19"/>
    </row>
    <row r="37" spans="1:4" ht="65.25" customHeight="1" x14ac:dyDescent="0.25">
      <c r="A37" s="21"/>
      <c r="B37" s="158" t="s">
        <v>202</v>
      </c>
      <c r="C37" s="55">
        <f>ROUND(383.44/18154,3)</f>
        <v>2.1000000000000001E-2</v>
      </c>
      <c r="D37" s="55">
        <f>C37*100</f>
        <v>2.1</v>
      </c>
    </row>
    <row r="38" spans="1:4" ht="48" customHeight="1" x14ac:dyDescent="0.25">
      <c r="A38" s="21"/>
      <c r="B38" s="158" t="s">
        <v>497</v>
      </c>
      <c r="C38" s="40">
        <f>ROUND(5.03/18154,4)</f>
        <v>2.9999999999999997E-4</v>
      </c>
      <c r="D38" s="55">
        <f>C38*100</f>
        <v>0.03</v>
      </c>
    </row>
    <row r="39" spans="1:4" x14ac:dyDescent="0.25">
      <c r="A39" s="18">
        <v>2249</v>
      </c>
      <c r="B39" s="158" t="s">
        <v>8</v>
      </c>
      <c r="C39" s="19"/>
      <c r="D39" s="19"/>
    </row>
    <row r="40" spans="1:4" ht="62.25" customHeight="1" x14ac:dyDescent="0.25">
      <c r="A40" s="18"/>
      <c r="B40" s="158" t="s">
        <v>854</v>
      </c>
      <c r="C40" s="36">
        <f>ROUND(9.76/18154,4)</f>
        <v>5.0000000000000001E-4</v>
      </c>
      <c r="D40" s="55">
        <f>C40*100</f>
        <v>0.05</v>
      </c>
    </row>
    <row r="41" spans="1:4" x14ac:dyDescent="0.25">
      <c r="A41" s="18">
        <v>2311</v>
      </c>
      <c r="B41" s="158" t="s">
        <v>9</v>
      </c>
      <c r="C41" s="36"/>
      <c r="D41" s="19"/>
    </row>
    <row r="42" spans="1:4" ht="64.5" customHeight="1" x14ac:dyDescent="0.25">
      <c r="A42" s="18"/>
      <c r="B42" s="158" t="s">
        <v>519</v>
      </c>
      <c r="C42" s="36">
        <f>ROUND(54.99/18154,4)</f>
        <v>3.0000000000000001E-3</v>
      </c>
      <c r="D42" s="55">
        <f>C42*100</f>
        <v>0.3</v>
      </c>
    </row>
    <row r="43" spans="1:4" x14ac:dyDescent="0.25">
      <c r="A43" s="18">
        <v>2350</v>
      </c>
      <c r="B43" s="158" t="s">
        <v>21</v>
      </c>
      <c r="C43" s="36"/>
      <c r="D43" s="19"/>
    </row>
    <row r="44" spans="1:4" ht="93.75" customHeight="1" x14ac:dyDescent="0.25">
      <c r="A44" s="18"/>
      <c r="B44" s="158" t="s">
        <v>507</v>
      </c>
      <c r="C44" s="40">
        <f>ROUND(6.69/18154,4)</f>
        <v>4.0000000000000002E-4</v>
      </c>
      <c r="D44" s="55">
        <f>C44*100</f>
        <v>0.04</v>
      </c>
    </row>
    <row r="45" spans="1:4" ht="19.5" customHeight="1" x14ac:dyDescent="0.25">
      <c r="A45" s="18">
        <v>2513</v>
      </c>
      <c r="B45" s="158" t="s">
        <v>133</v>
      </c>
      <c r="C45" s="40"/>
      <c r="D45" s="55"/>
    </row>
    <row r="46" spans="1:4" ht="49.5" customHeight="1" x14ac:dyDescent="0.25">
      <c r="A46" s="18"/>
      <c r="B46" s="158" t="s">
        <v>327</v>
      </c>
      <c r="C46" s="36">
        <f>ROUND(9.53/18154,4)</f>
        <v>5.0000000000000001E-4</v>
      </c>
      <c r="D46" s="55">
        <f>C46*100</f>
        <v>0.05</v>
      </c>
    </row>
    <row r="47" spans="1:4" ht="15" customHeight="1" x14ac:dyDescent="0.25">
      <c r="A47" s="18">
        <v>5220</v>
      </c>
      <c r="B47" s="158" t="s">
        <v>136</v>
      </c>
      <c r="C47" s="40"/>
      <c r="D47" s="55"/>
    </row>
    <row r="48" spans="1:4" ht="79.5" customHeight="1" x14ac:dyDescent="0.25">
      <c r="A48" s="18"/>
      <c r="B48" s="158" t="s">
        <v>520</v>
      </c>
      <c r="C48" s="40">
        <f>ROUND(25.06/18154,3)</f>
        <v>1E-3</v>
      </c>
      <c r="D48" s="55">
        <f>C48*100</f>
        <v>0.1</v>
      </c>
    </row>
    <row r="49" spans="1:4" ht="15" customHeight="1" x14ac:dyDescent="0.25">
      <c r="A49" s="18">
        <v>5238</v>
      </c>
      <c r="B49" s="158" t="s">
        <v>134</v>
      </c>
      <c r="C49" s="40"/>
      <c r="D49" s="55"/>
    </row>
    <row r="50" spans="1:4" ht="45.75" customHeight="1" x14ac:dyDescent="0.25">
      <c r="A50" s="18"/>
      <c r="B50" s="158" t="s">
        <v>508</v>
      </c>
      <c r="C50" s="36">
        <f>ROUND(33.68/18154,4)</f>
        <v>1.9E-3</v>
      </c>
      <c r="D50" s="55">
        <f>C50*100</f>
        <v>0.19</v>
      </c>
    </row>
    <row r="51" spans="1:4" x14ac:dyDescent="0.25">
      <c r="A51" s="68"/>
      <c r="B51" s="72" t="s">
        <v>10</v>
      </c>
      <c r="C51" s="71">
        <f>ROUND(C50+C48+C46+C44+C42+C40+C38+C37+C35+C33+C31+C29+C27+C25+C23,2)</f>
        <v>0.17</v>
      </c>
      <c r="D51" s="71">
        <f>ROUND(D50+D48+D46+D44+D42+D40+D38+D37+D35+D33+D31+D29+D27+D25+D23,2)</f>
        <v>17</v>
      </c>
    </row>
    <row r="52" spans="1:4" x14ac:dyDescent="0.25">
      <c r="A52" s="23"/>
      <c r="B52" s="24" t="s">
        <v>15</v>
      </c>
      <c r="C52" s="52">
        <f>ROUND(C51+C20,2)</f>
        <v>18.39</v>
      </c>
      <c r="D52" s="52">
        <f>D51+D20</f>
        <v>1838.9999999999998</v>
      </c>
    </row>
    <row r="53" spans="1:4" x14ac:dyDescent="0.25">
      <c r="A53" s="25"/>
      <c r="B53" s="26"/>
      <c r="C53" s="27"/>
      <c r="D53" s="27"/>
    </row>
    <row r="54" spans="1:4" x14ac:dyDescent="0.25">
      <c r="A54" s="26"/>
      <c r="B54" s="28"/>
      <c r="C54" s="28"/>
      <c r="D54" s="9"/>
    </row>
    <row r="55" spans="1:4" ht="15" customHeight="1" x14ac:dyDescent="0.25">
      <c r="A55" s="252" t="s">
        <v>16</v>
      </c>
      <c r="B55" s="253"/>
      <c r="C55" s="138">
        <v>100</v>
      </c>
      <c r="D55" s="29"/>
    </row>
    <row r="56" spans="1:4" ht="36" customHeight="1" x14ac:dyDescent="0.25">
      <c r="A56" s="254" t="s">
        <v>23</v>
      </c>
      <c r="B56" s="255"/>
      <c r="C56" s="139">
        <f>D52/C55</f>
        <v>18.389999999999997</v>
      </c>
      <c r="D56" s="29"/>
    </row>
    <row r="57" spans="1:4" x14ac:dyDescent="0.25">
      <c r="A57" s="30"/>
      <c r="B57" s="30"/>
      <c r="C57" s="30"/>
      <c r="D57" s="30"/>
    </row>
    <row r="58" spans="1:4" x14ac:dyDescent="0.25">
      <c r="A58" s="30"/>
      <c r="B58" s="30"/>
      <c r="C58" s="30"/>
      <c r="D58" s="152"/>
    </row>
    <row r="59" spans="1:4" x14ac:dyDescent="0.25">
      <c r="A59" s="30"/>
      <c r="B59" s="30"/>
      <c r="C59" s="30"/>
      <c r="D59" s="152"/>
    </row>
    <row r="60" spans="1:4" x14ac:dyDescent="0.25">
      <c r="A60" s="30"/>
      <c r="B60" s="30"/>
      <c r="C60" s="30"/>
      <c r="D60" s="152"/>
    </row>
    <row r="61" spans="1:4" x14ac:dyDescent="0.25">
      <c r="A61" s="30"/>
      <c r="B61" s="30"/>
      <c r="C61" s="30"/>
      <c r="D61" s="30"/>
    </row>
    <row r="62" spans="1:4" x14ac:dyDescent="0.25">
      <c r="A62" s="231"/>
      <c r="B62" s="231"/>
      <c r="C62" s="9"/>
      <c r="D62" s="9"/>
    </row>
    <row r="63" spans="1:4" x14ac:dyDescent="0.25">
      <c r="A63" s="250"/>
      <c r="B63" s="231"/>
      <c r="C63" s="9"/>
      <c r="D63" s="9"/>
    </row>
    <row r="64" spans="1:4" x14ac:dyDescent="0.25">
      <c r="A64" s="154"/>
      <c r="B64" s="9"/>
      <c r="C64" s="31"/>
      <c r="D64" s="9"/>
    </row>
    <row r="65" spans="1:4" x14ac:dyDescent="0.25">
      <c r="A65" s="250"/>
      <c r="B65" s="250"/>
      <c r="C65" s="31"/>
      <c r="D65" s="9"/>
    </row>
  </sheetData>
  <customSheetViews>
    <customSheetView guid="{3046F990-4623-45D5-BDDC-01BD5999DDBC}" scale="60" showPageBreaks="1" printArea="1" hiddenRows="1" view="pageBreakPreview">
      <selection activeCell="B53" sqref="B53"/>
      <rowBreaks count="1" manualBreakCount="1">
        <brk id="33" max="3" man="1"/>
      </rowBreaks>
      <pageMargins left="0.70866141732283472" right="0.70866141732283472" top="0.74803149606299213" bottom="0.74803149606299213" header="0.31496062992125984" footer="0.31496062992125984"/>
      <pageSetup paperSize="9" scale="64" orientation="portrait" r:id="rId1"/>
      <headerFooter>
        <oddFooter>&amp;C&amp;P</oddFooter>
      </headerFooter>
    </customSheetView>
    <customSheetView guid="{FC502735-BE91-49EC-9614-36ECAE88D000}" scale="60" showPageBreaks="1" printArea="1" hiddenRows="1" view="pageBreakPreview" topLeftCell="A41">
      <selection activeCell="B50" sqref="B50"/>
      <rowBreaks count="1" manualBreakCount="1">
        <brk id="33" max="3" man="1"/>
      </rowBreaks>
      <pageMargins left="0.70866141732283472" right="0.70866141732283472" top="0.74803149606299213" bottom="0.74803149606299213" header="0.31496062992125984" footer="0.31496062992125984"/>
      <pageSetup paperSize="9" scale="64" orientation="portrait" r:id="rId2"/>
      <headerFooter>
        <oddFooter>&amp;C&amp;P</oddFooter>
      </headerFooter>
    </customSheetView>
    <customSheetView guid="{2CF5EF93-C226-48EA-959E-36D142677DAA}" scale="60" showPageBreaks="1" printArea="1" hiddenRows="1" view="pageBreakPreview">
      <selection activeCell="A6" sqref="A6:D6"/>
      <rowBreaks count="1" manualBreakCount="1">
        <brk id="33" max="3" man="1"/>
      </rowBreaks>
      <pageMargins left="0.70866141732283472" right="0.70866141732283472" top="0.74803149606299213" bottom="0.74803149606299213" header="0.31496062992125984" footer="0.31496062992125984"/>
      <pageSetup paperSize="9" scale="64" orientation="portrait" r:id="rId3"/>
      <headerFooter>
        <oddFooter>&amp;C&amp;P</oddFooter>
      </headerFooter>
    </customSheetView>
  </customSheetViews>
  <mergeCells count="11">
    <mergeCell ref="A65:B65"/>
    <mergeCell ref="A55:B55"/>
    <mergeCell ref="A56:B56"/>
    <mergeCell ref="A8:B8"/>
    <mergeCell ref="A10:B10"/>
    <mergeCell ref="A11:B11"/>
    <mergeCell ref="A2:D2"/>
    <mergeCell ref="A6:D6"/>
    <mergeCell ref="C3:D3"/>
    <mergeCell ref="A62:B62"/>
    <mergeCell ref="A63:B63"/>
  </mergeCells>
  <pageMargins left="0.70866141732283472" right="0.70866141732283472" top="0.74803149606299213" bottom="0.74803149606299213" header="0.31496062992125984" footer="0.31496062992125984"/>
  <pageSetup paperSize="9" scale="64" orientation="portrait" r:id="rId4"/>
  <headerFooter>
    <oddFooter>&amp;C&amp;P</oddFooter>
  </headerFooter>
  <rowBreaks count="1" manualBreakCount="1">
    <brk id="33" max="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view="pageBreakPreview" topLeftCell="A2" zoomScale="60" zoomScaleNormal="100" workbookViewId="0">
      <selection activeCell="B9" sqref="B9"/>
    </sheetView>
  </sheetViews>
  <sheetFormatPr defaultRowHeight="15" x14ac:dyDescent="0.25"/>
  <cols>
    <col min="1" max="1" width="16.42578125" customWidth="1"/>
    <col min="2" max="2" width="77.7109375" customWidth="1"/>
    <col min="3" max="3" width="16.7109375" customWidth="1"/>
    <col min="4" max="4" width="16.42578125" customWidth="1"/>
  </cols>
  <sheetData>
    <row r="1" spans="1:11" ht="18.75" x14ac:dyDescent="0.3">
      <c r="A1" s="4"/>
      <c r="B1" s="5"/>
      <c r="C1" s="35"/>
      <c r="D1" s="5"/>
    </row>
    <row r="2" spans="1:11" ht="15.75" customHeight="1" x14ac:dyDescent="0.25">
      <c r="A2" s="278" t="s">
        <v>307</v>
      </c>
      <c r="B2" s="278"/>
      <c r="C2" s="278"/>
      <c r="D2" s="278"/>
    </row>
    <row r="3" spans="1:11" ht="15" customHeight="1" x14ac:dyDescent="0.25">
      <c r="A3" s="4"/>
      <c r="B3" s="4"/>
      <c r="C3" s="273"/>
      <c r="D3" s="274"/>
    </row>
    <row r="4" spans="1:11" ht="15.75" x14ac:dyDescent="0.25">
      <c r="A4" s="186" t="s">
        <v>723</v>
      </c>
      <c r="B4" s="32"/>
      <c r="C4" s="32"/>
      <c r="D4" s="32"/>
    </row>
    <row r="5" spans="1:11" x14ac:dyDescent="0.25">
      <c r="A5" s="4"/>
      <c r="B5" s="33"/>
      <c r="C5" s="33"/>
      <c r="D5" s="9"/>
    </row>
    <row r="6" spans="1:11" ht="37.5" customHeight="1" x14ac:dyDescent="0.25">
      <c r="A6" s="277" t="s">
        <v>1084</v>
      </c>
      <c r="B6" s="277"/>
      <c r="C6" s="277"/>
      <c r="D6" s="277"/>
    </row>
    <row r="7" spans="1:11" ht="17.25" customHeight="1" x14ac:dyDescent="0.25">
      <c r="A7" s="180"/>
      <c r="B7" s="34"/>
      <c r="C7" s="34"/>
      <c r="D7" s="9"/>
      <c r="E7" s="46"/>
      <c r="F7" s="46"/>
      <c r="G7" s="46"/>
      <c r="H7" s="46"/>
      <c r="I7" s="46"/>
      <c r="J7" s="46"/>
      <c r="K7" s="46"/>
    </row>
    <row r="8" spans="1:11" x14ac:dyDescent="0.25">
      <c r="A8" s="270" t="s">
        <v>309</v>
      </c>
      <c r="B8" s="271"/>
      <c r="C8" s="34"/>
      <c r="D8" s="9"/>
    </row>
    <row r="9" spans="1:11" ht="15" customHeight="1" x14ac:dyDescent="0.25">
      <c r="A9" s="183"/>
      <c r="B9" s="184"/>
      <c r="C9" s="34"/>
      <c r="D9" s="9"/>
    </row>
    <row r="10" spans="1:11" ht="15" hidden="1" customHeight="1" x14ac:dyDescent="0.25">
      <c r="A10" s="251" t="s">
        <v>730</v>
      </c>
      <c r="B10" s="251"/>
      <c r="C10" s="8"/>
      <c r="D10" s="9"/>
    </row>
    <row r="11" spans="1:11" ht="15.75" x14ac:dyDescent="0.25">
      <c r="A11" s="251" t="s">
        <v>727</v>
      </c>
      <c r="B11" s="251"/>
      <c r="C11" s="8"/>
      <c r="D11" s="9"/>
    </row>
    <row r="12" spans="1:11" ht="120" x14ac:dyDescent="0.25">
      <c r="A12" s="12" t="s">
        <v>0</v>
      </c>
      <c r="B12" s="12" t="s">
        <v>1</v>
      </c>
      <c r="C12" s="12" t="s">
        <v>83</v>
      </c>
      <c r="D12" s="12" t="s">
        <v>18</v>
      </c>
    </row>
    <row r="13" spans="1:11" x14ac:dyDescent="0.25">
      <c r="A13" s="13">
        <v>1</v>
      </c>
      <c r="B13" s="14">
        <v>2</v>
      </c>
      <c r="C13" s="13">
        <v>3</v>
      </c>
      <c r="D13" s="13">
        <v>4</v>
      </c>
    </row>
    <row r="14" spans="1:11" x14ac:dyDescent="0.25">
      <c r="A14" s="15"/>
      <c r="B14" s="22" t="s">
        <v>13</v>
      </c>
      <c r="C14" s="17"/>
      <c r="D14" s="17"/>
    </row>
    <row r="15" spans="1:11" x14ac:dyDescent="0.25">
      <c r="A15" s="37">
        <v>1100</v>
      </c>
      <c r="B15" s="16" t="s">
        <v>14</v>
      </c>
      <c r="C15" s="38"/>
      <c r="D15" s="38"/>
    </row>
    <row r="16" spans="1:11" ht="91.5" customHeight="1" x14ac:dyDescent="0.25">
      <c r="A16" s="18"/>
      <c r="B16" s="157" t="s">
        <v>521</v>
      </c>
      <c r="C16" s="55">
        <f>0.11*20+0.11*13</f>
        <v>3.63</v>
      </c>
      <c r="D16" s="55">
        <f>C16*10</f>
        <v>36.299999999999997</v>
      </c>
    </row>
    <row r="17" spans="1:9" ht="33.75" customHeight="1" x14ac:dyDescent="0.25">
      <c r="A17" s="18">
        <v>1200</v>
      </c>
      <c r="B17" s="158" t="s">
        <v>285</v>
      </c>
      <c r="C17" s="55">
        <f>ROUND(C16*0.2359,2)</f>
        <v>0.86</v>
      </c>
      <c r="D17" s="55">
        <f>C17*10</f>
        <v>8.6</v>
      </c>
    </row>
    <row r="18" spans="1:9" x14ac:dyDescent="0.25">
      <c r="A18" s="18">
        <v>2341</v>
      </c>
      <c r="B18" s="18" t="s">
        <v>77</v>
      </c>
      <c r="C18" s="19"/>
      <c r="D18" s="19"/>
    </row>
    <row r="19" spans="1:9" ht="92.25" customHeight="1" x14ac:dyDescent="0.25">
      <c r="A19" s="18"/>
      <c r="B19" s="158" t="s">
        <v>522</v>
      </c>
      <c r="C19" s="55">
        <f>12.38+0.18+2.3+0.04+0.01+0.02+0.57</f>
        <v>15.499999999999998</v>
      </c>
      <c r="D19" s="55">
        <f>C19*10</f>
        <v>154.99999999999997</v>
      </c>
      <c r="I19" t="s">
        <v>203</v>
      </c>
    </row>
    <row r="20" spans="1:9" x14ac:dyDescent="0.25">
      <c r="A20" s="68"/>
      <c r="B20" s="159" t="s">
        <v>2</v>
      </c>
      <c r="C20" s="71">
        <f>SUM(C15:C19)</f>
        <v>19.989999999999998</v>
      </c>
      <c r="D20" s="71">
        <f>SUM(D15:D19)</f>
        <v>199.89999999999998</v>
      </c>
    </row>
    <row r="21" spans="1:9" x14ac:dyDescent="0.25">
      <c r="A21" s="18"/>
      <c r="B21" s="160" t="s">
        <v>20</v>
      </c>
      <c r="C21" s="19"/>
      <c r="D21" s="19"/>
    </row>
    <row r="22" spans="1:9" x14ac:dyDescent="0.25">
      <c r="A22" s="18">
        <v>2219</v>
      </c>
      <c r="B22" s="158" t="s">
        <v>3</v>
      </c>
      <c r="C22" s="19"/>
      <c r="D22" s="19"/>
    </row>
    <row r="23" spans="1:9" ht="79.5" customHeight="1" x14ac:dyDescent="0.25">
      <c r="A23" s="18"/>
      <c r="B23" s="158" t="s">
        <v>623</v>
      </c>
      <c r="C23" s="40">
        <f>ROUND(3.18/18154,4)</f>
        <v>2.0000000000000001E-4</v>
      </c>
      <c r="D23" s="36">
        <f>C23*10</f>
        <v>2E-3</v>
      </c>
    </row>
    <row r="24" spans="1:9" x14ac:dyDescent="0.25">
      <c r="A24" s="18">
        <v>2221</v>
      </c>
      <c r="B24" s="158" t="s">
        <v>4</v>
      </c>
      <c r="C24" s="19"/>
      <c r="D24" s="19"/>
    </row>
    <row r="25" spans="1:9" ht="50.25" customHeight="1" x14ac:dyDescent="0.25">
      <c r="A25" s="18"/>
      <c r="B25" s="158" t="s">
        <v>523</v>
      </c>
      <c r="C25" s="55">
        <f>ROUND(301.59/18154,4)</f>
        <v>1.66E-2</v>
      </c>
      <c r="D25" s="55">
        <f>C25*10</f>
        <v>0.16600000000000001</v>
      </c>
    </row>
    <row r="26" spans="1:9" ht="18.75" customHeight="1" x14ac:dyDescent="0.25">
      <c r="A26" s="18">
        <v>2222</v>
      </c>
      <c r="B26" s="158" t="s">
        <v>5</v>
      </c>
      <c r="C26" s="19"/>
      <c r="D26" s="19"/>
    </row>
    <row r="27" spans="1:9" ht="47.25" customHeight="1" x14ac:dyDescent="0.25">
      <c r="A27" s="18"/>
      <c r="B27" s="158" t="s">
        <v>446</v>
      </c>
      <c r="C27" s="36">
        <f>ROUND(31.02/18154,4)</f>
        <v>1.6999999999999999E-3</v>
      </c>
      <c r="D27" s="55">
        <f>C27*10</f>
        <v>1.6999999999999998E-2</v>
      </c>
    </row>
    <row r="28" spans="1:9" x14ac:dyDescent="0.25">
      <c r="A28" s="18">
        <v>2223</v>
      </c>
      <c r="B28" s="18" t="s">
        <v>6</v>
      </c>
      <c r="C28" s="19"/>
      <c r="D28" s="19"/>
    </row>
    <row r="29" spans="1:9" ht="48.75" customHeight="1" x14ac:dyDescent="0.25">
      <c r="A29" s="18"/>
      <c r="B29" s="158" t="s">
        <v>194</v>
      </c>
      <c r="C29" s="55">
        <f>ROUND(538.27/18154,2)</f>
        <v>0.03</v>
      </c>
      <c r="D29" s="55">
        <f>C29*10</f>
        <v>0.3</v>
      </c>
    </row>
    <row r="30" spans="1:9" x14ac:dyDescent="0.25">
      <c r="A30" s="18">
        <v>2224</v>
      </c>
      <c r="B30" s="158" t="s">
        <v>7</v>
      </c>
      <c r="C30" s="19"/>
      <c r="D30" s="19"/>
    </row>
    <row r="31" spans="1:9" ht="48.75" customHeight="1" x14ac:dyDescent="0.25">
      <c r="A31" s="18"/>
      <c r="B31" s="158" t="s">
        <v>524</v>
      </c>
      <c r="C31" s="36">
        <f>ROUND(28.86/18154,4)</f>
        <v>1.6000000000000001E-3</v>
      </c>
      <c r="D31" s="55">
        <f>C31*10</f>
        <v>1.6E-2</v>
      </c>
    </row>
    <row r="32" spans="1:9" x14ac:dyDescent="0.25">
      <c r="A32" s="45">
        <v>2231</v>
      </c>
      <c r="B32" s="158" t="s">
        <v>22</v>
      </c>
      <c r="C32" s="36"/>
      <c r="D32" s="19"/>
    </row>
    <row r="33" spans="1:4" ht="151.5" customHeight="1" x14ac:dyDescent="0.25">
      <c r="A33" s="45"/>
      <c r="B33" s="158" t="s">
        <v>568</v>
      </c>
      <c r="C33" s="55">
        <f>ROUND(1201.87/18154,2)</f>
        <v>7.0000000000000007E-2</v>
      </c>
      <c r="D33" s="55">
        <f>C33*10</f>
        <v>0.70000000000000007</v>
      </c>
    </row>
    <row r="34" spans="1:4" ht="15" customHeight="1" x14ac:dyDescent="0.25">
      <c r="A34" s="45">
        <v>2243</v>
      </c>
      <c r="B34" s="158" t="s">
        <v>132</v>
      </c>
      <c r="C34" s="55"/>
      <c r="D34" s="55"/>
    </row>
    <row r="35" spans="1:4" ht="61.5" customHeight="1" x14ac:dyDescent="0.25">
      <c r="A35" s="45"/>
      <c r="B35" s="158" t="s">
        <v>525</v>
      </c>
      <c r="C35" s="55">
        <f>ROUND(386.87/18154,4)</f>
        <v>2.1299999999999999E-2</v>
      </c>
      <c r="D35" s="55">
        <f>C35*10</f>
        <v>0.21299999999999999</v>
      </c>
    </row>
    <row r="36" spans="1:4" x14ac:dyDescent="0.25">
      <c r="A36" s="18">
        <v>2244</v>
      </c>
      <c r="B36" s="158" t="s">
        <v>24</v>
      </c>
      <c r="C36" s="19"/>
      <c r="D36" s="19"/>
    </row>
    <row r="37" spans="1:4" ht="64.5" customHeight="1" x14ac:dyDescent="0.25">
      <c r="A37" s="21"/>
      <c r="B37" s="158" t="s">
        <v>450</v>
      </c>
      <c r="C37" s="55">
        <f>ROUND(383.44/18154,3)</f>
        <v>2.1000000000000001E-2</v>
      </c>
      <c r="D37" s="55">
        <f>C37*10</f>
        <v>0.21000000000000002</v>
      </c>
    </row>
    <row r="38" spans="1:4" ht="46.5" customHeight="1" x14ac:dyDescent="0.25">
      <c r="A38" s="21"/>
      <c r="B38" s="158" t="s">
        <v>855</v>
      </c>
      <c r="C38" s="40">
        <f>ROUND(5.03/18154,4)</f>
        <v>2.9999999999999997E-4</v>
      </c>
      <c r="D38" s="36">
        <f>C38*10</f>
        <v>2.9999999999999996E-3</v>
      </c>
    </row>
    <row r="39" spans="1:4" x14ac:dyDescent="0.25">
      <c r="A39" s="18">
        <v>2249</v>
      </c>
      <c r="B39" s="158" t="s">
        <v>8</v>
      </c>
      <c r="C39" s="19"/>
      <c r="D39" s="19"/>
    </row>
    <row r="40" spans="1:4" ht="63.75" customHeight="1" x14ac:dyDescent="0.25">
      <c r="A40" s="18"/>
      <c r="B40" s="158" t="s">
        <v>856</v>
      </c>
      <c r="C40" s="36">
        <f>ROUND(9.76/18154,4)</f>
        <v>5.0000000000000001E-4</v>
      </c>
      <c r="D40" s="55">
        <f>C40*10</f>
        <v>5.0000000000000001E-3</v>
      </c>
    </row>
    <row r="41" spans="1:4" x14ac:dyDescent="0.25">
      <c r="A41" s="18">
        <v>2311</v>
      </c>
      <c r="B41" s="158" t="s">
        <v>9</v>
      </c>
      <c r="C41" s="36"/>
      <c r="D41" s="19"/>
    </row>
    <row r="42" spans="1:4" ht="67.5" customHeight="1" x14ac:dyDescent="0.25">
      <c r="A42" s="18"/>
      <c r="B42" s="158" t="s">
        <v>857</v>
      </c>
      <c r="C42" s="36">
        <f>ROUND(54.99/18154,4)</f>
        <v>3.0000000000000001E-3</v>
      </c>
      <c r="D42" s="55">
        <f>C42*10</f>
        <v>0.03</v>
      </c>
    </row>
    <row r="43" spans="1:4" x14ac:dyDescent="0.25">
      <c r="A43" s="18">
        <v>2350</v>
      </c>
      <c r="B43" s="158" t="s">
        <v>21</v>
      </c>
      <c r="C43" s="36"/>
      <c r="D43" s="19"/>
    </row>
    <row r="44" spans="1:4" ht="90" customHeight="1" x14ac:dyDescent="0.25">
      <c r="A44" s="18"/>
      <c r="B44" s="158" t="s">
        <v>526</v>
      </c>
      <c r="C44" s="40">
        <f>ROUND(6.69/18154,4)</f>
        <v>4.0000000000000002E-4</v>
      </c>
      <c r="D44" s="36">
        <f>C44*10</f>
        <v>4.0000000000000001E-3</v>
      </c>
    </row>
    <row r="45" spans="1:4" ht="19.5" customHeight="1" x14ac:dyDescent="0.25">
      <c r="A45" s="18">
        <v>2513</v>
      </c>
      <c r="B45" s="158" t="s">
        <v>133</v>
      </c>
      <c r="C45" s="40"/>
      <c r="D45" s="55"/>
    </row>
    <row r="46" spans="1:4" ht="43.5" customHeight="1" x14ac:dyDescent="0.25">
      <c r="A46" s="18"/>
      <c r="B46" s="158" t="s">
        <v>527</v>
      </c>
      <c r="C46" s="36">
        <f>ROUND(9.53/18154,4)</f>
        <v>5.0000000000000001E-4</v>
      </c>
      <c r="D46" s="55">
        <f>C46*10</f>
        <v>5.0000000000000001E-3</v>
      </c>
    </row>
    <row r="47" spans="1:4" ht="17.25" customHeight="1" x14ac:dyDescent="0.25">
      <c r="A47" s="18">
        <v>5220</v>
      </c>
      <c r="B47" s="158" t="s">
        <v>136</v>
      </c>
      <c r="C47" s="40"/>
      <c r="D47" s="55"/>
    </row>
    <row r="48" spans="1:4" ht="63.75" customHeight="1" x14ac:dyDescent="0.25">
      <c r="A48" s="18"/>
      <c r="B48" s="158" t="s">
        <v>528</v>
      </c>
      <c r="C48" s="40">
        <f>ROUND(25.06/18154,3)</f>
        <v>1E-3</v>
      </c>
      <c r="D48" s="55">
        <f>C48*10</f>
        <v>0.01</v>
      </c>
    </row>
    <row r="49" spans="1:4" ht="15.75" customHeight="1" x14ac:dyDescent="0.25">
      <c r="A49" s="18">
        <v>5238</v>
      </c>
      <c r="B49" s="158" t="s">
        <v>134</v>
      </c>
      <c r="C49" s="40"/>
      <c r="D49" s="55"/>
    </row>
    <row r="50" spans="1:4" ht="49.5" customHeight="1" x14ac:dyDescent="0.25">
      <c r="A50" s="18"/>
      <c r="B50" s="158" t="s">
        <v>963</v>
      </c>
      <c r="C50" s="36">
        <f>ROUND(33.68/18154,4)</f>
        <v>1.9E-3</v>
      </c>
      <c r="D50" s="55">
        <f>C50*10</f>
        <v>1.9E-2</v>
      </c>
    </row>
    <row r="51" spans="1:4" x14ac:dyDescent="0.25">
      <c r="A51" s="68"/>
      <c r="B51" s="72" t="s">
        <v>10</v>
      </c>
      <c r="C51" s="71">
        <f>ROUND(C50+C48+C46+C44+C42+C40+C38+C37+C35+C33+C31+C29+C27+C25+C23,2)</f>
        <v>0.17</v>
      </c>
      <c r="D51" s="71">
        <f>ROUND(D50+D48+D46+D44+D42+D40+D38+D37+D35+D33+D31+D29+D27+D25+D23,2)</f>
        <v>1.7</v>
      </c>
    </row>
    <row r="52" spans="1:4" x14ac:dyDescent="0.25">
      <c r="A52" s="23"/>
      <c r="B52" s="24" t="s">
        <v>15</v>
      </c>
      <c r="C52" s="52">
        <f>ROUND(C51+C20,2)</f>
        <v>20.16</v>
      </c>
      <c r="D52" s="52">
        <f>D51+D20</f>
        <v>201.59999999999997</v>
      </c>
    </row>
    <row r="53" spans="1:4" x14ac:dyDescent="0.25">
      <c r="A53" s="25"/>
      <c r="B53" s="26"/>
      <c r="C53" s="27"/>
      <c r="D53" s="27"/>
    </row>
    <row r="54" spans="1:4" x14ac:dyDescent="0.25">
      <c r="A54" s="26"/>
      <c r="B54" s="28"/>
      <c r="C54" s="28"/>
      <c r="D54" s="9"/>
    </row>
    <row r="55" spans="1:4" ht="15" customHeight="1" x14ac:dyDescent="0.25">
      <c r="A55" s="252" t="s">
        <v>16</v>
      </c>
      <c r="B55" s="253"/>
      <c r="C55" s="138">
        <v>10</v>
      </c>
      <c r="D55" s="29"/>
    </row>
    <row r="56" spans="1:4" ht="30" customHeight="1" x14ac:dyDescent="0.25">
      <c r="A56" s="254" t="s">
        <v>23</v>
      </c>
      <c r="B56" s="255"/>
      <c r="C56" s="139">
        <f>D52/C55</f>
        <v>20.159999999999997</v>
      </c>
      <c r="D56" s="29"/>
    </row>
    <row r="57" spans="1:4" x14ac:dyDescent="0.25">
      <c r="A57" s="30"/>
      <c r="B57" s="30"/>
      <c r="C57" s="30"/>
      <c r="D57" s="30"/>
    </row>
    <row r="58" spans="1:4" x14ac:dyDescent="0.25">
      <c r="A58" s="30"/>
      <c r="B58" s="30"/>
      <c r="C58" s="30"/>
      <c r="D58" s="152"/>
    </row>
    <row r="59" spans="1:4" x14ac:dyDescent="0.25">
      <c r="A59" s="30"/>
      <c r="B59" s="30"/>
      <c r="C59" s="30"/>
      <c r="D59" s="152"/>
    </row>
    <row r="60" spans="1:4" x14ac:dyDescent="0.25">
      <c r="A60" s="30"/>
      <c r="B60" s="30"/>
      <c r="C60" s="30"/>
      <c r="D60" s="152"/>
    </row>
    <row r="61" spans="1:4" x14ac:dyDescent="0.25">
      <c r="A61" s="30"/>
      <c r="B61" s="30"/>
      <c r="C61" s="30"/>
      <c r="D61" s="30"/>
    </row>
    <row r="62" spans="1:4" x14ac:dyDescent="0.25">
      <c r="A62" s="231"/>
      <c r="B62" s="231"/>
      <c r="C62" s="9"/>
      <c r="D62" s="9"/>
    </row>
    <row r="63" spans="1:4" x14ac:dyDescent="0.25">
      <c r="A63" s="250"/>
      <c r="B63" s="231"/>
      <c r="C63" s="9"/>
      <c r="D63" s="9"/>
    </row>
    <row r="64" spans="1:4" x14ac:dyDescent="0.25">
      <c r="A64" s="154"/>
      <c r="B64" s="9"/>
      <c r="C64" s="31"/>
      <c r="D64" s="9"/>
    </row>
    <row r="65" spans="1:4" x14ac:dyDescent="0.25">
      <c r="A65" s="250"/>
      <c r="B65" s="250"/>
      <c r="C65" s="31"/>
      <c r="D65" s="9"/>
    </row>
  </sheetData>
  <customSheetViews>
    <customSheetView guid="{3046F990-4623-45D5-BDDC-01BD5999DDBC}" scale="60" showPageBreaks="1" fitToPage="1" printArea="1" hiddenRows="1" view="pageBreakPreview" topLeftCell="A2">
      <selection activeCell="B53" sqref="B53"/>
      <rowBreaks count="1" manualBreakCount="1">
        <brk id="31" max="3" man="1"/>
      </rowBreaks>
      <pageMargins left="0.70866141732283472" right="0.70866141732283472" top="0.74803149606299213" bottom="0.74803149606299213" header="0.31496062992125984" footer="0.31496062992125984"/>
      <pageSetup paperSize="9" scale="68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hiddenRows="1" view="pageBreakPreview" topLeftCell="A11">
      <selection activeCell="B39" sqref="B39"/>
      <rowBreaks count="1" manualBreakCount="1">
        <brk id="31" max="3" man="1"/>
      </rowBreaks>
      <pageMargins left="0.70866141732283472" right="0.70866141732283472" top="0.74803149606299213" bottom="0.74803149606299213" header="0.31496062992125984" footer="0.31496062992125984"/>
      <pageSetup paperSize="9" scale="68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hiddenRows="1" view="pageBreakPreview" topLeftCell="A2">
      <selection activeCell="B9" sqref="B9"/>
      <rowBreaks count="1" manualBreakCount="1">
        <brk id="31" max="3" man="1"/>
      </rowBreaks>
      <pageMargins left="0.70866141732283472" right="0.70866141732283472" top="0.74803149606299213" bottom="0.74803149606299213" header="0.31496062992125984" footer="0.31496062992125984"/>
      <pageSetup paperSize="9" scale="69" fitToHeight="0" orientation="portrait" r:id="rId3"/>
      <headerFooter>
        <oddFooter>&amp;C&amp;P</oddFooter>
      </headerFooter>
    </customSheetView>
  </customSheetViews>
  <mergeCells count="11">
    <mergeCell ref="A63:B63"/>
    <mergeCell ref="A65:B65"/>
    <mergeCell ref="A55:B55"/>
    <mergeCell ref="A56:B56"/>
    <mergeCell ref="A2:D2"/>
    <mergeCell ref="A6:D6"/>
    <mergeCell ref="A8:B8"/>
    <mergeCell ref="A10:B10"/>
    <mergeCell ref="A11:B11"/>
    <mergeCell ref="C3:D3"/>
    <mergeCell ref="A62:B62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4"/>
  <headerFooter>
    <oddFooter>&amp;C&amp;P</oddFooter>
  </headerFooter>
  <rowBreaks count="1" manualBreakCount="1">
    <brk id="31" max="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view="pageBreakPreview" zoomScale="60" zoomScaleNormal="100" workbookViewId="0">
      <selection activeCell="A6" sqref="A6:D6"/>
    </sheetView>
  </sheetViews>
  <sheetFormatPr defaultRowHeight="15" x14ac:dyDescent="0.25"/>
  <cols>
    <col min="1" max="1" width="13.85546875" customWidth="1"/>
    <col min="2" max="2" width="77.140625" customWidth="1"/>
    <col min="3" max="3" width="15.140625" customWidth="1"/>
    <col min="4" max="4" width="16.5703125" customWidth="1"/>
  </cols>
  <sheetData>
    <row r="1" spans="1:11" ht="18.75" x14ac:dyDescent="0.3">
      <c r="A1" s="4"/>
      <c r="B1" s="5"/>
      <c r="C1" s="35"/>
      <c r="D1" s="5"/>
    </row>
    <row r="2" spans="1:11" ht="15.75" customHeight="1" x14ac:dyDescent="0.25">
      <c r="A2" s="256" t="s">
        <v>307</v>
      </c>
      <c r="B2" s="256"/>
      <c r="C2" s="256"/>
      <c r="D2" s="256"/>
    </row>
    <row r="3" spans="1:11" ht="15" customHeight="1" x14ac:dyDescent="0.25">
      <c r="A3" s="4"/>
      <c r="B3" s="4"/>
      <c r="C3" s="273"/>
      <c r="D3" s="274"/>
    </row>
    <row r="4" spans="1:11" ht="15.75" x14ac:dyDescent="0.25">
      <c r="A4" s="186" t="s">
        <v>723</v>
      </c>
      <c r="B4" s="32"/>
      <c r="C4" s="32"/>
      <c r="D4" s="32"/>
    </row>
    <row r="5" spans="1:11" x14ac:dyDescent="0.25">
      <c r="A5" s="4"/>
      <c r="B5" s="33"/>
      <c r="C5" s="33"/>
      <c r="D5" s="9"/>
    </row>
    <row r="6" spans="1:11" ht="34.5" customHeight="1" x14ac:dyDescent="0.25">
      <c r="A6" s="272" t="s">
        <v>1036</v>
      </c>
      <c r="B6" s="272"/>
      <c r="C6" s="272"/>
      <c r="D6" s="272"/>
    </row>
    <row r="7" spans="1:11" ht="17.25" customHeight="1" x14ac:dyDescent="0.25">
      <c r="A7" s="180"/>
      <c r="B7" s="34"/>
      <c r="C7" s="34"/>
      <c r="D7" s="9"/>
      <c r="E7" s="46"/>
      <c r="F7" s="46"/>
      <c r="G7" s="46"/>
      <c r="H7" s="46"/>
      <c r="I7" s="46"/>
      <c r="J7" s="46"/>
      <c r="K7" s="46"/>
    </row>
    <row r="8" spans="1:11" x14ac:dyDescent="0.25">
      <c r="A8" s="270" t="s">
        <v>309</v>
      </c>
      <c r="B8" s="271"/>
      <c r="C8" s="34"/>
      <c r="D8" s="9"/>
    </row>
    <row r="9" spans="1:11" x14ac:dyDescent="0.25">
      <c r="A9" s="183"/>
      <c r="B9" s="184"/>
      <c r="C9" s="34"/>
      <c r="D9" s="9"/>
    </row>
    <row r="10" spans="1:11" ht="15.75" x14ac:dyDescent="0.25">
      <c r="A10" s="251" t="s">
        <v>785</v>
      </c>
      <c r="B10" s="251"/>
      <c r="C10" s="8"/>
      <c r="D10" s="9"/>
    </row>
    <row r="11" spans="1:11" ht="90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11" x14ac:dyDescent="0.25">
      <c r="A12" s="13">
        <v>1</v>
      </c>
      <c r="B12" s="14">
        <v>2</v>
      </c>
      <c r="C12" s="13">
        <v>3</v>
      </c>
      <c r="D12" s="13">
        <v>4</v>
      </c>
    </row>
    <row r="13" spans="1:11" x14ac:dyDescent="0.25">
      <c r="A13" s="15"/>
      <c r="B13" s="22" t="s">
        <v>13</v>
      </c>
      <c r="C13" s="17"/>
      <c r="D13" s="17"/>
    </row>
    <row r="14" spans="1:11" x14ac:dyDescent="0.25">
      <c r="A14" s="37">
        <v>1100</v>
      </c>
      <c r="B14" s="16" t="s">
        <v>14</v>
      </c>
      <c r="C14" s="38"/>
      <c r="D14" s="38"/>
    </row>
    <row r="15" spans="1:11" ht="82.5" customHeight="1" x14ac:dyDescent="0.25">
      <c r="A15" s="18"/>
      <c r="B15" s="157" t="s">
        <v>529</v>
      </c>
      <c r="C15" s="55">
        <f>0.11*20</f>
        <v>2.2000000000000002</v>
      </c>
      <c r="D15" s="55">
        <f>C15*2000</f>
        <v>4400</v>
      </c>
    </row>
    <row r="16" spans="1:11" ht="31.5" customHeight="1" x14ac:dyDescent="0.25">
      <c r="A16" s="18">
        <v>1200</v>
      </c>
      <c r="B16" s="158" t="s">
        <v>284</v>
      </c>
      <c r="C16" s="55">
        <f>ROUND(C15*0.2359,2)</f>
        <v>0.52</v>
      </c>
      <c r="D16" s="55">
        <f>C16*2000</f>
        <v>1040</v>
      </c>
    </row>
    <row r="17" spans="1:4" x14ac:dyDescent="0.25">
      <c r="A17" s="18">
        <v>2341</v>
      </c>
      <c r="B17" s="18" t="s">
        <v>77</v>
      </c>
      <c r="C17" s="19"/>
      <c r="D17" s="19"/>
    </row>
    <row r="18" spans="1:4" ht="66.75" customHeight="1" x14ac:dyDescent="0.25">
      <c r="A18" s="18"/>
      <c r="B18" s="158" t="s">
        <v>530</v>
      </c>
      <c r="C18" s="55">
        <f>0.7+0.18+0.04+0.01+0.02+0.57</f>
        <v>1.52</v>
      </c>
      <c r="D18" s="55">
        <f>C18*2000</f>
        <v>3040</v>
      </c>
    </row>
    <row r="19" spans="1:4" hidden="1" x14ac:dyDescent="0.25">
      <c r="A19" s="18"/>
      <c r="B19" s="158" t="s">
        <v>72</v>
      </c>
      <c r="C19" s="36"/>
      <c r="D19" s="55"/>
    </row>
    <row r="20" spans="1:4" x14ac:dyDescent="0.25">
      <c r="A20" s="74"/>
      <c r="B20" s="159" t="s">
        <v>2</v>
      </c>
      <c r="C20" s="71">
        <f>SUM(C14:C18)</f>
        <v>4.24</v>
      </c>
      <c r="D20" s="71">
        <f>SUM(D14:D18)</f>
        <v>8480</v>
      </c>
    </row>
    <row r="21" spans="1:4" x14ac:dyDescent="0.25">
      <c r="A21" s="18"/>
      <c r="B21" s="160" t="s">
        <v>20</v>
      </c>
      <c r="C21" s="19"/>
      <c r="D21" s="19"/>
    </row>
    <row r="22" spans="1:4" x14ac:dyDescent="0.25">
      <c r="A22" s="18">
        <v>2219</v>
      </c>
      <c r="B22" s="158" t="s">
        <v>3</v>
      </c>
      <c r="C22" s="19"/>
      <c r="D22" s="19"/>
    </row>
    <row r="23" spans="1:4" ht="84.75" customHeight="1" x14ac:dyDescent="0.25">
      <c r="A23" s="18"/>
      <c r="B23" s="158" t="s">
        <v>640</v>
      </c>
      <c r="C23" s="40">
        <f>ROUND(3.18/18154,4)</f>
        <v>2.0000000000000001E-4</v>
      </c>
      <c r="D23" s="55">
        <f>C23*2000</f>
        <v>0.4</v>
      </c>
    </row>
    <row r="24" spans="1:4" x14ac:dyDescent="0.25">
      <c r="A24" s="18">
        <v>2221</v>
      </c>
      <c r="B24" s="158" t="s">
        <v>4</v>
      </c>
      <c r="C24" s="19"/>
      <c r="D24" s="54"/>
    </row>
    <row r="25" spans="1:4" ht="46.5" customHeight="1" x14ac:dyDescent="0.25">
      <c r="A25" s="18"/>
      <c r="B25" s="158" t="s">
        <v>531</v>
      </c>
      <c r="C25" s="55">
        <f>ROUND(301.59/18154,4)</f>
        <v>1.66E-2</v>
      </c>
      <c r="D25" s="55">
        <f>C25*2000</f>
        <v>33.200000000000003</v>
      </c>
    </row>
    <row r="26" spans="1:4" ht="18.75" customHeight="1" x14ac:dyDescent="0.25">
      <c r="A26" s="18">
        <v>2222</v>
      </c>
      <c r="B26" s="158" t="s">
        <v>5</v>
      </c>
      <c r="C26" s="19"/>
      <c r="D26" s="54"/>
    </row>
    <row r="27" spans="1:4" ht="48" customHeight="1" x14ac:dyDescent="0.25">
      <c r="A27" s="18"/>
      <c r="B27" s="158" t="s">
        <v>204</v>
      </c>
      <c r="C27" s="36">
        <f>ROUND(31.02/18154,4)</f>
        <v>1.6999999999999999E-3</v>
      </c>
      <c r="D27" s="55">
        <f>C27*2000</f>
        <v>3.4</v>
      </c>
    </row>
    <row r="28" spans="1:4" x14ac:dyDescent="0.25">
      <c r="A28" s="18">
        <v>2223</v>
      </c>
      <c r="B28" s="18" t="s">
        <v>6</v>
      </c>
      <c r="C28" s="19"/>
      <c r="D28" s="54"/>
    </row>
    <row r="29" spans="1:4" ht="48.75" customHeight="1" x14ac:dyDescent="0.25">
      <c r="A29" s="18"/>
      <c r="B29" s="158" t="s">
        <v>205</v>
      </c>
      <c r="C29" s="55">
        <f>ROUND(538.27/18154,2)</f>
        <v>0.03</v>
      </c>
      <c r="D29" s="55">
        <f>C29*2000</f>
        <v>60</v>
      </c>
    </row>
    <row r="30" spans="1:4" x14ac:dyDescent="0.25">
      <c r="A30" s="18">
        <v>2224</v>
      </c>
      <c r="B30" s="158" t="s">
        <v>7</v>
      </c>
      <c r="C30" s="19"/>
      <c r="D30" s="19"/>
    </row>
    <row r="31" spans="1:4" ht="45" x14ac:dyDescent="0.25">
      <c r="A31" s="18"/>
      <c r="B31" s="158" t="s">
        <v>962</v>
      </c>
      <c r="C31" s="36">
        <f>ROUND(28.86/18154,4)</f>
        <v>1.6000000000000001E-3</v>
      </c>
      <c r="D31" s="55">
        <f>C31*2000</f>
        <v>3.2</v>
      </c>
    </row>
    <row r="32" spans="1:4" x14ac:dyDescent="0.25">
      <c r="A32" s="45">
        <v>2231</v>
      </c>
      <c r="B32" s="158" t="s">
        <v>22</v>
      </c>
      <c r="C32" s="36"/>
      <c r="D32" s="19"/>
    </row>
    <row r="33" spans="1:4" ht="152.25" customHeight="1" x14ac:dyDescent="0.25">
      <c r="A33" s="45"/>
      <c r="B33" s="158" t="s">
        <v>532</v>
      </c>
      <c r="C33" s="55">
        <f>ROUND(1201.87/18154,2)</f>
        <v>7.0000000000000007E-2</v>
      </c>
      <c r="D33" s="55">
        <f>C33*2000</f>
        <v>140</v>
      </c>
    </row>
    <row r="34" spans="1:4" ht="17.25" customHeight="1" x14ac:dyDescent="0.25">
      <c r="A34" s="45">
        <v>2243</v>
      </c>
      <c r="B34" s="158" t="s">
        <v>132</v>
      </c>
      <c r="C34" s="55"/>
      <c r="D34" s="55"/>
    </row>
    <row r="35" spans="1:4" ht="60" customHeight="1" x14ac:dyDescent="0.25">
      <c r="A35" s="45"/>
      <c r="B35" s="158" t="s">
        <v>533</v>
      </c>
      <c r="C35" s="55">
        <f>ROUND(386.87/18154,4)</f>
        <v>2.1299999999999999E-2</v>
      </c>
      <c r="D35" s="55">
        <f>C35*2000</f>
        <v>42.6</v>
      </c>
    </row>
    <row r="36" spans="1:4" x14ac:dyDescent="0.25">
      <c r="A36" s="18">
        <v>2244</v>
      </c>
      <c r="B36" s="158" t="s">
        <v>24</v>
      </c>
      <c r="C36" s="19"/>
      <c r="D36" s="19"/>
    </row>
    <row r="37" spans="1:4" ht="54" customHeight="1" x14ac:dyDescent="0.25">
      <c r="A37" s="21"/>
      <c r="B37" s="158" t="s">
        <v>534</v>
      </c>
      <c r="C37" s="55">
        <f>ROUND(383.44/18154,3)</f>
        <v>2.1000000000000001E-2</v>
      </c>
      <c r="D37" s="55">
        <f>C37*2000</f>
        <v>42</v>
      </c>
    </row>
    <row r="38" spans="1:4" ht="48" customHeight="1" x14ac:dyDescent="0.25">
      <c r="A38" s="21"/>
      <c r="B38" s="158" t="s">
        <v>535</v>
      </c>
      <c r="C38" s="40">
        <f>ROUND(5.03/18154,4)</f>
        <v>2.9999999999999997E-4</v>
      </c>
      <c r="D38" s="55">
        <f>C38*2000</f>
        <v>0.6</v>
      </c>
    </row>
    <row r="39" spans="1:4" x14ac:dyDescent="0.25">
      <c r="A39" s="18">
        <v>2249</v>
      </c>
      <c r="B39" s="158" t="s">
        <v>8</v>
      </c>
      <c r="C39" s="19"/>
      <c r="D39" s="19"/>
    </row>
    <row r="40" spans="1:4" ht="54.75" customHeight="1" x14ac:dyDescent="0.25">
      <c r="A40" s="18"/>
      <c r="B40" s="158" t="s">
        <v>858</v>
      </c>
      <c r="C40" s="36">
        <f>ROUND(9.76/18154,4)</f>
        <v>5.0000000000000001E-4</v>
      </c>
      <c r="D40" s="55">
        <f>C40*2000</f>
        <v>1</v>
      </c>
    </row>
    <row r="41" spans="1:4" x14ac:dyDescent="0.25">
      <c r="A41" s="18">
        <v>2311</v>
      </c>
      <c r="B41" s="158" t="s">
        <v>9</v>
      </c>
      <c r="C41" s="36"/>
      <c r="D41" s="19"/>
    </row>
    <row r="42" spans="1:4" ht="54" customHeight="1" x14ac:dyDescent="0.25">
      <c r="A42" s="18"/>
      <c r="B42" s="158" t="s">
        <v>536</v>
      </c>
      <c r="C42" s="36">
        <f>ROUND(54.99/18154,4)</f>
        <v>3.0000000000000001E-3</v>
      </c>
      <c r="D42" s="55">
        <f>C42*2000</f>
        <v>6</v>
      </c>
    </row>
    <row r="43" spans="1:4" x14ac:dyDescent="0.25">
      <c r="A43" s="18">
        <v>2350</v>
      </c>
      <c r="B43" s="158" t="s">
        <v>21</v>
      </c>
      <c r="C43" s="36"/>
      <c r="D43" s="19"/>
    </row>
    <row r="44" spans="1:4" ht="85.5" customHeight="1" x14ac:dyDescent="0.25">
      <c r="A44" s="18"/>
      <c r="B44" s="158" t="s">
        <v>537</v>
      </c>
      <c r="C44" s="40">
        <f>ROUND(6.69/18154,4)</f>
        <v>4.0000000000000002E-4</v>
      </c>
      <c r="D44" s="55">
        <f>C44*2000</f>
        <v>0.8</v>
      </c>
    </row>
    <row r="45" spans="1:4" ht="17.25" customHeight="1" x14ac:dyDescent="0.25">
      <c r="A45" s="18">
        <v>2513</v>
      </c>
      <c r="B45" s="158" t="s">
        <v>133</v>
      </c>
      <c r="C45" s="40"/>
      <c r="D45" s="55"/>
    </row>
    <row r="46" spans="1:4" ht="48" customHeight="1" x14ac:dyDescent="0.25">
      <c r="A46" s="18"/>
      <c r="B46" s="158" t="s">
        <v>538</v>
      </c>
      <c r="C46" s="36">
        <f>ROUND(9.53/18154,4)</f>
        <v>5.0000000000000001E-4</v>
      </c>
      <c r="D46" s="55">
        <f>C46*2000</f>
        <v>1</v>
      </c>
    </row>
    <row r="47" spans="1:4" ht="16.5" customHeight="1" x14ac:dyDescent="0.25">
      <c r="A47" s="18">
        <v>5220</v>
      </c>
      <c r="B47" s="158" t="s">
        <v>136</v>
      </c>
      <c r="C47" s="40"/>
      <c r="D47" s="55"/>
    </row>
    <row r="48" spans="1:4" ht="62.25" customHeight="1" x14ac:dyDescent="0.25">
      <c r="A48" s="18"/>
      <c r="B48" s="158" t="s">
        <v>539</v>
      </c>
      <c r="C48" s="40">
        <f>ROUND(25.06/18154,3)</f>
        <v>1E-3</v>
      </c>
      <c r="D48" s="55">
        <f>C48*2000</f>
        <v>2</v>
      </c>
    </row>
    <row r="49" spans="1:4" ht="19.5" customHeight="1" x14ac:dyDescent="0.25">
      <c r="A49" s="18">
        <v>5238</v>
      </c>
      <c r="B49" s="158" t="s">
        <v>134</v>
      </c>
      <c r="C49" s="40"/>
      <c r="D49" s="55"/>
    </row>
    <row r="50" spans="1:4" ht="45" customHeight="1" x14ac:dyDescent="0.25">
      <c r="A50" s="18"/>
      <c r="B50" s="158" t="s">
        <v>976</v>
      </c>
      <c r="C50" s="36">
        <f>ROUND(33.68/18154,4)</f>
        <v>1.9E-3</v>
      </c>
      <c r="D50" s="55">
        <f>C50*2000</f>
        <v>3.8</v>
      </c>
    </row>
    <row r="51" spans="1:4" x14ac:dyDescent="0.25">
      <c r="A51" s="68"/>
      <c r="B51" s="72" t="s">
        <v>10</v>
      </c>
      <c r="C51" s="71">
        <f>ROUND(C50+C48+C46+C44+C42+C40+C38+C37+C35+C33+C31+C29+C27+C25+C23,2)</f>
        <v>0.17</v>
      </c>
      <c r="D51" s="71">
        <f>ROUND(D50+D48+D46+D44+D42+D40+D38+D37+D35+D33+D31+D29+D27+D25+D23,2)</f>
        <v>340</v>
      </c>
    </row>
    <row r="52" spans="1:4" x14ac:dyDescent="0.25">
      <c r="A52" s="23"/>
      <c r="B52" s="24" t="s">
        <v>15</v>
      </c>
      <c r="C52" s="52">
        <f>ROUND(C51+C20,2)</f>
        <v>4.41</v>
      </c>
      <c r="D52" s="52">
        <f>D51+D20</f>
        <v>8820</v>
      </c>
    </row>
    <row r="53" spans="1:4" x14ac:dyDescent="0.25">
      <c r="A53" s="25"/>
      <c r="B53" s="26"/>
      <c r="C53" s="27"/>
      <c r="D53" s="27"/>
    </row>
    <row r="54" spans="1:4" x14ac:dyDescent="0.25">
      <c r="A54" s="26"/>
      <c r="B54" s="28"/>
      <c r="C54" s="28"/>
      <c r="D54" s="9"/>
    </row>
    <row r="55" spans="1:4" ht="15" customHeight="1" x14ac:dyDescent="0.25">
      <c r="A55" s="252" t="s">
        <v>16</v>
      </c>
      <c r="B55" s="253"/>
      <c r="C55" s="138">
        <v>2000</v>
      </c>
      <c r="D55" s="29"/>
    </row>
    <row r="56" spans="1:4" ht="34.5" customHeight="1" x14ac:dyDescent="0.25">
      <c r="A56" s="254" t="s">
        <v>23</v>
      </c>
      <c r="B56" s="255"/>
      <c r="C56" s="139">
        <f>D52/C55</f>
        <v>4.41</v>
      </c>
      <c r="D56" s="29"/>
    </row>
    <row r="57" spans="1:4" x14ac:dyDescent="0.25">
      <c r="A57" s="30"/>
      <c r="B57" s="30"/>
      <c r="C57" s="30"/>
      <c r="D57" s="30"/>
    </row>
    <row r="58" spans="1:4" x14ac:dyDescent="0.25">
      <c r="A58" s="30"/>
      <c r="B58" s="30"/>
      <c r="C58" s="30"/>
      <c r="D58" s="152"/>
    </row>
    <row r="59" spans="1:4" x14ac:dyDescent="0.25">
      <c r="A59" s="30"/>
      <c r="B59" s="30"/>
      <c r="C59" s="30"/>
      <c r="D59" s="152"/>
    </row>
    <row r="60" spans="1:4" x14ac:dyDescent="0.25">
      <c r="A60" s="30"/>
      <c r="B60" s="30"/>
      <c r="C60" s="30"/>
      <c r="D60" s="152"/>
    </row>
    <row r="61" spans="1:4" x14ac:dyDescent="0.25">
      <c r="A61" s="30"/>
      <c r="B61" s="30"/>
      <c r="C61" s="30"/>
      <c r="D61" s="30"/>
    </row>
    <row r="62" spans="1:4" x14ac:dyDescent="0.25">
      <c r="A62" s="231"/>
      <c r="B62" s="231"/>
      <c r="C62" s="9"/>
      <c r="D62" s="9"/>
    </row>
    <row r="63" spans="1:4" x14ac:dyDescent="0.25">
      <c r="A63" s="250"/>
      <c r="B63" s="231"/>
      <c r="C63" s="9"/>
      <c r="D63" s="9"/>
    </row>
    <row r="64" spans="1:4" x14ac:dyDescent="0.25">
      <c r="A64" s="154"/>
      <c r="B64" s="9"/>
      <c r="C64" s="31"/>
      <c r="D64" s="9"/>
    </row>
    <row r="65" spans="1:4" x14ac:dyDescent="0.25">
      <c r="A65" s="250"/>
      <c r="B65" s="250"/>
      <c r="C65" s="31"/>
      <c r="D65" s="9"/>
    </row>
  </sheetData>
  <customSheetViews>
    <customSheetView guid="{3046F990-4623-45D5-BDDC-01BD5999DDBC}" scale="60" showPageBreaks="1" fitToPage="1" printArea="1" hiddenRows="1" view="pageBreakPreview">
      <selection activeCell="B53" sqref="B53"/>
      <rowBreaks count="1" manualBreakCount="1">
        <brk id="31" max="3" man="1"/>
      </rowBreaks>
      <pageMargins left="0.70866141732283472" right="0.70866141732283472" top="0.74803149606299213" bottom="0.74803149606299213" header="0.31496062992125984" footer="0.31496062992125984"/>
      <pageSetup paperSize="9" scale="71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hiddenRows="1" view="pageBreakPreview" topLeftCell="A32">
      <selection activeCell="B48" sqref="B48"/>
      <rowBreaks count="1" manualBreakCount="1">
        <brk id="31" max="3" man="1"/>
      </rowBreaks>
      <pageMargins left="0.70866141732283472" right="0.70866141732283472" top="0.74803149606299213" bottom="0.74803149606299213" header="0.31496062992125984" footer="0.31496062992125984"/>
      <pageSetup paperSize="9" scale="71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hiddenRows="1" view="pageBreakPreview">
      <selection activeCell="A6" sqref="A6:D6"/>
      <rowBreaks count="1" manualBreakCount="1">
        <brk id="31" max="3" man="1"/>
      </rowBreaks>
      <pageMargins left="0.70866141732283472" right="0.70866141732283472" top="0.74803149606299213" bottom="0.74803149606299213" header="0.31496062992125984" footer="0.31496062992125984"/>
      <pageSetup paperSize="9" scale="71" fitToHeight="0" orientation="portrait" r:id="rId3"/>
      <headerFooter>
        <oddFooter>&amp;C&amp;P</oddFooter>
      </headerFooter>
    </customSheetView>
  </customSheetViews>
  <mergeCells count="10">
    <mergeCell ref="A65:B65"/>
    <mergeCell ref="A55:B55"/>
    <mergeCell ref="A56:B56"/>
    <mergeCell ref="A8:B8"/>
    <mergeCell ref="A10:B10"/>
    <mergeCell ref="A2:D2"/>
    <mergeCell ref="A6:D6"/>
    <mergeCell ref="C3:D3"/>
    <mergeCell ref="A62:B62"/>
    <mergeCell ref="A63:B63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4"/>
  <headerFooter>
    <oddFooter>&amp;C&amp;P</oddFooter>
  </headerFooter>
  <rowBreaks count="1" manualBreakCount="1">
    <brk id="31" max="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view="pageBreakPreview" zoomScale="60" zoomScaleNormal="100" workbookViewId="0">
      <selection activeCell="A6" sqref="A6:D6"/>
    </sheetView>
  </sheetViews>
  <sheetFormatPr defaultRowHeight="15" x14ac:dyDescent="0.25"/>
  <cols>
    <col min="1" max="1" width="14.5703125" customWidth="1"/>
    <col min="2" max="2" width="81.7109375" customWidth="1"/>
    <col min="3" max="3" width="15.42578125" customWidth="1"/>
    <col min="4" max="4" width="16.5703125" customWidth="1"/>
  </cols>
  <sheetData>
    <row r="1" spans="1:11" ht="18.75" x14ac:dyDescent="0.3">
      <c r="A1" s="4"/>
      <c r="B1" s="5"/>
      <c r="C1" s="35"/>
      <c r="D1" s="5"/>
    </row>
    <row r="2" spans="1:11" ht="15.75" customHeight="1" x14ac:dyDescent="0.25">
      <c r="A2" s="256" t="s">
        <v>307</v>
      </c>
      <c r="B2" s="256"/>
      <c r="C2" s="256"/>
      <c r="D2" s="256"/>
    </row>
    <row r="3" spans="1:11" ht="15" customHeight="1" x14ac:dyDescent="0.25">
      <c r="A3" s="4"/>
      <c r="B3" s="4"/>
      <c r="C3" s="273"/>
      <c r="D3" s="274"/>
    </row>
    <row r="4" spans="1:11" ht="15.75" x14ac:dyDescent="0.25">
      <c r="A4" s="186" t="s">
        <v>723</v>
      </c>
      <c r="B4" s="32"/>
      <c r="C4" s="32"/>
      <c r="D4" s="32"/>
    </row>
    <row r="5" spans="1:11" x14ac:dyDescent="0.25">
      <c r="A5" s="4"/>
      <c r="B5" s="33"/>
      <c r="C5" s="33"/>
      <c r="D5" s="9"/>
    </row>
    <row r="6" spans="1:11" ht="33" customHeight="1" x14ac:dyDescent="0.25">
      <c r="A6" s="277" t="s">
        <v>1085</v>
      </c>
      <c r="B6" s="277"/>
      <c r="C6" s="277"/>
      <c r="D6" s="277"/>
    </row>
    <row r="7" spans="1:11" ht="17.25" customHeight="1" x14ac:dyDescent="0.25">
      <c r="A7" s="180"/>
      <c r="B7" s="34"/>
      <c r="C7" s="34"/>
      <c r="D7" s="9"/>
      <c r="E7" s="46"/>
      <c r="F7" s="46"/>
      <c r="G7" s="46"/>
      <c r="H7" s="46"/>
      <c r="I7" s="46"/>
      <c r="J7" s="46"/>
      <c r="K7" s="46"/>
    </row>
    <row r="8" spans="1:11" x14ac:dyDescent="0.25">
      <c r="A8" s="270" t="s">
        <v>309</v>
      </c>
      <c r="B8" s="271"/>
      <c r="C8" s="34"/>
      <c r="D8" s="9"/>
    </row>
    <row r="9" spans="1:11" ht="15" customHeight="1" x14ac:dyDescent="0.25">
      <c r="A9" s="183"/>
      <c r="B9" s="184"/>
      <c r="C9" s="34"/>
      <c r="D9" s="9"/>
    </row>
    <row r="10" spans="1:11" ht="15.75" x14ac:dyDescent="0.25">
      <c r="A10" s="251" t="s">
        <v>786</v>
      </c>
      <c r="B10" s="251"/>
      <c r="C10" s="8"/>
      <c r="D10" s="9"/>
    </row>
    <row r="11" spans="1:11" ht="90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11" x14ac:dyDescent="0.25">
      <c r="A12" s="13">
        <v>1</v>
      </c>
      <c r="B12" s="14">
        <v>2</v>
      </c>
      <c r="C12" s="13">
        <v>3</v>
      </c>
      <c r="D12" s="13">
        <v>4</v>
      </c>
    </row>
    <row r="13" spans="1:11" x14ac:dyDescent="0.25">
      <c r="A13" s="15"/>
      <c r="B13" s="22" t="s">
        <v>13</v>
      </c>
      <c r="C13" s="17"/>
      <c r="D13" s="17"/>
    </row>
    <row r="14" spans="1:11" x14ac:dyDescent="0.25">
      <c r="A14" s="37">
        <v>1100</v>
      </c>
      <c r="B14" s="16" t="s">
        <v>14</v>
      </c>
      <c r="C14" s="38"/>
      <c r="D14" s="38"/>
    </row>
    <row r="15" spans="1:11" ht="105.75" customHeight="1" x14ac:dyDescent="0.25">
      <c r="A15" s="18"/>
      <c r="B15" s="157" t="s">
        <v>859</v>
      </c>
      <c r="C15" s="55">
        <f>0.11*20+0.11*13</f>
        <v>3.63</v>
      </c>
      <c r="D15" s="55">
        <f>C15*250</f>
        <v>907.5</v>
      </c>
    </row>
    <row r="16" spans="1:11" ht="31.5" customHeight="1" x14ac:dyDescent="0.25">
      <c r="A16" s="18">
        <v>1200</v>
      </c>
      <c r="B16" s="158" t="s">
        <v>285</v>
      </c>
      <c r="C16" s="55">
        <f>ROUND(C15*0.2359,2)</f>
        <v>0.86</v>
      </c>
      <c r="D16" s="55">
        <f>C16*250</f>
        <v>215</v>
      </c>
    </row>
    <row r="17" spans="1:4" x14ac:dyDescent="0.25">
      <c r="A17" s="18">
        <v>2341</v>
      </c>
      <c r="B17" s="18" t="s">
        <v>77</v>
      </c>
      <c r="C17" s="19"/>
      <c r="D17" s="19"/>
    </row>
    <row r="18" spans="1:4" ht="80.25" customHeight="1" x14ac:dyDescent="0.25">
      <c r="A18" s="18"/>
      <c r="B18" s="158" t="s">
        <v>540</v>
      </c>
      <c r="C18" s="55">
        <f>0.7+0.18+0.04+0.01+0.02+0.57</f>
        <v>1.52</v>
      </c>
      <c r="D18" s="55">
        <f>C18*250</f>
        <v>380</v>
      </c>
    </row>
    <row r="19" spans="1:4" hidden="1" x14ac:dyDescent="0.25">
      <c r="A19" s="18"/>
      <c r="B19" s="158" t="s">
        <v>76</v>
      </c>
      <c r="C19" s="36"/>
      <c r="D19" s="55"/>
    </row>
    <row r="20" spans="1:4" hidden="1" x14ac:dyDescent="0.25">
      <c r="A20" s="18"/>
      <c r="B20" s="158" t="s">
        <v>73</v>
      </c>
      <c r="C20" s="36"/>
      <c r="D20" s="55"/>
    </row>
    <row r="21" spans="1:4" x14ac:dyDescent="0.25">
      <c r="A21" s="68"/>
      <c r="B21" s="159" t="s">
        <v>2</v>
      </c>
      <c r="C21" s="71">
        <f>SUM(C14:C18)</f>
        <v>6.01</v>
      </c>
      <c r="D21" s="71">
        <f>SUM(D14:D20)</f>
        <v>1502.5</v>
      </c>
    </row>
    <row r="22" spans="1:4" x14ac:dyDescent="0.25">
      <c r="A22" s="18"/>
      <c r="B22" s="160" t="s">
        <v>20</v>
      </c>
      <c r="C22" s="19"/>
      <c r="D22" s="19"/>
    </row>
    <row r="23" spans="1:4" x14ac:dyDescent="0.25">
      <c r="A23" s="18">
        <v>2219</v>
      </c>
      <c r="B23" s="158" t="s">
        <v>3</v>
      </c>
      <c r="C23" s="19"/>
      <c r="D23" s="19"/>
    </row>
    <row r="24" spans="1:4" ht="94.5" customHeight="1" x14ac:dyDescent="0.25">
      <c r="A24" s="18"/>
      <c r="B24" s="158" t="s">
        <v>638</v>
      </c>
      <c r="C24" s="40">
        <f>ROUND(3.18/18154,4)</f>
        <v>2.0000000000000001E-4</v>
      </c>
      <c r="D24" s="55">
        <f>C24*250</f>
        <v>0.05</v>
      </c>
    </row>
    <row r="25" spans="1:4" x14ac:dyDescent="0.25">
      <c r="A25" s="18">
        <v>2221</v>
      </c>
      <c r="B25" s="158" t="s">
        <v>4</v>
      </c>
      <c r="C25" s="19"/>
      <c r="D25" s="19"/>
    </row>
    <row r="26" spans="1:4" ht="51.75" customHeight="1" x14ac:dyDescent="0.25">
      <c r="A26" s="18"/>
      <c r="B26" s="158" t="s">
        <v>639</v>
      </c>
      <c r="C26" s="55">
        <f>ROUND(301.59/18154,4)</f>
        <v>1.66E-2</v>
      </c>
      <c r="D26" s="55">
        <f>C26*250</f>
        <v>4.1500000000000004</v>
      </c>
    </row>
    <row r="27" spans="1:4" ht="15.75" customHeight="1" x14ac:dyDescent="0.25">
      <c r="A27" s="18">
        <v>2222</v>
      </c>
      <c r="B27" s="158" t="s">
        <v>5</v>
      </c>
      <c r="C27" s="19"/>
      <c r="D27" s="19"/>
    </row>
    <row r="28" spans="1:4" ht="51" customHeight="1" x14ac:dyDescent="0.25">
      <c r="A28" s="18"/>
      <c r="B28" s="158" t="s">
        <v>541</v>
      </c>
      <c r="C28" s="36">
        <f>ROUND(31.02/18154,4)</f>
        <v>1.6999999999999999E-3</v>
      </c>
      <c r="D28" s="55">
        <f>C28*250</f>
        <v>0.42499999999999999</v>
      </c>
    </row>
    <row r="29" spans="1:4" x14ac:dyDescent="0.25">
      <c r="A29" s="18">
        <v>2223</v>
      </c>
      <c r="B29" s="18" t="s">
        <v>6</v>
      </c>
      <c r="C29" s="19"/>
      <c r="D29" s="19"/>
    </row>
    <row r="30" spans="1:4" ht="47.25" customHeight="1" x14ac:dyDescent="0.25">
      <c r="A30" s="18"/>
      <c r="B30" s="158" t="s">
        <v>206</v>
      </c>
      <c r="C30" s="55">
        <f>ROUND(538.27/18154,2)</f>
        <v>0.03</v>
      </c>
      <c r="D30" s="55">
        <f>C30*250</f>
        <v>7.5</v>
      </c>
    </row>
    <row r="31" spans="1:4" x14ac:dyDescent="0.25">
      <c r="A31" s="18">
        <v>2224</v>
      </c>
      <c r="B31" s="158" t="s">
        <v>7</v>
      </c>
      <c r="C31" s="19"/>
      <c r="D31" s="19"/>
    </row>
    <row r="32" spans="1:4" ht="45" x14ac:dyDescent="0.25">
      <c r="A32" s="18"/>
      <c r="B32" s="158" t="s">
        <v>961</v>
      </c>
      <c r="C32" s="36">
        <f>ROUND(28.86/18154,4)</f>
        <v>1.6000000000000001E-3</v>
      </c>
      <c r="D32" s="55">
        <f>C32*250</f>
        <v>0.4</v>
      </c>
    </row>
    <row r="33" spans="1:4" x14ac:dyDescent="0.25">
      <c r="A33" s="45">
        <v>2231</v>
      </c>
      <c r="B33" s="158" t="s">
        <v>22</v>
      </c>
      <c r="C33" s="36"/>
      <c r="D33" s="19"/>
    </row>
    <row r="34" spans="1:4" ht="169.5" customHeight="1" x14ac:dyDescent="0.25">
      <c r="A34" s="45"/>
      <c r="B34" s="158" t="s">
        <v>637</v>
      </c>
      <c r="C34" s="55">
        <f>ROUND(1201.87/18154,2)</f>
        <v>7.0000000000000007E-2</v>
      </c>
      <c r="D34" s="55">
        <f>C34*250</f>
        <v>17.5</v>
      </c>
    </row>
    <row r="35" spans="1:4" ht="15" customHeight="1" x14ac:dyDescent="0.25">
      <c r="A35" s="45">
        <v>2243</v>
      </c>
      <c r="B35" s="158" t="s">
        <v>132</v>
      </c>
      <c r="C35" s="55"/>
      <c r="D35" s="55"/>
    </row>
    <row r="36" spans="1:4" ht="60.75" customHeight="1" x14ac:dyDescent="0.25">
      <c r="A36" s="45"/>
      <c r="B36" s="158" t="s">
        <v>860</v>
      </c>
      <c r="C36" s="55">
        <f>ROUND(386.87/18154,4)</f>
        <v>2.1299999999999999E-2</v>
      </c>
      <c r="D36" s="55">
        <f>C36*250</f>
        <v>5.3250000000000002</v>
      </c>
    </row>
    <row r="37" spans="1:4" x14ac:dyDescent="0.25">
      <c r="A37" s="18">
        <v>2244</v>
      </c>
      <c r="B37" s="158" t="s">
        <v>24</v>
      </c>
      <c r="C37" s="19"/>
      <c r="D37" s="19"/>
    </row>
    <row r="38" spans="1:4" ht="63.75" customHeight="1" x14ac:dyDescent="0.25">
      <c r="A38" s="21"/>
      <c r="B38" s="158" t="s">
        <v>542</v>
      </c>
      <c r="C38" s="55">
        <f>ROUND(383.44/18154,3)</f>
        <v>2.1000000000000001E-2</v>
      </c>
      <c r="D38" s="55">
        <f>C38*250</f>
        <v>5.25</v>
      </c>
    </row>
    <row r="39" spans="1:4" ht="48.75" customHeight="1" x14ac:dyDescent="0.25">
      <c r="A39" s="21"/>
      <c r="B39" s="158" t="s">
        <v>564</v>
      </c>
      <c r="C39" s="40">
        <f>ROUND(5.03/18154,4)</f>
        <v>2.9999999999999997E-4</v>
      </c>
      <c r="D39" s="55">
        <f>C39*250</f>
        <v>7.4999999999999997E-2</v>
      </c>
    </row>
    <row r="40" spans="1:4" x14ac:dyDescent="0.25">
      <c r="A40" s="18">
        <v>2249</v>
      </c>
      <c r="B40" s="158" t="s">
        <v>8</v>
      </c>
      <c r="C40" s="19"/>
      <c r="D40" s="19"/>
    </row>
    <row r="41" spans="1:4" ht="45.75" customHeight="1" x14ac:dyDescent="0.25">
      <c r="A41" s="18"/>
      <c r="B41" s="158" t="s">
        <v>543</v>
      </c>
      <c r="C41" s="36">
        <f>ROUND(9.76/18154,4)</f>
        <v>5.0000000000000001E-4</v>
      </c>
      <c r="D41" s="55">
        <f>C41*250</f>
        <v>0.125</v>
      </c>
    </row>
    <row r="42" spans="1:4" x14ac:dyDescent="0.25">
      <c r="A42" s="18">
        <v>2311</v>
      </c>
      <c r="B42" s="158" t="s">
        <v>9</v>
      </c>
      <c r="C42" s="36"/>
      <c r="D42" s="19"/>
    </row>
    <row r="43" spans="1:4" ht="48" customHeight="1" x14ac:dyDescent="0.25">
      <c r="A43" s="18"/>
      <c r="B43" s="158" t="s">
        <v>544</v>
      </c>
      <c r="C43" s="36">
        <f>ROUND(54.99/18154,4)</f>
        <v>3.0000000000000001E-3</v>
      </c>
      <c r="D43" s="55">
        <f>C43*250</f>
        <v>0.75</v>
      </c>
    </row>
    <row r="44" spans="1:4" x14ac:dyDescent="0.25">
      <c r="A44" s="18">
        <v>2350</v>
      </c>
      <c r="B44" s="158" t="s">
        <v>21</v>
      </c>
      <c r="C44" s="36"/>
      <c r="D44" s="19"/>
    </row>
    <row r="45" spans="1:4" ht="90.75" customHeight="1" x14ac:dyDescent="0.25">
      <c r="A45" s="18"/>
      <c r="B45" s="158" t="s">
        <v>545</v>
      </c>
      <c r="C45" s="40">
        <f>ROUND(6.69/18154,4)</f>
        <v>4.0000000000000002E-4</v>
      </c>
      <c r="D45" s="55">
        <f>C45*250</f>
        <v>0.1</v>
      </c>
    </row>
    <row r="46" spans="1:4" ht="17.25" customHeight="1" x14ac:dyDescent="0.25">
      <c r="A46" s="18">
        <v>2513</v>
      </c>
      <c r="B46" s="158" t="s">
        <v>133</v>
      </c>
      <c r="C46" s="40"/>
      <c r="D46" s="55"/>
    </row>
    <row r="47" spans="1:4" ht="50.25" customHeight="1" x14ac:dyDescent="0.25">
      <c r="A47" s="18"/>
      <c r="B47" s="158" t="s">
        <v>546</v>
      </c>
      <c r="C47" s="36">
        <f>ROUND(9.53/18154,4)</f>
        <v>5.0000000000000001E-4</v>
      </c>
      <c r="D47" s="55">
        <f>C47*250</f>
        <v>0.125</v>
      </c>
    </row>
    <row r="48" spans="1:4" ht="19.5" customHeight="1" x14ac:dyDescent="0.25">
      <c r="A48" s="18">
        <v>5220</v>
      </c>
      <c r="B48" s="158" t="s">
        <v>136</v>
      </c>
      <c r="C48" s="40"/>
      <c r="D48" s="55"/>
    </row>
    <row r="49" spans="1:6" ht="63" customHeight="1" x14ac:dyDescent="0.25">
      <c r="A49" s="18"/>
      <c r="B49" s="158" t="s">
        <v>565</v>
      </c>
      <c r="C49" s="36">
        <f>ROUND(25.06/18154,3)</f>
        <v>1E-3</v>
      </c>
      <c r="D49" s="55">
        <f>C49*250</f>
        <v>0.25</v>
      </c>
    </row>
    <row r="50" spans="1:6" ht="19.5" customHeight="1" x14ac:dyDescent="0.25">
      <c r="A50" s="18">
        <v>5238</v>
      </c>
      <c r="B50" s="158" t="s">
        <v>134</v>
      </c>
      <c r="C50" s="40"/>
      <c r="D50" s="55"/>
    </row>
    <row r="51" spans="1:6" ht="48.75" customHeight="1" x14ac:dyDescent="0.25">
      <c r="A51" s="18"/>
      <c r="B51" s="158" t="s">
        <v>547</v>
      </c>
      <c r="C51" s="36">
        <f>ROUND(33.68/18154,4)</f>
        <v>1.9E-3</v>
      </c>
      <c r="D51" s="55">
        <f>C51*250</f>
        <v>0.47499999999999998</v>
      </c>
    </row>
    <row r="52" spans="1:6" x14ac:dyDescent="0.25">
      <c r="A52" s="68"/>
      <c r="B52" s="72" t="s">
        <v>10</v>
      </c>
      <c r="C52" s="71">
        <f>ROUND(C51+C49+C47+C45+C43+C41+C39+C38+C36+C34+C32+C30+C28+C26+C24,2)</f>
        <v>0.17</v>
      </c>
      <c r="D52" s="71">
        <f>ROUND(D51+D49+D47+D45+D43+D41+D39+D38+D36+D34+D32+D30+D28+D26+D24,2)</f>
        <v>42.5</v>
      </c>
      <c r="F52" s="144"/>
    </row>
    <row r="53" spans="1:6" x14ac:dyDescent="0.25">
      <c r="A53" s="23"/>
      <c r="B53" s="24" t="s">
        <v>15</v>
      </c>
      <c r="C53" s="52">
        <f>ROUND(C52+C21,2)</f>
        <v>6.18</v>
      </c>
      <c r="D53" s="52">
        <f>D52+D21</f>
        <v>1545</v>
      </c>
    </row>
    <row r="54" spans="1:6" x14ac:dyDescent="0.25">
      <c r="A54" s="25"/>
      <c r="B54" s="26"/>
      <c r="C54" s="27"/>
      <c r="D54" s="27"/>
    </row>
    <row r="55" spans="1:6" x14ac:dyDescent="0.25">
      <c r="A55" s="26"/>
      <c r="B55" s="28"/>
      <c r="C55" s="28"/>
      <c r="D55" s="9"/>
    </row>
    <row r="56" spans="1:6" ht="15" customHeight="1" x14ac:dyDescent="0.25">
      <c r="A56" s="252" t="s">
        <v>16</v>
      </c>
      <c r="B56" s="253"/>
      <c r="C56" s="138">
        <v>250</v>
      </c>
      <c r="D56" s="29"/>
    </row>
    <row r="57" spans="1:6" ht="30.75" customHeight="1" x14ac:dyDescent="0.25">
      <c r="A57" s="254" t="s">
        <v>23</v>
      </c>
      <c r="B57" s="255"/>
      <c r="C57" s="139">
        <f>D53/C56</f>
        <v>6.18</v>
      </c>
      <c r="D57" s="29"/>
    </row>
    <row r="58" spans="1:6" x14ac:dyDescent="0.25">
      <c r="A58" s="30"/>
      <c r="B58" s="30"/>
      <c r="C58" s="30"/>
      <c r="D58" s="30"/>
    </row>
    <row r="59" spans="1:6" x14ac:dyDescent="0.25">
      <c r="A59" s="30"/>
      <c r="B59" s="30"/>
      <c r="C59" s="30"/>
      <c r="D59" s="152"/>
    </row>
    <row r="60" spans="1:6" x14ac:dyDescent="0.25">
      <c r="A60" s="30"/>
      <c r="B60" s="30"/>
      <c r="C60" s="30"/>
      <c r="D60" s="152"/>
    </row>
    <row r="61" spans="1:6" x14ac:dyDescent="0.25">
      <c r="A61" s="30"/>
      <c r="B61" s="30"/>
      <c r="C61" s="30"/>
      <c r="D61" s="152"/>
    </row>
    <row r="62" spans="1:6" x14ac:dyDescent="0.25">
      <c r="A62" s="30"/>
      <c r="B62" s="30"/>
      <c r="C62" s="30"/>
      <c r="D62" s="30"/>
    </row>
    <row r="63" spans="1:6" x14ac:dyDescent="0.25">
      <c r="A63" s="231"/>
      <c r="B63" s="231"/>
      <c r="C63" s="9"/>
      <c r="D63" s="9"/>
    </row>
    <row r="64" spans="1:6" x14ac:dyDescent="0.25">
      <c r="A64" s="250"/>
      <c r="B64" s="231"/>
      <c r="C64" s="9"/>
      <c r="D64" s="9"/>
    </row>
    <row r="65" spans="1:4" x14ac:dyDescent="0.25">
      <c r="A65" s="154"/>
      <c r="B65" s="9"/>
      <c r="C65" s="31"/>
      <c r="D65" s="9"/>
    </row>
    <row r="66" spans="1:4" x14ac:dyDescent="0.25">
      <c r="A66" s="250"/>
      <c r="B66" s="250"/>
      <c r="C66" s="31"/>
      <c r="D66" s="9"/>
    </row>
  </sheetData>
  <customSheetViews>
    <customSheetView guid="{3046F990-4623-45D5-BDDC-01BD5999DDBC}" scale="60" showPageBreaks="1" fitToPage="1" printArea="1" hiddenRows="1" view="pageBreakPreview">
      <selection activeCell="B53" sqref="B53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7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hiddenRows="1" view="pageBreakPreview">
      <selection activeCell="A57" sqref="A57:B57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7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hiddenRows="1" view="pageBreakPreview">
      <selection activeCell="A6" sqref="A6:D6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8" fitToHeight="0" orientation="portrait" r:id="rId3"/>
      <headerFooter>
        <oddFooter>&amp;C&amp;P</oddFooter>
      </headerFooter>
    </customSheetView>
  </customSheetViews>
  <mergeCells count="10">
    <mergeCell ref="A64:B64"/>
    <mergeCell ref="A66:B66"/>
    <mergeCell ref="A56:B56"/>
    <mergeCell ref="A57:B57"/>
    <mergeCell ref="A2:D2"/>
    <mergeCell ref="A6:D6"/>
    <mergeCell ref="A8:B8"/>
    <mergeCell ref="A10:B10"/>
    <mergeCell ref="C3:D3"/>
    <mergeCell ref="A63:B63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4"/>
  <headerFooter>
    <oddFooter>&amp;C&amp;P</oddFooter>
  </headerFooter>
  <rowBreaks count="1" manualBreakCount="1">
    <brk id="34" max="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view="pageBreakPreview" zoomScale="60" zoomScaleNormal="100" workbookViewId="0">
      <selection activeCell="A6" sqref="A6:D6"/>
    </sheetView>
  </sheetViews>
  <sheetFormatPr defaultRowHeight="15" x14ac:dyDescent="0.25"/>
  <cols>
    <col min="1" max="1" width="14.85546875" customWidth="1"/>
    <col min="2" max="2" width="60.85546875" customWidth="1"/>
    <col min="3" max="3" width="18.28515625" customWidth="1"/>
    <col min="4" max="4" width="16.28515625" customWidth="1"/>
  </cols>
  <sheetData>
    <row r="1" spans="1:11" ht="18.75" x14ac:dyDescent="0.3">
      <c r="A1" s="4"/>
      <c r="B1" s="5"/>
      <c r="C1" s="35"/>
      <c r="D1" s="5"/>
    </row>
    <row r="2" spans="1:11" ht="15.75" customHeight="1" x14ac:dyDescent="0.25">
      <c r="A2" s="256" t="s">
        <v>307</v>
      </c>
      <c r="B2" s="256"/>
      <c r="C2" s="256"/>
      <c r="D2" s="256"/>
    </row>
    <row r="3" spans="1:11" ht="15" customHeight="1" x14ac:dyDescent="0.25">
      <c r="A3" s="4"/>
      <c r="B3" s="4"/>
      <c r="C3" s="273"/>
      <c r="D3" s="274"/>
    </row>
    <row r="4" spans="1:11" ht="15.75" x14ac:dyDescent="0.25">
      <c r="A4" s="186" t="s">
        <v>723</v>
      </c>
      <c r="B4" s="32"/>
      <c r="C4" s="32"/>
      <c r="D4" s="32"/>
    </row>
    <row r="5" spans="1:11" x14ac:dyDescent="0.25">
      <c r="A5" s="4"/>
      <c r="B5" s="33"/>
      <c r="C5" s="33"/>
      <c r="D5" s="9"/>
    </row>
    <row r="6" spans="1:11" ht="32.25" customHeight="1" x14ac:dyDescent="0.25">
      <c r="A6" s="277" t="s">
        <v>1037</v>
      </c>
      <c r="B6" s="277"/>
      <c r="C6" s="277"/>
      <c r="D6" s="277"/>
    </row>
    <row r="7" spans="1:11" ht="17.25" customHeight="1" x14ac:dyDescent="0.25">
      <c r="A7" s="180"/>
      <c r="B7" s="34"/>
      <c r="C7" s="34"/>
      <c r="D7" s="9"/>
      <c r="E7" s="46"/>
      <c r="F7" s="46"/>
      <c r="G7" s="46"/>
      <c r="H7" s="46"/>
      <c r="I7" s="46"/>
      <c r="J7" s="46"/>
      <c r="K7" s="46"/>
    </row>
    <row r="8" spans="1:11" x14ac:dyDescent="0.25">
      <c r="A8" s="270" t="s">
        <v>309</v>
      </c>
      <c r="B8" s="271"/>
      <c r="C8" s="34"/>
      <c r="D8" s="9"/>
    </row>
    <row r="9" spans="1:11" ht="15" customHeight="1" x14ac:dyDescent="0.25">
      <c r="A9" s="183"/>
      <c r="B9" s="184"/>
      <c r="C9" s="34"/>
      <c r="D9" s="9"/>
    </row>
    <row r="10" spans="1:11" ht="15.75" x14ac:dyDescent="0.25">
      <c r="A10" s="251" t="s">
        <v>782</v>
      </c>
      <c r="B10" s="251"/>
      <c r="C10" s="8"/>
      <c r="D10" s="9"/>
    </row>
    <row r="11" spans="1:11" ht="120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11" x14ac:dyDescent="0.25">
      <c r="A12" s="13">
        <v>1</v>
      </c>
      <c r="B12" s="14">
        <v>2</v>
      </c>
      <c r="C12" s="13">
        <v>3</v>
      </c>
      <c r="D12" s="13">
        <v>4</v>
      </c>
    </row>
    <row r="13" spans="1:11" x14ac:dyDescent="0.25">
      <c r="A13" s="15"/>
      <c r="B13" s="22" t="s">
        <v>13</v>
      </c>
      <c r="C13" s="17"/>
      <c r="D13" s="17"/>
    </row>
    <row r="14" spans="1:11" x14ac:dyDescent="0.25">
      <c r="A14" s="37">
        <v>1100</v>
      </c>
      <c r="B14" s="16" t="s">
        <v>14</v>
      </c>
      <c r="C14" s="38"/>
      <c r="D14" s="38"/>
    </row>
    <row r="15" spans="1:11" ht="91.5" customHeight="1" x14ac:dyDescent="0.25">
      <c r="A15" s="18"/>
      <c r="B15" s="157" t="s">
        <v>548</v>
      </c>
      <c r="C15" s="55">
        <f>0.11*30</f>
        <v>3.3</v>
      </c>
      <c r="D15" s="55">
        <f>C15*200</f>
        <v>660</v>
      </c>
    </row>
    <row r="16" spans="1:11" ht="32.25" customHeight="1" x14ac:dyDescent="0.25">
      <c r="A16" s="18">
        <v>1200</v>
      </c>
      <c r="B16" s="158" t="s">
        <v>292</v>
      </c>
      <c r="C16" s="55">
        <f>ROUND(C15*0.2359,2)</f>
        <v>0.78</v>
      </c>
      <c r="D16" s="55">
        <f>C16*200</f>
        <v>156</v>
      </c>
    </row>
    <row r="17" spans="1:4" x14ac:dyDescent="0.25">
      <c r="A17" s="18">
        <v>2341</v>
      </c>
      <c r="B17" s="18" t="s">
        <v>77</v>
      </c>
      <c r="C17" s="19"/>
      <c r="D17" s="19"/>
    </row>
    <row r="18" spans="1:4" ht="100.5" customHeight="1" x14ac:dyDescent="0.25">
      <c r="A18" s="18"/>
      <c r="B18" s="158" t="s">
        <v>549</v>
      </c>
      <c r="C18" s="55">
        <f>8.25+2.22+0.01+0.04+0.11+0.44</f>
        <v>11.069999999999999</v>
      </c>
      <c r="D18" s="55">
        <f>C18*200</f>
        <v>2213.9999999999995</v>
      </c>
    </row>
    <row r="19" spans="1:4" ht="16.5" hidden="1" customHeight="1" x14ac:dyDescent="0.25">
      <c r="A19" s="18"/>
      <c r="B19" s="158" t="s">
        <v>76</v>
      </c>
      <c r="C19" s="36"/>
      <c r="D19" s="55"/>
    </row>
    <row r="20" spans="1:4" x14ac:dyDescent="0.25">
      <c r="A20" s="68"/>
      <c r="B20" s="159" t="s">
        <v>2</v>
      </c>
      <c r="C20" s="71">
        <f>SUM(C14:C18)</f>
        <v>15.149999999999999</v>
      </c>
      <c r="D20" s="71">
        <f>SUM(D14:D18)</f>
        <v>3029.9999999999995</v>
      </c>
    </row>
    <row r="21" spans="1:4" x14ac:dyDescent="0.25">
      <c r="A21" s="18"/>
      <c r="B21" s="160" t="s">
        <v>20</v>
      </c>
      <c r="C21" s="19"/>
      <c r="D21" s="19"/>
    </row>
    <row r="22" spans="1:4" x14ac:dyDescent="0.25">
      <c r="A22" s="18">
        <v>2219</v>
      </c>
      <c r="B22" s="158" t="s">
        <v>3</v>
      </c>
      <c r="C22" s="19"/>
      <c r="D22" s="19"/>
    </row>
    <row r="23" spans="1:4" ht="109.5" customHeight="1" x14ac:dyDescent="0.25">
      <c r="A23" s="18"/>
      <c r="B23" s="158" t="s">
        <v>636</v>
      </c>
      <c r="C23" s="40">
        <f>ROUND(3.18/18154,4)</f>
        <v>2.0000000000000001E-4</v>
      </c>
      <c r="D23" s="55">
        <f>C23*200</f>
        <v>0.04</v>
      </c>
    </row>
    <row r="24" spans="1:4" x14ac:dyDescent="0.25">
      <c r="A24" s="18">
        <v>2221</v>
      </c>
      <c r="B24" s="158" t="s">
        <v>4</v>
      </c>
      <c r="C24" s="19"/>
      <c r="D24" s="19"/>
    </row>
    <row r="25" spans="1:4" ht="59.25" customHeight="1" x14ac:dyDescent="0.25">
      <c r="A25" s="18"/>
      <c r="B25" s="158" t="s">
        <v>635</v>
      </c>
      <c r="C25" s="55">
        <f>ROUND(301.59/18154,4)</f>
        <v>1.66E-2</v>
      </c>
      <c r="D25" s="55">
        <f>C25*200</f>
        <v>3.32</v>
      </c>
    </row>
    <row r="26" spans="1:4" ht="13.5" customHeight="1" x14ac:dyDescent="0.25">
      <c r="A26" s="18">
        <v>2222</v>
      </c>
      <c r="B26" s="158" t="s">
        <v>5</v>
      </c>
      <c r="C26" s="19"/>
      <c r="D26" s="19"/>
    </row>
    <row r="27" spans="1:4" ht="63.75" customHeight="1" x14ac:dyDescent="0.25">
      <c r="A27" s="18"/>
      <c r="B27" s="158" t="s">
        <v>435</v>
      </c>
      <c r="C27" s="36">
        <f>ROUND(31.02/18154,4)</f>
        <v>1.6999999999999999E-3</v>
      </c>
      <c r="D27" s="55">
        <f>C27*200</f>
        <v>0.33999999999999997</v>
      </c>
    </row>
    <row r="28" spans="1:4" x14ac:dyDescent="0.25">
      <c r="A28" s="18">
        <v>2223</v>
      </c>
      <c r="B28" s="18" t="s">
        <v>6</v>
      </c>
      <c r="C28" s="19"/>
      <c r="D28" s="19"/>
    </row>
    <row r="29" spans="1:4" ht="60" x14ac:dyDescent="0.25">
      <c r="A29" s="18"/>
      <c r="B29" s="158" t="s">
        <v>191</v>
      </c>
      <c r="C29" s="55">
        <f>ROUND(538.27/18154,2)</f>
        <v>0.03</v>
      </c>
      <c r="D29" s="55">
        <f>C29*200</f>
        <v>6</v>
      </c>
    </row>
    <row r="30" spans="1:4" x14ac:dyDescent="0.25">
      <c r="A30" s="18">
        <v>2224</v>
      </c>
      <c r="B30" s="158" t="s">
        <v>7</v>
      </c>
      <c r="C30" s="19"/>
      <c r="D30" s="19"/>
    </row>
    <row r="31" spans="1:4" ht="60" customHeight="1" x14ac:dyDescent="0.25">
      <c r="A31" s="18"/>
      <c r="B31" s="158" t="s">
        <v>550</v>
      </c>
      <c r="C31" s="36">
        <f>ROUND(28.86/18154,4)</f>
        <v>1.6000000000000001E-3</v>
      </c>
      <c r="D31" s="55">
        <f>C31*200</f>
        <v>0.32</v>
      </c>
    </row>
    <row r="32" spans="1:4" x14ac:dyDescent="0.25">
      <c r="A32" s="45">
        <v>2231</v>
      </c>
      <c r="B32" s="158" t="s">
        <v>22</v>
      </c>
      <c r="C32" s="36"/>
      <c r="D32" s="19"/>
    </row>
    <row r="33" spans="1:4" ht="205.5" customHeight="1" x14ac:dyDescent="0.25">
      <c r="A33" s="45"/>
      <c r="B33" s="158" t="s">
        <v>632</v>
      </c>
      <c r="C33" s="55">
        <f>ROUND(1201.87/18154,2)</f>
        <v>7.0000000000000007E-2</v>
      </c>
      <c r="D33" s="55">
        <f>C33*200</f>
        <v>14.000000000000002</v>
      </c>
    </row>
    <row r="34" spans="1:4" ht="13.5" customHeight="1" x14ac:dyDescent="0.25">
      <c r="A34" s="45">
        <v>2243</v>
      </c>
      <c r="B34" s="158" t="s">
        <v>132</v>
      </c>
      <c r="C34" s="55"/>
      <c r="D34" s="55"/>
    </row>
    <row r="35" spans="1:4" ht="73.5" customHeight="1" x14ac:dyDescent="0.25">
      <c r="A35" s="45"/>
      <c r="B35" s="158" t="s">
        <v>551</v>
      </c>
      <c r="C35" s="55">
        <f>ROUND(386.87/18154,4)</f>
        <v>2.1299999999999999E-2</v>
      </c>
      <c r="D35" s="55">
        <f>C35*200</f>
        <v>4.26</v>
      </c>
    </row>
    <row r="36" spans="1:4" x14ac:dyDescent="0.25">
      <c r="A36" s="18">
        <v>2244</v>
      </c>
      <c r="B36" s="158" t="s">
        <v>24</v>
      </c>
      <c r="C36" s="19"/>
      <c r="D36" s="19"/>
    </row>
    <row r="37" spans="1:4" ht="60" x14ac:dyDescent="0.25">
      <c r="A37" s="21"/>
      <c r="B37" s="158" t="s">
        <v>193</v>
      </c>
      <c r="C37" s="55">
        <f>ROUND(383.44/18154,3)</f>
        <v>2.1000000000000001E-2</v>
      </c>
      <c r="D37" s="55">
        <f>C37*200</f>
        <v>4.2</v>
      </c>
    </row>
    <row r="38" spans="1:4" ht="65.25" customHeight="1" x14ac:dyDescent="0.25">
      <c r="A38" s="21"/>
      <c r="B38" s="158" t="s">
        <v>552</v>
      </c>
      <c r="C38" s="40">
        <f>ROUND(5.03/18154,4)</f>
        <v>2.9999999999999997E-4</v>
      </c>
      <c r="D38" s="55">
        <f>C38*200</f>
        <v>0.06</v>
      </c>
    </row>
    <row r="39" spans="1:4" x14ac:dyDescent="0.25">
      <c r="A39" s="18">
        <v>2249</v>
      </c>
      <c r="B39" s="158" t="s">
        <v>8</v>
      </c>
      <c r="C39" s="19"/>
      <c r="D39" s="19"/>
    </row>
    <row r="40" spans="1:4" ht="70.5" customHeight="1" x14ac:dyDescent="0.25">
      <c r="A40" s="18"/>
      <c r="B40" s="158" t="s">
        <v>861</v>
      </c>
      <c r="C40" s="36">
        <f>ROUND(9.76/18154,4)</f>
        <v>5.0000000000000001E-4</v>
      </c>
      <c r="D40" s="55">
        <f>C40*200</f>
        <v>0.1</v>
      </c>
    </row>
    <row r="41" spans="1:4" x14ac:dyDescent="0.25">
      <c r="A41" s="18">
        <v>2311</v>
      </c>
      <c r="B41" s="158" t="s">
        <v>9</v>
      </c>
      <c r="C41" s="36"/>
      <c r="D41" s="19"/>
    </row>
    <row r="42" spans="1:4" ht="77.25" customHeight="1" x14ac:dyDescent="0.25">
      <c r="A42" s="18"/>
      <c r="B42" s="158" t="s">
        <v>439</v>
      </c>
      <c r="C42" s="36">
        <f>ROUND(54.99/18154,4)</f>
        <v>3.0000000000000001E-3</v>
      </c>
      <c r="D42" s="55">
        <f>C42*200</f>
        <v>0.6</v>
      </c>
    </row>
    <row r="43" spans="1:4" x14ac:dyDescent="0.25">
      <c r="A43" s="18">
        <v>2350</v>
      </c>
      <c r="B43" s="158" t="s">
        <v>21</v>
      </c>
      <c r="C43" s="36"/>
      <c r="D43" s="19"/>
    </row>
    <row r="44" spans="1:4" ht="108.75" customHeight="1" x14ac:dyDescent="0.25">
      <c r="A44" s="18"/>
      <c r="B44" s="158" t="s">
        <v>460</v>
      </c>
      <c r="C44" s="40">
        <f>ROUND(6.69/18154,4)</f>
        <v>4.0000000000000002E-4</v>
      </c>
      <c r="D44" s="55">
        <f>C44*200</f>
        <v>0.08</v>
      </c>
    </row>
    <row r="45" spans="1:4" ht="15.75" customHeight="1" x14ac:dyDescent="0.25">
      <c r="A45" s="18">
        <v>2513</v>
      </c>
      <c r="B45" s="158" t="s">
        <v>133</v>
      </c>
      <c r="C45" s="40"/>
      <c r="D45" s="55"/>
    </row>
    <row r="46" spans="1:4" ht="63" customHeight="1" x14ac:dyDescent="0.25">
      <c r="A46" s="18"/>
      <c r="B46" s="158" t="s">
        <v>442</v>
      </c>
      <c r="C46" s="36">
        <f>ROUND(9.53/18154,4)</f>
        <v>5.0000000000000001E-4</v>
      </c>
      <c r="D46" s="55">
        <f>C46*200</f>
        <v>0.1</v>
      </c>
    </row>
    <row r="47" spans="1:4" ht="15.75" customHeight="1" x14ac:dyDescent="0.25">
      <c r="A47" s="18">
        <v>5220</v>
      </c>
      <c r="B47" s="158" t="s">
        <v>136</v>
      </c>
      <c r="C47" s="40"/>
      <c r="D47" s="55"/>
    </row>
    <row r="48" spans="1:4" ht="90.75" customHeight="1" x14ac:dyDescent="0.25">
      <c r="A48" s="18"/>
      <c r="B48" s="158" t="s">
        <v>553</v>
      </c>
      <c r="C48" s="36">
        <f>ROUND(25.06/18154,3)</f>
        <v>1E-3</v>
      </c>
      <c r="D48" s="55">
        <f>C48*200</f>
        <v>0.2</v>
      </c>
    </row>
    <row r="49" spans="1:4" ht="18.75" customHeight="1" x14ac:dyDescent="0.25">
      <c r="A49" s="18">
        <v>5238</v>
      </c>
      <c r="B49" s="158" t="s">
        <v>134</v>
      </c>
      <c r="C49" s="40"/>
      <c r="D49" s="55"/>
    </row>
    <row r="50" spans="1:4" ht="63.75" customHeight="1" x14ac:dyDescent="0.25">
      <c r="A50" s="18"/>
      <c r="B50" s="158" t="s">
        <v>461</v>
      </c>
      <c r="C50" s="36">
        <f>ROUND(33.68/18154,4)</f>
        <v>1.9E-3</v>
      </c>
      <c r="D50" s="55">
        <f>C50*200</f>
        <v>0.38</v>
      </c>
    </row>
    <row r="51" spans="1:4" x14ac:dyDescent="0.25">
      <c r="A51" s="68"/>
      <c r="B51" s="72" t="s">
        <v>10</v>
      </c>
      <c r="C51" s="71">
        <f>ROUND(C50+C48+C46+C44+C42+C40+C38+C37+C35+C33+C31+C29+C27+C25+C23,2)</f>
        <v>0.17</v>
      </c>
      <c r="D51" s="71">
        <f>ROUND(D50+D48+D46+D44+D42+D40+D38+D37+D35+D33+D31+D29+D27+D25+D23,2)</f>
        <v>34</v>
      </c>
    </row>
    <row r="52" spans="1:4" x14ac:dyDescent="0.25">
      <c r="A52" s="23"/>
      <c r="B52" s="24" t="s">
        <v>15</v>
      </c>
      <c r="C52" s="52">
        <f>ROUND(C51+C20,2)</f>
        <v>15.32</v>
      </c>
      <c r="D52" s="52">
        <f>D51+D20</f>
        <v>3063.9999999999995</v>
      </c>
    </row>
    <row r="53" spans="1:4" x14ac:dyDescent="0.25">
      <c r="A53" s="25"/>
      <c r="B53" s="26"/>
      <c r="C53" s="27"/>
      <c r="D53" s="27"/>
    </row>
    <row r="54" spans="1:4" x14ac:dyDescent="0.25">
      <c r="A54" s="26"/>
      <c r="B54" s="28"/>
      <c r="C54" s="28"/>
      <c r="D54" s="9"/>
    </row>
    <row r="55" spans="1:4" ht="15" customHeight="1" x14ac:dyDescent="0.25">
      <c r="A55" s="252" t="s">
        <v>16</v>
      </c>
      <c r="B55" s="253"/>
      <c r="C55" s="138">
        <v>200</v>
      </c>
      <c r="D55" s="29"/>
    </row>
    <row r="56" spans="1:4" ht="31.5" customHeight="1" x14ac:dyDescent="0.25">
      <c r="A56" s="254" t="s">
        <v>23</v>
      </c>
      <c r="B56" s="255"/>
      <c r="C56" s="139">
        <f>D52/C55</f>
        <v>15.319999999999999</v>
      </c>
      <c r="D56" s="29"/>
    </row>
    <row r="57" spans="1:4" x14ac:dyDescent="0.25">
      <c r="A57" s="30"/>
      <c r="B57" s="30"/>
      <c r="C57" s="30"/>
      <c r="D57" s="30"/>
    </row>
    <row r="58" spans="1:4" x14ac:dyDescent="0.25">
      <c r="A58" s="30"/>
      <c r="B58" s="30"/>
      <c r="C58" s="30"/>
      <c r="D58" s="152"/>
    </row>
    <row r="59" spans="1:4" x14ac:dyDescent="0.25">
      <c r="A59" s="30"/>
      <c r="B59" s="30"/>
      <c r="C59" s="30"/>
      <c r="D59" s="152"/>
    </row>
    <row r="60" spans="1:4" x14ac:dyDescent="0.25">
      <c r="A60" s="30"/>
      <c r="B60" s="30"/>
      <c r="C60" s="30"/>
      <c r="D60" s="152"/>
    </row>
    <row r="61" spans="1:4" x14ac:dyDescent="0.25">
      <c r="A61" s="30"/>
      <c r="B61" s="30"/>
      <c r="C61" s="30"/>
      <c r="D61" s="30"/>
    </row>
    <row r="62" spans="1:4" x14ac:dyDescent="0.25">
      <c r="A62" s="231"/>
      <c r="B62" s="231"/>
      <c r="C62" s="9"/>
      <c r="D62" s="9"/>
    </row>
    <row r="63" spans="1:4" x14ac:dyDescent="0.25">
      <c r="A63" s="250"/>
      <c r="B63" s="231"/>
      <c r="C63" s="9"/>
      <c r="D63" s="9"/>
    </row>
    <row r="64" spans="1:4" x14ac:dyDescent="0.25">
      <c r="A64" s="154"/>
      <c r="B64" s="9"/>
      <c r="C64" s="31"/>
      <c r="D64" s="9"/>
    </row>
    <row r="65" spans="1:4" x14ac:dyDescent="0.25">
      <c r="A65" s="250"/>
      <c r="B65" s="250"/>
      <c r="C65" s="31"/>
      <c r="D65" s="9"/>
    </row>
  </sheetData>
  <customSheetViews>
    <customSheetView guid="{3046F990-4623-45D5-BDDC-01BD5999DDBC}" scale="60" showPageBreaks="1" fitToPage="1" printArea="1" hiddenRows="1" view="pageBreakPreview">
      <selection activeCell="B53" sqref="B53"/>
      <rowBreaks count="2" manualBreakCount="2">
        <brk id="27" max="3" man="1"/>
        <brk id="44" max="3" man="1"/>
      </rowBreaks>
      <pageMargins left="0.70866141732283472" right="0.70866141732283472" top="0.74803149606299213" bottom="0.74803149606299213" header="0.31496062992125984" footer="0.31496062992125984"/>
      <pageSetup paperSize="9" scale="79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hiddenRows="1" view="pageBreakPreview" topLeftCell="A17">
      <selection activeCell="A63" sqref="A63:B63"/>
      <rowBreaks count="2" manualBreakCount="2">
        <brk id="27" max="3" man="1"/>
        <brk id="44" max="3" man="1"/>
      </rowBreaks>
      <pageMargins left="0.70866141732283472" right="0.70866141732283472" top="0.74803149606299213" bottom="0.74803149606299213" header="0.31496062992125984" footer="0.31496062992125984"/>
      <pageSetup paperSize="9" scale="79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hiddenRows="1" view="pageBreakPreview">
      <selection activeCell="A6" sqref="A6:D6"/>
      <rowBreaks count="2" manualBreakCount="2">
        <brk id="27" max="3" man="1"/>
        <brk id="44" max="3" man="1"/>
      </rowBreaks>
      <pageMargins left="0.70866141732283472" right="0.70866141732283472" top="0.74803149606299213" bottom="0.74803149606299213" header="0.31496062992125984" footer="0.31496062992125984"/>
      <pageSetup paperSize="9" scale="79" fitToHeight="0" orientation="portrait" r:id="rId3"/>
      <headerFooter>
        <oddFooter>&amp;C&amp;P</oddFooter>
      </headerFooter>
    </customSheetView>
  </customSheetViews>
  <mergeCells count="10">
    <mergeCell ref="A65:B65"/>
    <mergeCell ref="A55:B55"/>
    <mergeCell ref="A56:B56"/>
    <mergeCell ref="A2:D2"/>
    <mergeCell ref="A6:D6"/>
    <mergeCell ref="A8:B8"/>
    <mergeCell ref="A10:B10"/>
    <mergeCell ref="C3:D3"/>
    <mergeCell ref="A62:B62"/>
    <mergeCell ref="A63:B63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r:id="rId4"/>
  <headerFooter>
    <oddFooter>&amp;C&amp;P</oddFooter>
  </headerFooter>
  <rowBreaks count="2" manualBreakCount="2">
    <brk id="27" max="3" man="1"/>
    <brk id="44" max="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view="pageBreakPreview" zoomScale="60" zoomScaleNormal="100" workbookViewId="0">
      <selection activeCell="A6" sqref="A6:D6"/>
    </sheetView>
  </sheetViews>
  <sheetFormatPr defaultRowHeight="15" x14ac:dyDescent="0.25"/>
  <cols>
    <col min="1" max="1" width="15.5703125" customWidth="1"/>
    <col min="2" max="2" width="67.5703125" customWidth="1"/>
    <col min="3" max="3" width="15.42578125" customWidth="1"/>
    <col min="4" max="4" width="21.28515625" customWidth="1"/>
  </cols>
  <sheetData>
    <row r="1" spans="1:11" ht="18.75" x14ac:dyDescent="0.3">
      <c r="A1" s="4"/>
      <c r="B1" s="5"/>
      <c r="C1" s="35"/>
      <c r="D1" s="5"/>
    </row>
    <row r="2" spans="1:11" ht="15.75" customHeight="1" x14ac:dyDescent="0.25">
      <c r="A2" s="256" t="s">
        <v>307</v>
      </c>
      <c r="B2" s="256"/>
      <c r="C2" s="256"/>
      <c r="D2" s="256"/>
    </row>
    <row r="3" spans="1:11" ht="15" customHeight="1" x14ac:dyDescent="0.25">
      <c r="A3" s="4"/>
      <c r="B3" s="4"/>
      <c r="C3" s="273"/>
      <c r="D3" s="274"/>
    </row>
    <row r="4" spans="1:11" ht="15.75" x14ac:dyDescent="0.25">
      <c r="A4" s="186" t="s">
        <v>723</v>
      </c>
      <c r="B4" s="32"/>
      <c r="C4" s="32"/>
      <c r="D4" s="32"/>
    </row>
    <row r="5" spans="1:11" x14ac:dyDescent="0.25">
      <c r="A5" s="4"/>
      <c r="B5" s="33"/>
      <c r="C5" s="33"/>
      <c r="D5" s="9"/>
    </row>
    <row r="6" spans="1:11" ht="33.75" customHeight="1" x14ac:dyDescent="0.25">
      <c r="A6" s="277" t="s">
        <v>1038</v>
      </c>
      <c r="B6" s="277"/>
      <c r="C6" s="277"/>
      <c r="D6" s="277"/>
    </row>
    <row r="7" spans="1:11" ht="13.5" customHeight="1" x14ac:dyDescent="0.25">
      <c r="A7" s="180"/>
      <c r="B7" s="34"/>
      <c r="C7" s="34"/>
      <c r="D7" s="9"/>
      <c r="E7" s="47"/>
      <c r="F7" s="47"/>
      <c r="G7" s="47"/>
      <c r="H7" s="47"/>
      <c r="I7" s="47"/>
      <c r="J7" s="47"/>
      <c r="K7" s="47"/>
    </row>
    <row r="8" spans="1:11" x14ac:dyDescent="0.25">
      <c r="A8" s="270" t="s">
        <v>309</v>
      </c>
      <c r="B8" s="271"/>
      <c r="C8" s="34"/>
      <c r="D8" s="9"/>
    </row>
    <row r="9" spans="1:11" ht="15" customHeight="1" x14ac:dyDescent="0.25">
      <c r="A9" s="183"/>
      <c r="B9" s="184"/>
      <c r="C9" s="34"/>
      <c r="D9" s="9"/>
    </row>
    <row r="10" spans="1:11" ht="15.75" x14ac:dyDescent="0.25">
      <c r="A10" s="251" t="s">
        <v>782</v>
      </c>
      <c r="B10" s="251"/>
      <c r="C10" s="8"/>
      <c r="D10" s="9"/>
    </row>
    <row r="11" spans="1:11" ht="96" customHeight="1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11" x14ac:dyDescent="0.25">
      <c r="A12" s="13">
        <v>1</v>
      </c>
      <c r="B12" s="14">
        <v>2</v>
      </c>
      <c r="C12" s="13">
        <v>3</v>
      </c>
      <c r="D12" s="13">
        <v>4</v>
      </c>
    </row>
    <row r="13" spans="1:11" x14ac:dyDescent="0.25">
      <c r="A13" s="15"/>
      <c r="B13" s="22" t="s">
        <v>13</v>
      </c>
      <c r="C13" s="17"/>
      <c r="D13" s="17"/>
    </row>
    <row r="14" spans="1:11" x14ac:dyDescent="0.25">
      <c r="A14" s="37">
        <v>1100</v>
      </c>
      <c r="B14" s="16" t="s">
        <v>14</v>
      </c>
      <c r="C14" s="38"/>
      <c r="D14" s="38"/>
    </row>
    <row r="15" spans="1:11" ht="85.5" customHeight="1" x14ac:dyDescent="0.25">
      <c r="A15" s="18"/>
      <c r="B15" s="157" t="s">
        <v>207</v>
      </c>
      <c r="C15" s="55">
        <f>0.11*30</f>
        <v>3.3</v>
      </c>
      <c r="D15" s="55">
        <f>C15*200</f>
        <v>660</v>
      </c>
      <c r="K15" t="s">
        <v>203</v>
      </c>
    </row>
    <row r="16" spans="1:11" ht="32.25" customHeight="1" x14ac:dyDescent="0.25">
      <c r="A16" s="18">
        <v>1200</v>
      </c>
      <c r="B16" s="158" t="s">
        <v>286</v>
      </c>
      <c r="C16" s="55">
        <f>ROUND(C15*0.2359,2)</f>
        <v>0.78</v>
      </c>
      <c r="D16" s="55">
        <f>C16*200</f>
        <v>156</v>
      </c>
    </row>
    <row r="17" spans="1:4" x14ac:dyDescent="0.25">
      <c r="A17" s="18">
        <v>2341</v>
      </c>
      <c r="B17" s="18" t="s">
        <v>77</v>
      </c>
      <c r="C17" s="19"/>
      <c r="D17" s="19"/>
    </row>
    <row r="18" spans="1:4" ht="81.75" customHeight="1" x14ac:dyDescent="0.25">
      <c r="A18" s="18"/>
      <c r="B18" s="158" t="s">
        <v>554</v>
      </c>
      <c r="C18" s="55">
        <f>4.13+1.11+0.01+0.04+0.06+0.24</f>
        <v>5.59</v>
      </c>
      <c r="D18" s="55">
        <f>C18*200</f>
        <v>1118</v>
      </c>
    </row>
    <row r="19" spans="1:4" ht="15" hidden="1" customHeight="1" x14ac:dyDescent="0.25">
      <c r="A19" s="18"/>
      <c r="B19" s="158" t="s">
        <v>76</v>
      </c>
      <c r="C19" s="36"/>
      <c r="D19" s="55"/>
    </row>
    <row r="20" spans="1:4" x14ac:dyDescent="0.25">
      <c r="A20" s="68"/>
      <c r="B20" s="159" t="s">
        <v>2</v>
      </c>
      <c r="C20" s="71">
        <f>SUM(C14:C18)</f>
        <v>9.67</v>
      </c>
      <c r="D20" s="71">
        <f>SUM(D14:D18)</f>
        <v>1934</v>
      </c>
    </row>
    <row r="21" spans="1:4" x14ac:dyDescent="0.25">
      <c r="A21" s="18"/>
      <c r="B21" s="160" t="s">
        <v>20</v>
      </c>
      <c r="C21" s="19"/>
      <c r="D21" s="19"/>
    </row>
    <row r="22" spans="1:4" x14ac:dyDescent="0.25">
      <c r="A22" s="18">
        <v>2219</v>
      </c>
      <c r="B22" s="158" t="s">
        <v>3</v>
      </c>
      <c r="C22" s="19"/>
      <c r="D22" s="19"/>
    </row>
    <row r="23" spans="1:4" ht="100.5" customHeight="1" x14ac:dyDescent="0.25">
      <c r="A23" s="18"/>
      <c r="B23" s="158" t="s">
        <v>634</v>
      </c>
      <c r="C23" s="40">
        <f>ROUND(3.18/18154,4)</f>
        <v>2.0000000000000001E-4</v>
      </c>
      <c r="D23" s="55">
        <f>C23*200</f>
        <v>0.04</v>
      </c>
    </row>
    <row r="24" spans="1:4" x14ac:dyDescent="0.25">
      <c r="A24" s="18">
        <v>2221</v>
      </c>
      <c r="B24" s="158" t="s">
        <v>4</v>
      </c>
      <c r="C24" s="19"/>
      <c r="D24" s="19"/>
    </row>
    <row r="25" spans="1:4" ht="57" customHeight="1" x14ac:dyDescent="0.25">
      <c r="A25" s="18"/>
      <c r="B25" s="158" t="s">
        <v>633</v>
      </c>
      <c r="C25" s="55">
        <f>ROUND(301.59/18154,4)</f>
        <v>1.66E-2</v>
      </c>
      <c r="D25" s="55">
        <f>C25*200</f>
        <v>3.32</v>
      </c>
    </row>
    <row r="26" spans="1:4" ht="15" customHeight="1" x14ac:dyDescent="0.25">
      <c r="A26" s="18">
        <v>2222</v>
      </c>
      <c r="B26" s="158" t="s">
        <v>5</v>
      </c>
      <c r="C26" s="19"/>
      <c r="D26" s="19"/>
    </row>
    <row r="27" spans="1:4" ht="62.25" customHeight="1" x14ac:dyDescent="0.25">
      <c r="A27" s="18"/>
      <c r="B27" s="158" t="s">
        <v>435</v>
      </c>
      <c r="C27" s="36">
        <f>ROUND(31.02/18154,4)</f>
        <v>1.6999999999999999E-3</v>
      </c>
      <c r="D27" s="55">
        <f>C27*200</f>
        <v>0.33999999999999997</v>
      </c>
    </row>
    <row r="28" spans="1:4" x14ac:dyDescent="0.25">
      <c r="A28" s="18">
        <v>2223</v>
      </c>
      <c r="B28" s="18" t="s">
        <v>6</v>
      </c>
      <c r="C28" s="19"/>
      <c r="D28" s="19"/>
    </row>
    <row r="29" spans="1:4" ht="54" customHeight="1" x14ac:dyDescent="0.25">
      <c r="A29" s="18"/>
      <c r="B29" s="158" t="s">
        <v>191</v>
      </c>
      <c r="C29" s="55">
        <f>ROUND(538.27/18154,2)</f>
        <v>0.03</v>
      </c>
      <c r="D29" s="55">
        <f>C29*200</f>
        <v>6</v>
      </c>
    </row>
    <row r="30" spans="1:4" x14ac:dyDescent="0.25">
      <c r="A30" s="18">
        <v>2224</v>
      </c>
      <c r="B30" s="158" t="s">
        <v>7</v>
      </c>
      <c r="C30" s="19"/>
      <c r="D30" s="19"/>
    </row>
    <row r="31" spans="1:4" ht="57.75" customHeight="1" x14ac:dyDescent="0.25">
      <c r="A31" s="18"/>
      <c r="B31" s="158" t="s">
        <v>192</v>
      </c>
      <c r="C31" s="36">
        <f>ROUND(28.86/18154,4)</f>
        <v>1.6000000000000001E-3</v>
      </c>
      <c r="D31" s="55">
        <f>C31*200</f>
        <v>0.32</v>
      </c>
    </row>
    <row r="32" spans="1:4" x14ac:dyDescent="0.25">
      <c r="A32" s="45">
        <v>2231</v>
      </c>
      <c r="B32" s="158" t="s">
        <v>22</v>
      </c>
      <c r="C32" s="36"/>
      <c r="D32" s="19"/>
    </row>
    <row r="33" spans="1:4" ht="181.5" customHeight="1" x14ac:dyDescent="0.25">
      <c r="A33" s="45"/>
      <c r="B33" s="158" t="s">
        <v>632</v>
      </c>
      <c r="C33" s="55">
        <f>ROUND(1201.87/18154,2)</f>
        <v>7.0000000000000007E-2</v>
      </c>
      <c r="D33" s="55">
        <f>C33*200</f>
        <v>14.000000000000002</v>
      </c>
    </row>
    <row r="34" spans="1:4" ht="16.5" customHeight="1" x14ac:dyDescent="0.25">
      <c r="A34" s="45">
        <v>2243</v>
      </c>
      <c r="B34" s="158" t="s">
        <v>132</v>
      </c>
      <c r="C34" s="55"/>
      <c r="D34" s="55"/>
    </row>
    <row r="35" spans="1:4" ht="59.25" customHeight="1" x14ac:dyDescent="0.25">
      <c r="A35" s="45"/>
      <c r="B35" s="158" t="s">
        <v>438</v>
      </c>
      <c r="C35" s="55">
        <f>ROUND(386.87/18154,4)</f>
        <v>2.1299999999999999E-2</v>
      </c>
      <c r="D35" s="55">
        <f>C35*200</f>
        <v>4.26</v>
      </c>
    </row>
    <row r="36" spans="1:4" x14ac:dyDescent="0.25">
      <c r="A36" s="18">
        <v>2244</v>
      </c>
      <c r="B36" s="158" t="s">
        <v>24</v>
      </c>
      <c r="C36" s="19"/>
      <c r="D36" s="19"/>
    </row>
    <row r="37" spans="1:4" ht="61.5" customHeight="1" x14ac:dyDescent="0.25">
      <c r="A37" s="21"/>
      <c r="B37" s="158" t="s">
        <v>193</v>
      </c>
      <c r="C37" s="55">
        <f>ROUND(383.44/18154,3)</f>
        <v>2.1000000000000001E-2</v>
      </c>
      <c r="D37" s="55">
        <f>C37*200</f>
        <v>4.2</v>
      </c>
    </row>
    <row r="38" spans="1:4" ht="60.75" customHeight="1" x14ac:dyDescent="0.25">
      <c r="A38" s="21"/>
      <c r="B38" s="158" t="s">
        <v>552</v>
      </c>
      <c r="C38" s="40">
        <f>ROUND(5.03/18154,4)</f>
        <v>2.9999999999999997E-4</v>
      </c>
      <c r="D38" s="55">
        <f>C38*200</f>
        <v>0.06</v>
      </c>
    </row>
    <row r="39" spans="1:4" x14ac:dyDescent="0.25">
      <c r="A39" s="18">
        <v>2249</v>
      </c>
      <c r="B39" s="158" t="s">
        <v>8</v>
      </c>
      <c r="C39" s="19"/>
      <c r="D39" s="19"/>
    </row>
    <row r="40" spans="1:4" ht="57.75" customHeight="1" x14ac:dyDescent="0.25">
      <c r="A40" s="18"/>
      <c r="B40" s="158" t="s">
        <v>555</v>
      </c>
      <c r="C40" s="36">
        <f>ROUND(9.76/18154,4)</f>
        <v>5.0000000000000001E-4</v>
      </c>
      <c r="D40" s="55">
        <f>C40*200</f>
        <v>0.1</v>
      </c>
    </row>
    <row r="41" spans="1:4" x14ac:dyDescent="0.25">
      <c r="A41" s="18">
        <v>2311</v>
      </c>
      <c r="B41" s="158" t="s">
        <v>9</v>
      </c>
      <c r="C41" s="36"/>
      <c r="D41" s="19"/>
    </row>
    <row r="42" spans="1:4" ht="60.75" customHeight="1" x14ac:dyDescent="0.25">
      <c r="A42" s="18"/>
      <c r="B42" s="158" t="s">
        <v>439</v>
      </c>
      <c r="C42" s="36">
        <f>ROUND(54.99/18154,4)</f>
        <v>3.0000000000000001E-3</v>
      </c>
      <c r="D42" s="55">
        <f>C42*200</f>
        <v>0.6</v>
      </c>
    </row>
    <row r="43" spans="1:4" ht="15" customHeight="1" x14ac:dyDescent="0.25">
      <c r="A43" s="18">
        <v>2350</v>
      </c>
      <c r="B43" s="158" t="s">
        <v>21</v>
      </c>
      <c r="C43" s="36"/>
      <c r="D43" s="19"/>
    </row>
    <row r="44" spans="1:4" ht="103.5" customHeight="1" x14ac:dyDescent="0.25">
      <c r="A44" s="18"/>
      <c r="B44" s="158" t="s">
        <v>460</v>
      </c>
      <c r="C44" s="40">
        <f>ROUND(6.69/18154,4)</f>
        <v>4.0000000000000002E-4</v>
      </c>
      <c r="D44" s="55">
        <f>C44*200</f>
        <v>0.08</v>
      </c>
    </row>
    <row r="45" spans="1:4" ht="18" customHeight="1" x14ac:dyDescent="0.25">
      <c r="A45" s="18">
        <v>2513</v>
      </c>
      <c r="B45" s="158" t="s">
        <v>133</v>
      </c>
      <c r="C45" s="40"/>
      <c r="D45" s="55"/>
    </row>
    <row r="46" spans="1:4" ht="57.75" customHeight="1" x14ac:dyDescent="0.25">
      <c r="A46" s="18"/>
      <c r="B46" s="158" t="s">
        <v>442</v>
      </c>
      <c r="C46" s="36">
        <f>ROUND(9.53/18154,4)</f>
        <v>5.0000000000000001E-4</v>
      </c>
      <c r="D46" s="55">
        <f>C46*200</f>
        <v>0.1</v>
      </c>
    </row>
    <row r="47" spans="1:4" ht="15.75" customHeight="1" x14ac:dyDescent="0.25">
      <c r="A47" s="18">
        <v>5220</v>
      </c>
      <c r="B47" s="158" t="s">
        <v>136</v>
      </c>
      <c r="C47" s="40"/>
      <c r="D47" s="55"/>
    </row>
    <row r="48" spans="1:4" ht="73.5" customHeight="1" x14ac:dyDescent="0.25">
      <c r="A48" s="18"/>
      <c r="B48" s="158" t="s">
        <v>556</v>
      </c>
      <c r="C48" s="36">
        <f>ROUND(25.06/18154,3)</f>
        <v>1E-3</v>
      </c>
      <c r="D48" s="55">
        <f>C48*200</f>
        <v>0.2</v>
      </c>
    </row>
    <row r="49" spans="1:4" ht="16.5" customHeight="1" x14ac:dyDescent="0.25">
      <c r="A49" s="18">
        <v>5238</v>
      </c>
      <c r="B49" s="158" t="s">
        <v>134</v>
      </c>
      <c r="C49" s="40"/>
      <c r="D49" s="55"/>
    </row>
    <row r="50" spans="1:4" ht="62.25" customHeight="1" x14ac:dyDescent="0.25">
      <c r="A50" s="18"/>
      <c r="B50" s="158" t="s">
        <v>461</v>
      </c>
      <c r="C50" s="36">
        <f>ROUND(33.68/18154,4)</f>
        <v>1.9E-3</v>
      </c>
      <c r="D50" s="55">
        <f>C50*200</f>
        <v>0.38</v>
      </c>
    </row>
    <row r="51" spans="1:4" x14ac:dyDescent="0.25">
      <c r="A51" s="68"/>
      <c r="B51" s="72" t="s">
        <v>10</v>
      </c>
      <c r="C51" s="71">
        <f>ROUND(C50+C48+C46+C44+C42+C40+C38+C37+C35+C33+C31+C29+C27+C25+C23,2)</f>
        <v>0.17</v>
      </c>
      <c r="D51" s="71">
        <f>ROUND(D50+D48+D46+D44+D42+D40+D38+D37+D35+D33+D31+D29+D27+D25+D23,2)</f>
        <v>34</v>
      </c>
    </row>
    <row r="52" spans="1:4" x14ac:dyDescent="0.25">
      <c r="A52" s="23"/>
      <c r="B52" s="24" t="s">
        <v>15</v>
      </c>
      <c r="C52" s="52">
        <f>ROUND(C51+C20,2)</f>
        <v>9.84</v>
      </c>
      <c r="D52" s="52">
        <f>D51+D20</f>
        <v>1968</v>
      </c>
    </row>
    <row r="53" spans="1:4" x14ac:dyDescent="0.25">
      <c r="A53" s="25"/>
      <c r="B53" s="26"/>
      <c r="C53" s="27"/>
      <c r="D53" s="27"/>
    </row>
    <row r="54" spans="1:4" x14ac:dyDescent="0.25">
      <c r="A54" s="26"/>
      <c r="B54" s="28"/>
      <c r="C54" s="28"/>
      <c r="D54" s="9"/>
    </row>
    <row r="55" spans="1:4" ht="15" customHeight="1" x14ac:dyDescent="0.25">
      <c r="A55" s="252" t="s">
        <v>23</v>
      </c>
      <c r="B55" s="253"/>
      <c r="C55" s="138">
        <v>200</v>
      </c>
      <c r="D55" s="29"/>
    </row>
    <row r="56" spans="1:4" ht="33.75" customHeight="1" x14ac:dyDescent="0.25">
      <c r="A56" s="254" t="s">
        <v>23</v>
      </c>
      <c r="B56" s="255"/>
      <c r="C56" s="139">
        <f>D52/C55</f>
        <v>9.84</v>
      </c>
      <c r="D56" s="29"/>
    </row>
    <row r="57" spans="1:4" x14ac:dyDescent="0.25">
      <c r="A57" s="30"/>
      <c r="B57" s="30"/>
      <c r="C57" s="30"/>
      <c r="D57" s="30"/>
    </row>
    <row r="58" spans="1:4" x14ac:dyDescent="0.25">
      <c r="A58" s="30"/>
      <c r="B58" s="30"/>
      <c r="C58" s="30"/>
      <c r="D58" s="152"/>
    </row>
    <row r="59" spans="1:4" x14ac:dyDescent="0.25">
      <c r="A59" s="30"/>
      <c r="B59" s="30"/>
      <c r="C59" s="30"/>
      <c r="D59" s="152"/>
    </row>
    <row r="60" spans="1:4" x14ac:dyDescent="0.25">
      <c r="A60" s="30"/>
      <c r="B60" s="30"/>
      <c r="C60" s="30"/>
      <c r="D60" s="152"/>
    </row>
    <row r="61" spans="1:4" x14ac:dyDescent="0.25">
      <c r="A61" s="30"/>
      <c r="B61" s="30"/>
      <c r="C61" s="30"/>
      <c r="D61" s="30"/>
    </row>
    <row r="62" spans="1:4" x14ac:dyDescent="0.25">
      <c r="A62" s="231"/>
      <c r="B62" s="231"/>
      <c r="C62" s="9"/>
      <c r="D62" s="9"/>
    </row>
    <row r="63" spans="1:4" x14ac:dyDescent="0.25">
      <c r="A63" s="250"/>
      <c r="B63" s="231"/>
      <c r="C63" s="9"/>
      <c r="D63" s="9"/>
    </row>
    <row r="64" spans="1:4" x14ac:dyDescent="0.25">
      <c r="A64" s="154"/>
      <c r="B64" s="9"/>
      <c r="C64" s="31"/>
      <c r="D64" s="9"/>
    </row>
    <row r="65" spans="1:4" x14ac:dyDescent="0.25">
      <c r="A65" s="250"/>
      <c r="B65" s="250"/>
      <c r="C65" s="31"/>
      <c r="D65" s="9"/>
    </row>
  </sheetData>
  <customSheetViews>
    <customSheetView guid="{3046F990-4623-45D5-BDDC-01BD5999DDBC}" scale="60" showPageBreaks="1" fitToPage="1" printArea="1" hiddenRows="1" view="pageBreakPreview">
      <selection activeCell="B53" sqref="B53"/>
      <rowBreaks count="1" manualBreakCount="1">
        <brk id="31" max="3" man="1"/>
      </rowBreaks>
      <pageMargins left="0.70866141732283472" right="0.70866141732283472" top="0.74803149606299213" bottom="0.74803149606299213" header="0.31496062992125984" footer="0.31496062992125984"/>
      <pageSetup paperSize="9" scale="72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hiddenRows="1" view="pageBreakPreview" topLeftCell="A26">
      <selection activeCell="B50" sqref="B50"/>
      <rowBreaks count="1" manualBreakCount="1">
        <brk id="31" max="3" man="1"/>
      </rowBreaks>
      <pageMargins left="0.70866141732283472" right="0.70866141732283472" top="0.74803149606299213" bottom="0.74803149606299213" header="0.31496062992125984" footer="0.31496062992125984"/>
      <pageSetup paperSize="9" scale="72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hiddenRows="1" view="pageBreakPreview">
      <selection activeCell="A6" sqref="A6:D6"/>
      <rowBreaks count="1" manualBreakCount="1">
        <brk id="31" max="3" man="1"/>
      </rowBreaks>
      <pageMargins left="0.70866141732283472" right="0.70866141732283472" top="0.74803149606299213" bottom="0.74803149606299213" header="0.31496062992125984" footer="0.31496062992125984"/>
      <pageSetup paperSize="9" scale="73" fitToHeight="0" orientation="portrait" r:id="rId3"/>
      <headerFooter>
        <oddFooter>&amp;C&amp;P</oddFooter>
      </headerFooter>
    </customSheetView>
  </customSheetViews>
  <mergeCells count="10">
    <mergeCell ref="A63:B63"/>
    <mergeCell ref="A65:B65"/>
    <mergeCell ref="A56:B56"/>
    <mergeCell ref="C3:D3"/>
    <mergeCell ref="A55:B55"/>
    <mergeCell ref="A2:D2"/>
    <mergeCell ref="A6:D6"/>
    <mergeCell ref="A8:B8"/>
    <mergeCell ref="A10:B10"/>
    <mergeCell ref="A62:B62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4"/>
  <headerFooter>
    <oddFooter>&amp;C&amp;P</oddFooter>
  </headerFooter>
  <rowBreaks count="1" manualBreakCount="1">
    <brk id="31" max="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view="pageBreakPreview" zoomScale="60" zoomScaleNormal="100" workbookViewId="0">
      <selection activeCell="A6" sqref="A6:D6"/>
    </sheetView>
  </sheetViews>
  <sheetFormatPr defaultRowHeight="15" x14ac:dyDescent="0.25"/>
  <cols>
    <col min="1" max="1" width="13.85546875" customWidth="1"/>
    <col min="2" max="2" width="74.42578125" customWidth="1"/>
    <col min="3" max="3" width="16.7109375" customWidth="1"/>
    <col min="4" max="4" width="16.42578125" customWidth="1"/>
  </cols>
  <sheetData>
    <row r="1" spans="1:11" ht="18.75" x14ac:dyDescent="0.3">
      <c r="A1" s="4"/>
      <c r="B1" s="5"/>
      <c r="C1" s="35"/>
      <c r="D1" s="5"/>
    </row>
    <row r="2" spans="1:11" ht="15.75" customHeight="1" x14ac:dyDescent="0.25">
      <c r="A2" s="256" t="s">
        <v>307</v>
      </c>
      <c r="B2" s="256"/>
      <c r="C2" s="256"/>
      <c r="D2" s="256"/>
      <c r="E2" s="187"/>
    </row>
    <row r="3" spans="1:11" ht="15" customHeight="1" x14ac:dyDescent="0.25">
      <c r="A3" s="4"/>
      <c r="B3" s="4"/>
      <c r="C3" s="191"/>
      <c r="D3" s="191"/>
      <c r="E3" s="185"/>
    </row>
    <row r="4" spans="1:11" ht="15.75" x14ac:dyDescent="0.25">
      <c r="A4" s="186" t="s">
        <v>723</v>
      </c>
      <c r="B4" s="32"/>
      <c r="C4" s="32"/>
      <c r="D4" s="32"/>
      <c r="E4" s="32"/>
    </row>
    <row r="5" spans="1:11" x14ac:dyDescent="0.25">
      <c r="A5" s="4"/>
      <c r="B5" s="33"/>
      <c r="C5" s="33"/>
      <c r="D5" s="33"/>
      <c r="E5" s="9"/>
    </row>
    <row r="6" spans="1:11" ht="19.5" customHeight="1" x14ac:dyDescent="0.25">
      <c r="A6" s="277" t="s">
        <v>1039</v>
      </c>
      <c r="B6" s="277"/>
      <c r="C6" s="277"/>
      <c r="D6" s="277"/>
      <c r="E6" s="190"/>
    </row>
    <row r="7" spans="1:11" ht="15" customHeight="1" x14ac:dyDescent="0.25">
      <c r="A7" s="180"/>
      <c r="B7" s="34"/>
      <c r="C7" s="34"/>
      <c r="D7" s="34"/>
      <c r="E7" s="9"/>
      <c r="F7" s="46"/>
      <c r="G7" s="46"/>
      <c r="H7" s="46"/>
      <c r="I7" s="46"/>
      <c r="J7" s="46"/>
      <c r="K7" s="46"/>
    </row>
    <row r="8" spans="1:11" x14ac:dyDescent="0.25">
      <c r="A8" s="270" t="s">
        <v>309</v>
      </c>
      <c r="B8" s="271"/>
      <c r="C8" s="34"/>
      <c r="D8" s="34"/>
      <c r="E8" s="9"/>
    </row>
    <row r="9" spans="1:11" ht="15" customHeight="1" x14ac:dyDescent="0.25">
      <c r="A9" s="183"/>
      <c r="B9" s="184"/>
      <c r="C9" s="34"/>
      <c r="D9" s="34"/>
      <c r="E9" s="9"/>
    </row>
    <row r="10" spans="1:11" ht="15" hidden="1" customHeight="1" x14ac:dyDescent="0.25">
      <c r="A10" s="251" t="s">
        <v>782</v>
      </c>
      <c r="B10" s="251"/>
      <c r="C10" s="8"/>
      <c r="D10" s="8"/>
      <c r="E10" s="9"/>
    </row>
    <row r="11" spans="1:11" ht="15.75" x14ac:dyDescent="0.25">
      <c r="A11" s="251" t="s">
        <v>727</v>
      </c>
      <c r="B11" s="251"/>
      <c r="C11" s="8"/>
      <c r="D11" s="9"/>
    </row>
    <row r="12" spans="1:11" ht="120" x14ac:dyDescent="0.25">
      <c r="A12" s="12" t="s">
        <v>0</v>
      </c>
      <c r="B12" s="12" t="s">
        <v>1</v>
      </c>
      <c r="C12" s="12" t="s">
        <v>83</v>
      </c>
      <c r="D12" s="12" t="s">
        <v>18</v>
      </c>
    </row>
    <row r="13" spans="1:11" x14ac:dyDescent="0.25">
      <c r="A13" s="13">
        <v>1</v>
      </c>
      <c r="B13" s="14">
        <v>2</v>
      </c>
      <c r="C13" s="13">
        <v>3</v>
      </c>
      <c r="D13" s="13">
        <v>4</v>
      </c>
    </row>
    <row r="14" spans="1:11" x14ac:dyDescent="0.25">
      <c r="A14" s="15"/>
      <c r="B14" s="22" t="s">
        <v>13</v>
      </c>
      <c r="C14" s="17"/>
      <c r="D14" s="17"/>
    </row>
    <row r="15" spans="1:11" x14ac:dyDescent="0.25">
      <c r="A15" s="37">
        <v>1100</v>
      </c>
      <c r="B15" s="16" t="s">
        <v>14</v>
      </c>
      <c r="C15" s="38"/>
      <c r="D15" s="17"/>
    </row>
    <row r="16" spans="1:11" ht="85.5" customHeight="1" x14ac:dyDescent="0.25">
      <c r="A16" s="18"/>
      <c r="B16" s="157" t="s">
        <v>557</v>
      </c>
      <c r="C16" s="55">
        <f>0.11*80</f>
        <v>8.8000000000000007</v>
      </c>
      <c r="D16" s="55">
        <f>C16*10</f>
        <v>88</v>
      </c>
    </row>
    <row r="17" spans="1:4" ht="34.5" customHeight="1" x14ac:dyDescent="0.25">
      <c r="A17" s="18">
        <v>1200</v>
      </c>
      <c r="B17" s="158" t="s">
        <v>558</v>
      </c>
      <c r="C17" s="55">
        <f>ROUND(C16*0.2359,2)</f>
        <v>2.08</v>
      </c>
      <c r="D17" s="55">
        <f>C17*10</f>
        <v>20.8</v>
      </c>
    </row>
    <row r="18" spans="1:4" x14ac:dyDescent="0.25">
      <c r="A18" s="18">
        <v>2341</v>
      </c>
      <c r="B18" s="18" t="s">
        <v>77</v>
      </c>
      <c r="C18" s="19"/>
      <c r="D18" s="19"/>
    </row>
    <row r="19" spans="1:4" ht="53.25" customHeight="1" x14ac:dyDescent="0.25">
      <c r="A19" s="18"/>
      <c r="B19" s="158" t="s">
        <v>559</v>
      </c>
      <c r="C19" s="55">
        <f>0.04+0.1+0.08</f>
        <v>0.22000000000000003</v>
      </c>
      <c r="D19" s="55">
        <f>C19*10</f>
        <v>2.2000000000000002</v>
      </c>
    </row>
    <row r="20" spans="1:4" x14ac:dyDescent="0.25">
      <c r="A20" s="68"/>
      <c r="B20" s="159" t="s">
        <v>2</v>
      </c>
      <c r="C20" s="71">
        <f>SUM(C15:C19)</f>
        <v>11.100000000000001</v>
      </c>
      <c r="D20" s="71">
        <f>SUM(D15:D19)</f>
        <v>111</v>
      </c>
    </row>
    <row r="21" spans="1:4" x14ac:dyDescent="0.25">
      <c r="A21" s="18"/>
      <c r="B21" s="160" t="s">
        <v>20</v>
      </c>
      <c r="C21" s="19"/>
      <c r="D21" s="19"/>
    </row>
    <row r="22" spans="1:4" x14ac:dyDescent="0.25">
      <c r="A22" s="18">
        <v>2219</v>
      </c>
      <c r="B22" s="158" t="s">
        <v>3</v>
      </c>
      <c r="C22" s="19"/>
      <c r="D22" s="19"/>
    </row>
    <row r="23" spans="1:4" ht="89.25" customHeight="1" x14ac:dyDescent="0.25">
      <c r="A23" s="18"/>
      <c r="B23" s="158" t="s">
        <v>623</v>
      </c>
      <c r="C23" s="40">
        <f>ROUND(3.18/18154,4)</f>
        <v>2.0000000000000001E-4</v>
      </c>
      <c r="D23" s="36">
        <f>C23*10</f>
        <v>2E-3</v>
      </c>
    </row>
    <row r="24" spans="1:4" x14ac:dyDescent="0.25">
      <c r="A24" s="18">
        <v>2221</v>
      </c>
      <c r="B24" s="158" t="s">
        <v>4</v>
      </c>
      <c r="C24" s="19"/>
      <c r="D24" s="19"/>
    </row>
    <row r="25" spans="1:4" ht="48.75" customHeight="1" x14ac:dyDescent="0.25">
      <c r="A25" s="18"/>
      <c r="B25" s="158" t="s">
        <v>626</v>
      </c>
      <c r="C25" s="55">
        <f>ROUND(301.59/18154,4)</f>
        <v>1.66E-2</v>
      </c>
      <c r="D25" s="55">
        <f>C25*10</f>
        <v>0.16600000000000001</v>
      </c>
    </row>
    <row r="26" spans="1:4" ht="16.5" customHeight="1" x14ac:dyDescent="0.25">
      <c r="A26" s="18">
        <v>2222</v>
      </c>
      <c r="B26" s="158" t="s">
        <v>5</v>
      </c>
      <c r="C26" s="19"/>
      <c r="D26" s="19"/>
    </row>
    <row r="27" spans="1:4" ht="48" customHeight="1" x14ac:dyDescent="0.25">
      <c r="A27" s="18"/>
      <c r="B27" s="158" t="s">
        <v>560</v>
      </c>
      <c r="C27" s="36">
        <f>ROUND(31.02/18154,4)</f>
        <v>1.6999999999999999E-3</v>
      </c>
      <c r="D27" s="55">
        <f>C27*10</f>
        <v>1.6999999999999998E-2</v>
      </c>
    </row>
    <row r="28" spans="1:4" x14ac:dyDescent="0.25">
      <c r="A28" s="18">
        <v>2223</v>
      </c>
      <c r="B28" s="18" t="s">
        <v>6</v>
      </c>
      <c r="C28" s="19"/>
      <c r="D28" s="19"/>
    </row>
    <row r="29" spans="1:4" ht="47.25" customHeight="1" x14ac:dyDescent="0.25">
      <c r="A29" s="18"/>
      <c r="B29" s="158" t="s">
        <v>194</v>
      </c>
      <c r="C29" s="55">
        <f>ROUND(538.27/18154,2)</f>
        <v>0.03</v>
      </c>
      <c r="D29" s="55">
        <f>C29*10</f>
        <v>0.3</v>
      </c>
    </row>
    <row r="30" spans="1:4" x14ac:dyDescent="0.25">
      <c r="A30" s="18">
        <v>2224</v>
      </c>
      <c r="B30" s="158" t="s">
        <v>7</v>
      </c>
      <c r="C30" s="19"/>
      <c r="D30" s="19"/>
    </row>
    <row r="31" spans="1:4" ht="61.5" customHeight="1" x14ac:dyDescent="0.25">
      <c r="A31" s="18"/>
      <c r="B31" s="158" t="s">
        <v>524</v>
      </c>
      <c r="C31" s="36">
        <f>ROUND(28.86/18154,4)</f>
        <v>1.6000000000000001E-3</v>
      </c>
      <c r="D31" s="55">
        <f>C31*10</f>
        <v>1.6E-2</v>
      </c>
    </row>
    <row r="32" spans="1:4" x14ac:dyDescent="0.25">
      <c r="A32" s="45">
        <v>2231</v>
      </c>
      <c r="B32" s="158" t="s">
        <v>22</v>
      </c>
      <c r="C32" s="36"/>
      <c r="D32" s="19"/>
    </row>
    <row r="33" spans="1:5" ht="171.75" customHeight="1" x14ac:dyDescent="0.25">
      <c r="A33" s="45"/>
      <c r="B33" s="158" t="s">
        <v>449</v>
      </c>
      <c r="C33" s="55">
        <f>ROUND(1201.87/18154,2)</f>
        <v>7.0000000000000007E-2</v>
      </c>
      <c r="D33" s="55">
        <f>C33*10</f>
        <v>0.70000000000000007</v>
      </c>
    </row>
    <row r="34" spans="1:5" ht="15.75" customHeight="1" x14ac:dyDescent="0.25">
      <c r="A34" s="45">
        <v>2243</v>
      </c>
      <c r="B34" s="158" t="s">
        <v>132</v>
      </c>
      <c r="C34" s="55"/>
      <c r="D34" s="132"/>
      <c r="E34" s="125"/>
    </row>
    <row r="35" spans="1:5" ht="66" customHeight="1" x14ac:dyDescent="0.25">
      <c r="A35" s="45"/>
      <c r="B35" s="158" t="s">
        <v>561</v>
      </c>
      <c r="C35" s="55">
        <f>ROUND(386.87/18154,4)</f>
        <v>2.1299999999999999E-2</v>
      </c>
      <c r="D35" s="133">
        <f>C35*10</f>
        <v>0.21299999999999999</v>
      </c>
      <c r="E35" s="125"/>
    </row>
    <row r="36" spans="1:5" x14ac:dyDescent="0.25">
      <c r="A36" s="18">
        <v>2244</v>
      </c>
      <c r="B36" s="158" t="s">
        <v>24</v>
      </c>
      <c r="C36" s="19"/>
      <c r="D36" s="19"/>
    </row>
    <row r="37" spans="1:5" ht="62.25" customHeight="1" x14ac:dyDescent="0.25">
      <c r="A37" s="21"/>
      <c r="B37" s="158" t="s">
        <v>195</v>
      </c>
      <c r="C37" s="55">
        <f>ROUND(383.44/18154,3)</f>
        <v>2.1000000000000001E-2</v>
      </c>
      <c r="D37" s="55">
        <f>C37*10</f>
        <v>0.21000000000000002</v>
      </c>
    </row>
    <row r="38" spans="1:5" ht="48" customHeight="1" x14ac:dyDescent="0.25">
      <c r="A38" s="21"/>
      <c r="B38" s="158" t="s">
        <v>855</v>
      </c>
      <c r="C38" s="40">
        <f>ROUND(5.03/18154,4)</f>
        <v>2.9999999999999997E-4</v>
      </c>
      <c r="D38" s="36">
        <f>C38*10</f>
        <v>2.9999999999999996E-3</v>
      </c>
    </row>
    <row r="39" spans="1:5" x14ac:dyDescent="0.25">
      <c r="A39" s="18">
        <v>2249</v>
      </c>
      <c r="B39" s="158" t="s">
        <v>8</v>
      </c>
      <c r="C39" s="19"/>
      <c r="D39" s="19"/>
    </row>
    <row r="40" spans="1:5" ht="60.75" customHeight="1" x14ac:dyDescent="0.25">
      <c r="A40" s="18"/>
      <c r="B40" s="158" t="s">
        <v>562</v>
      </c>
      <c r="C40" s="36">
        <f>ROUND(9.76/18154,4)</f>
        <v>5.0000000000000001E-4</v>
      </c>
      <c r="D40" s="55">
        <f>C40*10</f>
        <v>5.0000000000000001E-3</v>
      </c>
    </row>
    <row r="41" spans="1:5" x14ac:dyDescent="0.25">
      <c r="A41" s="18">
        <v>2311</v>
      </c>
      <c r="B41" s="158" t="s">
        <v>9</v>
      </c>
      <c r="C41" s="36"/>
      <c r="D41" s="19"/>
    </row>
    <row r="42" spans="1:5" ht="60" customHeight="1" x14ac:dyDescent="0.25">
      <c r="A42" s="18"/>
      <c r="B42" s="158" t="s">
        <v>452</v>
      </c>
      <c r="C42" s="36">
        <f>ROUND(54.99/18154,4)</f>
        <v>3.0000000000000001E-3</v>
      </c>
      <c r="D42" s="55">
        <f>C42*10</f>
        <v>0.03</v>
      </c>
    </row>
    <row r="43" spans="1:5" x14ac:dyDescent="0.25">
      <c r="A43" s="18">
        <v>2350</v>
      </c>
      <c r="B43" s="158" t="s">
        <v>21</v>
      </c>
      <c r="C43" s="36"/>
      <c r="D43" s="19"/>
    </row>
    <row r="44" spans="1:5" ht="86.25" customHeight="1" x14ac:dyDescent="0.25">
      <c r="A44" s="18"/>
      <c r="B44" s="158" t="s">
        <v>563</v>
      </c>
      <c r="C44" s="40">
        <f>ROUND(6.69/18154,4)</f>
        <v>4.0000000000000002E-4</v>
      </c>
      <c r="D44" s="36">
        <f>C44*10</f>
        <v>4.0000000000000001E-3</v>
      </c>
    </row>
    <row r="45" spans="1:5" ht="14.25" customHeight="1" x14ac:dyDescent="0.25">
      <c r="A45" s="18">
        <v>2513</v>
      </c>
      <c r="B45" s="158" t="s">
        <v>133</v>
      </c>
      <c r="C45" s="40"/>
      <c r="D45" s="124"/>
      <c r="E45" s="134"/>
    </row>
    <row r="46" spans="1:5" ht="47.25" customHeight="1" x14ac:dyDescent="0.25">
      <c r="A46" s="18"/>
      <c r="B46" s="158" t="s">
        <v>527</v>
      </c>
      <c r="C46" s="36">
        <f>ROUND(9.53/18154,4)</f>
        <v>5.0000000000000001E-4</v>
      </c>
      <c r="D46" s="133">
        <f>C46*10</f>
        <v>5.0000000000000001E-3</v>
      </c>
      <c r="E46" s="134"/>
    </row>
    <row r="47" spans="1:5" ht="16.5" customHeight="1" x14ac:dyDescent="0.25">
      <c r="A47" s="18">
        <v>5220</v>
      </c>
      <c r="B47" s="158" t="s">
        <v>136</v>
      </c>
      <c r="C47" s="40"/>
      <c r="D47" s="124"/>
      <c r="E47" s="134"/>
    </row>
    <row r="48" spans="1:5" ht="74.25" customHeight="1" x14ac:dyDescent="0.25">
      <c r="A48" s="18"/>
      <c r="B48" s="158" t="s">
        <v>528</v>
      </c>
      <c r="C48" s="36">
        <f>ROUND(25.06/18154,3)</f>
        <v>1E-3</v>
      </c>
      <c r="D48" s="133">
        <f>C48*10</f>
        <v>0.01</v>
      </c>
      <c r="E48" s="134"/>
    </row>
    <row r="49" spans="1:5" ht="15.75" customHeight="1" x14ac:dyDescent="0.25">
      <c r="A49" s="18">
        <v>5238</v>
      </c>
      <c r="B49" s="158" t="s">
        <v>134</v>
      </c>
      <c r="C49" s="40"/>
      <c r="D49" s="124"/>
      <c r="E49" s="134"/>
    </row>
    <row r="50" spans="1:5" ht="59.25" customHeight="1" x14ac:dyDescent="0.25">
      <c r="A50" s="18"/>
      <c r="B50" s="158" t="s">
        <v>960</v>
      </c>
      <c r="C50" s="36">
        <f>ROUND(33.68/18154,4)</f>
        <v>1.9E-3</v>
      </c>
      <c r="D50" s="133">
        <f>C50*10</f>
        <v>1.9E-2</v>
      </c>
      <c r="E50" s="134"/>
    </row>
    <row r="51" spans="1:5" x14ac:dyDescent="0.25">
      <c r="A51" s="68"/>
      <c r="B51" s="72" t="s">
        <v>10</v>
      </c>
      <c r="C51" s="71">
        <f>ROUND(C50+C48+C46+C44+C42+C40+C38+C37+C35+C33+C31+C29+C27+C25+C23,2)</f>
        <v>0.17</v>
      </c>
      <c r="D51" s="71">
        <f>ROUND(D50+D48+D46+D44+D42+D40+D38+D37+D35+D33+D31+D29+D27+D25+D23,2)</f>
        <v>1.7</v>
      </c>
      <c r="E51" s="135"/>
    </row>
    <row r="52" spans="1:5" x14ac:dyDescent="0.25">
      <c r="A52" s="23"/>
      <c r="B52" s="24" t="s">
        <v>15</v>
      </c>
      <c r="C52" s="52">
        <f>ROUND(C51+C20,2)</f>
        <v>11.27</v>
      </c>
      <c r="D52" s="52">
        <f>D51+D20</f>
        <v>112.7</v>
      </c>
    </row>
    <row r="53" spans="1:5" x14ac:dyDescent="0.25">
      <c r="A53" s="25"/>
      <c r="B53" s="26"/>
      <c r="C53" s="27"/>
      <c r="D53" s="27"/>
    </row>
    <row r="54" spans="1:5" x14ac:dyDescent="0.25">
      <c r="A54" s="26"/>
      <c r="B54" s="28"/>
      <c r="C54" s="28"/>
      <c r="D54" s="9"/>
    </row>
    <row r="55" spans="1:5" ht="15" customHeight="1" x14ac:dyDescent="0.25">
      <c r="A55" s="252" t="s">
        <v>16</v>
      </c>
      <c r="B55" s="253"/>
      <c r="C55" s="138">
        <v>10</v>
      </c>
      <c r="D55" s="29"/>
    </row>
    <row r="56" spans="1:5" ht="34.5" customHeight="1" x14ac:dyDescent="0.25">
      <c r="A56" s="254" t="s">
        <v>23</v>
      </c>
      <c r="B56" s="255"/>
      <c r="C56" s="139">
        <f>D52/C55</f>
        <v>11.27</v>
      </c>
      <c r="D56" s="29"/>
    </row>
    <row r="57" spans="1:5" x14ac:dyDescent="0.25">
      <c r="A57" s="30"/>
      <c r="B57" s="30"/>
      <c r="C57" s="30"/>
      <c r="D57" s="30"/>
    </row>
    <row r="58" spans="1:5" x14ac:dyDescent="0.25">
      <c r="A58" s="30"/>
      <c r="B58" s="30"/>
      <c r="C58" s="30"/>
      <c r="D58" s="152"/>
    </row>
    <row r="59" spans="1:5" x14ac:dyDescent="0.25">
      <c r="A59" s="30"/>
      <c r="B59" s="30"/>
      <c r="C59" s="30"/>
      <c r="D59" s="152"/>
    </row>
    <row r="60" spans="1:5" x14ac:dyDescent="0.25">
      <c r="A60" s="30"/>
      <c r="B60" s="30"/>
      <c r="C60" s="30"/>
      <c r="D60" s="152"/>
    </row>
    <row r="61" spans="1:5" x14ac:dyDescent="0.25">
      <c r="A61" s="30"/>
      <c r="B61" s="30"/>
      <c r="C61" s="30"/>
      <c r="D61" s="30"/>
    </row>
    <row r="62" spans="1:5" x14ac:dyDescent="0.25">
      <c r="A62" s="231"/>
      <c r="B62" s="231"/>
      <c r="C62" s="9"/>
      <c r="D62" s="9"/>
    </row>
    <row r="63" spans="1:5" x14ac:dyDescent="0.25">
      <c r="A63" s="250"/>
      <c r="B63" s="231"/>
      <c r="C63" s="9"/>
      <c r="D63" s="9"/>
    </row>
    <row r="64" spans="1:5" x14ac:dyDescent="0.25">
      <c r="A64" s="154"/>
      <c r="B64" s="9"/>
      <c r="C64" s="31"/>
      <c r="D64" s="9"/>
    </row>
    <row r="65" spans="1:4" x14ac:dyDescent="0.25">
      <c r="A65" s="250"/>
      <c r="B65" s="250"/>
      <c r="C65" s="31"/>
      <c r="D65" s="9"/>
    </row>
  </sheetData>
  <customSheetViews>
    <customSheetView guid="{3046F990-4623-45D5-BDDC-01BD5999DDBC}" scale="60" showPageBreaks="1" fitToPage="1" printArea="1" hiddenRows="1" view="pageBreakPreview">
      <selection activeCell="B53" sqref="B53"/>
      <rowBreaks count="1" manualBreakCount="1">
        <brk id="31" max="3" man="1"/>
      </rowBreaks>
      <pageMargins left="0.70866141732283472" right="0.70866141732283472" top="0.74803149606299213" bottom="0.74803149606299213" header="0.31496062992125984" footer="0.31496062992125984"/>
      <pageSetup paperSize="9" scale="71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hiddenRows="1" view="pageBreakPreview" topLeftCell="A38">
      <selection activeCell="B48" sqref="B48"/>
      <rowBreaks count="1" manualBreakCount="1">
        <brk id="31" max="3" man="1"/>
      </rowBreaks>
      <pageMargins left="0.70866141732283472" right="0.70866141732283472" top="0.74803149606299213" bottom="0.74803149606299213" header="0.31496062992125984" footer="0.31496062992125984"/>
      <pageSetup paperSize="9" scale="71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hiddenRows="1" view="pageBreakPreview">
      <selection activeCell="A6" sqref="A6:D6"/>
      <rowBreaks count="1" manualBreakCount="1">
        <brk id="31" max="3" man="1"/>
      </rowBreaks>
      <pageMargins left="0.70866141732283472" right="0.70866141732283472" top="0.74803149606299213" bottom="0.74803149606299213" header="0.31496062992125984" footer="0.31496062992125984"/>
      <pageSetup paperSize="9" scale="72" fitToHeight="0" orientation="portrait" r:id="rId3"/>
      <headerFooter>
        <oddFooter>&amp;C&amp;P</oddFooter>
      </headerFooter>
    </customSheetView>
  </customSheetViews>
  <mergeCells count="10">
    <mergeCell ref="A62:B62"/>
    <mergeCell ref="A63:B63"/>
    <mergeCell ref="A65:B65"/>
    <mergeCell ref="A56:B56"/>
    <mergeCell ref="A55:B55"/>
    <mergeCell ref="A8:B8"/>
    <mergeCell ref="A10:B10"/>
    <mergeCell ref="A6:D6"/>
    <mergeCell ref="A2:D2"/>
    <mergeCell ref="A11:B11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4"/>
  <headerFooter>
    <oddFooter>&amp;C&amp;P</oddFooter>
  </headerFooter>
  <rowBreaks count="1" manualBreakCount="1">
    <brk id="31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view="pageBreakPreview" topLeftCell="A13" zoomScale="60" zoomScaleNormal="100" workbookViewId="0">
      <selection activeCell="C42" sqref="C42"/>
    </sheetView>
  </sheetViews>
  <sheetFormatPr defaultRowHeight="15" x14ac:dyDescent="0.25"/>
  <cols>
    <col min="1" max="1" width="14.85546875" customWidth="1"/>
    <col min="2" max="2" width="79.28515625" customWidth="1"/>
    <col min="3" max="3" width="13.5703125" customWidth="1"/>
    <col min="4" max="4" width="20.42578125" customWidth="1"/>
  </cols>
  <sheetData>
    <row r="1" spans="1:5" x14ac:dyDescent="0.25">
      <c r="A1" s="4"/>
      <c r="B1" s="6"/>
      <c r="C1" s="6"/>
      <c r="D1" s="7"/>
    </row>
    <row r="2" spans="1:5" ht="15.75" x14ac:dyDescent="0.25">
      <c r="A2" s="256" t="s">
        <v>307</v>
      </c>
      <c r="B2" s="256"/>
      <c r="C2" s="256"/>
      <c r="D2" s="256"/>
      <c r="E2" s="187"/>
    </row>
    <row r="3" spans="1:5" x14ac:dyDescent="0.25">
      <c r="A3" s="4"/>
      <c r="B3" s="4"/>
      <c r="C3" s="264"/>
      <c r="D3" s="265"/>
    </row>
    <row r="4" spans="1:5" ht="15.75" x14ac:dyDescent="0.25">
      <c r="A4" s="186" t="s">
        <v>723</v>
      </c>
      <c r="B4" s="4"/>
      <c r="C4" s="264"/>
      <c r="D4" s="265"/>
    </row>
    <row r="5" spans="1:5" ht="15.75" x14ac:dyDescent="0.25">
      <c r="A5" s="32"/>
      <c r="B5" s="32"/>
      <c r="C5" s="32"/>
      <c r="D5" s="32"/>
    </row>
    <row r="6" spans="1:5" ht="33.75" customHeight="1" x14ac:dyDescent="0.25">
      <c r="A6" s="272" t="s">
        <v>729</v>
      </c>
      <c r="B6" s="272"/>
      <c r="C6" s="272"/>
      <c r="D6" s="272"/>
    </row>
    <row r="7" spans="1:5" x14ac:dyDescent="0.25">
      <c r="A7" s="136"/>
      <c r="B7" s="34"/>
      <c r="C7" s="34"/>
      <c r="D7" s="9"/>
    </row>
    <row r="8" spans="1:5" x14ac:dyDescent="0.25">
      <c r="A8" s="258" t="s">
        <v>309</v>
      </c>
      <c r="B8" s="267"/>
      <c r="C8" s="34"/>
      <c r="D8" s="9"/>
    </row>
    <row r="9" spans="1:5" s="174" customFormat="1" x14ac:dyDescent="0.25">
      <c r="A9" s="173"/>
      <c r="B9" s="175"/>
      <c r="C9" s="34"/>
      <c r="D9" s="9"/>
    </row>
    <row r="10" spans="1:5" ht="15.75" x14ac:dyDescent="0.25">
      <c r="A10" s="251" t="s">
        <v>310</v>
      </c>
      <c r="B10" s="251"/>
      <c r="C10" s="8"/>
      <c r="D10" s="9"/>
    </row>
    <row r="11" spans="1:5" ht="108" customHeight="1" x14ac:dyDescent="0.25">
      <c r="A11" s="12" t="s">
        <v>0</v>
      </c>
      <c r="B11" s="12" t="s">
        <v>1</v>
      </c>
      <c r="C11" s="12" t="s">
        <v>120</v>
      </c>
      <c r="D11" s="12" t="s">
        <v>18</v>
      </c>
    </row>
    <row r="12" spans="1:5" x14ac:dyDescent="0.25">
      <c r="A12" s="13">
        <v>1</v>
      </c>
      <c r="B12" s="14">
        <v>2</v>
      </c>
      <c r="C12" s="13">
        <v>3</v>
      </c>
      <c r="D12" s="13">
        <v>4</v>
      </c>
    </row>
    <row r="13" spans="1:5" x14ac:dyDescent="0.25">
      <c r="A13" s="15"/>
      <c r="B13" s="22" t="s">
        <v>13</v>
      </c>
      <c r="C13" s="17"/>
      <c r="D13" s="17"/>
    </row>
    <row r="14" spans="1:5" x14ac:dyDescent="0.25">
      <c r="A14" s="37">
        <v>1100</v>
      </c>
      <c r="B14" s="16" t="s">
        <v>14</v>
      </c>
      <c r="C14" s="38"/>
      <c r="D14" s="38"/>
    </row>
    <row r="15" spans="1:5" ht="59.25" customHeight="1" x14ac:dyDescent="0.25">
      <c r="A15" s="18"/>
      <c r="B15" s="157" t="s">
        <v>1004</v>
      </c>
      <c r="C15" s="55">
        <f>21*0.78</f>
        <v>16.38</v>
      </c>
      <c r="D15" s="55">
        <f>C15*50</f>
        <v>819</v>
      </c>
    </row>
    <row r="16" spans="1:5" ht="33" customHeight="1" x14ac:dyDescent="0.25">
      <c r="A16" s="85">
        <v>1200</v>
      </c>
      <c r="B16" s="158" t="s">
        <v>1005</v>
      </c>
      <c r="C16" s="55">
        <f>ROUND(C15*0.2359,2)</f>
        <v>3.86</v>
      </c>
      <c r="D16" s="55">
        <f>C16*C41</f>
        <v>193</v>
      </c>
    </row>
    <row r="17" spans="1:4" x14ac:dyDescent="0.25">
      <c r="A17" s="68"/>
      <c r="B17" s="159" t="s">
        <v>2</v>
      </c>
      <c r="C17" s="71">
        <f>SUM(C14:C16)</f>
        <v>20.239999999999998</v>
      </c>
      <c r="D17" s="71">
        <f>SUM(D14:D16)</f>
        <v>1012</v>
      </c>
    </row>
    <row r="18" spans="1:4" x14ac:dyDescent="0.25">
      <c r="A18" s="18"/>
      <c r="B18" s="160" t="s">
        <v>20</v>
      </c>
      <c r="C18" s="19"/>
      <c r="D18" s="19"/>
    </row>
    <row r="19" spans="1:4" x14ac:dyDescent="0.25">
      <c r="A19" s="85">
        <v>2219</v>
      </c>
      <c r="B19" s="158" t="s">
        <v>3</v>
      </c>
      <c r="C19" s="19"/>
      <c r="D19" s="19"/>
    </row>
    <row r="20" spans="1:4" ht="64.5" customHeight="1" x14ac:dyDescent="0.25">
      <c r="A20" s="18"/>
      <c r="B20" s="158" t="s">
        <v>935</v>
      </c>
      <c r="C20" s="55">
        <f>ROUND(1.05/10,2)</f>
        <v>0.11</v>
      </c>
      <c r="D20" s="55">
        <f>C20*C41</f>
        <v>5.5</v>
      </c>
    </row>
    <row r="21" spans="1:4" x14ac:dyDescent="0.25">
      <c r="A21" s="85">
        <v>2221</v>
      </c>
      <c r="B21" s="158" t="s">
        <v>4</v>
      </c>
      <c r="C21" s="19"/>
      <c r="D21" s="19"/>
    </row>
    <row r="22" spans="1:4" ht="62.25" customHeight="1" x14ac:dyDescent="0.25">
      <c r="A22" s="18"/>
      <c r="B22" s="158" t="s">
        <v>244</v>
      </c>
      <c r="C22" s="55">
        <f>ROUND(2.43/10,2)</f>
        <v>0.24</v>
      </c>
      <c r="D22" s="55">
        <f>C22*C41</f>
        <v>12</v>
      </c>
    </row>
    <row r="23" spans="1:4" ht="15" customHeight="1" x14ac:dyDescent="0.25">
      <c r="A23" s="85">
        <v>2222</v>
      </c>
      <c r="B23" s="158" t="s">
        <v>5</v>
      </c>
      <c r="C23" s="19"/>
      <c r="D23" s="19"/>
    </row>
    <row r="24" spans="1:4" ht="60.75" customHeight="1" x14ac:dyDescent="0.25">
      <c r="A24" s="18"/>
      <c r="B24" s="158" t="s">
        <v>245</v>
      </c>
      <c r="C24" s="55">
        <f>ROUND(0.18/10,2)</f>
        <v>0.02</v>
      </c>
      <c r="D24" s="55">
        <f>C24*C41</f>
        <v>1</v>
      </c>
    </row>
    <row r="25" spans="1:4" x14ac:dyDescent="0.25">
      <c r="A25" s="85">
        <v>2223</v>
      </c>
      <c r="B25" s="18" t="s">
        <v>6</v>
      </c>
      <c r="C25" s="19"/>
      <c r="D25" s="19"/>
    </row>
    <row r="26" spans="1:4" ht="63.75" customHeight="1" x14ac:dyDescent="0.25">
      <c r="A26" s="18"/>
      <c r="B26" s="158" t="s">
        <v>246</v>
      </c>
      <c r="C26" s="55">
        <f>ROUND(4.71/10,2)</f>
        <v>0.47</v>
      </c>
      <c r="D26" s="55">
        <f>C26*C41</f>
        <v>23.5</v>
      </c>
    </row>
    <row r="27" spans="1:4" x14ac:dyDescent="0.25">
      <c r="A27" s="86">
        <v>2231</v>
      </c>
      <c r="B27" s="158" t="s">
        <v>22</v>
      </c>
      <c r="C27" s="36"/>
      <c r="D27" s="19"/>
    </row>
    <row r="28" spans="1:4" ht="78.75" customHeight="1" x14ac:dyDescent="0.25">
      <c r="A28" s="45"/>
      <c r="B28" s="158" t="s">
        <v>934</v>
      </c>
      <c r="C28" s="55">
        <f>ROUND(0.51/10,2)</f>
        <v>0.05</v>
      </c>
      <c r="D28" s="55">
        <f>C28*C41</f>
        <v>2.5</v>
      </c>
    </row>
    <row r="29" spans="1:4" x14ac:dyDescent="0.25">
      <c r="A29" s="85">
        <v>2244</v>
      </c>
      <c r="B29" s="158" t="s">
        <v>24</v>
      </c>
      <c r="C29" s="19"/>
      <c r="D29" s="19"/>
    </row>
    <row r="30" spans="1:4" ht="60.75" customHeight="1" x14ac:dyDescent="0.25">
      <c r="A30" s="21"/>
      <c r="B30" s="158" t="s">
        <v>247</v>
      </c>
      <c r="C30" s="55">
        <f>ROUND(4.1/10,2)</f>
        <v>0.41</v>
      </c>
      <c r="D30" s="55">
        <f>C30*C41</f>
        <v>20.5</v>
      </c>
    </row>
    <row r="31" spans="1:4" x14ac:dyDescent="0.25">
      <c r="A31" s="85">
        <v>2311</v>
      </c>
      <c r="B31" s="158" t="s">
        <v>9</v>
      </c>
      <c r="C31" s="36"/>
      <c r="D31" s="19"/>
    </row>
    <row r="32" spans="1:4" ht="64.5" customHeight="1" x14ac:dyDescent="0.25">
      <c r="A32" s="18"/>
      <c r="B32" s="158" t="s">
        <v>248</v>
      </c>
      <c r="C32" s="55">
        <f>ROUND(0.45/10,2)</f>
        <v>0.05</v>
      </c>
      <c r="D32" s="55">
        <f>C32*C41</f>
        <v>2.5</v>
      </c>
    </row>
    <row r="33" spans="1:5" x14ac:dyDescent="0.25">
      <c r="A33" s="85">
        <v>2350</v>
      </c>
      <c r="B33" s="158" t="s">
        <v>21</v>
      </c>
      <c r="C33" s="36"/>
      <c r="D33" s="19"/>
    </row>
    <row r="34" spans="1:5" ht="64.5" customHeight="1" x14ac:dyDescent="0.25">
      <c r="A34" s="18"/>
      <c r="B34" s="158" t="s">
        <v>249</v>
      </c>
      <c r="C34" s="55">
        <f>ROUND(1.08/10,2)</f>
        <v>0.11</v>
      </c>
      <c r="D34" s="55">
        <f>C34*C41</f>
        <v>5.5</v>
      </c>
    </row>
    <row r="35" spans="1:5" x14ac:dyDescent="0.25">
      <c r="A35" s="68"/>
      <c r="B35" s="72" t="s">
        <v>10</v>
      </c>
      <c r="C35" s="71">
        <f>SUM(C19:C34)</f>
        <v>1.4600000000000002</v>
      </c>
      <c r="D35" s="71">
        <f>SUM(D19:D34)</f>
        <v>73</v>
      </c>
    </row>
    <row r="36" spans="1:5" x14ac:dyDescent="0.25">
      <c r="A36" s="23"/>
      <c r="B36" s="24" t="s">
        <v>116</v>
      </c>
      <c r="C36" s="52">
        <f>C35+C17</f>
        <v>21.7</v>
      </c>
      <c r="D36" s="52">
        <f>D35+D17</f>
        <v>1085</v>
      </c>
    </row>
    <row r="37" spans="1:5" x14ac:dyDescent="0.25">
      <c r="A37" s="23"/>
      <c r="B37" s="24" t="s">
        <v>117</v>
      </c>
      <c r="C37" s="52">
        <f>ROUND(C36*0.21,2)</f>
        <v>4.5599999999999996</v>
      </c>
      <c r="D37" s="52">
        <f>C37*C41</f>
        <v>227.99999999999997</v>
      </c>
    </row>
    <row r="38" spans="1:5" x14ac:dyDescent="0.25">
      <c r="A38" s="23"/>
      <c r="B38" s="83" t="s">
        <v>118</v>
      </c>
      <c r="C38" s="143">
        <f>C36+C37</f>
        <v>26.259999999999998</v>
      </c>
      <c r="D38" s="143">
        <f>D36+D37</f>
        <v>1313</v>
      </c>
      <c r="E38" s="117"/>
    </row>
    <row r="39" spans="1:5" x14ac:dyDescent="0.25">
      <c r="A39" s="25"/>
      <c r="B39" s="26"/>
      <c r="C39" s="27"/>
      <c r="D39" s="27"/>
    </row>
    <row r="40" spans="1:5" x14ac:dyDescent="0.25">
      <c r="A40" s="26"/>
      <c r="B40" s="28"/>
      <c r="C40" s="28"/>
      <c r="D40" s="9"/>
    </row>
    <row r="41" spans="1:5" ht="15" customHeight="1" x14ac:dyDescent="0.25">
      <c r="A41" s="252" t="s">
        <v>16</v>
      </c>
      <c r="B41" s="253"/>
      <c r="C41" s="138">
        <v>50</v>
      </c>
      <c r="D41" s="29"/>
    </row>
    <row r="42" spans="1:5" ht="30.75" customHeight="1" x14ac:dyDescent="0.25">
      <c r="A42" s="254" t="s">
        <v>23</v>
      </c>
      <c r="B42" s="255"/>
      <c r="C42" s="139">
        <f>D38/C41</f>
        <v>26.26</v>
      </c>
      <c r="D42" s="29"/>
    </row>
    <row r="43" spans="1:5" x14ac:dyDescent="0.25">
      <c r="A43" s="30"/>
      <c r="B43" s="30"/>
      <c r="C43" s="30"/>
      <c r="D43" s="30"/>
    </row>
    <row r="44" spans="1:5" x14ac:dyDescent="0.25">
      <c r="A44" s="30"/>
      <c r="B44" s="30"/>
      <c r="C44" s="30"/>
      <c r="D44" s="164"/>
    </row>
    <row r="45" spans="1:5" x14ac:dyDescent="0.25">
      <c r="A45" s="30"/>
      <c r="B45" s="30"/>
      <c r="C45" s="9"/>
      <c r="D45" s="9"/>
    </row>
    <row r="46" spans="1:5" x14ac:dyDescent="0.25">
      <c r="A46" s="30"/>
      <c r="B46" s="30"/>
      <c r="C46" s="9"/>
      <c r="D46" s="5"/>
    </row>
    <row r="47" spans="1:5" x14ac:dyDescent="0.25">
      <c r="A47" s="30"/>
      <c r="B47" s="30"/>
      <c r="C47" s="31"/>
      <c r="D47" s="9"/>
    </row>
    <row r="48" spans="1:5" x14ac:dyDescent="0.25">
      <c r="A48" s="231"/>
      <c r="B48" s="231"/>
      <c r="C48" s="31"/>
      <c r="D48" s="9"/>
    </row>
    <row r="49" spans="1:2" x14ac:dyDescent="0.25">
      <c r="A49" s="250"/>
      <c r="B49" s="231"/>
    </row>
    <row r="50" spans="1:2" x14ac:dyDescent="0.25">
      <c r="A50" s="154"/>
      <c r="B50" s="9"/>
    </row>
    <row r="51" spans="1:2" x14ac:dyDescent="0.25">
      <c r="A51" s="250"/>
      <c r="B51" s="250"/>
    </row>
    <row r="52" spans="1:2" x14ac:dyDescent="0.25">
      <c r="A52" s="148"/>
      <c r="B52" s="148"/>
    </row>
  </sheetData>
  <customSheetViews>
    <customSheetView guid="{3046F990-4623-45D5-BDDC-01BD5999DDBC}" scale="60" showPageBreaks="1" fitToPage="1" printArea="1" view="pageBreakPreview" topLeftCell="A19">
      <selection activeCell="B53" sqref="B53"/>
      <rowBreaks count="1" manualBreakCount="1">
        <brk id="32" max="3" man="1"/>
      </rowBreaks>
      <pageMargins left="0.70866141732283472" right="0.70866141732283472" top="0.74803149606299213" bottom="0.74803149606299213" header="0.31496062992125984" footer="0.31496062992125984"/>
      <pageSetup paperSize="9" scale="68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view="pageBreakPreview" topLeftCell="A19">
      <selection activeCell="B45" sqref="B45"/>
      <rowBreaks count="1" manualBreakCount="1">
        <brk id="32" max="3" man="1"/>
      </rowBreaks>
      <pageMargins left="0.70866141732283472" right="0.70866141732283472" top="0.74803149606299213" bottom="0.74803149606299213" header="0.31496062992125984" footer="0.31496062992125984"/>
      <pageSetup paperSize="9" scale="68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view="pageBreakPreview" topLeftCell="A13">
      <selection activeCell="C42" sqref="C42"/>
      <rowBreaks count="1" manualBreakCount="1">
        <brk id="32" max="3" man="1"/>
      </rowBreaks>
      <pageMargins left="0.70866141732283472" right="0.70866141732283472" top="0.74803149606299213" bottom="0.74803149606299213" header="0.31496062992125984" footer="0.31496062992125984"/>
      <pageSetup paperSize="9" scale="68" fitToHeight="0" orientation="portrait" r:id="rId3"/>
      <headerFooter>
        <oddFooter>&amp;C&amp;P</oddFooter>
      </headerFooter>
    </customSheetView>
  </customSheetViews>
  <mergeCells count="11">
    <mergeCell ref="A2:D2"/>
    <mergeCell ref="A49:B49"/>
    <mergeCell ref="A51:B51"/>
    <mergeCell ref="A41:B41"/>
    <mergeCell ref="A42:B42"/>
    <mergeCell ref="C3:D3"/>
    <mergeCell ref="C4:D4"/>
    <mergeCell ref="A6:D6"/>
    <mergeCell ref="A8:B8"/>
    <mergeCell ref="A48:B48"/>
    <mergeCell ref="A10:B10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4"/>
  <headerFooter>
    <oddFooter>&amp;C&amp;P</oddFooter>
  </headerFooter>
  <rowBreaks count="1" manualBreakCount="1">
    <brk id="32" max="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view="pageBreakPreview" zoomScale="60" zoomScaleNormal="100" workbookViewId="0">
      <selection activeCell="A6" sqref="A6:D6"/>
    </sheetView>
  </sheetViews>
  <sheetFormatPr defaultRowHeight="15" x14ac:dyDescent="0.25"/>
  <cols>
    <col min="1" max="1" width="13.42578125" customWidth="1"/>
    <col min="2" max="2" width="68.85546875" customWidth="1"/>
    <col min="3" max="3" width="16.28515625" customWidth="1"/>
    <col min="4" max="4" width="16.140625" customWidth="1"/>
  </cols>
  <sheetData>
    <row r="1" spans="1:11" ht="18.75" x14ac:dyDescent="0.3">
      <c r="A1" s="4"/>
      <c r="B1" s="5"/>
      <c r="C1" s="35"/>
      <c r="D1" s="5"/>
    </row>
    <row r="2" spans="1:11" ht="15.75" customHeight="1" x14ac:dyDescent="0.25">
      <c r="A2" s="278" t="s">
        <v>307</v>
      </c>
      <c r="B2" s="278"/>
      <c r="C2" s="278"/>
      <c r="D2" s="278"/>
      <c r="E2" s="189"/>
    </row>
    <row r="3" spans="1:11" ht="15" customHeight="1" x14ac:dyDescent="0.25">
      <c r="A3" s="4"/>
      <c r="B3" s="4"/>
      <c r="C3" s="273"/>
      <c r="D3" s="273"/>
      <c r="E3" s="274"/>
    </row>
    <row r="4" spans="1:11" ht="15.75" x14ac:dyDescent="0.25">
      <c r="A4" s="186" t="s">
        <v>723</v>
      </c>
      <c r="B4" s="32"/>
      <c r="C4" s="32"/>
      <c r="D4" s="32"/>
      <c r="E4" s="32"/>
    </row>
    <row r="5" spans="1:11" x14ac:dyDescent="0.25">
      <c r="A5" s="4"/>
      <c r="B5" s="33"/>
      <c r="C5" s="33"/>
      <c r="D5" s="33"/>
      <c r="E5" s="9"/>
    </row>
    <row r="6" spans="1:11" ht="15.75" x14ac:dyDescent="0.25">
      <c r="A6" s="272" t="s">
        <v>1040</v>
      </c>
      <c r="B6" s="272"/>
      <c r="C6" s="272"/>
      <c r="D6" s="272"/>
      <c r="E6" s="188"/>
    </row>
    <row r="7" spans="1:11" ht="15" customHeight="1" x14ac:dyDescent="0.25">
      <c r="A7" s="180"/>
      <c r="B7" s="34"/>
      <c r="C7" s="34"/>
      <c r="D7" s="34"/>
      <c r="E7" s="9"/>
      <c r="F7" s="48"/>
      <c r="G7" s="48"/>
      <c r="H7" s="48"/>
      <c r="I7" s="48"/>
      <c r="J7" s="48"/>
      <c r="K7" s="48"/>
    </row>
    <row r="8" spans="1:11" x14ac:dyDescent="0.25">
      <c r="A8" s="270" t="s">
        <v>309</v>
      </c>
      <c r="B8" s="271"/>
      <c r="C8" s="34"/>
      <c r="D8" s="34"/>
      <c r="E8" s="9"/>
    </row>
    <row r="9" spans="1:11" ht="15" customHeight="1" x14ac:dyDescent="0.25">
      <c r="A9" s="183"/>
      <c r="B9" s="184"/>
      <c r="C9" s="34"/>
      <c r="D9" s="34"/>
      <c r="E9" s="9"/>
    </row>
    <row r="10" spans="1:11" ht="15.75" x14ac:dyDescent="0.25">
      <c r="A10" s="251" t="s">
        <v>747</v>
      </c>
      <c r="B10" s="251"/>
      <c r="C10" s="8"/>
      <c r="D10" s="8"/>
      <c r="E10" s="9"/>
    </row>
    <row r="11" spans="1:11" ht="120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11" x14ac:dyDescent="0.25">
      <c r="A12" s="13">
        <v>1</v>
      </c>
      <c r="B12" s="14">
        <v>2</v>
      </c>
      <c r="C12" s="13">
        <v>3</v>
      </c>
      <c r="D12" s="13">
        <v>4</v>
      </c>
    </row>
    <row r="13" spans="1:11" x14ac:dyDescent="0.25">
      <c r="A13" s="15"/>
      <c r="B13" s="22" t="s">
        <v>13</v>
      </c>
      <c r="C13" s="17"/>
      <c r="D13" s="17"/>
    </row>
    <row r="14" spans="1:11" x14ac:dyDescent="0.25">
      <c r="A14" s="37">
        <v>1100</v>
      </c>
      <c r="B14" s="16" t="s">
        <v>14</v>
      </c>
      <c r="C14" s="38"/>
      <c r="D14" s="38"/>
    </row>
    <row r="15" spans="1:11" ht="81.75" customHeight="1" x14ac:dyDescent="0.25">
      <c r="A15" s="18"/>
      <c r="B15" s="157" t="s">
        <v>208</v>
      </c>
      <c r="C15" s="55">
        <f>0.11*10</f>
        <v>1.1000000000000001</v>
      </c>
      <c r="D15" s="55">
        <f>C15*30</f>
        <v>33</v>
      </c>
    </row>
    <row r="16" spans="1:11" ht="37.5" customHeight="1" x14ac:dyDescent="0.25">
      <c r="A16" s="18">
        <v>1200</v>
      </c>
      <c r="B16" s="158" t="s">
        <v>287</v>
      </c>
      <c r="C16" s="55">
        <f>ROUND(C15*0.2359,2)</f>
        <v>0.26</v>
      </c>
      <c r="D16" s="55">
        <f>C16*30</f>
        <v>7.8000000000000007</v>
      </c>
    </row>
    <row r="17" spans="1:4" x14ac:dyDescent="0.25">
      <c r="A17" s="18">
        <v>2341</v>
      </c>
      <c r="B17" s="18" t="s">
        <v>77</v>
      </c>
      <c r="C17" s="19"/>
      <c r="D17" s="19"/>
    </row>
    <row r="18" spans="1:4" ht="83.25" customHeight="1" x14ac:dyDescent="0.25">
      <c r="A18" s="18"/>
      <c r="B18" s="158" t="s">
        <v>209</v>
      </c>
      <c r="C18" s="55">
        <f>0.04+0.01+0.02+0.03+0.7+0.18</f>
        <v>0.98</v>
      </c>
      <c r="D18" s="55">
        <f>C18*30</f>
        <v>29.4</v>
      </c>
    </row>
    <row r="19" spans="1:4" ht="16.5" hidden="1" customHeight="1" x14ac:dyDescent="0.25">
      <c r="A19" s="18"/>
      <c r="B19" s="158" t="s">
        <v>76</v>
      </c>
      <c r="C19" s="36"/>
      <c r="D19" s="19"/>
    </row>
    <row r="20" spans="1:4" x14ac:dyDescent="0.25">
      <c r="A20" s="68"/>
      <c r="B20" s="159" t="s">
        <v>2</v>
      </c>
      <c r="C20" s="71">
        <f>SUM(C14:C18)</f>
        <v>2.34</v>
      </c>
      <c r="D20" s="71">
        <f>SUM(D14:D18)</f>
        <v>70.199999999999989</v>
      </c>
    </row>
    <row r="21" spans="1:4" x14ac:dyDescent="0.25">
      <c r="A21" s="18"/>
      <c r="B21" s="160" t="s">
        <v>20</v>
      </c>
      <c r="C21" s="19"/>
      <c r="D21" s="19"/>
    </row>
    <row r="22" spans="1:4" x14ac:dyDescent="0.25">
      <c r="A22" s="18">
        <v>2219</v>
      </c>
      <c r="B22" s="158" t="s">
        <v>3</v>
      </c>
      <c r="C22" s="19"/>
      <c r="D22" s="19"/>
    </row>
    <row r="23" spans="1:4" ht="96.75" customHeight="1" x14ac:dyDescent="0.25">
      <c r="A23" s="18"/>
      <c r="B23" s="158" t="s">
        <v>622</v>
      </c>
      <c r="C23" s="40">
        <f>ROUND(3.18/18154,4)</f>
        <v>2.0000000000000001E-4</v>
      </c>
      <c r="D23" s="55">
        <f>C23*30</f>
        <v>6.0000000000000001E-3</v>
      </c>
    </row>
    <row r="24" spans="1:4" x14ac:dyDescent="0.25">
      <c r="A24" s="18">
        <v>2221</v>
      </c>
      <c r="B24" s="158" t="s">
        <v>4</v>
      </c>
      <c r="C24" s="19"/>
      <c r="D24" s="19"/>
    </row>
    <row r="25" spans="1:4" ht="45.75" customHeight="1" x14ac:dyDescent="0.25">
      <c r="A25" s="18"/>
      <c r="B25" s="158" t="s">
        <v>569</v>
      </c>
      <c r="C25" s="55">
        <f>ROUND(301.59/18154,4)</f>
        <v>1.66E-2</v>
      </c>
      <c r="D25" s="55">
        <f>C25*30</f>
        <v>0.498</v>
      </c>
    </row>
    <row r="26" spans="1:4" ht="18" customHeight="1" x14ac:dyDescent="0.25">
      <c r="A26" s="18">
        <v>2222</v>
      </c>
      <c r="B26" s="158" t="s">
        <v>5</v>
      </c>
      <c r="C26" s="19"/>
      <c r="D26" s="19"/>
    </row>
    <row r="27" spans="1:4" ht="60" customHeight="1" x14ac:dyDescent="0.25">
      <c r="A27" s="18"/>
      <c r="B27" s="158" t="s">
        <v>631</v>
      </c>
      <c r="C27" s="36">
        <f>ROUND(31.02/18154,4)</f>
        <v>1.6999999999999999E-3</v>
      </c>
      <c r="D27" s="55">
        <f>C27*30</f>
        <v>5.0999999999999997E-2</v>
      </c>
    </row>
    <row r="28" spans="1:4" x14ac:dyDescent="0.25">
      <c r="A28" s="18">
        <v>2223</v>
      </c>
      <c r="B28" s="18" t="s">
        <v>6</v>
      </c>
      <c r="C28" s="19"/>
      <c r="D28" s="19"/>
    </row>
    <row r="29" spans="1:4" ht="60" customHeight="1" x14ac:dyDescent="0.25">
      <c r="A29" s="18"/>
      <c r="B29" s="158" t="s">
        <v>187</v>
      </c>
      <c r="C29" s="55">
        <f>ROUND(538.27/18154,2)</f>
        <v>0.03</v>
      </c>
      <c r="D29" s="55">
        <f>C29*30</f>
        <v>0.89999999999999991</v>
      </c>
    </row>
    <row r="30" spans="1:4" x14ac:dyDescent="0.25">
      <c r="A30" s="18">
        <v>2224</v>
      </c>
      <c r="B30" s="158" t="s">
        <v>7</v>
      </c>
      <c r="C30" s="19"/>
      <c r="D30" s="19"/>
    </row>
    <row r="31" spans="1:4" ht="51" customHeight="1" x14ac:dyDescent="0.25">
      <c r="A31" s="18"/>
      <c r="B31" s="158" t="s">
        <v>571</v>
      </c>
      <c r="C31" s="36">
        <f>ROUND(28.86/18154,4)</f>
        <v>1.6000000000000001E-3</v>
      </c>
      <c r="D31" s="55">
        <f>C31*30</f>
        <v>4.8000000000000001E-2</v>
      </c>
    </row>
    <row r="32" spans="1:4" x14ac:dyDescent="0.25">
      <c r="A32" s="45">
        <v>2231</v>
      </c>
      <c r="B32" s="158" t="s">
        <v>22</v>
      </c>
      <c r="C32" s="36"/>
      <c r="D32" s="19"/>
    </row>
    <row r="33" spans="1:4" ht="183" customHeight="1" x14ac:dyDescent="0.25">
      <c r="A33" s="45"/>
      <c r="B33" s="158" t="s">
        <v>587</v>
      </c>
      <c r="C33" s="55">
        <f>ROUND(1201.87/18154,2)</f>
        <v>7.0000000000000007E-2</v>
      </c>
      <c r="D33" s="55">
        <f>C33*30</f>
        <v>2.1</v>
      </c>
    </row>
    <row r="34" spans="1:4" ht="15.75" customHeight="1" x14ac:dyDescent="0.25">
      <c r="A34" s="45">
        <v>2243</v>
      </c>
      <c r="B34" s="158" t="s">
        <v>132</v>
      </c>
      <c r="C34" s="55"/>
      <c r="D34" s="40"/>
    </row>
    <row r="35" spans="1:4" ht="59.25" customHeight="1" x14ac:dyDescent="0.25">
      <c r="A35" s="45"/>
      <c r="B35" s="158" t="s">
        <v>573</v>
      </c>
      <c r="C35" s="55">
        <f>ROUND(386.87/18154,4)</f>
        <v>2.1299999999999999E-2</v>
      </c>
      <c r="D35" s="55">
        <f>C35*30</f>
        <v>0.63900000000000001</v>
      </c>
    </row>
    <row r="36" spans="1:4" x14ac:dyDescent="0.25">
      <c r="A36" s="18">
        <v>2244</v>
      </c>
      <c r="B36" s="158" t="s">
        <v>24</v>
      </c>
      <c r="C36" s="19"/>
      <c r="D36" s="19"/>
    </row>
    <row r="37" spans="1:4" ht="57.75" customHeight="1" x14ac:dyDescent="0.25">
      <c r="A37" s="21"/>
      <c r="B37" s="158" t="s">
        <v>188</v>
      </c>
      <c r="C37" s="55">
        <f>ROUND(383.44/18154,3)</f>
        <v>2.1000000000000001E-2</v>
      </c>
      <c r="D37" s="55">
        <f>C37*30</f>
        <v>0.63</v>
      </c>
    </row>
    <row r="38" spans="1:4" ht="49.5" customHeight="1" x14ac:dyDescent="0.25">
      <c r="A38" s="21"/>
      <c r="B38" s="158" t="s">
        <v>575</v>
      </c>
      <c r="C38" s="40">
        <f>ROUND(5.03/18154,4)</f>
        <v>2.9999999999999997E-4</v>
      </c>
      <c r="D38" s="55">
        <f>C38*30</f>
        <v>8.9999999999999993E-3</v>
      </c>
    </row>
    <row r="39" spans="1:4" x14ac:dyDescent="0.25">
      <c r="A39" s="18">
        <v>2249</v>
      </c>
      <c r="B39" s="158" t="s">
        <v>8</v>
      </c>
      <c r="C39" s="19"/>
      <c r="D39" s="19"/>
    </row>
    <row r="40" spans="1:4" ht="61.5" customHeight="1" x14ac:dyDescent="0.25">
      <c r="A40" s="18"/>
      <c r="B40" s="158" t="s">
        <v>630</v>
      </c>
      <c r="C40" s="36">
        <f>ROUND(9.76/18154,4)</f>
        <v>5.0000000000000001E-4</v>
      </c>
      <c r="D40" s="55">
        <f>C40*30</f>
        <v>1.4999999999999999E-2</v>
      </c>
    </row>
    <row r="41" spans="1:4" x14ac:dyDescent="0.25">
      <c r="A41" s="18">
        <v>2311</v>
      </c>
      <c r="B41" s="158" t="s">
        <v>9</v>
      </c>
      <c r="C41" s="36"/>
      <c r="D41" s="19"/>
    </row>
    <row r="42" spans="1:4" ht="60" customHeight="1" x14ac:dyDescent="0.25">
      <c r="A42" s="18"/>
      <c r="B42" s="158" t="s">
        <v>424</v>
      </c>
      <c r="C42" s="36">
        <f>ROUND(54.99/18154,4)</f>
        <v>3.0000000000000001E-3</v>
      </c>
      <c r="D42" s="55">
        <f>C42*30</f>
        <v>0.09</v>
      </c>
    </row>
    <row r="43" spans="1:4" x14ac:dyDescent="0.25">
      <c r="A43" s="18">
        <v>2350</v>
      </c>
      <c r="B43" s="158" t="s">
        <v>21</v>
      </c>
      <c r="C43" s="36"/>
      <c r="D43" s="19"/>
    </row>
    <row r="44" spans="1:4" ht="92.25" customHeight="1" x14ac:dyDescent="0.25">
      <c r="A44" s="18"/>
      <c r="B44" s="158" t="s">
        <v>629</v>
      </c>
      <c r="C44" s="40">
        <f>ROUND(6.69/18154,4)</f>
        <v>4.0000000000000002E-4</v>
      </c>
      <c r="D44" s="55">
        <f>C44*30</f>
        <v>1.2E-2</v>
      </c>
    </row>
    <row r="45" spans="1:4" ht="18" customHeight="1" x14ac:dyDescent="0.25">
      <c r="A45" s="18">
        <v>2513</v>
      </c>
      <c r="B45" s="158" t="s">
        <v>133</v>
      </c>
      <c r="C45" s="40"/>
      <c r="D45" s="36"/>
    </row>
    <row r="46" spans="1:4" ht="54.75" customHeight="1" x14ac:dyDescent="0.25">
      <c r="A46" s="18"/>
      <c r="B46" s="158" t="s">
        <v>420</v>
      </c>
      <c r="C46" s="36">
        <f>ROUND(9.53/18154,4)</f>
        <v>5.0000000000000001E-4</v>
      </c>
      <c r="D46" s="55">
        <f>C46*30</f>
        <v>1.4999999999999999E-2</v>
      </c>
    </row>
    <row r="47" spans="1:4" ht="16.5" customHeight="1" x14ac:dyDescent="0.25">
      <c r="A47" s="18">
        <v>5220</v>
      </c>
      <c r="B47" s="158" t="s">
        <v>136</v>
      </c>
      <c r="C47" s="40"/>
      <c r="D47" s="36"/>
    </row>
    <row r="48" spans="1:4" ht="67.5" customHeight="1" x14ac:dyDescent="0.25">
      <c r="A48" s="18"/>
      <c r="B48" s="158" t="s">
        <v>628</v>
      </c>
      <c r="C48" s="36">
        <f>ROUND(25.06/18154,3)</f>
        <v>1E-3</v>
      </c>
      <c r="D48" s="55">
        <f>C48*30</f>
        <v>0.03</v>
      </c>
    </row>
    <row r="49" spans="1:4" ht="17.25" customHeight="1" x14ac:dyDescent="0.25">
      <c r="A49" s="18">
        <v>5238</v>
      </c>
      <c r="B49" s="158" t="s">
        <v>134</v>
      </c>
      <c r="C49" s="40"/>
      <c r="D49" s="36"/>
    </row>
    <row r="50" spans="1:4" ht="48.75" customHeight="1" x14ac:dyDescent="0.25">
      <c r="A50" s="18"/>
      <c r="B50" s="158" t="s">
        <v>627</v>
      </c>
      <c r="C50" s="36">
        <f>ROUND(33.68/18154,4)</f>
        <v>1.9E-3</v>
      </c>
      <c r="D50" s="55">
        <f>C50*30</f>
        <v>5.7000000000000002E-2</v>
      </c>
    </row>
    <row r="51" spans="1:4" x14ac:dyDescent="0.25">
      <c r="A51" s="68"/>
      <c r="B51" s="72" t="s">
        <v>10</v>
      </c>
      <c r="C51" s="71">
        <f>ROUND(C50+C48+C46+C44+C42+C40+C38+C37+C35+C33+C31+C29+C27+C25+C23,2)</f>
        <v>0.17</v>
      </c>
      <c r="D51" s="71">
        <f>ROUND(D50+D48+D46+D44+D42+D40+D38+D37+D35+D33+D31+D29+D27+D25+D23,2)</f>
        <v>5.0999999999999996</v>
      </c>
    </row>
    <row r="52" spans="1:4" x14ac:dyDescent="0.25">
      <c r="A52" s="23"/>
      <c r="B52" s="24" t="s">
        <v>15</v>
      </c>
      <c r="C52" s="52">
        <f>ROUND(C51+C20,2)</f>
        <v>2.5099999999999998</v>
      </c>
      <c r="D52" s="52">
        <f>D51+D20</f>
        <v>75.299999999999983</v>
      </c>
    </row>
    <row r="53" spans="1:4" x14ac:dyDescent="0.25">
      <c r="A53" s="25"/>
      <c r="B53" s="26"/>
      <c r="C53" s="27"/>
      <c r="D53" s="27"/>
    </row>
    <row r="54" spans="1:4" x14ac:dyDescent="0.25">
      <c r="A54" s="26"/>
      <c r="B54" s="28"/>
      <c r="C54" s="28"/>
      <c r="D54" s="9"/>
    </row>
    <row r="55" spans="1:4" ht="15" customHeight="1" x14ac:dyDescent="0.25">
      <c r="A55" s="252" t="s">
        <v>16</v>
      </c>
      <c r="B55" s="253"/>
      <c r="C55" s="138">
        <v>30</v>
      </c>
      <c r="D55" s="29"/>
    </row>
    <row r="56" spans="1:4" ht="34.5" customHeight="1" x14ac:dyDescent="0.25">
      <c r="A56" s="254" t="s">
        <v>23</v>
      </c>
      <c r="B56" s="255"/>
      <c r="C56" s="139">
        <f>D52/C55</f>
        <v>2.5099999999999993</v>
      </c>
      <c r="D56" s="29"/>
    </row>
    <row r="57" spans="1:4" x14ac:dyDescent="0.25">
      <c r="A57" s="30"/>
      <c r="B57" s="30"/>
      <c r="C57" s="30"/>
      <c r="D57" s="30"/>
    </row>
    <row r="58" spans="1:4" x14ac:dyDescent="0.25">
      <c r="A58" s="30"/>
      <c r="B58" s="30"/>
      <c r="C58" s="30"/>
      <c r="D58" s="152"/>
    </row>
    <row r="59" spans="1:4" x14ac:dyDescent="0.25">
      <c r="A59" s="30"/>
      <c r="B59" s="30"/>
      <c r="C59" s="30"/>
      <c r="D59" s="152"/>
    </row>
    <row r="60" spans="1:4" x14ac:dyDescent="0.25">
      <c r="A60" s="30"/>
      <c r="B60" s="30"/>
      <c r="C60" s="30"/>
      <c r="D60" s="152"/>
    </row>
    <row r="61" spans="1:4" x14ac:dyDescent="0.25">
      <c r="A61" s="30"/>
      <c r="B61" s="30"/>
      <c r="C61" s="30"/>
      <c r="D61" s="30"/>
    </row>
    <row r="62" spans="1:4" x14ac:dyDescent="0.25">
      <c r="A62" s="231"/>
      <c r="B62" s="231"/>
      <c r="C62" s="9"/>
      <c r="D62" s="9"/>
    </row>
    <row r="63" spans="1:4" x14ac:dyDescent="0.25">
      <c r="A63" s="250"/>
      <c r="B63" s="231"/>
      <c r="C63" s="9"/>
      <c r="D63" s="9"/>
    </row>
    <row r="64" spans="1:4" x14ac:dyDescent="0.25">
      <c r="A64" s="154"/>
      <c r="B64" s="9"/>
      <c r="C64" s="31"/>
      <c r="D64" s="9"/>
    </row>
    <row r="65" spans="1:4" x14ac:dyDescent="0.25">
      <c r="A65" s="250"/>
      <c r="B65" s="250"/>
      <c r="C65" s="31"/>
      <c r="D65" s="9"/>
    </row>
  </sheetData>
  <customSheetViews>
    <customSheetView guid="{3046F990-4623-45D5-BDDC-01BD5999DDBC}" scale="60" showPageBreaks="1" fitToPage="1" printArea="1" hiddenRows="1" view="pageBreakPreview">
      <selection activeCell="B53" sqref="B53"/>
      <rowBreaks count="1" manualBreakCount="1">
        <brk id="31" max="3" man="1"/>
      </rowBreaks>
      <pageMargins left="0.70866141732283472" right="0.70866141732283472" top="0.74803149606299213" bottom="0.74803149606299213" header="0.31496062992125984" footer="0.31496062992125984"/>
      <pageSetup paperSize="9" scale="76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hiddenRows="1" view="pageBreakPreview" topLeftCell="A11">
      <selection activeCell="B47" sqref="B47"/>
      <rowBreaks count="1" manualBreakCount="1">
        <brk id="31" max="3" man="1"/>
      </rowBreaks>
      <pageMargins left="0.70866141732283472" right="0.70866141732283472" top="0.74803149606299213" bottom="0.74803149606299213" header="0.31496062992125984" footer="0.31496062992125984"/>
      <pageSetup paperSize="9" scale="76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hiddenRows="1" view="pageBreakPreview">
      <selection activeCell="A6" sqref="A6:D6"/>
      <rowBreaks count="1" manualBreakCount="1">
        <brk id="31" max="3" man="1"/>
      </rowBreaks>
      <pageMargins left="0.70866141732283472" right="0.70866141732283472" top="0.74803149606299213" bottom="0.74803149606299213" header="0.31496062992125984" footer="0.31496062992125984"/>
      <pageSetup paperSize="9" scale="76" fitToHeight="0" orientation="portrait" r:id="rId3"/>
      <headerFooter>
        <oddFooter>&amp;C&amp;P</oddFooter>
      </headerFooter>
    </customSheetView>
  </customSheetViews>
  <mergeCells count="10">
    <mergeCell ref="A62:B62"/>
    <mergeCell ref="A63:B63"/>
    <mergeCell ref="A65:B65"/>
    <mergeCell ref="A56:B56"/>
    <mergeCell ref="A55:B55"/>
    <mergeCell ref="A2:D2"/>
    <mergeCell ref="C3:E3"/>
    <mergeCell ref="A6:D6"/>
    <mergeCell ref="A8:B8"/>
    <mergeCell ref="A10:B10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4"/>
  <headerFooter>
    <oddFooter>&amp;C&amp;P</oddFooter>
  </headerFooter>
  <rowBreaks count="1" manualBreakCount="1">
    <brk id="31" max="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="60" zoomScaleNormal="100" workbookViewId="0">
      <selection activeCell="C12" sqref="C12"/>
    </sheetView>
  </sheetViews>
  <sheetFormatPr defaultRowHeight="15" x14ac:dyDescent="0.25"/>
  <cols>
    <col min="1" max="1" width="14.28515625" customWidth="1"/>
    <col min="2" max="2" width="67.7109375" customWidth="1"/>
    <col min="3" max="3" width="17" customWidth="1"/>
    <col min="4" max="4" width="16.28515625" customWidth="1"/>
  </cols>
  <sheetData>
    <row r="1" spans="1:11" ht="18.75" x14ac:dyDescent="0.3">
      <c r="A1" s="4"/>
      <c r="B1" s="5"/>
      <c r="C1" s="35"/>
      <c r="D1" s="5"/>
    </row>
    <row r="2" spans="1:11" ht="15.75" customHeight="1" x14ac:dyDescent="0.25">
      <c r="A2" s="278" t="s">
        <v>307</v>
      </c>
      <c r="B2" s="278"/>
      <c r="C2" s="278"/>
      <c r="D2" s="278"/>
      <c r="E2" s="189"/>
    </row>
    <row r="3" spans="1:11" ht="15" customHeight="1" x14ac:dyDescent="0.25">
      <c r="A3" s="4"/>
      <c r="B3" s="4"/>
      <c r="C3" s="191"/>
      <c r="D3" s="191"/>
      <c r="E3" s="185"/>
    </row>
    <row r="4" spans="1:11" ht="15.75" x14ac:dyDescent="0.25">
      <c r="A4" s="186" t="s">
        <v>723</v>
      </c>
      <c r="B4" s="32"/>
      <c r="C4" s="32"/>
      <c r="D4" s="32"/>
      <c r="E4" s="32"/>
    </row>
    <row r="5" spans="1:11" x14ac:dyDescent="0.25">
      <c r="A5" s="4"/>
      <c r="B5" s="33"/>
      <c r="C5" s="33"/>
      <c r="D5" s="33"/>
      <c r="E5" s="9"/>
    </row>
    <row r="6" spans="1:11" ht="21.75" customHeight="1" x14ac:dyDescent="0.25">
      <c r="A6" s="277" t="s">
        <v>1086</v>
      </c>
      <c r="B6" s="277"/>
      <c r="C6" s="277"/>
      <c r="D6" s="277"/>
      <c r="E6" s="188"/>
    </row>
    <row r="7" spans="1:11" ht="15" customHeight="1" x14ac:dyDescent="0.25">
      <c r="A7" s="180"/>
      <c r="B7" s="34"/>
      <c r="C7" s="34"/>
      <c r="D7" s="34"/>
      <c r="E7" s="9"/>
      <c r="F7" s="48"/>
      <c r="G7" s="48"/>
      <c r="H7" s="48"/>
      <c r="I7" s="48"/>
      <c r="J7" s="48"/>
      <c r="K7" s="48"/>
    </row>
    <row r="8" spans="1:11" x14ac:dyDescent="0.25">
      <c r="A8" s="270" t="s">
        <v>309</v>
      </c>
      <c r="B8" s="271"/>
      <c r="C8" s="34"/>
      <c r="D8" s="34"/>
      <c r="E8" s="9"/>
    </row>
    <row r="9" spans="1:11" ht="15" customHeight="1" x14ac:dyDescent="0.25">
      <c r="A9" s="183"/>
      <c r="B9" s="184"/>
      <c r="C9" s="34"/>
      <c r="D9" s="34"/>
      <c r="E9" s="9"/>
    </row>
    <row r="10" spans="1:11" ht="15" hidden="1" customHeight="1" x14ac:dyDescent="0.25">
      <c r="A10" s="251" t="s">
        <v>747</v>
      </c>
      <c r="B10" s="251"/>
      <c r="C10" s="8"/>
      <c r="D10" s="8"/>
      <c r="E10" s="9"/>
    </row>
    <row r="11" spans="1:11" ht="15.75" x14ac:dyDescent="0.25">
      <c r="A11" s="251" t="s">
        <v>727</v>
      </c>
      <c r="B11" s="251"/>
      <c r="C11" s="8"/>
      <c r="D11" s="9"/>
    </row>
    <row r="12" spans="1:11" ht="120" x14ac:dyDescent="0.25">
      <c r="A12" s="12" t="s">
        <v>0</v>
      </c>
      <c r="B12" s="12" t="s">
        <v>1</v>
      </c>
      <c r="C12" s="12" t="s">
        <v>83</v>
      </c>
      <c r="D12" s="12" t="s">
        <v>18</v>
      </c>
    </row>
    <row r="13" spans="1:11" x14ac:dyDescent="0.25">
      <c r="A13" s="13">
        <v>1</v>
      </c>
      <c r="B13" s="14">
        <v>2</v>
      </c>
      <c r="C13" s="13">
        <v>3</v>
      </c>
      <c r="D13" s="13">
        <v>4</v>
      </c>
    </row>
    <row r="14" spans="1:11" x14ac:dyDescent="0.25">
      <c r="A14" s="15"/>
      <c r="B14" s="22" t="s">
        <v>13</v>
      </c>
      <c r="C14" s="17"/>
      <c r="D14" s="17"/>
    </row>
    <row r="15" spans="1:11" x14ac:dyDescent="0.25">
      <c r="A15" s="37">
        <v>1100</v>
      </c>
      <c r="B15" s="16" t="s">
        <v>14</v>
      </c>
      <c r="C15" s="38"/>
      <c r="D15" s="38"/>
    </row>
    <row r="16" spans="1:11" ht="108.75" customHeight="1" x14ac:dyDescent="0.25">
      <c r="A16" s="18"/>
      <c r="B16" s="178" t="s">
        <v>210</v>
      </c>
      <c r="C16" s="55">
        <f>0.11*10+0.11*13</f>
        <v>2.5300000000000002</v>
      </c>
      <c r="D16" s="55">
        <f>C16*10</f>
        <v>25.300000000000004</v>
      </c>
    </row>
    <row r="17" spans="1:4" ht="33" customHeight="1" x14ac:dyDescent="0.25">
      <c r="A17" s="18">
        <v>1200</v>
      </c>
      <c r="B17" s="158" t="s">
        <v>291</v>
      </c>
      <c r="C17" s="55">
        <f>ROUND(C16*0.2359,2)</f>
        <v>0.6</v>
      </c>
      <c r="D17" s="55">
        <f>C17*10</f>
        <v>6</v>
      </c>
    </row>
    <row r="18" spans="1:4" x14ac:dyDescent="0.25">
      <c r="A18" s="18">
        <v>2341</v>
      </c>
      <c r="B18" s="18" t="s">
        <v>77</v>
      </c>
      <c r="C18" s="19"/>
      <c r="D18" s="19"/>
    </row>
    <row r="19" spans="1:4" ht="80.25" customHeight="1" x14ac:dyDescent="0.25">
      <c r="A19" s="18"/>
      <c r="B19" s="158" t="s">
        <v>566</v>
      </c>
      <c r="C19" s="55">
        <f>0.04+0.01+0.02+0.03+0.7+0.18</f>
        <v>0.98</v>
      </c>
      <c r="D19" s="55">
        <f>C19*10</f>
        <v>9.8000000000000007</v>
      </c>
    </row>
    <row r="20" spans="1:4" ht="15.75" hidden="1" customHeight="1" x14ac:dyDescent="0.25">
      <c r="A20" s="18"/>
      <c r="B20" s="158" t="s">
        <v>72</v>
      </c>
      <c r="C20" s="36"/>
      <c r="D20" s="55"/>
    </row>
    <row r="21" spans="1:4" ht="15.75" hidden="1" customHeight="1" x14ac:dyDescent="0.25">
      <c r="A21" s="18"/>
      <c r="B21" s="158" t="s">
        <v>73</v>
      </c>
      <c r="C21" s="36"/>
      <c r="D21" s="55"/>
    </row>
    <row r="22" spans="1:4" x14ac:dyDescent="0.25">
      <c r="A22" s="68"/>
      <c r="B22" s="159" t="s">
        <v>2</v>
      </c>
      <c r="C22" s="71">
        <f>SUM(C15:C19)</f>
        <v>4.1100000000000003</v>
      </c>
      <c r="D22" s="71">
        <f>SUM(D15:D19)</f>
        <v>41.100000000000009</v>
      </c>
    </row>
    <row r="23" spans="1:4" x14ac:dyDescent="0.25">
      <c r="A23" s="18"/>
      <c r="B23" s="160" t="s">
        <v>20</v>
      </c>
      <c r="C23" s="19"/>
      <c r="D23" s="19"/>
    </row>
    <row r="24" spans="1:4" x14ac:dyDescent="0.25">
      <c r="A24" s="18">
        <v>2219</v>
      </c>
      <c r="B24" s="158" t="s">
        <v>3</v>
      </c>
      <c r="C24" s="19"/>
      <c r="D24" s="19"/>
    </row>
    <row r="25" spans="1:4" ht="97.5" customHeight="1" x14ac:dyDescent="0.25">
      <c r="A25" s="18"/>
      <c r="B25" s="158" t="s">
        <v>623</v>
      </c>
      <c r="C25" s="40">
        <f>ROUND(3.18/18154,4)</f>
        <v>2.0000000000000001E-4</v>
      </c>
      <c r="D25" s="36">
        <f>C25*10</f>
        <v>2E-3</v>
      </c>
    </row>
    <row r="26" spans="1:4" x14ac:dyDescent="0.25">
      <c r="A26" s="18">
        <v>2221</v>
      </c>
      <c r="B26" s="158" t="s">
        <v>4</v>
      </c>
      <c r="C26" s="19"/>
      <c r="D26" s="19"/>
    </row>
    <row r="27" spans="1:4" ht="54" customHeight="1" x14ac:dyDescent="0.25">
      <c r="A27" s="18"/>
      <c r="B27" s="158" t="s">
        <v>626</v>
      </c>
      <c r="C27" s="55">
        <f>ROUND(301.59/18154,4)</f>
        <v>1.66E-2</v>
      </c>
      <c r="D27" s="55">
        <f>C27*10</f>
        <v>0.16600000000000001</v>
      </c>
    </row>
    <row r="28" spans="1:4" ht="13.5" customHeight="1" x14ac:dyDescent="0.25">
      <c r="A28" s="18">
        <v>2222</v>
      </c>
      <c r="B28" s="158" t="s">
        <v>5</v>
      </c>
      <c r="C28" s="19"/>
      <c r="D28" s="19"/>
    </row>
    <row r="29" spans="1:4" ht="56.25" customHeight="1" x14ac:dyDescent="0.25">
      <c r="A29" s="18"/>
      <c r="B29" s="158" t="s">
        <v>446</v>
      </c>
      <c r="C29" s="36">
        <f>ROUND(31.02/18154,4)</f>
        <v>1.6999999999999999E-3</v>
      </c>
      <c r="D29" s="55">
        <f>C29*10</f>
        <v>1.6999999999999998E-2</v>
      </c>
    </row>
    <row r="30" spans="1:4" x14ac:dyDescent="0.25">
      <c r="A30" s="18">
        <v>2223</v>
      </c>
      <c r="B30" s="18" t="s">
        <v>6</v>
      </c>
      <c r="C30" s="19"/>
      <c r="D30" s="19"/>
    </row>
    <row r="31" spans="1:4" ht="54" customHeight="1" x14ac:dyDescent="0.25">
      <c r="A31" s="18"/>
      <c r="B31" s="158" t="s">
        <v>194</v>
      </c>
      <c r="C31" s="55">
        <f>ROUND(538.27/18154,2)</f>
        <v>0.03</v>
      </c>
      <c r="D31" s="55">
        <f>C31*10</f>
        <v>0.3</v>
      </c>
    </row>
    <row r="32" spans="1:4" x14ac:dyDescent="0.25">
      <c r="A32" s="18">
        <v>2224</v>
      </c>
      <c r="B32" s="158" t="s">
        <v>7</v>
      </c>
      <c r="C32" s="19"/>
      <c r="D32" s="19"/>
    </row>
    <row r="33" spans="1:4" ht="47.25" customHeight="1" x14ac:dyDescent="0.25">
      <c r="A33" s="18"/>
      <c r="B33" s="158" t="s">
        <v>567</v>
      </c>
      <c r="C33" s="36">
        <f>ROUND(28.86/18154,4)</f>
        <v>1.6000000000000001E-3</v>
      </c>
      <c r="D33" s="55">
        <f>C33*10</f>
        <v>1.6E-2</v>
      </c>
    </row>
    <row r="34" spans="1:4" x14ac:dyDescent="0.25">
      <c r="A34" s="45">
        <v>2231</v>
      </c>
      <c r="B34" s="158" t="s">
        <v>22</v>
      </c>
      <c r="C34" s="36"/>
      <c r="D34" s="19"/>
    </row>
    <row r="35" spans="1:4" ht="180.75" customHeight="1" x14ac:dyDescent="0.25">
      <c r="A35" s="45"/>
      <c r="B35" s="158" t="s">
        <v>568</v>
      </c>
      <c r="C35" s="55">
        <f>ROUND(1201.87/18154,2)</f>
        <v>7.0000000000000007E-2</v>
      </c>
      <c r="D35" s="55">
        <f>C35*10</f>
        <v>0.70000000000000007</v>
      </c>
    </row>
    <row r="36" spans="1:4" ht="14.25" customHeight="1" x14ac:dyDescent="0.25">
      <c r="A36" s="45">
        <v>2243</v>
      </c>
      <c r="B36" s="158" t="s">
        <v>132</v>
      </c>
      <c r="C36" s="55"/>
      <c r="D36" s="40"/>
    </row>
    <row r="37" spans="1:4" ht="58.5" customHeight="1" x14ac:dyDescent="0.25">
      <c r="A37" s="45"/>
      <c r="B37" s="158" t="s">
        <v>561</v>
      </c>
      <c r="C37" s="55">
        <f>ROUND(386.87/18154,4)</f>
        <v>2.1299999999999999E-2</v>
      </c>
      <c r="D37" s="55">
        <f>C37*10</f>
        <v>0.21299999999999999</v>
      </c>
    </row>
    <row r="38" spans="1:4" x14ac:dyDescent="0.25">
      <c r="A38" s="18">
        <v>2244</v>
      </c>
      <c r="B38" s="158" t="s">
        <v>24</v>
      </c>
      <c r="C38" s="19"/>
      <c r="D38" s="19"/>
    </row>
    <row r="39" spans="1:4" ht="58.5" customHeight="1" x14ac:dyDescent="0.25">
      <c r="A39" s="21"/>
      <c r="B39" s="158" t="s">
        <v>195</v>
      </c>
      <c r="C39" s="55">
        <f>ROUND(383.44/18154,3)</f>
        <v>2.1000000000000001E-2</v>
      </c>
      <c r="D39" s="55">
        <f>C39*10</f>
        <v>0.21000000000000002</v>
      </c>
    </row>
    <row r="40" spans="1:4" ht="48.75" customHeight="1" x14ac:dyDescent="0.25">
      <c r="A40" s="21"/>
      <c r="B40" s="158" t="s">
        <v>855</v>
      </c>
      <c r="C40" s="40">
        <f>ROUND(5.03/18154,4)</f>
        <v>2.9999999999999997E-4</v>
      </c>
      <c r="D40" s="36">
        <f>C40*10</f>
        <v>2.9999999999999996E-3</v>
      </c>
    </row>
    <row r="41" spans="1:4" x14ac:dyDescent="0.25">
      <c r="A41" s="18">
        <v>2249</v>
      </c>
      <c r="B41" s="158" t="s">
        <v>8</v>
      </c>
      <c r="C41" s="19"/>
      <c r="D41" s="19"/>
    </row>
    <row r="42" spans="1:4" ht="57.75" customHeight="1" x14ac:dyDescent="0.25">
      <c r="A42" s="18"/>
      <c r="B42" s="158" t="s">
        <v>562</v>
      </c>
      <c r="C42" s="36">
        <f>ROUND(9.76/18154,4)</f>
        <v>5.0000000000000001E-4</v>
      </c>
      <c r="D42" s="55">
        <f>C42*10</f>
        <v>5.0000000000000001E-3</v>
      </c>
    </row>
    <row r="43" spans="1:4" x14ac:dyDescent="0.25">
      <c r="A43" s="18">
        <v>2311</v>
      </c>
      <c r="B43" s="158" t="s">
        <v>9</v>
      </c>
      <c r="C43" s="36"/>
      <c r="D43" s="19"/>
    </row>
    <row r="44" spans="1:4" ht="60.75" customHeight="1" x14ac:dyDescent="0.25">
      <c r="A44" s="18"/>
      <c r="B44" s="158" t="s">
        <v>452</v>
      </c>
      <c r="C44" s="36">
        <f>ROUND(54.99/18154,4)</f>
        <v>3.0000000000000001E-3</v>
      </c>
      <c r="D44" s="55">
        <f>C44*10</f>
        <v>0.03</v>
      </c>
    </row>
    <row r="45" spans="1:4" x14ac:dyDescent="0.25">
      <c r="A45" s="18">
        <v>2350</v>
      </c>
      <c r="B45" s="158" t="s">
        <v>21</v>
      </c>
      <c r="C45" s="36"/>
      <c r="D45" s="19"/>
    </row>
    <row r="46" spans="1:4" ht="90.75" customHeight="1" x14ac:dyDescent="0.25">
      <c r="A46" s="18"/>
      <c r="B46" s="158" t="s">
        <v>563</v>
      </c>
      <c r="C46" s="40">
        <f>ROUND(6.69/18154,4)</f>
        <v>4.0000000000000002E-4</v>
      </c>
      <c r="D46" s="36">
        <f>C46*10</f>
        <v>4.0000000000000001E-3</v>
      </c>
    </row>
    <row r="47" spans="1:4" ht="15.75" customHeight="1" x14ac:dyDescent="0.25">
      <c r="A47" s="18">
        <v>2513</v>
      </c>
      <c r="B47" s="158" t="s">
        <v>133</v>
      </c>
      <c r="C47" s="40"/>
      <c r="D47" s="36"/>
    </row>
    <row r="48" spans="1:4" ht="46.5" customHeight="1" x14ac:dyDescent="0.25">
      <c r="A48" s="18"/>
      <c r="B48" s="158" t="s">
        <v>527</v>
      </c>
      <c r="C48" s="36">
        <f>ROUND(9.53/18154,4)</f>
        <v>5.0000000000000001E-4</v>
      </c>
      <c r="D48" s="55">
        <f>C48*10</f>
        <v>5.0000000000000001E-3</v>
      </c>
    </row>
    <row r="49" spans="1:4" ht="15.75" customHeight="1" x14ac:dyDescent="0.25">
      <c r="A49" s="18">
        <v>5220</v>
      </c>
      <c r="B49" s="158" t="s">
        <v>136</v>
      </c>
      <c r="C49" s="40"/>
      <c r="D49" s="36"/>
    </row>
    <row r="50" spans="1:4" ht="66" customHeight="1" x14ac:dyDescent="0.25">
      <c r="A50" s="18"/>
      <c r="B50" s="158" t="s">
        <v>528</v>
      </c>
      <c r="C50" s="40">
        <f>ROUND(25.06/18154,3)</f>
        <v>1E-3</v>
      </c>
      <c r="D50" s="55">
        <f>C50*10</f>
        <v>0.01</v>
      </c>
    </row>
    <row r="51" spans="1:4" ht="14.25" customHeight="1" x14ac:dyDescent="0.25">
      <c r="A51" s="18">
        <v>5238</v>
      </c>
      <c r="B51" s="158" t="s">
        <v>134</v>
      </c>
      <c r="C51" s="40"/>
      <c r="D51" s="36"/>
    </row>
    <row r="52" spans="1:4" ht="51" customHeight="1" x14ac:dyDescent="0.25">
      <c r="A52" s="18"/>
      <c r="B52" s="158" t="s">
        <v>456</v>
      </c>
      <c r="C52" s="36">
        <f>ROUND(33.68/18154,4)</f>
        <v>1.9E-3</v>
      </c>
      <c r="D52" s="55">
        <f>C52*10</f>
        <v>1.9E-2</v>
      </c>
    </row>
    <row r="53" spans="1:4" x14ac:dyDescent="0.25">
      <c r="A53" s="68"/>
      <c r="B53" s="72" t="s">
        <v>10</v>
      </c>
      <c r="C53" s="71">
        <f>ROUND(C52+C50+C48+C46+C44+C42+C40+C39+C37+C35+C33+C31+C29+C27+C25,2)</f>
        <v>0.17</v>
      </c>
      <c r="D53" s="71">
        <f>ROUND(D52+D50+D48+D46+D44+D42+D40+D39+D37+D35+D33+D31+D29+D27+D25,2)</f>
        <v>1.7</v>
      </c>
    </row>
    <row r="54" spans="1:4" x14ac:dyDescent="0.25">
      <c r="A54" s="23"/>
      <c r="B54" s="24" t="s">
        <v>15</v>
      </c>
      <c r="C54" s="52">
        <f>ROUND(C53+C22,2)</f>
        <v>4.28</v>
      </c>
      <c r="D54" s="52">
        <f>D53+D22</f>
        <v>42.800000000000011</v>
      </c>
    </row>
    <row r="55" spans="1:4" s="215" customFormat="1" x14ac:dyDescent="0.25">
      <c r="A55" s="25"/>
      <c r="B55" s="121"/>
      <c r="C55" s="170"/>
      <c r="D55" s="170"/>
    </row>
    <row r="56" spans="1:4" x14ac:dyDescent="0.25">
      <c r="A56" s="25"/>
      <c r="B56" s="26"/>
      <c r="C56" s="27"/>
      <c r="D56" s="27"/>
    </row>
    <row r="57" spans="1:4" ht="15" customHeight="1" x14ac:dyDescent="0.25">
      <c r="A57" s="252" t="s">
        <v>16</v>
      </c>
      <c r="B57" s="253"/>
      <c r="C57" s="138">
        <v>10</v>
      </c>
      <c r="D57" s="29"/>
    </row>
    <row r="58" spans="1:4" ht="32.25" customHeight="1" x14ac:dyDescent="0.25">
      <c r="A58" s="254" t="s">
        <v>23</v>
      </c>
      <c r="B58" s="255"/>
      <c r="C58" s="139">
        <f>D54/C57</f>
        <v>4.2800000000000011</v>
      </c>
      <c r="D58" s="29"/>
    </row>
    <row r="59" spans="1:4" x14ac:dyDescent="0.25">
      <c r="A59" s="30"/>
      <c r="B59" s="30"/>
      <c r="C59" s="30"/>
      <c r="D59" s="30"/>
    </row>
    <row r="60" spans="1:4" x14ac:dyDescent="0.25">
      <c r="A60" s="30"/>
      <c r="B60" s="30"/>
      <c r="C60" s="30"/>
      <c r="D60" s="152"/>
    </row>
    <row r="61" spans="1:4" x14ac:dyDescent="0.25">
      <c r="A61" s="30"/>
      <c r="B61" s="30"/>
      <c r="C61" s="30"/>
      <c r="D61" s="152"/>
    </row>
    <row r="62" spans="1:4" x14ac:dyDescent="0.25">
      <c r="A62" s="30"/>
      <c r="B62" s="30"/>
      <c r="C62" s="30"/>
      <c r="D62" s="152"/>
    </row>
    <row r="63" spans="1:4" x14ac:dyDescent="0.25">
      <c r="A63" s="30"/>
      <c r="B63" s="30"/>
      <c r="C63" s="30"/>
      <c r="D63" s="30"/>
    </row>
    <row r="64" spans="1:4" x14ac:dyDescent="0.25">
      <c r="A64" s="231"/>
      <c r="B64" s="231"/>
      <c r="C64" s="9"/>
      <c r="D64" s="9"/>
    </row>
    <row r="65" spans="1:4" x14ac:dyDescent="0.25">
      <c r="A65" s="250"/>
      <c r="B65" s="231"/>
      <c r="C65" s="9"/>
      <c r="D65" s="9"/>
    </row>
    <row r="66" spans="1:4" x14ac:dyDescent="0.25">
      <c r="A66" s="154"/>
      <c r="B66" s="9"/>
      <c r="C66" s="31"/>
      <c r="D66" s="9"/>
    </row>
    <row r="67" spans="1:4" x14ac:dyDescent="0.25">
      <c r="A67" s="250"/>
      <c r="B67" s="250"/>
      <c r="C67" s="31"/>
      <c r="D67" s="9"/>
    </row>
  </sheetData>
  <customSheetViews>
    <customSheetView guid="{3046F990-4623-45D5-BDDC-01BD5999DDBC}" scale="60" showPageBreaks="1" fitToPage="1" printArea="1" hiddenRows="1" view="pageBreakPreview">
      <selection activeCell="B53" sqref="B53"/>
      <rowBreaks count="1" manualBreakCount="1">
        <brk id="33" max="3" man="1"/>
      </rowBreaks>
      <pageMargins left="0.70866141732283472" right="0.70866141732283472" top="0.74803149606299213" bottom="0.74803149606299213" header="0.31496062992125984" footer="0.31496062992125984"/>
      <pageSetup paperSize="9" scale="75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hiddenRows="1" view="pageBreakPreview">
      <selection activeCell="A55" sqref="A55:XFD55"/>
      <rowBreaks count="1" manualBreakCount="1">
        <brk id="33" max="3" man="1"/>
      </rowBreaks>
      <pageMargins left="0.70866141732283472" right="0.70866141732283472" top="0.74803149606299213" bottom="0.74803149606299213" header="0.31496062992125984" footer="0.31496062992125984"/>
      <pageSetup paperSize="9" scale="75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hiddenRows="1" view="pageBreakPreview">
      <selection activeCell="C12" sqref="C12"/>
      <rowBreaks count="1" manualBreakCount="1">
        <brk id="33" max="3" man="1"/>
      </rowBreaks>
      <pageMargins left="0.70866141732283472" right="0.70866141732283472" top="0.74803149606299213" bottom="0.74803149606299213" header="0.31496062992125984" footer="0.31496062992125984"/>
      <pageSetup paperSize="9" scale="76" fitToHeight="0" orientation="portrait" r:id="rId3"/>
      <headerFooter>
        <oddFooter>&amp;C&amp;P</oddFooter>
      </headerFooter>
    </customSheetView>
  </customSheetViews>
  <mergeCells count="10">
    <mergeCell ref="A64:B64"/>
    <mergeCell ref="A65:B65"/>
    <mergeCell ref="A67:B67"/>
    <mergeCell ref="A58:B58"/>
    <mergeCell ref="A57:B57"/>
    <mergeCell ref="A2:D2"/>
    <mergeCell ref="A6:D6"/>
    <mergeCell ref="A8:B8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4"/>
  <headerFooter>
    <oddFooter>&amp;C&amp;P</oddFooter>
  </headerFooter>
  <rowBreaks count="1" manualBreakCount="1">
    <brk id="33" max="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view="pageBreakPreview" zoomScale="60" zoomScaleNormal="100" workbookViewId="0">
      <selection activeCell="A6" sqref="A6:D6"/>
    </sheetView>
  </sheetViews>
  <sheetFormatPr defaultRowHeight="15" x14ac:dyDescent="0.25"/>
  <cols>
    <col min="1" max="1" width="14.5703125" customWidth="1"/>
    <col min="2" max="2" width="69.7109375" customWidth="1"/>
    <col min="3" max="3" width="16" customWidth="1"/>
    <col min="4" max="4" width="19.5703125" customWidth="1"/>
  </cols>
  <sheetData>
    <row r="1" spans="1:6" ht="18.75" x14ac:dyDescent="0.3">
      <c r="A1" s="4"/>
      <c r="B1" s="5"/>
      <c r="C1" s="35"/>
      <c r="D1" s="5"/>
    </row>
    <row r="2" spans="1:6" ht="15.75" customHeight="1" x14ac:dyDescent="0.25">
      <c r="A2" s="256" t="s">
        <v>307</v>
      </c>
      <c r="B2" s="256"/>
      <c r="C2" s="256"/>
      <c r="D2" s="256"/>
    </row>
    <row r="3" spans="1:6" ht="15" customHeight="1" x14ac:dyDescent="0.25">
      <c r="A3" s="4"/>
      <c r="B3" s="4"/>
      <c r="C3" s="273"/>
      <c r="D3" s="274"/>
    </row>
    <row r="4" spans="1:6" ht="15.75" x14ac:dyDescent="0.25">
      <c r="A4" s="186" t="s">
        <v>723</v>
      </c>
      <c r="B4" s="32"/>
      <c r="C4" s="32"/>
      <c r="D4" s="32"/>
    </row>
    <row r="5" spans="1:6" x14ac:dyDescent="0.25">
      <c r="A5" s="4"/>
      <c r="B5" s="33"/>
      <c r="C5" s="33"/>
      <c r="D5" s="9"/>
    </row>
    <row r="6" spans="1:6" ht="22.5" customHeight="1" x14ac:dyDescent="0.25">
      <c r="A6" s="277" t="s">
        <v>1041</v>
      </c>
      <c r="B6" s="277"/>
      <c r="C6" s="277"/>
      <c r="D6" s="277"/>
    </row>
    <row r="7" spans="1:6" ht="15" customHeight="1" x14ac:dyDescent="0.25">
      <c r="A7" s="180"/>
      <c r="B7" s="34"/>
      <c r="C7" s="34"/>
      <c r="D7" s="9"/>
      <c r="E7" s="48"/>
      <c r="F7" s="48"/>
    </row>
    <row r="8" spans="1:6" x14ac:dyDescent="0.25">
      <c r="A8" s="270" t="s">
        <v>309</v>
      </c>
      <c r="B8" s="271"/>
      <c r="C8" s="34"/>
      <c r="D8" s="9"/>
    </row>
    <row r="9" spans="1:6" ht="15" customHeight="1" x14ac:dyDescent="0.25">
      <c r="A9" s="183"/>
      <c r="B9" s="184"/>
      <c r="C9" s="34"/>
      <c r="D9" s="9"/>
    </row>
    <row r="10" spans="1:6" ht="15.75" x14ac:dyDescent="0.25">
      <c r="A10" s="251" t="s">
        <v>747</v>
      </c>
      <c r="B10" s="251"/>
      <c r="C10" s="8"/>
      <c r="D10" s="9"/>
    </row>
    <row r="11" spans="1:6" ht="98.25" customHeight="1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6" x14ac:dyDescent="0.25">
      <c r="A12" s="13">
        <v>1</v>
      </c>
      <c r="B12" s="14">
        <v>2</v>
      </c>
      <c r="C12" s="13">
        <v>3</v>
      </c>
      <c r="D12" s="13">
        <v>4</v>
      </c>
    </row>
    <row r="13" spans="1:6" x14ac:dyDescent="0.25">
      <c r="A13" s="15"/>
      <c r="B13" s="22" t="s">
        <v>13</v>
      </c>
      <c r="C13" s="17"/>
      <c r="D13" s="17"/>
    </row>
    <row r="14" spans="1:6" x14ac:dyDescent="0.25">
      <c r="A14" s="37">
        <v>1100</v>
      </c>
      <c r="B14" s="16" t="s">
        <v>14</v>
      </c>
      <c r="C14" s="38"/>
      <c r="D14" s="38"/>
    </row>
    <row r="15" spans="1:6" ht="81.75" customHeight="1" x14ac:dyDescent="0.25">
      <c r="A15" s="18"/>
      <c r="B15" s="157" t="s">
        <v>211</v>
      </c>
      <c r="C15" s="55">
        <f>0.11*15</f>
        <v>1.65</v>
      </c>
      <c r="D15" s="55">
        <f>C15*30</f>
        <v>49.5</v>
      </c>
    </row>
    <row r="16" spans="1:6" ht="35.25" customHeight="1" x14ac:dyDescent="0.25">
      <c r="A16" s="18">
        <v>1200</v>
      </c>
      <c r="B16" s="158" t="s">
        <v>288</v>
      </c>
      <c r="C16" s="55">
        <f>ROUND(C15*0.2359,2)</f>
        <v>0.39</v>
      </c>
      <c r="D16" s="55">
        <f>C16*30</f>
        <v>11.700000000000001</v>
      </c>
    </row>
    <row r="17" spans="1:4" x14ac:dyDescent="0.25">
      <c r="A17" s="18">
        <v>2341</v>
      </c>
      <c r="B17" s="18" t="s">
        <v>77</v>
      </c>
      <c r="C17" s="19"/>
      <c r="D17" s="19"/>
    </row>
    <row r="18" spans="1:4" ht="78.75" customHeight="1" x14ac:dyDescent="0.25">
      <c r="A18" s="18"/>
      <c r="B18" s="158" t="s">
        <v>862</v>
      </c>
      <c r="C18" s="55">
        <f>0.04+0.01+0.02+0.03+8.72+0.18</f>
        <v>9</v>
      </c>
      <c r="D18" s="55">
        <f>C18*30</f>
        <v>270</v>
      </c>
    </row>
    <row r="19" spans="1:4" ht="18" hidden="1" customHeight="1" x14ac:dyDescent="0.25">
      <c r="A19" s="18"/>
      <c r="B19" s="158" t="s">
        <v>76</v>
      </c>
      <c r="C19" s="36"/>
      <c r="D19" s="55"/>
    </row>
    <row r="20" spans="1:4" x14ac:dyDescent="0.25">
      <c r="A20" s="68"/>
      <c r="B20" s="159" t="s">
        <v>2</v>
      </c>
      <c r="C20" s="71">
        <f>SUM(C14:C18)</f>
        <v>11.04</v>
      </c>
      <c r="D20" s="71">
        <f>SUM(D14:D18)</f>
        <v>331.2</v>
      </c>
    </row>
    <row r="21" spans="1:4" x14ac:dyDescent="0.25">
      <c r="A21" s="18"/>
      <c r="B21" s="160" t="s">
        <v>20</v>
      </c>
      <c r="C21" s="19"/>
      <c r="D21" s="19"/>
    </row>
    <row r="22" spans="1:4" x14ac:dyDescent="0.25">
      <c r="A22" s="18">
        <v>2219</v>
      </c>
      <c r="B22" s="158" t="s">
        <v>3</v>
      </c>
      <c r="C22" s="19"/>
      <c r="D22" s="19"/>
    </row>
    <row r="23" spans="1:4" ht="99" customHeight="1" x14ac:dyDescent="0.25">
      <c r="A23" s="18"/>
      <c r="B23" s="158" t="s">
        <v>622</v>
      </c>
      <c r="C23" s="40">
        <f>ROUND(3.18/18154,4)</f>
        <v>2.0000000000000001E-4</v>
      </c>
      <c r="D23" s="55">
        <f>C23*30</f>
        <v>6.0000000000000001E-3</v>
      </c>
    </row>
    <row r="24" spans="1:4" x14ac:dyDescent="0.25">
      <c r="A24" s="18">
        <v>2221</v>
      </c>
      <c r="B24" s="158" t="s">
        <v>4</v>
      </c>
      <c r="C24" s="19"/>
      <c r="D24" s="19"/>
    </row>
    <row r="25" spans="1:4" ht="45" customHeight="1" x14ac:dyDescent="0.25">
      <c r="A25" s="18"/>
      <c r="B25" s="158" t="s">
        <v>569</v>
      </c>
      <c r="C25" s="55">
        <f>ROUND(301.59/18154,4)</f>
        <v>1.66E-2</v>
      </c>
      <c r="D25" s="55">
        <f>C25*30</f>
        <v>0.498</v>
      </c>
    </row>
    <row r="26" spans="1:4" x14ac:dyDescent="0.25">
      <c r="A26" s="18">
        <v>2222</v>
      </c>
      <c r="B26" s="158" t="s">
        <v>5</v>
      </c>
      <c r="C26" s="19"/>
      <c r="D26" s="19"/>
    </row>
    <row r="27" spans="1:4" ht="62.25" customHeight="1" x14ac:dyDescent="0.25">
      <c r="A27" s="18"/>
      <c r="B27" s="158" t="s">
        <v>570</v>
      </c>
      <c r="C27" s="36">
        <f>ROUND(31.02/18154,4)</f>
        <v>1.6999999999999999E-3</v>
      </c>
      <c r="D27" s="55">
        <f>C27*30</f>
        <v>5.0999999999999997E-2</v>
      </c>
    </row>
    <row r="28" spans="1:4" x14ac:dyDescent="0.25">
      <c r="A28" s="18">
        <v>2223</v>
      </c>
      <c r="B28" s="18" t="s">
        <v>6</v>
      </c>
      <c r="C28" s="19"/>
      <c r="D28" s="19"/>
    </row>
    <row r="29" spans="1:4" ht="54.75" customHeight="1" x14ac:dyDescent="0.25">
      <c r="A29" s="18"/>
      <c r="B29" s="158" t="s">
        <v>187</v>
      </c>
      <c r="C29" s="55">
        <f>ROUND(538.27/18154,2)</f>
        <v>0.03</v>
      </c>
      <c r="D29" s="55">
        <f>C29*30</f>
        <v>0.89999999999999991</v>
      </c>
    </row>
    <row r="30" spans="1:4" x14ac:dyDescent="0.25">
      <c r="A30" s="18">
        <v>2224</v>
      </c>
      <c r="B30" s="158" t="s">
        <v>7</v>
      </c>
      <c r="C30" s="19"/>
      <c r="D30" s="19"/>
    </row>
    <row r="31" spans="1:4" ht="60" x14ac:dyDescent="0.25">
      <c r="A31" s="18"/>
      <c r="B31" s="158" t="s">
        <v>571</v>
      </c>
      <c r="C31" s="36">
        <f>ROUND(28.86/18154,4)</f>
        <v>1.6000000000000001E-3</v>
      </c>
      <c r="D31" s="55">
        <f>C31*30</f>
        <v>4.8000000000000001E-2</v>
      </c>
    </row>
    <row r="32" spans="1:4" x14ac:dyDescent="0.25">
      <c r="A32" s="45">
        <v>2231</v>
      </c>
      <c r="B32" s="158" t="s">
        <v>22</v>
      </c>
      <c r="C32" s="36"/>
      <c r="D32" s="19"/>
    </row>
    <row r="33" spans="1:4" ht="161.25" customHeight="1" x14ac:dyDescent="0.25">
      <c r="A33" s="45"/>
      <c r="B33" s="158" t="s">
        <v>572</v>
      </c>
      <c r="C33" s="55">
        <f>ROUND(1201.87/18154,2)</f>
        <v>7.0000000000000007E-2</v>
      </c>
      <c r="D33" s="55">
        <f>C33*30</f>
        <v>2.1</v>
      </c>
    </row>
    <row r="34" spans="1:4" ht="16.5" customHeight="1" x14ac:dyDescent="0.25">
      <c r="A34" s="45">
        <v>2243</v>
      </c>
      <c r="B34" s="158" t="s">
        <v>132</v>
      </c>
      <c r="C34" s="55"/>
      <c r="D34" s="55"/>
    </row>
    <row r="35" spans="1:4" ht="60.75" customHeight="1" x14ac:dyDescent="0.25">
      <c r="A35" s="45"/>
      <c r="B35" s="158" t="s">
        <v>573</v>
      </c>
      <c r="C35" s="55">
        <f>ROUND(386.87/18154,4)</f>
        <v>2.1299999999999999E-2</v>
      </c>
      <c r="D35" s="55">
        <f>C35*30</f>
        <v>0.63900000000000001</v>
      </c>
    </row>
    <row r="36" spans="1:4" x14ac:dyDescent="0.25">
      <c r="A36" s="18">
        <v>2244</v>
      </c>
      <c r="B36" s="158" t="s">
        <v>24</v>
      </c>
      <c r="C36" s="19"/>
      <c r="D36" s="19"/>
    </row>
    <row r="37" spans="1:4" ht="65.25" customHeight="1" x14ac:dyDescent="0.25">
      <c r="A37" s="21"/>
      <c r="B37" s="158" t="s">
        <v>417</v>
      </c>
      <c r="C37" s="55">
        <f>ROUND(383.44/18154,3)</f>
        <v>2.1000000000000001E-2</v>
      </c>
      <c r="D37" s="55">
        <f>C37*30</f>
        <v>0.63</v>
      </c>
    </row>
    <row r="38" spans="1:4" ht="46.5" customHeight="1" x14ac:dyDescent="0.25">
      <c r="A38" s="21"/>
      <c r="B38" s="158" t="s">
        <v>575</v>
      </c>
      <c r="C38" s="40">
        <f>ROUND(5.03/18154,4)</f>
        <v>2.9999999999999997E-4</v>
      </c>
      <c r="D38" s="55">
        <f>C38*30</f>
        <v>8.9999999999999993E-3</v>
      </c>
    </row>
    <row r="39" spans="1:4" x14ac:dyDescent="0.25">
      <c r="A39" s="18">
        <v>2249</v>
      </c>
      <c r="B39" s="158" t="s">
        <v>8</v>
      </c>
      <c r="C39" s="19"/>
      <c r="D39" s="19"/>
    </row>
    <row r="40" spans="1:4" ht="59.25" customHeight="1" x14ac:dyDescent="0.25">
      <c r="A40" s="18"/>
      <c r="B40" s="158" t="s">
        <v>863</v>
      </c>
      <c r="C40" s="36">
        <f>ROUND(9.76/18154,4)</f>
        <v>5.0000000000000001E-4</v>
      </c>
      <c r="D40" s="55">
        <f>C40*30</f>
        <v>1.4999999999999999E-2</v>
      </c>
    </row>
    <row r="41" spans="1:4" x14ac:dyDescent="0.25">
      <c r="A41" s="18">
        <v>2311</v>
      </c>
      <c r="B41" s="158" t="s">
        <v>9</v>
      </c>
      <c r="C41" s="36"/>
      <c r="D41" s="19"/>
    </row>
    <row r="42" spans="1:4" ht="60.75" customHeight="1" x14ac:dyDescent="0.25">
      <c r="A42" s="18"/>
      <c r="B42" s="158" t="s">
        <v>189</v>
      </c>
      <c r="C42" s="36">
        <f>ROUND(54.99/18154,4)</f>
        <v>3.0000000000000001E-3</v>
      </c>
      <c r="D42" s="55">
        <f>C42*30</f>
        <v>0.09</v>
      </c>
    </row>
    <row r="43" spans="1:4" x14ac:dyDescent="0.25">
      <c r="A43" s="18">
        <v>2350</v>
      </c>
      <c r="B43" s="158" t="s">
        <v>21</v>
      </c>
      <c r="C43" s="36"/>
      <c r="D43" s="19"/>
    </row>
    <row r="44" spans="1:4" ht="90.75" customHeight="1" x14ac:dyDescent="0.25">
      <c r="A44" s="18"/>
      <c r="B44" s="158" t="s">
        <v>574</v>
      </c>
      <c r="C44" s="40">
        <f>ROUND(6.69/18154,4)</f>
        <v>4.0000000000000002E-4</v>
      </c>
      <c r="D44" s="55">
        <f>C44*30</f>
        <v>1.2E-2</v>
      </c>
    </row>
    <row r="45" spans="1:4" ht="15" customHeight="1" x14ac:dyDescent="0.25">
      <c r="A45" s="18">
        <v>2513</v>
      </c>
      <c r="B45" s="158" t="s">
        <v>133</v>
      </c>
      <c r="C45" s="40"/>
      <c r="D45" s="55"/>
    </row>
    <row r="46" spans="1:4" ht="48" customHeight="1" x14ac:dyDescent="0.25">
      <c r="A46" s="18"/>
      <c r="B46" s="158" t="s">
        <v>420</v>
      </c>
      <c r="C46" s="36">
        <f>ROUND(9.53/18154,4)</f>
        <v>5.0000000000000001E-4</v>
      </c>
      <c r="D46" s="55">
        <f>C46*30</f>
        <v>1.4999999999999999E-2</v>
      </c>
    </row>
    <row r="47" spans="1:4" ht="16.5" customHeight="1" x14ac:dyDescent="0.25">
      <c r="A47" s="18">
        <v>5220</v>
      </c>
      <c r="B47" s="158" t="s">
        <v>136</v>
      </c>
      <c r="C47" s="40"/>
      <c r="D47" s="55"/>
    </row>
    <row r="48" spans="1:4" ht="62.25" customHeight="1" x14ac:dyDescent="0.25">
      <c r="A48" s="18"/>
      <c r="B48" s="158" t="s">
        <v>864</v>
      </c>
      <c r="C48" s="36">
        <f>ROUND(25.06/18154,3)</f>
        <v>1E-3</v>
      </c>
      <c r="D48" s="55">
        <f>C48*30</f>
        <v>0.03</v>
      </c>
    </row>
    <row r="49" spans="1:4" ht="14.25" customHeight="1" x14ac:dyDescent="0.25">
      <c r="A49" s="18">
        <v>5238</v>
      </c>
      <c r="B49" s="158" t="s">
        <v>134</v>
      </c>
      <c r="C49" s="40"/>
      <c r="D49" s="55"/>
    </row>
    <row r="50" spans="1:4" ht="51" customHeight="1" x14ac:dyDescent="0.25">
      <c r="A50" s="18"/>
      <c r="B50" s="158" t="s">
        <v>421</v>
      </c>
      <c r="C50" s="36">
        <f>ROUND(33.68/18154,4)</f>
        <v>1.9E-3</v>
      </c>
      <c r="D50" s="55">
        <f>C50*30</f>
        <v>5.7000000000000002E-2</v>
      </c>
    </row>
    <row r="51" spans="1:4" x14ac:dyDescent="0.25">
      <c r="A51" s="68"/>
      <c r="B51" s="72" t="s">
        <v>10</v>
      </c>
      <c r="C51" s="71">
        <f>ROUND(C50+C48+C46+C44+C42+C40+C38+C37+C35+C33+C31+C29+C27+C25+C23,2)</f>
        <v>0.17</v>
      </c>
      <c r="D51" s="71">
        <f>ROUND(D50+D48+D46+D44+D42+D40+D38+D37+D35+D33+D31+D29+D27+D25+D23,2)</f>
        <v>5.0999999999999996</v>
      </c>
    </row>
    <row r="52" spans="1:4" x14ac:dyDescent="0.25">
      <c r="A52" s="23"/>
      <c r="B52" s="24" t="s">
        <v>15</v>
      </c>
      <c r="C52" s="52">
        <f>ROUND(C51+C20,2)</f>
        <v>11.21</v>
      </c>
      <c r="D52" s="52">
        <f>D51+D20</f>
        <v>336.3</v>
      </c>
    </row>
    <row r="53" spans="1:4" x14ac:dyDescent="0.25">
      <c r="A53" s="25"/>
      <c r="B53" s="26"/>
      <c r="C53" s="27"/>
      <c r="D53" s="27"/>
    </row>
    <row r="54" spans="1:4" x14ac:dyDescent="0.25">
      <c r="A54" s="26"/>
      <c r="B54" s="28"/>
      <c r="C54" s="28"/>
      <c r="D54" s="9"/>
    </row>
    <row r="55" spans="1:4" ht="15" customHeight="1" x14ac:dyDescent="0.25">
      <c r="A55" s="252" t="s">
        <v>16</v>
      </c>
      <c r="B55" s="253"/>
      <c r="C55" s="138">
        <v>30</v>
      </c>
      <c r="D55" s="29"/>
    </row>
    <row r="56" spans="1:4" ht="34.5" customHeight="1" x14ac:dyDescent="0.25">
      <c r="A56" s="254" t="s">
        <v>23</v>
      </c>
      <c r="B56" s="255"/>
      <c r="C56" s="139">
        <f>D52/C55</f>
        <v>11.21</v>
      </c>
      <c r="D56" s="29"/>
    </row>
    <row r="57" spans="1:4" x14ac:dyDescent="0.25">
      <c r="A57" s="30"/>
      <c r="B57" s="30"/>
      <c r="C57" s="30"/>
      <c r="D57" s="30"/>
    </row>
    <row r="58" spans="1:4" x14ac:dyDescent="0.25">
      <c r="A58" s="30"/>
      <c r="B58" s="30"/>
      <c r="C58" s="30"/>
      <c r="D58" s="152"/>
    </row>
    <row r="59" spans="1:4" x14ac:dyDescent="0.25">
      <c r="A59" s="30"/>
      <c r="B59" s="30"/>
      <c r="C59" s="30"/>
      <c r="D59" s="152"/>
    </row>
    <row r="60" spans="1:4" x14ac:dyDescent="0.25">
      <c r="A60" s="30"/>
      <c r="B60" s="30"/>
      <c r="C60" s="30"/>
      <c r="D60" s="152"/>
    </row>
    <row r="61" spans="1:4" x14ac:dyDescent="0.25">
      <c r="A61" s="30"/>
      <c r="B61" s="30"/>
      <c r="C61" s="30"/>
      <c r="D61" s="30"/>
    </row>
    <row r="62" spans="1:4" x14ac:dyDescent="0.25">
      <c r="A62" s="231"/>
      <c r="B62" s="231"/>
      <c r="C62" s="9"/>
      <c r="D62" s="9"/>
    </row>
    <row r="63" spans="1:4" x14ac:dyDescent="0.25">
      <c r="A63" s="250"/>
      <c r="B63" s="231"/>
      <c r="C63" s="9"/>
      <c r="D63" s="9"/>
    </row>
    <row r="64" spans="1:4" x14ac:dyDescent="0.25">
      <c r="A64" s="154"/>
      <c r="B64" s="9"/>
      <c r="C64" s="31"/>
      <c r="D64" s="9"/>
    </row>
    <row r="65" spans="1:4" x14ac:dyDescent="0.25">
      <c r="A65" s="250"/>
      <c r="B65" s="250"/>
      <c r="C65" s="31"/>
      <c r="D65" s="9"/>
    </row>
  </sheetData>
  <customSheetViews>
    <customSheetView guid="{3046F990-4623-45D5-BDDC-01BD5999DDBC}" scale="60" showPageBreaks="1" fitToPage="1" printArea="1" hiddenRows="1" view="pageBreakPreview" topLeftCell="A5">
      <selection activeCell="B53" sqref="B53"/>
      <rowBreaks count="1" manualBreakCount="1">
        <brk id="31" max="3" man="1"/>
      </rowBreaks>
      <pageMargins left="0.70866141732283472" right="0.70866141732283472" top="0.74803149606299213" bottom="0.74803149606299213" header="0.31496062992125984" footer="0.31496062992125984"/>
      <pageSetup paperSize="9" scale="72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hiddenRows="1" view="pageBreakPreview" topLeftCell="A5">
      <selection activeCell="B48" sqref="B48"/>
      <rowBreaks count="1" manualBreakCount="1">
        <brk id="31" max="3" man="1"/>
      </rowBreaks>
      <pageMargins left="0.70866141732283472" right="0.70866141732283472" top="0.74803149606299213" bottom="0.74803149606299213" header="0.31496062992125984" footer="0.31496062992125984"/>
      <pageSetup paperSize="9" scale="72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hiddenRows="1" view="pageBreakPreview">
      <selection activeCell="A6" sqref="A6:D6"/>
      <rowBreaks count="1" manualBreakCount="1">
        <brk id="31" max="3" man="1"/>
      </rowBreaks>
      <pageMargins left="0.70866141732283472" right="0.70866141732283472" top="0.74803149606299213" bottom="0.74803149606299213" header="0.31496062992125984" footer="0.31496062992125984"/>
      <pageSetup paperSize="9" scale="73" fitToHeight="0" orientation="portrait" r:id="rId3"/>
      <headerFooter>
        <oddFooter>&amp;C&amp;P</oddFooter>
      </headerFooter>
    </customSheetView>
  </customSheetViews>
  <mergeCells count="10">
    <mergeCell ref="A63:B63"/>
    <mergeCell ref="A65:B65"/>
    <mergeCell ref="A56:B56"/>
    <mergeCell ref="C3:D3"/>
    <mergeCell ref="A55:B55"/>
    <mergeCell ref="A2:D2"/>
    <mergeCell ref="A6:D6"/>
    <mergeCell ref="A8:B8"/>
    <mergeCell ref="A10:B10"/>
    <mergeCell ref="A62:B62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4"/>
  <headerFooter>
    <oddFooter>&amp;C&amp;P</oddFooter>
  </headerFooter>
  <rowBreaks count="1" manualBreakCount="1">
    <brk id="31" max="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="60" zoomScaleNormal="100" workbookViewId="0">
      <selection activeCell="A6" sqref="A6:D6"/>
    </sheetView>
  </sheetViews>
  <sheetFormatPr defaultRowHeight="15" x14ac:dyDescent="0.25"/>
  <cols>
    <col min="1" max="1" width="14.85546875" customWidth="1"/>
    <col min="2" max="2" width="64.7109375" customWidth="1"/>
    <col min="3" max="3" width="14.85546875" customWidth="1"/>
    <col min="4" max="4" width="20.42578125" customWidth="1"/>
    <col min="5" max="5" width="9.5703125" bestFit="1" customWidth="1"/>
  </cols>
  <sheetData>
    <row r="1" spans="1:11" ht="18.75" x14ac:dyDescent="0.3">
      <c r="A1" s="4"/>
      <c r="B1" s="5"/>
      <c r="C1" s="35"/>
      <c r="D1" s="5"/>
    </row>
    <row r="2" spans="1:11" ht="15.75" customHeight="1" x14ac:dyDescent="0.25">
      <c r="A2" s="256" t="s">
        <v>307</v>
      </c>
      <c r="B2" s="256"/>
      <c r="C2" s="256"/>
      <c r="D2" s="256"/>
    </row>
    <row r="3" spans="1:11" ht="15" customHeight="1" x14ac:dyDescent="0.25">
      <c r="A3" s="4"/>
      <c r="B3" s="4"/>
      <c r="C3" s="273"/>
      <c r="D3" s="274"/>
    </row>
    <row r="4" spans="1:11" ht="15.75" x14ac:dyDescent="0.25">
      <c r="A4" s="186" t="s">
        <v>723</v>
      </c>
      <c r="B4" s="32"/>
      <c r="C4" s="32"/>
      <c r="D4" s="32"/>
    </row>
    <row r="5" spans="1:11" x14ac:dyDescent="0.25">
      <c r="A5" s="4"/>
      <c r="B5" s="33"/>
      <c r="C5" s="33"/>
      <c r="D5" s="9"/>
    </row>
    <row r="6" spans="1:11" ht="19.5" customHeight="1" x14ac:dyDescent="0.25">
      <c r="A6" s="277" t="s">
        <v>1042</v>
      </c>
      <c r="B6" s="277"/>
      <c r="C6" s="277"/>
      <c r="D6" s="277"/>
    </row>
    <row r="7" spans="1:11" ht="17.25" customHeight="1" x14ac:dyDescent="0.25">
      <c r="A7" s="180"/>
      <c r="B7" s="34"/>
      <c r="C7" s="34"/>
      <c r="D7" s="9"/>
      <c r="E7" s="48"/>
      <c r="F7" s="48"/>
      <c r="G7" s="48"/>
      <c r="H7" s="48"/>
      <c r="I7" s="48"/>
      <c r="J7" s="48"/>
      <c r="K7" s="48"/>
    </row>
    <row r="8" spans="1:11" x14ac:dyDescent="0.25">
      <c r="A8" s="270" t="s">
        <v>309</v>
      </c>
      <c r="B8" s="271"/>
      <c r="C8" s="34"/>
      <c r="D8" s="9"/>
    </row>
    <row r="9" spans="1:11" s="181" customFormat="1" x14ac:dyDescent="0.25">
      <c r="A9" s="183"/>
      <c r="B9" s="184"/>
      <c r="C9" s="34"/>
      <c r="D9" s="9"/>
    </row>
    <row r="10" spans="1:11" ht="15" customHeight="1" x14ac:dyDescent="0.25">
      <c r="A10" s="251" t="s">
        <v>787</v>
      </c>
      <c r="B10" s="251"/>
      <c r="C10" s="34"/>
      <c r="D10" s="9"/>
    </row>
    <row r="11" spans="1:11" ht="15" hidden="1" customHeight="1" x14ac:dyDescent="0.25">
      <c r="A11" s="251" t="s">
        <v>747</v>
      </c>
      <c r="B11" s="251"/>
      <c r="C11" s="8"/>
      <c r="D11" s="9"/>
    </row>
    <row r="12" spans="1:11" hidden="1" x14ac:dyDescent="0.25">
      <c r="A12" s="4"/>
      <c r="B12" s="11"/>
      <c r="C12" s="8"/>
      <c r="D12" s="9"/>
    </row>
    <row r="13" spans="1:11" ht="89.25" customHeight="1" x14ac:dyDescent="0.25">
      <c r="A13" s="12" t="s">
        <v>0</v>
      </c>
      <c r="B13" s="12" t="s">
        <v>1</v>
      </c>
      <c r="C13" s="12" t="s">
        <v>83</v>
      </c>
      <c r="D13" s="12" t="s">
        <v>18</v>
      </c>
    </row>
    <row r="14" spans="1:11" ht="12.75" customHeight="1" x14ac:dyDescent="0.25">
      <c r="A14" s="13">
        <v>1</v>
      </c>
      <c r="B14" s="14">
        <v>2</v>
      </c>
      <c r="C14" s="13">
        <v>3</v>
      </c>
      <c r="D14" s="13">
        <v>4</v>
      </c>
    </row>
    <row r="15" spans="1:11" x14ac:dyDescent="0.25">
      <c r="A15" s="15"/>
      <c r="B15" s="22" t="s">
        <v>13</v>
      </c>
      <c r="C15" s="17"/>
      <c r="D15" s="17"/>
    </row>
    <row r="16" spans="1:11" x14ac:dyDescent="0.25">
      <c r="A16" s="37">
        <v>1100</v>
      </c>
      <c r="B16" s="16" t="s">
        <v>14</v>
      </c>
      <c r="C16" s="38"/>
      <c r="D16" s="38"/>
    </row>
    <row r="17" spans="1:4" ht="92.25" customHeight="1" x14ac:dyDescent="0.25">
      <c r="A17" s="18"/>
      <c r="B17" s="157" t="s">
        <v>212</v>
      </c>
      <c r="C17" s="55">
        <f>0.11*15</f>
        <v>1.65</v>
      </c>
      <c r="D17" s="55">
        <f>C17*80</f>
        <v>132</v>
      </c>
    </row>
    <row r="18" spans="1:4" ht="36" customHeight="1" x14ac:dyDescent="0.25">
      <c r="A18" s="18">
        <v>1200</v>
      </c>
      <c r="B18" s="158" t="s">
        <v>288</v>
      </c>
      <c r="C18" s="55">
        <f>ROUND(C17*0.2359,2)</f>
        <v>0.39</v>
      </c>
      <c r="D18" s="55">
        <f>C18*80</f>
        <v>31.200000000000003</v>
      </c>
    </row>
    <row r="19" spans="1:4" x14ac:dyDescent="0.25">
      <c r="A19" s="18">
        <v>2341</v>
      </c>
      <c r="B19" s="18" t="s">
        <v>19</v>
      </c>
      <c r="C19" s="19"/>
      <c r="D19" s="19"/>
    </row>
    <row r="20" spans="1:4" ht="81.75" customHeight="1" x14ac:dyDescent="0.25">
      <c r="A20" s="18"/>
      <c r="B20" s="158" t="s">
        <v>576</v>
      </c>
      <c r="C20" s="55">
        <f>0.04+0.01+0.02+0.03+3.41+0.18</f>
        <v>3.6900000000000004</v>
      </c>
      <c r="D20" s="55">
        <f>C20*80</f>
        <v>295.20000000000005</v>
      </c>
    </row>
    <row r="21" spans="1:4" ht="18.75" hidden="1" customHeight="1" x14ac:dyDescent="0.25">
      <c r="A21" s="18"/>
      <c r="B21" s="158" t="s">
        <v>72</v>
      </c>
      <c r="C21" s="55"/>
      <c r="D21" s="55"/>
    </row>
    <row r="22" spans="1:4" x14ac:dyDescent="0.25">
      <c r="A22" s="68"/>
      <c r="B22" s="159" t="s">
        <v>2</v>
      </c>
      <c r="C22" s="71">
        <f>SUM(C16:C20)</f>
        <v>5.73</v>
      </c>
      <c r="D22" s="71">
        <f>SUM(D16:D20)</f>
        <v>458.40000000000003</v>
      </c>
    </row>
    <row r="23" spans="1:4" x14ac:dyDescent="0.25">
      <c r="A23" s="18"/>
      <c r="B23" s="160" t="s">
        <v>20</v>
      </c>
      <c r="C23" s="19"/>
      <c r="D23" s="19"/>
    </row>
    <row r="24" spans="1:4" x14ac:dyDescent="0.25">
      <c r="A24" s="18">
        <v>2219</v>
      </c>
      <c r="B24" s="158" t="s">
        <v>3</v>
      </c>
      <c r="C24" s="19"/>
      <c r="D24" s="19"/>
    </row>
    <row r="25" spans="1:4" ht="99" customHeight="1" x14ac:dyDescent="0.25">
      <c r="A25" s="18"/>
      <c r="B25" s="158" t="s">
        <v>625</v>
      </c>
      <c r="C25" s="40">
        <f>ROUND(3.18/18154,4)</f>
        <v>2.0000000000000001E-4</v>
      </c>
      <c r="D25" s="55">
        <f>C25*80</f>
        <v>1.6E-2</v>
      </c>
    </row>
    <row r="26" spans="1:4" x14ac:dyDescent="0.25">
      <c r="A26" s="18">
        <v>2221</v>
      </c>
      <c r="B26" s="158" t="s">
        <v>4</v>
      </c>
      <c r="C26" s="19"/>
      <c r="D26" s="19"/>
    </row>
    <row r="27" spans="1:4" ht="54.75" customHeight="1" x14ac:dyDescent="0.25">
      <c r="A27" s="18"/>
      <c r="B27" s="158" t="s">
        <v>624</v>
      </c>
      <c r="C27" s="55">
        <f>ROUND(301.59/18154,4)</f>
        <v>1.66E-2</v>
      </c>
      <c r="D27" s="55">
        <f>C27*80</f>
        <v>1.3280000000000001</v>
      </c>
    </row>
    <row r="28" spans="1:4" ht="13.5" customHeight="1" x14ac:dyDescent="0.25">
      <c r="A28" s="18">
        <v>2222</v>
      </c>
      <c r="B28" s="158" t="s">
        <v>5</v>
      </c>
      <c r="C28" s="19"/>
      <c r="D28" s="19"/>
    </row>
    <row r="29" spans="1:4" ht="54" customHeight="1" x14ac:dyDescent="0.25">
      <c r="A29" s="18"/>
      <c r="B29" s="158" t="s">
        <v>577</v>
      </c>
      <c r="C29" s="36">
        <f>ROUND(31.02/18154,4)</f>
        <v>1.6999999999999999E-3</v>
      </c>
      <c r="D29" s="55">
        <f>C29*80</f>
        <v>0.13599999999999998</v>
      </c>
    </row>
    <row r="30" spans="1:4" x14ac:dyDescent="0.25">
      <c r="A30" s="18">
        <v>2223</v>
      </c>
      <c r="B30" s="18" t="s">
        <v>6</v>
      </c>
      <c r="C30" s="19"/>
      <c r="D30" s="19"/>
    </row>
    <row r="31" spans="1:4" ht="60" x14ac:dyDescent="0.25">
      <c r="A31" s="18"/>
      <c r="B31" s="158" t="s">
        <v>213</v>
      </c>
      <c r="C31" s="55">
        <f>ROUND(538.27/18154,2)</f>
        <v>0.03</v>
      </c>
      <c r="D31" s="55">
        <f>C31*80</f>
        <v>2.4</v>
      </c>
    </row>
    <row r="32" spans="1:4" x14ac:dyDescent="0.25">
      <c r="A32" s="18">
        <v>2224</v>
      </c>
      <c r="B32" s="158" t="s">
        <v>7</v>
      </c>
      <c r="C32" s="19"/>
      <c r="D32" s="19"/>
    </row>
    <row r="33" spans="1:5" ht="63.75" customHeight="1" x14ac:dyDescent="0.25">
      <c r="A33" s="18"/>
      <c r="B33" s="158" t="s">
        <v>578</v>
      </c>
      <c r="C33" s="36">
        <f>ROUND(28.86/18154,4)</f>
        <v>1.6000000000000001E-3</v>
      </c>
      <c r="D33" s="55">
        <f>C33*80</f>
        <v>0.128</v>
      </c>
    </row>
    <row r="34" spans="1:5" x14ac:dyDescent="0.25">
      <c r="A34" s="45">
        <v>2231</v>
      </c>
      <c r="B34" s="158" t="s">
        <v>22</v>
      </c>
      <c r="C34" s="36"/>
      <c r="D34" s="19"/>
    </row>
    <row r="35" spans="1:5" ht="189" customHeight="1" x14ac:dyDescent="0.25">
      <c r="A35" s="45"/>
      <c r="B35" s="158" t="s">
        <v>579</v>
      </c>
      <c r="C35" s="55">
        <f>ROUND(1201.87/18154,2)</f>
        <v>7.0000000000000007E-2</v>
      </c>
      <c r="D35" s="55">
        <f>C35*80</f>
        <v>5.6000000000000005</v>
      </c>
    </row>
    <row r="36" spans="1:5" x14ac:dyDescent="0.25">
      <c r="A36" s="45">
        <v>2243</v>
      </c>
      <c r="B36" s="158" t="s">
        <v>132</v>
      </c>
      <c r="C36" s="55"/>
      <c r="D36" s="55"/>
    </row>
    <row r="37" spans="1:5" ht="61.5" customHeight="1" x14ac:dyDescent="0.25">
      <c r="A37" s="45"/>
      <c r="B37" s="158" t="s">
        <v>580</v>
      </c>
      <c r="C37" s="55">
        <f>ROUND(386.87/18154,4)</f>
        <v>2.1299999999999999E-2</v>
      </c>
      <c r="D37" s="55">
        <f>C37*80</f>
        <v>1.704</v>
      </c>
    </row>
    <row r="38" spans="1:5" x14ac:dyDescent="0.25">
      <c r="A38" s="18">
        <v>2244</v>
      </c>
      <c r="B38" s="158" t="s">
        <v>24</v>
      </c>
      <c r="C38" s="19"/>
      <c r="D38" s="19"/>
    </row>
    <row r="39" spans="1:5" ht="60" customHeight="1" x14ac:dyDescent="0.25">
      <c r="A39" s="21"/>
      <c r="B39" s="158" t="s">
        <v>581</v>
      </c>
      <c r="C39" s="55">
        <f>ROUND(383.44/18154,3)</f>
        <v>2.1000000000000001E-2</v>
      </c>
      <c r="D39" s="55">
        <f>C39*80</f>
        <v>1.6800000000000002</v>
      </c>
    </row>
    <row r="40" spans="1:5" ht="44.25" customHeight="1" x14ac:dyDescent="0.25">
      <c r="A40" s="21"/>
      <c r="B40" s="158" t="s">
        <v>865</v>
      </c>
      <c r="C40" s="40">
        <f>ROUND(5.03/18154,4)</f>
        <v>2.9999999999999997E-4</v>
      </c>
      <c r="D40" s="55">
        <f>C40*80</f>
        <v>2.3999999999999997E-2</v>
      </c>
    </row>
    <row r="41" spans="1:5" x14ac:dyDescent="0.25">
      <c r="A41" s="18">
        <v>2249</v>
      </c>
      <c r="B41" s="158" t="s">
        <v>8</v>
      </c>
      <c r="C41" s="19"/>
      <c r="D41" s="19"/>
    </row>
    <row r="42" spans="1:5" ht="59.25" customHeight="1" x14ac:dyDescent="0.25">
      <c r="A42" s="18"/>
      <c r="B42" s="158" t="s">
        <v>583</v>
      </c>
      <c r="C42" s="36">
        <f>ROUND(9.76/18154,4)</f>
        <v>5.0000000000000001E-4</v>
      </c>
      <c r="D42" s="55">
        <f>C42*80</f>
        <v>0.04</v>
      </c>
    </row>
    <row r="43" spans="1:5" x14ac:dyDescent="0.25">
      <c r="A43" s="18">
        <v>2311</v>
      </c>
      <c r="B43" s="158" t="s">
        <v>9</v>
      </c>
      <c r="C43" s="36"/>
      <c r="D43" s="19"/>
    </row>
    <row r="44" spans="1:5" ht="60" customHeight="1" x14ac:dyDescent="0.25">
      <c r="A44" s="18"/>
      <c r="B44" s="158" t="s">
        <v>582</v>
      </c>
      <c r="C44" s="36">
        <f>ROUND(54.99/18154,4)</f>
        <v>3.0000000000000001E-3</v>
      </c>
      <c r="D44" s="55">
        <f>C44*80</f>
        <v>0.24</v>
      </c>
    </row>
    <row r="45" spans="1:5" x14ac:dyDescent="0.25">
      <c r="A45" s="18">
        <v>2350</v>
      </c>
      <c r="B45" s="158" t="s">
        <v>21</v>
      </c>
      <c r="C45" s="36"/>
      <c r="D45" s="19"/>
    </row>
    <row r="46" spans="1:5" ht="92.25" customHeight="1" x14ac:dyDescent="0.25">
      <c r="A46" s="18"/>
      <c r="B46" s="158" t="s">
        <v>584</v>
      </c>
      <c r="C46" s="40">
        <f>ROUND(6.69/18154,4)</f>
        <v>4.0000000000000002E-4</v>
      </c>
      <c r="D46" s="55">
        <f>C46*80</f>
        <v>3.2000000000000001E-2</v>
      </c>
    </row>
    <row r="47" spans="1:5" ht="15" customHeight="1" x14ac:dyDescent="0.25">
      <c r="A47" s="18">
        <v>2513</v>
      </c>
      <c r="B47" s="158" t="s">
        <v>133</v>
      </c>
      <c r="C47" s="40"/>
      <c r="D47" s="55"/>
    </row>
    <row r="48" spans="1:5" ht="53.25" customHeight="1" x14ac:dyDescent="0.25">
      <c r="A48" s="18"/>
      <c r="B48" s="158" t="s">
        <v>866</v>
      </c>
      <c r="C48" s="36">
        <f>ROUND(9.53/18154,4)</f>
        <v>5.0000000000000001E-4</v>
      </c>
      <c r="D48" s="55">
        <f>C48*80</f>
        <v>0.04</v>
      </c>
      <c r="E48" s="117"/>
    </row>
    <row r="49" spans="1:4" ht="13.5" customHeight="1" x14ac:dyDescent="0.25">
      <c r="A49" s="18">
        <v>5220</v>
      </c>
      <c r="B49" s="158" t="s">
        <v>136</v>
      </c>
      <c r="C49" s="40"/>
      <c r="D49" s="55"/>
    </row>
    <row r="50" spans="1:4" ht="75" customHeight="1" x14ac:dyDescent="0.25">
      <c r="A50" s="18"/>
      <c r="B50" s="158" t="s">
        <v>585</v>
      </c>
      <c r="C50" s="36">
        <f>ROUND(25.06/18154,3)</f>
        <v>1E-3</v>
      </c>
      <c r="D50" s="55">
        <f>C50*80</f>
        <v>0.08</v>
      </c>
    </row>
    <row r="51" spans="1:4" ht="15.75" customHeight="1" x14ac:dyDescent="0.25">
      <c r="A51" s="18">
        <v>5238</v>
      </c>
      <c r="B51" s="158" t="s">
        <v>134</v>
      </c>
      <c r="C51" s="40"/>
      <c r="D51" s="55"/>
    </row>
    <row r="52" spans="1:4" ht="57" customHeight="1" x14ac:dyDescent="0.25">
      <c r="A52" s="18"/>
      <c r="B52" s="158" t="s">
        <v>867</v>
      </c>
      <c r="C52" s="36">
        <f>ROUND(33.68/18154,4)</f>
        <v>1.9E-3</v>
      </c>
      <c r="D52" s="55">
        <f>C52*80</f>
        <v>0.152</v>
      </c>
    </row>
    <row r="53" spans="1:4" x14ac:dyDescent="0.25">
      <c r="A53" s="68"/>
      <c r="B53" s="72" t="s">
        <v>10</v>
      </c>
      <c r="C53" s="71">
        <f>ROUND(C52+C50+C48+C46+C44+C42+C40+C39+C37+C35+C33+C31+C29+C27+C25,2)</f>
        <v>0.17</v>
      </c>
      <c r="D53" s="71">
        <f>ROUND(D52+D50+D48+D46+D44+D42+D40+D39+D37+D35+D33+D31+D29+D27+D25,2)</f>
        <v>13.6</v>
      </c>
    </row>
    <row r="54" spans="1:4" x14ac:dyDescent="0.25">
      <c r="A54" s="23"/>
      <c r="B54" s="24" t="s">
        <v>15</v>
      </c>
      <c r="C54" s="52">
        <f>ROUND(C53+C22,2)</f>
        <v>5.9</v>
      </c>
      <c r="D54" s="52">
        <f>D53+D22</f>
        <v>472.00000000000006</v>
      </c>
    </row>
    <row r="55" spans="1:4" hidden="1" x14ac:dyDescent="0.25">
      <c r="A55" s="25"/>
      <c r="B55" s="26"/>
      <c r="C55" s="27"/>
      <c r="D55" s="27"/>
    </row>
    <row r="56" spans="1:4" s="172" customFormat="1" x14ac:dyDescent="0.25">
      <c r="A56" s="25"/>
      <c r="B56" s="26"/>
      <c r="C56" s="27"/>
      <c r="D56" s="27"/>
    </row>
    <row r="57" spans="1:4" x14ac:dyDescent="0.25">
      <c r="A57" s="26"/>
      <c r="B57" s="28"/>
      <c r="C57" s="28"/>
      <c r="D57" s="9"/>
    </row>
    <row r="58" spans="1:4" ht="15" customHeight="1" x14ac:dyDescent="0.25">
      <c r="A58" s="252" t="s">
        <v>16</v>
      </c>
      <c r="B58" s="253"/>
      <c r="C58" s="138">
        <v>80</v>
      </c>
      <c r="D58" s="29"/>
    </row>
    <row r="59" spans="1:4" ht="32.25" customHeight="1" x14ac:dyDescent="0.25">
      <c r="A59" s="254" t="s">
        <v>23</v>
      </c>
      <c r="B59" s="255"/>
      <c r="C59" s="139">
        <f>D54/C58</f>
        <v>5.9</v>
      </c>
      <c r="D59" s="29"/>
    </row>
    <row r="60" spans="1:4" x14ac:dyDescent="0.25">
      <c r="A60" s="30"/>
      <c r="B60" s="30"/>
      <c r="C60" s="30"/>
      <c r="D60" s="30"/>
    </row>
    <row r="61" spans="1:4" x14ac:dyDescent="0.25">
      <c r="A61" s="30"/>
      <c r="B61" s="30"/>
      <c r="C61" s="30"/>
      <c r="D61" s="152"/>
    </row>
    <row r="62" spans="1:4" x14ac:dyDescent="0.25">
      <c r="A62" s="30"/>
      <c r="B62" s="30"/>
      <c r="C62" s="30"/>
      <c r="D62" s="152"/>
    </row>
    <row r="63" spans="1:4" x14ac:dyDescent="0.25">
      <c r="A63" s="30"/>
      <c r="B63" s="30"/>
      <c r="C63" s="30"/>
      <c r="D63" s="152"/>
    </row>
    <row r="64" spans="1:4" x14ac:dyDescent="0.25">
      <c r="A64" s="30"/>
      <c r="B64" s="30"/>
      <c r="C64" s="30"/>
      <c r="D64" s="30"/>
    </row>
    <row r="65" spans="1:4" x14ac:dyDescent="0.25">
      <c r="A65" s="231"/>
      <c r="B65" s="231"/>
      <c r="C65" s="9"/>
      <c r="D65" s="9"/>
    </row>
    <row r="66" spans="1:4" x14ac:dyDescent="0.25">
      <c r="A66" s="250"/>
      <c r="B66" s="231"/>
      <c r="C66" s="9"/>
      <c r="D66" s="9"/>
    </row>
    <row r="67" spans="1:4" x14ac:dyDescent="0.25">
      <c r="A67" s="154"/>
      <c r="B67" s="9"/>
      <c r="C67" s="31"/>
      <c r="D67" s="9"/>
    </row>
    <row r="68" spans="1:4" x14ac:dyDescent="0.25">
      <c r="A68" s="250"/>
      <c r="B68" s="250"/>
      <c r="C68" s="31"/>
      <c r="D68" s="9"/>
    </row>
  </sheetData>
  <customSheetViews>
    <customSheetView guid="{3046F990-4623-45D5-BDDC-01BD5999DDBC}" scale="60" showPageBreaks="1" fitToPage="1" printArea="1" hiddenRows="1" view="pageBreakPreview">
      <selection activeCell="B53" sqref="B53"/>
      <rowBreaks count="1" manualBreakCount="1">
        <brk id="33" max="3" man="1"/>
      </rowBreaks>
      <pageMargins left="0.70866141732283472" right="0.70866141732283472" top="0.74803149606299213" bottom="0.74803149606299213" header="0.31496062992125984" footer="0.31496062992125984"/>
      <pageSetup paperSize="9" scale="75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hiddenRows="1" view="pageBreakPreview" topLeftCell="A37">
      <selection activeCell="C50" sqref="C50"/>
      <rowBreaks count="1" manualBreakCount="1">
        <brk id="33" max="3" man="1"/>
      </rowBreaks>
      <pageMargins left="0.70866141732283472" right="0.70866141732283472" top="0.74803149606299213" bottom="0.74803149606299213" header="0.31496062992125984" footer="0.31496062992125984"/>
      <pageSetup paperSize="9" scale="75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hiddenRows="1" view="pageBreakPreview">
      <selection activeCell="A6" sqref="A6:D6"/>
      <rowBreaks count="1" manualBreakCount="1">
        <brk id="33" max="3" man="1"/>
      </rowBreaks>
      <pageMargins left="0.70866141732283472" right="0.70866141732283472" top="0.74803149606299213" bottom="0.74803149606299213" header="0.31496062992125984" footer="0.31496062992125984"/>
      <pageSetup paperSize="9" scale="76" fitToHeight="0" orientation="portrait" r:id="rId3"/>
      <headerFooter>
        <oddFooter>&amp;C&amp;P</oddFooter>
      </headerFooter>
    </customSheetView>
  </customSheetViews>
  <mergeCells count="11">
    <mergeCell ref="A66:B66"/>
    <mergeCell ref="A68:B68"/>
    <mergeCell ref="A59:B59"/>
    <mergeCell ref="C3:D3"/>
    <mergeCell ref="A10:B10"/>
    <mergeCell ref="A58:B58"/>
    <mergeCell ref="A2:D2"/>
    <mergeCell ref="A6:D6"/>
    <mergeCell ref="A8:B8"/>
    <mergeCell ref="A11:B11"/>
    <mergeCell ref="A65:B65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4"/>
  <headerFooter>
    <oddFooter>&amp;C&amp;P</oddFooter>
  </headerFooter>
  <rowBreaks count="1" manualBreakCount="1">
    <brk id="33" max="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view="pageBreakPreview" zoomScale="60" zoomScaleNormal="100" workbookViewId="0">
      <selection activeCell="B15" sqref="B15"/>
    </sheetView>
  </sheetViews>
  <sheetFormatPr defaultRowHeight="15" x14ac:dyDescent="0.25"/>
  <cols>
    <col min="1" max="1" width="14.5703125" customWidth="1"/>
    <col min="2" max="2" width="68.140625" customWidth="1"/>
    <col min="3" max="3" width="16.42578125" customWidth="1"/>
    <col min="4" max="4" width="20.140625" customWidth="1"/>
  </cols>
  <sheetData>
    <row r="1" spans="1:11" ht="18.75" x14ac:dyDescent="0.3">
      <c r="A1" s="4"/>
      <c r="B1" s="5"/>
      <c r="C1" s="35"/>
      <c r="D1" s="5"/>
    </row>
    <row r="2" spans="1:11" ht="15.75" customHeight="1" x14ac:dyDescent="0.25">
      <c r="A2" s="256" t="s">
        <v>307</v>
      </c>
      <c r="B2" s="256"/>
      <c r="C2" s="256"/>
      <c r="D2" s="256"/>
    </row>
    <row r="3" spans="1:11" ht="15" customHeight="1" x14ac:dyDescent="0.25">
      <c r="A3" s="4"/>
      <c r="B3" s="4"/>
      <c r="C3" s="273"/>
      <c r="D3" s="274"/>
    </row>
    <row r="4" spans="1:11" ht="15.75" x14ac:dyDescent="0.25">
      <c r="A4" s="186" t="s">
        <v>723</v>
      </c>
      <c r="B4" s="32"/>
      <c r="C4" s="32"/>
      <c r="D4" s="32"/>
    </row>
    <row r="5" spans="1:11" x14ac:dyDescent="0.25">
      <c r="A5" s="4"/>
      <c r="B5" s="33"/>
      <c r="C5" s="33"/>
      <c r="D5" s="9"/>
    </row>
    <row r="6" spans="1:11" ht="22.5" customHeight="1" x14ac:dyDescent="0.25">
      <c r="A6" s="277" t="s">
        <v>1087</v>
      </c>
      <c r="B6" s="277"/>
      <c r="C6" s="277"/>
      <c r="D6" s="277"/>
    </row>
    <row r="7" spans="1:11" ht="13.5" customHeight="1" x14ac:dyDescent="0.25">
      <c r="A7" s="180"/>
      <c r="B7" s="34"/>
      <c r="C7" s="34"/>
      <c r="D7" s="9"/>
      <c r="E7" s="48"/>
      <c r="F7" s="48"/>
      <c r="G7" s="48"/>
      <c r="H7" s="48"/>
      <c r="I7" s="48"/>
      <c r="J7" s="48"/>
      <c r="K7" s="48"/>
    </row>
    <row r="8" spans="1:11" x14ac:dyDescent="0.25">
      <c r="A8" s="270" t="s">
        <v>309</v>
      </c>
      <c r="B8" s="271"/>
      <c r="C8" s="34"/>
      <c r="D8" s="9"/>
    </row>
    <row r="9" spans="1:11" ht="15" customHeight="1" x14ac:dyDescent="0.25">
      <c r="A9" s="183"/>
      <c r="B9" s="184"/>
      <c r="C9" s="34"/>
      <c r="D9" s="9"/>
    </row>
    <row r="10" spans="1:11" ht="15.75" x14ac:dyDescent="0.25">
      <c r="A10" s="251" t="s">
        <v>788</v>
      </c>
      <c r="B10" s="251"/>
      <c r="C10" s="34"/>
      <c r="D10" s="9"/>
    </row>
    <row r="11" spans="1:11" ht="75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11" x14ac:dyDescent="0.25">
      <c r="A12" s="13">
        <v>1</v>
      </c>
      <c r="B12" s="14">
        <v>2</v>
      </c>
      <c r="C12" s="13">
        <v>3</v>
      </c>
      <c r="D12" s="13">
        <v>4</v>
      </c>
    </row>
    <row r="13" spans="1:11" x14ac:dyDescent="0.25">
      <c r="A13" s="15"/>
      <c r="B13" s="22" t="s">
        <v>13</v>
      </c>
      <c r="C13" s="17"/>
      <c r="D13" s="17"/>
    </row>
    <row r="14" spans="1:11" x14ac:dyDescent="0.25">
      <c r="A14" s="37">
        <v>1100</v>
      </c>
      <c r="B14" s="16" t="s">
        <v>14</v>
      </c>
      <c r="C14" s="38"/>
      <c r="D14" s="17"/>
    </row>
    <row r="15" spans="1:11" ht="114.75" customHeight="1" x14ac:dyDescent="0.25">
      <c r="A15" s="18"/>
      <c r="B15" s="157" t="s">
        <v>868</v>
      </c>
      <c r="C15" s="55">
        <f>0.11*15+0.11*13</f>
        <v>3.08</v>
      </c>
      <c r="D15" s="55">
        <f>C15*9</f>
        <v>27.72</v>
      </c>
    </row>
    <row r="16" spans="1:11" ht="36" customHeight="1" x14ac:dyDescent="0.25">
      <c r="A16" s="18">
        <v>1200</v>
      </c>
      <c r="B16" s="158" t="s">
        <v>289</v>
      </c>
      <c r="C16" s="55">
        <f>ROUND(C15*0.2359,2)</f>
        <v>0.73</v>
      </c>
      <c r="D16" s="55">
        <f>C16*9</f>
        <v>6.57</v>
      </c>
    </row>
    <row r="17" spans="1:4" x14ac:dyDescent="0.25">
      <c r="A17" s="18">
        <v>2341</v>
      </c>
      <c r="B17" s="18" t="s">
        <v>77</v>
      </c>
      <c r="C17" s="19"/>
      <c r="D17" s="19"/>
    </row>
    <row r="18" spans="1:4" ht="87.75" customHeight="1" x14ac:dyDescent="0.25">
      <c r="A18" s="18"/>
      <c r="B18" s="158" t="s">
        <v>869</v>
      </c>
      <c r="C18" s="55">
        <f>0.04+0.01+0.02+0.03+3.41+0.18</f>
        <v>3.6900000000000004</v>
      </c>
      <c r="D18" s="55">
        <f>C18*9</f>
        <v>33.21</v>
      </c>
    </row>
    <row r="19" spans="1:4" x14ac:dyDescent="0.25">
      <c r="A19" s="68"/>
      <c r="B19" s="159" t="s">
        <v>2</v>
      </c>
      <c r="C19" s="71">
        <f>SUM(C14:C18)</f>
        <v>7.5</v>
      </c>
      <c r="D19" s="71">
        <f>SUM(D14:D18)</f>
        <v>67.5</v>
      </c>
    </row>
    <row r="20" spans="1:4" x14ac:dyDescent="0.25">
      <c r="A20" s="18"/>
      <c r="B20" s="160" t="s">
        <v>20</v>
      </c>
      <c r="C20" s="19"/>
      <c r="D20" s="19"/>
    </row>
    <row r="21" spans="1:4" x14ac:dyDescent="0.25">
      <c r="A21" s="18">
        <v>2219</v>
      </c>
      <c r="B21" s="158" t="s">
        <v>3</v>
      </c>
      <c r="C21" s="19"/>
      <c r="D21" s="19"/>
    </row>
    <row r="22" spans="1:4" ht="111" customHeight="1" x14ac:dyDescent="0.25">
      <c r="A22" s="18"/>
      <c r="B22" s="158" t="s">
        <v>870</v>
      </c>
      <c r="C22" s="40">
        <f>ROUND(3.18/18154,4)</f>
        <v>2.0000000000000001E-4</v>
      </c>
      <c r="D22" s="36">
        <f>C22*9</f>
        <v>1.8000000000000002E-3</v>
      </c>
    </row>
    <row r="23" spans="1:4" x14ac:dyDescent="0.25">
      <c r="A23" s="18">
        <v>2221</v>
      </c>
      <c r="B23" s="158" t="s">
        <v>4</v>
      </c>
      <c r="C23" s="19"/>
      <c r="D23" s="19"/>
    </row>
    <row r="24" spans="1:4" ht="48.75" customHeight="1" x14ac:dyDescent="0.25">
      <c r="A24" s="18"/>
      <c r="B24" s="158" t="s">
        <v>872</v>
      </c>
      <c r="C24" s="55">
        <f>ROUND(301.59/18154,4)</f>
        <v>1.66E-2</v>
      </c>
      <c r="D24" s="55">
        <f>C24*9</f>
        <v>0.14940000000000001</v>
      </c>
    </row>
    <row r="25" spans="1:4" x14ac:dyDescent="0.25">
      <c r="A25" s="18">
        <v>2222</v>
      </c>
      <c r="B25" s="158" t="s">
        <v>5</v>
      </c>
      <c r="C25" s="19"/>
      <c r="D25" s="19"/>
    </row>
    <row r="26" spans="1:4" ht="63.75" customHeight="1" x14ac:dyDescent="0.25">
      <c r="A26" s="18"/>
      <c r="B26" s="158" t="s">
        <v>871</v>
      </c>
      <c r="C26" s="36">
        <f>ROUND(31.02/18154,4)</f>
        <v>1.6999999999999999E-3</v>
      </c>
      <c r="D26" s="55">
        <f>C26*9</f>
        <v>1.5299999999999999E-2</v>
      </c>
    </row>
    <row r="27" spans="1:4" x14ac:dyDescent="0.25">
      <c r="A27" s="18">
        <v>2223</v>
      </c>
      <c r="B27" s="18" t="s">
        <v>6</v>
      </c>
      <c r="C27" s="19"/>
      <c r="D27" s="19"/>
    </row>
    <row r="28" spans="1:4" ht="63.75" customHeight="1" x14ac:dyDescent="0.25">
      <c r="A28" s="18"/>
      <c r="B28" s="158" t="s">
        <v>873</v>
      </c>
      <c r="C28" s="55">
        <f>ROUND(538.27/18154,2)</f>
        <v>0.03</v>
      </c>
      <c r="D28" s="55">
        <f>C28*9</f>
        <v>0.27</v>
      </c>
    </row>
    <row r="29" spans="1:4" x14ac:dyDescent="0.25">
      <c r="A29" s="18">
        <v>2224</v>
      </c>
      <c r="B29" s="158" t="s">
        <v>7</v>
      </c>
      <c r="C29" s="19"/>
      <c r="D29" s="19"/>
    </row>
    <row r="30" spans="1:4" ht="60.75" customHeight="1" x14ac:dyDescent="0.25">
      <c r="A30" s="18"/>
      <c r="B30" s="158" t="s">
        <v>874</v>
      </c>
      <c r="C30" s="36">
        <f>ROUND(28.86/18154,4)</f>
        <v>1.6000000000000001E-3</v>
      </c>
      <c r="D30" s="55">
        <f>C30*9</f>
        <v>1.4400000000000001E-2</v>
      </c>
    </row>
    <row r="31" spans="1:4" x14ac:dyDescent="0.25">
      <c r="A31" s="45">
        <v>2231</v>
      </c>
      <c r="B31" s="158" t="s">
        <v>22</v>
      </c>
      <c r="C31" s="36"/>
      <c r="D31" s="19"/>
    </row>
    <row r="32" spans="1:4" ht="182.25" customHeight="1" x14ac:dyDescent="0.25">
      <c r="A32" s="45"/>
      <c r="B32" s="158" t="s">
        <v>875</v>
      </c>
      <c r="C32" s="55">
        <f>ROUND(1201.87/18154,2)</f>
        <v>7.0000000000000007E-2</v>
      </c>
      <c r="D32" s="55">
        <f>C32*9</f>
        <v>0.63000000000000012</v>
      </c>
    </row>
    <row r="33" spans="1:4" ht="15" customHeight="1" x14ac:dyDescent="0.25">
      <c r="A33" s="45">
        <v>2243</v>
      </c>
      <c r="B33" s="158" t="s">
        <v>132</v>
      </c>
      <c r="C33" s="55"/>
      <c r="D33" s="55"/>
    </row>
    <row r="34" spans="1:4" ht="66.75" customHeight="1" x14ac:dyDescent="0.25">
      <c r="A34" s="45"/>
      <c r="B34" s="158" t="s">
        <v>876</v>
      </c>
      <c r="C34" s="55">
        <f>ROUND(386.87/18154,4)</f>
        <v>2.1299999999999999E-2</v>
      </c>
      <c r="D34" s="55">
        <f>C34*9</f>
        <v>0.19169999999999998</v>
      </c>
    </row>
    <row r="35" spans="1:4" x14ac:dyDescent="0.25">
      <c r="A35" s="18">
        <v>2244</v>
      </c>
      <c r="B35" s="158" t="s">
        <v>24</v>
      </c>
      <c r="C35" s="19"/>
      <c r="D35" s="19"/>
    </row>
    <row r="36" spans="1:4" ht="65.25" customHeight="1" x14ac:dyDescent="0.25">
      <c r="A36" s="21"/>
      <c r="B36" s="158" t="s">
        <v>877</v>
      </c>
      <c r="C36" s="55">
        <f>ROUND(383.44/18154,2)</f>
        <v>0.02</v>
      </c>
      <c r="D36" s="55">
        <f>C36*9</f>
        <v>0.18</v>
      </c>
    </row>
    <row r="37" spans="1:4" ht="54" customHeight="1" x14ac:dyDescent="0.25">
      <c r="A37" s="21"/>
      <c r="B37" s="158" t="s">
        <v>878</v>
      </c>
      <c r="C37" s="40">
        <f>ROUND(5.03/18154,4)</f>
        <v>2.9999999999999997E-4</v>
      </c>
      <c r="D37" s="36">
        <f>C37*9</f>
        <v>2.6999999999999997E-3</v>
      </c>
    </row>
    <row r="38" spans="1:4" x14ac:dyDescent="0.25">
      <c r="A38" s="18">
        <v>2249</v>
      </c>
      <c r="B38" s="158" t="s">
        <v>8</v>
      </c>
      <c r="C38" s="19"/>
      <c r="D38" s="19"/>
    </row>
    <row r="39" spans="1:4" ht="63" customHeight="1" x14ac:dyDescent="0.25">
      <c r="A39" s="18"/>
      <c r="B39" s="158" t="s">
        <v>879</v>
      </c>
      <c r="C39" s="36">
        <f>ROUND(9.76/18154,3)</f>
        <v>1E-3</v>
      </c>
      <c r="D39" s="55">
        <f>C39*9</f>
        <v>9.0000000000000011E-3</v>
      </c>
    </row>
    <row r="40" spans="1:4" x14ac:dyDescent="0.25">
      <c r="A40" s="18">
        <v>2311</v>
      </c>
      <c r="B40" s="158" t="s">
        <v>9</v>
      </c>
      <c r="C40" s="36"/>
      <c r="D40" s="19"/>
    </row>
    <row r="41" spans="1:4" ht="65.25" customHeight="1" x14ac:dyDescent="0.25">
      <c r="A41" s="18"/>
      <c r="B41" s="158" t="s">
        <v>880</v>
      </c>
      <c r="C41" s="36">
        <f>ROUND(54.99/18154,4)</f>
        <v>3.0000000000000001E-3</v>
      </c>
      <c r="D41" s="55">
        <f>C41*9</f>
        <v>2.7E-2</v>
      </c>
    </row>
    <row r="42" spans="1:4" x14ac:dyDescent="0.25">
      <c r="A42" s="18">
        <v>2350</v>
      </c>
      <c r="B42" s="158" t="s">
        <v>21</v>
      </c>
      <c r="C42" s="36"/>
      <c r="D42" s="19"/>
    </row>
    <row r="43" spans="1:4" ht="89.25" customHeight="1" x14ac:dyDescent="0.25">
      <c r="A43" s="18"/>
      <c r="B43" s="158" t="s">
        <v>881</v>
      </c>
      <c r="C43" s="40">
        <f>ROUND(6.69/18154,4)</f>
        <v>4.0000000000000002E-4</v>
      </c>
      <c r="D43" s="36">
        <f>C43*9</f>
        <v>3.6000000000000003E-3</v>
      </c>
    </row>
    <row r="44" spans="1:4" ht="19.5" customHeight="1" x14ac:dyDescent="0.25">
      <c r="A44" s="18">
        <v>2513</v>
      </c>
      <c r="B44" s="158" t="s">
        <v>133</v>
      </c>
      <c r="C44" s="40"/>
      <c r="D44" s="55"/>
    </row>
    <row r="45" spans="1:4" ht="61.5" customHeight="1" x14ac:dyDescent="0.25">
      <c r="A45" s="18"/>
      <c r="B45" s="158" t="s">
        <v>882</v>
      </c>
      <c r="C45" s="36">
        <f>ROUND(9.53/18154,3)</f>
        <v>1E-3</v>
      </c>
      <c r="D45" s="55">
        <f>C45*9</f>
        <v>9.0000000000000011E-3</v>
      </c>
    </row>
    <row r="46" spans="1:4" ht="15" customHeight="1" x14ac:dyDescent="0.25">
      <c r="A46" s="18">
        <v>5220</v>
      </c>
      <c r="B46" s="158" t="s">
        <v>136</v>
      </c>
      <c r="C46" s="40"/>
      <c r="D46" s="55"/>
    </row>
    <row r="47" spans="1:4" ht="78" customHeight="1" x14ac:dyDescent="0.25">
      <c r="A47" s="18"/>
      <c r="B47" s="158" t="s">
        <v>883</v>
      </c>
      <c r="C47" s="36">
        <f>ROUND(25.06/18154,3)</f>
        <v>1E-3</v>
      </c>
      <c r="D47" s="55">
        <f>C47*9</f>
        <v>9.0000000000000011E-3</v>
      </c>
    </row>
    <row r="48" spans="1:4" ht="13.5" customHeight="1" x14ac:dyDescent="0.25">
      <c r="A48" s="18">
        <v>5238</v>
      </c>
      <c r="B48" s="158" t="s">
        <v>134</v>
      </c>
      <c r="C48" s="40"/>
      <c r="D48" s="55"/>
    </row>
    <row r="49" spans="1:4" ht="52.5" customHeight="1" x14ac:dyDescent="0.25">
      <c r="A49" s="18"/>
      <c r="B49" s="158" t="s">
        <v>456</v>
      </c>
      <c r="C49" s="36">
        <f>ROUND(33.68/18154,4)</f>
        <v>1.9E-3</v>
      </c>
      <c r="D49" s="55">
        <f>C49*9</f>
        <v>1.7100000000000001E-2</v>
      </c>
    </row>
    <row r="50" spans="1:4" x14ac:dyDescent="0.25">
      <c r="A50" s="68"/>
      <c r="B50" s="72" t="s">
        <v>10</v>
      </c>
      <c r="C50" s="71">
        <f>ROUND(C49+C47+C45+C43+C41+C39+C37+C36+C34+C32+C30+C28+C26+C24+C22,2)</f>
        <v>0.17</v>
      </c>
      <c r="D50" s="71">
        <f>ROUND(D49+D47+D45+D43+D41+D39+D37+D36+D34+D32+D30+D28+D26+D24+D22,2)</f>
        <v>1.53</v>
      </c>
    </row>
    <row r="51" spans="1:4" x14ac:dyDescent="0.25">
      <c r="A51" s="23"/>
      <c r="B51" s="24" t="s">
        <v>15</v>
      </c>
      <c r="C51" s="52">
        <f>ROUND(C50+C19,2)</f>
        <v>7.67</v>
      </c>
      <c r="D51" s="192">
        <f>D50+D19</f>
        <v>69.03</v>
      </c>
    </row>
    <row r="52" spans="1:4" x14ac:dyDescent="0.25">
      <c r="A52" s="25"/>
      <c r="B52" s="26"/>
      <c r="C52" s="27"/>
      <c r="D52" s="27"/>
    </row>
    <row r="53" spans="1:4" x14ac:dyDescent="0.25">
      <c r="A53" s="26"/>
      <c r="B53" s="28"/>
      <c r="C53" s="28"/>
      <c r="D53" s="9"/>
    </row>
    <row r="54" spans="1:4" ht="15" customHeight="1" x14ac:dyDescent="0.25">
      <c r="A54" s="252" t="s">
        <v>16</v>
      </c>
      <c r="B54" s="253"/>
      <c r="C54" s="138">
        <v>9</v>
      </c>
      <c r="D54" s="29"/>
    </row>
    <row r="55" spans="1:4" ht="33.75" customHeight="1" x14ac:dyDescent="0.25">
      <c r="A55" s="254" t="s">
        <v>23</v>
      </c>
      <c r="B55" s="255"/>
      <c r="C55" s="193">
        <f>D51/C54</f>
        <v>7.67</v>
      </c>
      <c r="D55" s="29"/>
    </row>
    <row r="56" spans="1:4" x14ac:dyDescent="0.25">
      <c r="A56" s="30"/>
      <c r="B56" s="30"/>
      <c r="C56" s="30"/>
      <c r="D56" s="30"/>
    </row>
    <row r="57" spans="1:4" x14ac:dyDescent="0.25">
      <c r="A57" s="30"/>
      <c r="B57" s="30"/>
      <c r="C57" s="30"/>
      <c r="D57" s="152"/>
    </row>
    <row r="58" spans="1:4" x14ac:dyDescent="0.25">
      <c r="A58" s="30"/>
      <c r="B58" s="30"/>
      <c r="C58" s="30"/>
      <c r="D58" s="152"/>
    </row>
    <row r="59" spans="1:4" x14ac:dyDescent="0.25">
      <c r="A59" s="30"/>
      <c r="B59" s="30"/>
      <c r="C59" s="30"/>
      <c r="D59" s="152"/>
    </row>
    <row r="60" spans="1:4" x14ac:dyDescent="0.25">
      <c r="A60" s="30"/>
      <c r="B60" s="30"/>
      <c r="C60" s="30"/>
      <c r="D60" s="30"/>
    </row>
    <row r="61" spans="1:4" x14ac:dyDescent="0.25">
      <c r="A61" s="231"/>
      <c r="B61" s="231"/>
      <c r="C61" s="9"/>
      <c r="D61" s="9"/>
    </row>
    <row r="62" spans="1:4" x14ac:dyDescent="0.25">
      <c r="A62" s="250"/>
      <c r="B62" s="231"/>
      <c r="C62" s="9"/>
      <c r="D62" s="9"/>
    </row>
    <row r="63" spans="1:4" x14ac:dyDescent="0.25">
      <c r="A63" s="154"/>
      <c r="B63" s="9"/>
      <c r="C63" s="31"/>
      <c r="D63" s="9"/>
    </row>
    <row r="64" spans="1:4" x14ac:dyDescent="0.25">
      <c r="A64" s="250"/>
      <c r="B64" s="250"/>
      <c r="C64" s="31"/>
      <c r="D64" s="9"/>
    </row>
    <row r="65" spans="1:2" x14ac:dyDescent="0.25">
      <c r="A65" s="172"/>
      <c r="B65" s="172"/>
    </row>
  </sheetData>
  <customSheetViews>
    <customSheetView guid="{3046F990-4623-45D5-BDDC-01BD5999DDBC}" scale="60" showPageBreaks="1" fitToPage="1" printArea="1" view="pageBreakPreview">
      <selection activeCell="B53" sqref="B53"/>
      <rowBreaks count="1" manualBreakCount="1">
        <brk id="30" max="3" man="1"/>
      </rowBreaks>
      <pageMargins left="0.70866141732283472" right="0.70866141732283472" top="0.74803149606299213" bottom="0.74803149606299213" header="0.31496062992125984" footer="0.31496062992125984"/>
      <pageSetup paperSize="9" scale="73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view="pageBreakPreview" topLeftCell="A10">
      <selection activeCell="C28" sqref="C28"/>
      <rowBreaks count="1" manualBreakCount="1">
        <brk id="30" max="3" man="1"/>
      </rowBreaks>
      <pageMargins left="0.70866141732283472" right="0.70866141732283472" top="0.74803149606299213" bottom="0.74803149606299213" header="0.31496062992125984" footer="0.31496062992125984"/>
      <pageSetup paperSize="9" scale="73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view="pageBreakPreview">
      <selection activeCell="B15" sqref="B15"/>
      <rowBreaks count="1" manualBreakCount="1">
        <brk id="30" max="3" man="1"/>
      </rowBreaks>
      <pageMargins left="0.70866141732283472" right="0.70866141732283472" top="0.74803149606299213" bottom="0.74803149606299213" header="0.31496062992125984" footer="0.31496062992125984"/>
      <pageSetup paperSize="9" scale="73" fitToHeight="0" orientation="portrait" r:id="rId3"/>
      <headerFooter>
        <oddFooter>&amp;C&amp;P</oddFooter>
      </headerFooter>
    </customSheetView>
  </customSheetViews>
  <mergeCells count="10">
    <mergeCell ref="A62:B62"/>
    <mergeCell ref="A64:B64"/>
    <mergeCell ref="A55:B55"/>
    <mergeCell ref="C3:D3"/>
    <mergeCell ref="A54:B54"/>
    <mergeCell ref="A2:D2"/>
    <mergeCell ref="A6:D6"/>
    <mergeCell ref="A8:B8"/>
    <mergeCell ref="A10:B10"/>
    <mergeCell ref="A61:B61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4"/>
  <headerFooter>
    <oddFooter>&amp;C&amp;P</oddFooter>
  </headerFooter>
  <rowBreaks count="1" manualBreakCount="1">
    <brk id="30" max="3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view="pageBreakPreview" zoomScale="60" zoomScaleNormal="100" workbookViewId="0">
      <selection activeCell="A6" sqref="A6:D6"/>
    </sheetView>
  </sheetViews>
  <sheetFormatPr defaultRowHeight="15" x14ac:dyDescent="0.25"/>
  <cols>
    <col min="1" max="1" width="13.7109375" customWidth="1"/>
    <col min="2" max="2" width="75.42578125" customWidth="1"/>
    <col min="3" max="3" width="15.7109375" customWidth="1"/>
    <col min="4" max="4" width="19.140625" customWidth="1"/>
  </cols>
  <sheetData>
    <row r="1" spans="1:11" s="181" customFormat="1" x14ac:dyDescent="0.25"/>
    <row r="2" spans="1:11" ht="15.75" x14ac:dyDescent="0.25">
      <c r="A2" s="256" t="s">
        <v>307</v>
      </c>
      <c r="B2" s="256"/>
      <c r="C2" s="256"/>
      <c r="D2" s="256"/>
    </row>
    <row r="3" spans="1:11" x14ac:dyDescent="0.25">
      <c r="A3" s="4"/>
      <c r="B3" s="4"/>
      <c r="C3" s="273"/>
      <c r="D3" s="274"/>
    </row>
    <row r="4" spans="1:11" ht="15.75" x14ac:dyDescent="0.25">
      <c r="A4" s="186" t="s">
        <v>723</v>
      </c>
      <c r="B4" s="32"/>
      <c r="C4" s="32"/>
      <c r="D4" s="32"/>
    </row>
    <row r="5" spans="1:11" x14ac:dyDescent="0.25">
      <c r="A5" s="4"/>
      <c r="B5" s="33"/>
      <c r="C5" s="33"/>
      <c r="D5" s="9"/>
    </row>
    <row r="6" spans="1:11" ht="15.75" x14ac:dyDescent="0.25">
      <c r="A6" s="277" t="s">
        <v>1043</v>
      </c>
      <c r="B6" s="277"/>
      <c r="C6" s="277"/>
      <c r="D6" s="277"/>
    </row>
    <row r="7" spans="1:11" x14ac:dyDescent="0.25">
      <c r="A7" s="180"/>
      <c r="B7" s="34"/>
      <c r="C7" s="34"/>
      <c r="D7" s="9"/>
    </row>
    <row r="8" spans="1:11" ht="15.75" customHeight="1" x14ac:dyDescent="0.25">
      <c r="A8" s="270" t="s">
        <v>309</v>
      </c>
      <c r="B8" s="271"/>
      <c r="C8" s="34"/>
      <c r="D8" s="9"/>
      <c r="E8" s="51"/>
      <c r="F8" s="51"/>
      <c r="G8" s="51"/>
      <c r="H8" s="51"/>
      <c r="I8" s="51"/>
      <c r="J8" s="51"/>
      <c r="K8" s="51"/>
    </row>
    <row r="9" spans="1:11" x14ac:dyDescent="0.25">
      <c r="A9" s="183"/>
      <c r="B9" s="184"/>
      <c r="C9" s="34"/>
      <c r="D9" s="9"/>
    </row>
    <row r="10" spans="1:11" ht="15" customHeight="1" x14ac:dyDescent="0.25">
      <c r="A10" s="251" t="s">
        <v>747</v>
      </c>
      <c r="B10" s="251"/>
      <c r="C10" s="34"/>
      <c r="D10" s="9"/>
    </row>
    <row r="11" spans="1:11" ht="93" customHeight="1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11" x14ac:dyDescent="0.25">
      <c r="A12" s="13">
        <v>1</v>
      </c>
      <c r="B12" s="14">
        <v>2</v>
      </c>
      <c r="C12" s="13">
        <v>3</v>
      </c>
      <c r="D12" s="13">
        <v>4</v>
      </c>
    </row>
    <row r="13" spans="1:11" x14ac:dyDescent="0.25">
      <c r="A13" s="15"/>
      <c r="B13" s="22" t="s">
        <v>13</v>
      </c>
      <c r="C13" s="17"/>
      <c r="D13" s="17"/>
    </row>
    <row r="14" spans="1:11" x14ac:dyDescent="0.25">
      <c r="A14" s="37">
        <v>1100</v>
      </c>
      <c r="B14" s="16" t="s">
        <v>14</v>
      </c>
      <c r="C14" s="38"/>
      <c r="D14" s="17"/>
    </row>
    <row r="15" spans="1:11" ht="93" customHeight="1" x14ac:dyDescent="0.25">
      <c r="A15" s="18"/>
      <c r="B15" s="157" t="s">
        <v>586</v>
      </c>
      <c r="C15" s="55">
        <f>0.11*10</f>
        <v>1.1000000000000001</v>
      </c>
      <c r="D15" s="55">
        <f>C15*30</f>
        <v>33</v>
      </c>
    </row>
    <row r="16" spans="1:11" ht="33.75" customHeight="1" x14ac:dyDescent="0.25">
      <c r="A16" s="18">
        <v>1200</v>
      </c>
      <c r="B16" s="158" t="s">
        <v>290</v>
      </c>
      <c r="C16" s="55">
        <f>ROUND(C15*0.2359,2)</f>
        <v>0.26</v>
      </c>
      <c r="D16" s="55">
        <f>C16*30</f>
        <v>7.8000000000000007</v>
      </c>
    </row>
    <row r="17" spans="1:5" x14ac:dyDescent="0.25">
      <c r="A17" s="18">
        <v>2341</v>
      </c>
      <c r="B17" s="18" t="s">
        <v>77</v>
      </c>
      <c r="C17" s="19"/>
      <c r="D17" s="19"/>
    </row>
    <row r="18" spans="1:5" ht="64.5" customHeight="1" x14ac:dyDescent="0.25">
      <c r="A18" s="18"/>
      <c r="B18" s="158" t="s">
        <v>884</v>
      </c>
      <c r="C18" s="55">
        <f>0.04+0.03+0.06+2.88</f>
        <v>3.01</v>
      </c>
      <c r="D18" s="55">
        <f>C18*30</f>
        <v>90.3</v>
      </c>
    </row>
    <row r="19" spans="1:5" x14ac:dyDescent="0.25">
      <c r="A19" s="74"/>
      <c r="B19" s="159" t="s">
        <v>2</v>
      </c>
      <c r="C19" s="71">
        <f>SUM(C14:C18)</f>
        <v>4.37</v>
      </c>
      <c r="D19" s="71">
        <f>SUM(D14:D18)</f>
        <v>131.1</v>
      </c>
    </row>
    <row r="20" spans="1:5" x14ac:dyDescent="0.25">
      <c r="A20" s="18"/>
      <c r="B20" s="160" t="s">
        <v>20</v>
      </c>
      <c r="C20" s="19"/>
      <c r="D20" s="19"/>
    </row>
    <row r="21" spans="1:5" x14ac:dyDescent="0.25">
      <c r="A21" s="18">
        <v>2219</v>
      </c>
      <c r="B21" s="158" t="s">
        <v>3</v>
      </c>
      <c r="C21" s="19"/>
      <c r="D21" s="19"/>
    </row>
    <row r="22" spans="1:5" ht="92.25" customHeight="1" x14ac:dyDescent="0.25">
      <c r="A22" s="18"/>
      <c r="B22" s="158" t="s">
        <v>622</v>
      </c>
      <c r="C22" s="40">
        <f>ROUND(3.18/18154,4)</f>
        <v>2.0000000000000001E-4</v>
      </c>
      <c r="D22" s="55">
        <f>C22*30</f>
        <v>6.0000000000000001E-3</v>
      </c>
    </row>
    <row r="23" spans="1:5" x14ac:dyDescent="0.25">
      <c r="A23" s="18">
        <v>2221</v>
      </c>
      <c r="B23" s="158" t="s">
        <v>4</v>
      </c>
      <c r="C23" s="19"/>
      <c r="D23" s="19"/>
    </row>
    <row r="24" spans="1:5" ht="46.5" customHeight="1" x14ac:dyDescent="0.25">
      <c r="A24" s="18"/>
      <c r="B24" s="158" t="s">
        <v>621</v>
      </c>
      <c r="C24" s="55">
        <f>ROUND(301.59/18154,4)</f>
        <v>1.66E-2</v>
      </c>
      <c r="D24" s="55">
        <f>C24*30</f>
        <v>0.498</v>
      </c>
    </row>
    <row r="25" spans="1:5" ht="14.25" customHeight="1" x14ac:dyDescent="0.25">
      <c r="A25" s="18">
        <v>2222</v>
      </c>
      <c r="B25" s="158" t="s">
        <v>5</v>
      </c>
      <c r="C25" s="19"/>
      <c r="D25" s="19"/>
    </row>
    <row r="26" spans="1:5" ht="47.25" customHeight="1" x14ac:dyDescent="0.25">
      <c r="A26" s="18"/>
      <c r="B26" s="158" t="s">
        <v>885</v>
      </c>
      <c r="C26" s="36">
        <f>ROUND(31.02/18154,3)</f>
        <v>2E-3</v>
      </c>
      <c r="D26" s="55">
        <f>C26*30</f>
        <v>0.06</v>
      </c>
    </row>
    <row r="27" spans="1:5" x14ac:dyDescent="0.25">
      <c r="A27" s="18">
        <v>2223</v>
      </c>
      <c r="B27" s="18" t="s">
        <v>6</v>
      </c>
      <c r="C27" s="19"/>
      <c r="D27" s="19"/>
    </row>
    <row r="28" spans="1:5" ht="50.25" customHeight="1" x14ac:dyDescent="0.25">
      <c r="A28" s="18"/>
      <c r="B28" s="158" t="s">
        <v>187</v>
      </c>
      <c r="C28" s="55">
        <f>ROUND(538.27/18154,3)</f>
        <v>0.03</v>
      </c>
      <c r="D28" s="55">
        <f>C28*30</f>
        <v>0.89999999999999991</v>
      </c>
    </row>
    <row r="29" spans="1:5" x14ac:dyDescent="0.25">
      <c r="A29" s="18">
        <v>2224</v>
      </c>
      <c r="B29" s="158" t="s">
        <v>7</v>
      </c>
      <c r="C29" s="19"/>
      <c r="D29" s="19"/>
    </row>
    <row r="30" spans="1:5" ht="48" customHeight="1" x14ac:dyDescent="0.25">
      <c r="A30" s="18"/>
      <c r="B30" s="158" t="s">
        <v>571</v>
      </c>
      <c r="C30" s="36">
        <f>ROUND(28.86/18154,4)</f>
        <v>1.6000000000000001E-3</v>
      </c>
      <c r="D30" s="55">
        <f>C30*30</f>
        <v>4.8000000000000001E-2</v>
      </c>
      <c r="E30" s="145"/>
    </row>
    <row r="31" spans="1:5" x14ac:dyDescent="0.25">
      <c r="A31" s="45">
        <v>2231</v>
      </c>
      <c r="B31" s="158" t="s">
        <v>22</v>
      </c>
      <c r="C31" s="36"/>
      <c r="D31" s="19"/>
    </row>
    <row r="32" spans="1:5" ht="183" customHeight="1" x14ac:dyDescent="0.25">
      <c r="A32" s="45"/>
      <c r="B32" s="158" t="s">
        <v>587</v>
      </c>
      <c r="C32" s="55">
        <f>ROUND(1201.87/18154,2)</f>
        <v>7.0000000000000007E-2</v>
      </c>
      <c r="D32" s="55">
        <f>C32*30</f>
        <v>2.1</v>
      </c>
    </row>
    <row r="33" spans="1:5" x14ac:dyDescent="0.25">
      <c r="A33" s="45">
        <v>2243</v>
      </c>
      <c r="B33" s="158" t="s">
        <v>132</v>
      </c>
      <c r="C33" s="55"/>
      <c r="D33" s="55"/>
    </row>
    <row r="34" spans="1:5" ht="63.75" customHeight="1" x14ac:dyDescent="0.25">
      <c r="A34" s="45"/>
      <c r="B34" s="158" t="s">
        <v>573</v>
      </c>
      <c r="C34" s="55">
        <f>ROUND(386.87/18154,4)</f>
        <v>2.1299999999999999E-2</v>
      </c>
      <c r="D34" s="55">
        <f>C34*30</f>
        <v>0.63900000000000001</v>
      </c>
    </row>
    <row r="35" spans="1:5" x14ac:dyDescent="0.25">
      <c r="A35" s="18">
        <v>2244</v>
      </c>
      <c r="B35" s="158" t="s">
        <v>24</v>
      </c>
      <c r="C35" s="19"/>
      <c r="D35" s="19"/>
    </row>
    <row r="36" spans="1:5" ht="61.5" customHeight="1" x14ac:dyDescent="0.25">
      <c r="A36" s="21"/>
      <c r="B36" s="158" t="s">
        <v>886</v>
      </c>
      <c r="C36" s="55">
        <f>ROUND(383.44/18154,2)</f>
        <v>0.02</v>
      </c>
      <c r="D36" s="55">
        <f>C36*30</f>
        <v>0.6</v>
      </c>
      <c r="E36" s="116"/>
    </row>
    <row r="37" spans="1:5" ht="48.75" customHeight="1" x14ac:dyDescent="0.25">
      <c r="A37" s="21"/>
      <c r="B37" s="158" t="s">
        <v>958</v>
      </c>
      <c r="C37" s="40">
        <f>ROUND(5.03/18154,4)</f>
        <v>2.9999999999999997E-4</v>
      </c>
      <c r="D37" s="55">
        <f>C37*30</f>
        <v>8.9999999999999993E-3</v>
      </c>
    </row>
    <row r="38" spans="1:5" x14ac:dyDescent="0.25">
      <c r="A38" s="18">
        <v>2249</v>
      </c>
      <c r="B38" s="158" t="s">
        <v>8</v>
      </c>
      <c r="C38" s="19"/>
      <c r="D38" s="19"/>
    </row>
    <row r="39" spans="1:5" ht="63.75" customHeight="1" x14ac:dyDescent="0.25">
      <c r="A39" s="18"/>
      <c r="B39" s="158" t="s">
        <v>630</v>
      </c>
      <c r="C39" s="36">
        <f>ROUND(9.76/18154,4)</f>
        <v>5.0000000000000001E-4</v>
      </c>
      <c r="D39" s="55">
        <f>C39*30</f>
        <v>1.4999999999999999E-2</v>
      </c>
    </row>
    <row r="40" spans="1:5" x14ac:dyDescent="0.25">
      <c r="A40" s="18">
        <v>2311</v>
      </c>
      <c r="B40" s="158" t="s">
        <v>9</v>
      </c>
      <c r="C40" s="36"/>
      <c r="D40" s="19"/>
    </row>
    <row r="41" spans="1:5" ht="60" customHeight="1" x14ac:dyDescent="0.25">
      <c r="A41" s="18"/>
      <c r="B41" s="158" t="s">
        <v>418</v>
      </c>
      <c r="C41" s="36">
        <f>ROUND(54.99/18154,4)</f>
        <v>3.0000000000000001E-3</v>
      </c>
      <c r="D41" s="55">
        <f>C41*30</f>
        <v>0.09</v>
      </c>
    </row>
    <row r="42" spans="1:5" x14ac:dyDescent="0.25">
      <c r="A42" s="18">
        <v>2350</v>
      </c>
      <c r="B42" s="158" t="s">
        <v>21</v>
      </c>
      <c r="C42" s="36"/>
      <c r="D42" s="19"/>
    </row>
    <row r="43" spans="1:5" ht="88.5" customHeight="1" x14ac:dyDescent="0.25">
      <c r="A43" s="18"/>
      <c r="B43" s="158" t="s">
        <v>588</v>
      </c>
      <c r="C43" s="40">
        <f>ROUND(6.69/18154,4)</f>
        <v>4.0000000000000002E-4</v>
      </c>
      <c r="D43" s="55">
        <f>C43*30</f>
        <v>1.2E-2</v>
      </c>
    </row>
    <row r="44" spans="1:5" ht="16.5" customHeight="1" x14ac:dyDescent="0.25">
      <c r="A44" s="18">
        <v>2513</v>
      </c>
      <c r="B44" s="158" t="s">
        <v>133</v>
      </c>
      <c r="C44" s="40"/>
      <c r="D44" s="55"/>
    </row>
    <row r="45" spans="1:5" ht="48" customHeight="1" x14ac:dyDescent="0.25">
      <c r="A45" s="18"/>
      <c r="B45" s="158" t="s">
        <v>420</v>
      </c>
      <c r="C45" s="36">
        <f>ROUND(9.53/18154,4)</f>
        <v>5.0000000000000001E-4</v>
      </c>
      <c r="D45" s="55">
        <f>C45*30</f>
        <v>1.4999999999999999E-2</v>
      </c>
    </row>
    <row r="46" spans="1:5" ht="15" customHeight="1" x14ac:dyDescent="0.25">
      <c r="A46" s="18">
        <v>5220</v>
      </c>
      <c r="B46" s="158" t="s">
        <v>136</v>
      </c>
      <c r="C46" s="40"/>
      <c r="D46" s="55"/>
    </row>
    <row r="47" spans="1:5" ht="90.75" customHeight="1" x14ac:dyDescent="0.25">
      <c r="A47" s="18"/>
      <c r="B47" s="158" t="s">
        <v>589</v>
      </c>
      <c r="C47" s="36">
        <f>ROUND(31.55/18154,4)</f>
        <v>1.6999999999999999E-3</v>
      </c>
      <c r="D47" s="55">
        <f>C47*30</f>
        <v>5.0999999999999997E-2</v>
      </c>
    </row>
    <row r="48" spans="1:5" ht="15.75" customHeight="1" x14ac:dyDescent="0.25">
      <c r="A48" s="18">
        <v>5238</v>
      </c>
      <c r="B48" s="158" t="s">
        <v>134</v>
      </c>
      <c r="C48" s="40"/>
      <c r="D48" s="55"/>
    </row>
    <row r="49" spans="1:4" ht="49.5" customHeight="1" x14ac:dyDescent="0.25">
      <c r="A49" s="18"/>
      <c r="B49" s="158" t="s">
        <v>627</v>
      </c>
      <c r="C49" s="36">
        <f>ROUND(33.68/18154,3)</f>
        <v>2E-3</v>
      </c>
      <c r="D49" s="55">
        <f>C49*30</f>
        <v>0.06</v>
      </c>
    </row>
    <row r="50" spans="1:4" x14ac:dyDescent="0.25">
      <c r="A50" s="68"/>
      <c r="B50" s="72" t="s">
        <v>10</v>
      </c>
      <c r="C50" s="71">
        <f>ROUND(C49+C47+C45+C43+C41+C39+C37+C36+C34+C32+C30+C28+C26+C24+C22,2)</f>
        <v>0.17</v>
      </c>
      <c r="D50" s="71">
        <f>ROUND(D49+D47+D45+D43+D41+D39+D37+D36+D34+D32+D30+D28+D26+D24+D22,2)</f>
        <v>5.0999999999999996</v>
      </c>
    </row>
    <row r="51" spans="1:4" x14ac:dyDescent="0.25">
      <c r="A51" s="23"/>
      <c r="B51" s="24" t="s">
        <v>15</v>
      </c>
      <c r="C51" s="52">
        <f>ROUND(C50+C19,2)</f>
        <v>4.54</v>
      </c>
      <c r="D51" s="52">
        <f>D50+D19</f>
        <v>136.19999999999999</v>
      </c>
    </row>
    <row r="52" spans="1:4" x14ac:dyDescent="0.25">
      <c r="A52" s="25"/>
      <c r="B52" s="26"/>
      <c r="C52" s="27"/>
      <c r="D52" s="27"/>
    </row>
    <row r="53" spans="1:4" x14ac:dyDescent="0.25">
      <c r="A53" s="26"/>
      <c r="B53" s="28"/>
      <c r="C53" s="28"/>
      <c r="D53" s="9"/>
    </row>
    <row r="54" spans="1:4" ht="15" customHeight="1" x14ac:dyDescent="0.25">
      <c r="A54" s="252" t="s">
        <v>16</v>
      </c>
      <c r="B54" s="253"/>
      <c r="C54" s="138">
        <v>30</v>
      </c>
      <c r="D54" s="29"/>
    </row>
    <row r="55" spans="1:4" ht="33" customHeight="1" x14ac:dyDescent="0.25">
      <c r="A55" s="254" t="s">
        <v>23</v>
      </c>
      <c r="B55" s="255"/>
      <c r="C55" s="139">
        <f>D51/C54</f>
        <v>4.54</v>
      </c>
      <c r="D55" s="29"/>
    </row>
    <row r="56" spans="1:4" x14ac:dyDescent="0.25">
      <c r="A56" s="30"/>
      <c r="B56" s="30"/>
      <c r="C56" s="30"/>
      <c r="D56" s="30"/>
    </row>
    <row r="57" spans="1:4" x14ac:dyDescent="0.25">
      <c r="A57" s="30"/>
      <c r="B57" s="30"/>
      <c r="C57" s="30"/>
      <c r="D57" s="152"/>
    </row>
    <row r="58" spans="1:4" x14ac:dyDescent="0.25">
      <c r="A58" s="30"/>
      <c r="B58" s="30"/>
      <c r="C58" s="30"/>
      <c r="D58" s="152"/>
    </row>
    <row r="59" spans="1:4" x14ac:dyDescent="0.25">
      <c r="A59" s="30"/>
      <c r="B59" s="30"/>
      <c r="C59" s="30"/>
      <c r="D59" s="152"/>
    </row>
    <row r="60" spans="1:4" x14ac:dyDescent="0.25">
      <c r="A60" s="30"/>
      <c r="B60" s="30"/>
      <c r="C60" s="30"/>
      <c r="D60" s="152"/>
    </row>
    <row r="61" spans="1:4" x14ac:dyDescent="0.25">
      <c r="A61" s="231"/>
      <c r="B61" s="231"/>
      <c r="C61" s="9"/>
      <c r="D61" s="9"/>
    </row>
    <row r="62" spans="1:4" x14ac:dyDescent="0.25">
      <c r="A62" s="250"/>
      <c r="B62" s="231"/>
      <c r="C62" s="9"/>
      <c r="D62" s="9"/>
    </row>
    <row r="63" spans="1:4" x14ac:dyDescent="0.25">
      <c r="A63" s="154"/>
      <c r="B63" s="9"/>
      <c r="C63" s="31"/>
      <c r="D63" s="9"/>
    </row>
    <row r="64" spans="1:4" x14ac:dyDescent="0.25">
      <c r="A64" s="250"/>
      <c r="B64" s="250"/>
      <c r="C64" s="31"/>
      <c r="D64" s="9"/>
    </row>
  </sheetData>
  <customSheetViews>
    <customSheetView guid="{3046F990-4623-45D5-BDDC-01BD5999DDBC}" scale="60" showPageBreaks="1" fitToPage="1" printArea="1" view="pageBreakPreview">
      <selection activeCell="B53" sqref="B53"/>
      <rowBreaks count="1" manualBreakCount="1">
        <brk id="32" max="3" man="1"/>
      </rowBreaks>
      <pageMargins left="0.70866141732283472" right="0.70866141732283472" top="0.74803149606299213" bottom="0.74803149606299213" header="0.31496062992125984" footer="0.31496062992125984"/>
      <pageSetup paperSize="9" scale="70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view="pageBreakPreview">
      <selection activeCell="B11" sqref="B11"/>
      <rowBreaks count="1" manualBreakCount="1">
        <brk id="32" max="3" man="1"/>
      </rowBreaks>
      <pageMargins left="0.70866141732283472" right="0.70866141732283472" top="0.74803149606299213" bottom="0.74803149606299213" header="0.31496062992125984" footer="0.31496062992125984"/>
      <pageSetup paperSize="9" scale="70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view="pageBreakPreview">
      <selection activeCell="A6" sqref="A6:D6"/>
      <rowBreaks count="1" manualBreakCount="1">
        <brk id="32" max="3" man="1"/>
      </rowBreaks>
      <pageMargins left="0.70866141732283472" right="0.70866141732283472" top="0.74803149606299213" bottom="0.74803149606299213" header="0.31496062992125984" footer="0.31496062992125984"/>
      <pageSetup paperSize="9" scale="70" fitToHeight="0" orientation="portrait" r:id="rId3"/>
      <headerFooter>
        <oddFooter>&amp;C&amp;P</oddFooter>
      </headerFooter>
    </customSheetView>
  </customSheetViews>
  <mergeCells count="10">
    <mergeCell ref="A2:D2"/>
    <mergeCell ref="A6:D6"/>
    <mergeCell ref="A8:B8"/>
    <mergeCell ref="A61:B61"/>
    <mergeCell ref="A62:B62"/>
    <mergeCell ref="A64:B64"/>
    <mergeCell ref="A55:B55"/>
    <mergeCell ref="C3:D3"/>
    <mergeCell ref="A10:B10"/>
    <mergeCell ref="A54:B54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4"/>
  <headerFooter>
    <oddFooter>&amp;C&amp;P</oddFooter>
  </headerFooter>
  <rowBreaks count="1" manualBreakCount="1">
    <brk id="32" max="3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view="pageBreakPreview" zoomScale="60" zoomScaleNormal="100" workbookViewId="0">
      <selection activeCell="A6" sqref="A6:D6"/>
    </sheetView>
  </sheetViews>
  <sheetFormatPr defaultRowHeight="15" x14ac:dyDescent="0.25"/>
  <cols>
    <col min="1" max="1" width="13.85546875" customWidth="1"/>
    <col min="2" max="2" width="94" customWidth="1"/>
    <col min="3" max="3" width="16.5703125" customWidth="1"/>
    <col min="4" max="4" width="16.42578125" customWidth="1"/>
  </cols>
  <sheetData>
    <row r="1" spans="1:11" ht="18.75" x14ac:dyDescent="0.3">
      <c r="A1" s="4"/>
      <c r="B1" s="5"/>
      <c r="C1" s="35"/>
      <c r="D1" s="5"/>
    </row>
    <row r="2" spans="1:11" ht="15.75" customHeight="1" x14ac:dyDescent="0.25">
      <c r="A2" s="256" t="s">
        <v>307</v>
      </c>
      <c r="B2" s="256"/>
      <c r="C2" s="256"/>
      <c r="D2" s="256"/>
    </row>
    <row r="3" spans="1:11" ht="15" customHeight="1" x14ac:dyDescent="0.25">
      <c r="A3" s="4"/>
      <c r="B3" s="4"/>
      <c r="C3" s="273"/>
      <c r="D3" s="274"/>
    </row>
    <row r="4" spans="1:11" ht="15.75" x14ac:dyDescent="0.25">
      <c r="A4" s="186" t="s">
        <v>723</v>
      </c>
      <c r="B4" s="32"/>
      <c r="C4" s="32"/>
      <c r="D4" s="32"/>
    </row>
    <row r="5" spans="1:11" x14ac:dyDescent="0.25">
      <c r="A5" s="4"/>
      <c r="B5" s="33"/>
      <c r="C5" s="33"/>
      <c r="D5" s="9"/>
    </row>
    <row r="6" spans="1:11" ht="19.5" customHeight="1" x14ac:dyDescent="0.25">
      <c r="A6" s="277" t="s">
        <v>1088</v>
      </c>
      <c r="B6" s="277"/>
      <c r="C6" s="277"/>
      <c r="D6" s="277"/>
    </row>
    <row r="7" spans="1:11" ht="13.5" customHeight="1" x14ac:dyDescent="0.25">
      <c r="A7" s="180"/>
      <c r="B7" s="34"/>
      <c r="C7" s="34"/>
      <c r="D7" s="9"/>
      <c r="E7" s="48"/>
      <c r="F7" s="48"/>
      <c r="G7" s="48"/>
      <c r="H7" s="48"/>
      <c r="I7" s="48"/>
      <c r="J7" s="48"/>
      <c r="K7" s="48"/>
    </row>
    <row r="8" spans="1:11" x14ac:dyDescent="0.25">
      <c r="A8" s="270" t="s">
        <v>309</v>
      </c>
      <c r="B8" s="271"/>
      <c r="C8" s="34"/>
      <c r="D8" s="9"/>
    </row>
    <row r="9" spans="1:11" s="181" customFormat="1" x14ac:dyDescent="0.25">
      <c r="A9" s="183"/>
      <c r="B9" s="184"/>
      <c r="C9" s="34"/>
      <c r="D9" s="9"/>
    </row>
    <row r="10" spans="1:11" ht="15" customHeight="1" x14ac:dyDescent="0.25">
      <c r="A10" s="251" t="s">
        <v>789</v>
      </c>
      <c r="B10" s="251"/>
      <c r="C10" s="34"/>
      <c r="D10" s="9"/>
    </row>
    <row r="11" spans="1:11" ht="15" hidden="1" customHeight="1" x14ac:dyDescent="0.25">
      <c r="A11" s="251" t="s">
        <v>747</v>
      </c>
      <c r="B11" s="251"/>
      <c r="C11" s="34"/>
      <c r="D11" s="9"/>
    </row>
    <row r="12" spans="1:11" hidden="1" x14ac:dyDescent="0.25">
      <c r="A12" s="4"/>
      <c r="B12" s="11"/>
      <c r="C12" s="8"/>
      <c r="D12" s="9"/>
    </row>
    <row r="13" spans="1:11" ht="89.25" customHeight="1" x14ac:dyDescent="0.25">
      <c r="A13" s="12" t="s">
        <v>0</v>
      </c>
      <c r="B13" s="12" t="s">
        <v>1</v>
      </c>
      <c r="C13" s="12" t="s">
        <v>83</v>
      </c>
      <c r="D13" s="12" t="s">
        <v>18</v>
      </c>
    </row>
    <row r="14" spans="1:11" x14ac:dyDescent="0.25">
      <c r="A14" s="13">
        <v>1</v>
      </c>
      <c r="B14" s="14">
        <v>2</v>
      </c>
      <c r="C14" s="13">
        <v>3</v>
      </c>
      <c r="D14" s="13">
        <v>4</v>
      </c>
    </row>
    <row r="15" spans="1:11" x14ac:dyDescent="0.25">
      <c r="A15" s="15"/>
      <c r="B15" s="22" t="s">
        <v>13</v>
      </c>
      <c r="C15" s="17"/>
      <c r="D15" s="17"/>
    </row>
    <row r="16" spans="1:11" x14ac:dyDescent="0.25">
      <c r="A16" s="37">
        <v>1100</v>
      </c>
      <c r="B16" s="16" t="s">
        <v>14</v>
      </c>
      <c r="C16" s="38"/>
      <c r="D16" s="38"/>
    </row>
    <row r="17" spans="1:4" ht="93" customHeight="1" x14ac:dyDescent="0.25">
      <c r="A17" s="18"/>
      <c r="B17" s="157" t="s">
        <v>214</v>
      </c>
      <c r="C17" s="38">
        <f>1.1+1.43</f>
        <v>2.5300000000000002</v>
      </c>
      <c r="D17" s="38">
        <f>C17*2</f>
        <v>5.0600000000000005</v>
      </c>
    </row>
    <row r="18" spans="1:4" ht="34.5" customHeight="1" x14ac:dyDescent="0.25">
      <c r="A18" s="18">
        <v>1200</v>
      </c>
      <c r="B18" s="158" t="s">
        <v>291</v>
      </c>
      <c r="C18" s="55">
        <f>ROUND(C17*0.2359,2)</f>
        <v>0.6</v>
      </c>
      <c r="D18" s="55">
        <f>ROUND(C18*2,2)</f>
        <v>1.2</v>
      </c>
    </row>
    <row r="19" spans="1:4" x14ac:dyDescent="0.25">
      <c r="A19" s="18">
        <v>2341</v>
      </c>
      <c r="B19" s="18" t="s">
        <v>140</v>
      </c>
      <c r="C19" s="19"/>
      <c r="D19" s="19"/>
    </row>
    <row r="20" spans="1:4" ht="47.25" customHeight="1" x14ac:dyDescent="0.25">
      <c r="A20" s="18"/>
      <c r="B20" s="158" t="s">
        <v>215</v>
      </c>
      <c r="C20" s="55">
        <f>0.04+0.03+0.06+2.88</f>
        <v>3.01</v>
      </c>
      <c r="D20" s="55">
        <f>C20*2</f>
        <v>6.02</v>
      </c>
    </row>
    <row r="21" spans="1:4" x14ac:dyDescent="0.25">
      <c r="A21" s="68"/>
      <c r="B21" s="159" t="s">
        <v>2</v>
      </c>
      <c r="C21" s="71">
        <f>SUM(C16:C20)</f>
        <v>6.1400000000000006</v>
      </c>
      <c r="D21" s="71">
        <f>SUM(D16:D20)</f>
        <v>12.280000000000001</v>
      </c>
    </row>
    <row r="22" spans="1:4" x14ac:dyDescent="0.25">
      <c r="A22" s="18"/>
      <c r="B22" s="160" t="s">
        <v>20</v>
      </c>
      <c r="C22" s="19"/>
      <c r="D22" s="19"/>
    </row>
    <row r="23" spans="1:4" x14ac:dyDescent="0.25">
      <c r="A23" s="18">
        <v>2219</v>
      </c>
      <c r="B23" s="158" t="s">
        <v>3</v>
      </c>
      <c r="C23" s="19"/>
      <c r="D23" s="19"/>
    </row>
    <row r="24" spans="1:4" ht="76.5" customHeight="1" x14ac:dyDescent="0.25">
      <c r="A24" s="18"/>
      <c r="B24" s="158" t="s">
        <v>620</v>
      </c>
      <c r="C24" s="40">
        <f>ROUND(3.18/18154,4)</f>
        <v>2.0000000000000001E-4</v>
      </c>
      <c r="D24" s="40">
        <f>C24*2</f>
        <v>4.0000000000000002E-4</v>
      </c>
    </row>
    <row r="25" spans="1:4" x14ac:dyDescent="0.25">
      <c r="A25" s="18">
        <v>2221</v>
      </c>
      <c r="B25" s="158" t="s">
        <v>4</v>
      </c>
      <c r="C25" s="19"/>
      <c r="D25" s="19"/>
    </row>
    <row r="26" spans="1:4" ht="48" customHeight="1" x14ac:dyDescent="0.25">
      <c r="A26" s="18"/>
      <c r="B26" s="158" t="s">
        <v>590</v>
      </c>
      <c r="C26" s="55">
        <f>ROUND(301.59/18154,4)</f>
        <v>1.66E-2</v>
      </c>
      <c r="D26" s="55">
        <f>C26*2</f>
        <v>3.32E-2</v>
      </c>
    </row>
    <row r="27" spans="1:4" ht="13.5" customHeight="1" x14ac:dyDescent="0.25">
      <c r="A27" s="18">
        <v>2222</v>
      </c>
      <c r="B27" s="158" t="s">
        <v>5</v>
      </c>
      <c r="C27" s="19"/>
      <c r="D27" s="19"/>
    </row>
    <row r="28" spans="1:4" ht="45.75" customHeight="1" x14ac:dyDescent="0.25">
      <c r="A28" s="18"/>
      <c r="B28" s="158" t="s">
        <v>591</v>
      </c>
      <c r="C28" s="36">
        <f>ROUND(31.02/18154,3)</f>
        <v>2E-3</v>
      </c>
      <c r="D28" s="36">
        <f>C28*2</f>
        <v>4.0000000000000001E-3</v>
      </c>
    </row>
    <row r="29" spans="1:4" x14ac:dyDescent="0.25">
      <c r="A29" s="18">
        <v>2223</v>
      </c>
      <c r="B29" s="18" t="s">
        <v>6</v>
      </c>
      <c r="C29" s="19"/>
      <c r="D29" s="19"/>
    </row>
    <row r="30" spans="1:4" ht="50.25" customHeight="1" x14ac:dyDescent="0.25">
      <c r="A30" s="18"/>
      <c r="B30" s="158" t="s">
        <v>216</v>
      </c>
      <c r="C30" s="55">
        <f>ROUND(538.27/18154,3)</f>
        <v>0.03</v>
      </c>
      <c r="D30" s="55">
        <f>C30*2</f>
        <v>0.06</v>
      </c>
    </row>
    <row r="31" spans="1:4" x14ac:dyDescent="0.25">
      <c r="A31" s="18">
        <v>2224</v>
      </c>
      <c r="B31" s="158" t="s">
        <v>7</v>
      </c>
      <c r="C31" s="19"/>
      <c r="D31" s="19"/>
    </row>
    <row r="32" spans="1:4" ht="48" customHeight="1" x14ac:dyDescent="0.25">
      <c r="A32" s="18"/>
      <c r="B32" s="158" t="s">
        <v>592</v>
      </c>
      <c r="C32" s="36">
        <f>ROUND(28.86/18154,4)</f>
        <v>1.6000000000000001E-3</v>
      </c>
      <c r="D32" s="36">
        <f>C32*2</f>
        <v>3.2000000000000002E-3</v>
      </c>
    </row>
    <row r="33" spans="1:4" x14ac:dyDescent="0.25">
      <c r="A33" s="45">
        <v>2231</v>
      </c>
      <c r="B33" s="158" t="s">
        <v>22</v>
      </c>
      <c r="C33" s="36"/>
      <c r="D33" s="19"/>
    </row>
    <row r="34" spans="1:4" ht="132.75" customHeight="1" x14ac:dyDescent="0.25">
      <c r="A34" s="45"/>
      <c r="B34" s="158" t="s">
        <v>593</v>
      </c>
      <c r="C34" s="55">
        <f>ROUND(1201.87/18154,2)</f>
        <v>7.0000000000000007E-2</v>
      </c>
      <c r="D34" s="55">
        <f>C34*2</f>
        <v>0.14000000000000001</v>
      </c>
    </row>
    <row r="35" spans="1:4" ht="18" customHeight="1" x14ac:dyDescent="0.25">
      <c r="A35" s="45">
        <v>2243</v>
      </c>
      <c r="B35" s="158" t="s">
        <v>132</v>
      </c>
      <c r="C35" s="55"/>
      <c r="D35" s="55"/>
    </row>
    <row r="36" spans="1:4" ht="51" customHeight="1" x14ac:dyDescent="0.25">
      <c r="A36" s="45"/>
      <c r="B36" s="158" t="s">
        <v>594</v>
      </c>
      <c r="C36" s="55">
        <f>ROUND(386.87/18154,4)</f>
        <v>2.1299999999999999E-2</v>
      </c>
      <c r="D36" s="55">
        <f>C36*2</f>
        <v>4.2599999999999999E-2</v>
      </c>
    </row>
    <row r="37" spans="1:4" x14ac:dyDescent="0.25">
      <c r="A37" s="18">
        <v>2244</v>
      </c>
      <c r="B37" s="158" t="s">
        <v>24</v>
      </c>
      <c r="C37" s="19"/>
      <c r="D37" s="19"/>
    </row>
    <row r="38" spans="1:4" ht="48.75" customHeight="1" x14ac:dyDescent="0.25">
      <c r="A38" s="21"/>
      <c r="B38" s="158" t="s">
        <v>595</v>
      </c>
      <c r="C38" s="55">
        <f>ROUND(383.44/18154,2)</f>
        <v>0.02</v>
      </c>
      <c r="D38" s="55">
        <f>C38*2</f>
        <v>0.04</v>
      </c>
    </row>
    <row r="39" spans="1:4" ht="49.5" customHeight="1" x14ac:dyDescent="0.25">
      <c r="A39" s="21"/>
      <c r="B39" s="158" t="s">
        <v>596</v>
      </c>
      <c r="C39" s="40">
        <f>ROUND(5.03/18154,4)</f>
        <v>2.9999999999999997E-4</v>
      </c>
      <c r="D39" s="36">
        <f>C39*2</f>
        <v>5.9999999999999995E-4</v>
      </c>
    </row>
    <row r="40" spans="1:4" x14ac:dyDescent="0.25">
      <c r="A40" s="18">
        <v>2249</v>
      </c>
      <c r="B40" s="158" t="s">
        <v>8</v>
      </c>
      <c r="C40" s="19"/>
      <c r="D40" s="19"/>
    </row>
    <row r="41" spans="1:4" ht="49.5" customHeight="1" x14ac:dyDescent="0.25">
      <c r="A41" s="18"/>
      <c r="B41" s="158" t="s">
        <v>887</v>
      </c>
      <c r="C41" s="36">
        <f>ROUND(9.76/18154,4)</f>
        <v>5.0000000000000001E-4</v>
      </c>
      <c r="D41" s="36">
        <f>C41*2</f>
        <v>1E-3</v>
      </c>
    </row>
    <row r="42" spans="1:4" x14ac:dyDescent="0.25">
      <c r="A42" s="18">
        <v>2311</v>
      </c>
      <c r="B42" s="158" t="s">
        <v>9</v>
      </c>
      <c r="C42" s="36"/>
      <c r="D42" s="19"/>
    </row>
    <row r="43" spans="1:4" ht="47.25" customHeight="1" x14ac:dyDescent="0.25">
      <c r="A43" s="18"/>
      <c r="B43" s="158" t="s">
        <v>597</v>
      </c>
      <c r="C43" s="36">
        <f>ROUND(54.99/18154,4)</f>
        <v>3.0000000000000001E-3</v>
      </c>
      <c r="D43" s="55">
        <f>C43*2</f>
        <v>6.0000000000000001E-3</v>
      </c>
    </row>
    <row r="44" spans="1:4" x14ac:dyDescent="0.25">
      <c r="A44" s="18">
        <v>2350</v>
      </c>
      <c r="B44" s="158" t="s">
        <v>21</v>
      </c>
      <c r="C44" s="36"/>
      <c r="D44" s="19"/>
    </row>
    <row r="45" spans="1:4" ht="75.75" customHeight="1" x14ac:dyDescent="0.25">
      <c r="A45" s="18"/>
      <c r="B45" s="158" t="s">
        <v>598</v>
      </c>
      <c r="C45" s="40">
        <f>ROUND(6.69/18154,4)</f>
        <v>4.0000000000000002E-4</v>
      </c>
      <c r="D45" s="36">
        <f>C45*2</f>
        <v>8.0000000000000004E-4</v>
      </c>
    </row>
    <row r="46" spans="1:4" ht="16.5" customHeight="1" x14ac:dyDescent="0.25">
      <c r="A46" s="18">
        <v>2513</v>
      </c>
      <c r="B46" s="158" t="s">
        <v>133</v>
      </c>
      <c r="C46" s="40"/>
      <c r="D46" s="55"/>
    </row>
    <row r="47" spans="1:4" ht="48.75" customHeight="1" x14ac:dyDescent="0.25">
      <c r="A47" s="18"/>
      <c r="B47" s="158" t="s">
        <v>599</v>
      </c>
      <c r="C47" s="36">
        <f>ROUND(9.53/18154,4)</f>
        <v>5.0000000000000001E-4</v>
      </c>
      <c r="D47" s="36">
        <f>C47*2</f>
        <v>1E-3</v>
      </c>
    </row>
    <row r="48" spans="1:4" ht="15.75" customHeight="1" x14ac:dyDescent="0.25">
      <c r="A48" s="18">
        <v>5220</v>
      </c>
      <c r="B48" s="158" t="s">
        <v>136</v>
      </c>
      <c r="C48" s="40"/>
      <c r="D48" s="55"/>
    </row>
    <row r="49" spans="1:4" ht="59.25" customHeight="1" x14ac:dyDescent="0.25">
      <c r="A49" s="18"/>
      <c r="B49" s="158" t="s">
        <v>600</v>
      </c>
      <c r="C49" s="36">
        <f>ROUND(31.55/18154,4)</f>
        <v>1.6999999999999999E-3</v>
      </c>
      <c r="D49" s="36">
        <f>C49*2</f>
        <v>3.3999999999999998E-3</v>
      </c>
    </row>
    <row r="50" spans="1:4" ht="14.25" customHeight="1" x14ac:dyDescent="0.25">
      <c r="A50" s="18">
        <v>5238</v>
      </c>
      <c r="B50" s="158" t="s">
        <v>134</v>
      </c>
      <c r="C50" s="40"/>
      <c r="D50" s="55"/>
    </row>
    <row r="51" spans="1:4" ht="47.25" customHeight="1" x14ac:dyDescent="0.25">
      <c r="A51" s="18"/>
      <c r="B51" s="158" t="s">
        <v>601</v>
      </c>
      <c r="C51" s="36">
        <f>ROUND(33.68/18154,3)</f>
        <v>2E-3</v>
      </c>
      <c r="D51" s="36">
        <f>C51*2</f>
        <v>4.0000000000000001E-3</v>
      </c>
    </row>
    <row r="52" spans="1:4" x14ac:dyDescent="0.25">
      <c r="A52" s="68"/>
      <c r="B52" s="72" t="s">
        <v>10</v>
      </c>
      <c r="C52" s="71">
        <f>ROUND(C51+C49+C47+C45+C43+C41+C39+C38+C36+C34+C32+C30+C28+C26+C24,2)</f>
        <v>0.17</v>
      </c>
      <c r="D52" s="71">
        <f>ROUND(D51+D49+D47+D45+D43+D41+D39+D38+D36+D34+D32+D30+D28+D26+D24,2)</f>
        <v>0.34</v>
      </c>
    </row>
    <row r="53" spans="1:4" x14ac:dyDescent="0.25">
      <c r="A53" s="23"/>
      <c r="B53" s="24" t="s">
        <v>15</v>
      </c>
      <c r="C53" s="52">
        <f>ROUND(C52+C21,2)</f>
        <v>6.31</v>
      </c>
      <c r="D53" s="52">
        <f>D52+D21</f>
        <v>12.620000000000001</v>
      </c>
    </row>
    <row r="54" spans="1:4" x14ac:dyDescent="0.25">
      <c r="A54" s="25"/>
      <c r="B54" s="26"/>
      <c r="C54" s="27"/>
      <c r="D54" s="27"/>
    </row>
    <row r="55" spans="1:4" x14ac:dyDescent="0.25">
      <c r="A55" s="26"/>
      <c r="B55" s="28"/>
      <c r="C55" s="28"/>
      <c r="D55" s="9"/>
    </row>
    <row r="56" spans="1:4" ht="15" customHeight="1" x14ac:dyDescent="0.25">
      <c r="A56" s="252" t="s">
        <v>16</v>
      </c>
      <c r="B56" s="253"/>
      <c r="C56" s="138">
        <v>2</v>
      </c>
      <c r="D56" s="29"/>
    </row>
    <row r="57" spans="1:4" ht="36" customHeight="1" x14ac:dyDescent="0.25">
      <c r="A57" s="254" t="s">
        <v>23</v>
      </c>
      <c r="B57" s="255"/>
      <c r="C57" s="139">
        <f>D53/C56</f>
        <v>6.3100000000000005</v>
      </c>
      <c r="D57" s="29"/>
    </row>
    <row r="58" spans="1:4" x14ac:dyDescent="0.25">
      <c r="A58" s="30"/>
      <c r="B58" s="30"/>
      <c r="C58" s="30"/>
      <c r="D58" s="30"/>
    </row>
    <row r="59" spans="1:4" x14ac:dyDescent="0.25">
      <c r="A59" s="30"/>
      <c r="B59" s="30"/>
      <c r="C59" s="30"/>
      <c r="D59" s="152"/>
    </row>
    <row r="60" spans="1:4" x14ac:dyDescent="0.25">
      <c r="A60" s="30"/>
      <c r="B60" s="30"/>
      <c r="C60" s="30"/>
      <c r="D60" s="152"/>
    </row>
    <row r="61" spans="1:4" x14ac:dyDescent="0.25">
      <c r="A61" s="30"/>
      <c r="B61" s="30"/>
      <c r="C61" s="30"/>
      <c r="D61" s="152"/>
    </row>
    <row r="62" spans="1:4" x14ac:dyDescent="0.25">
      <c r="A62" s="30"/>
      <c r="B62" s="30"/>
      <c r="C62" s="30"/>
      <c r="D62" s="30"/>
    </row>
    <row r="63" spans="1:4" x14ac:dyDescent="0.25">
      <c r="A63" s="231"/>
      <c r="B63" s="231"/>
      <c r="C63" s="9"/>
      <c r="D63" s="9"/>
    </row>
    <row r="64" spans="1:4" x14ac:dyDescent="0.25">
      <c r="A64" s="250"/>
      <c r="B64" s="231"/>
      <c r="C64" s="9"/>
      <c r="D64" s="9"/>
    </row>
    <row r="65" spans="1:4" x14ac:dyDescent="0.25">
      <c r="A65" s="154"/>
      <c r="B65" s="9"/>
      <c r="C65" s="31"/>
      <c r="D65" s="9"/>
    </row>
    <row r="66" spans="1:4" x14ac:dyDescent="0.25">
      <c r="A66" s="250"/>
      <c r="B66" s="250"/>
      <c r="C66" s="31"/>
      <c r="D66" s="9"/>
    </row>
  </sheetData>
  <customSheetViews>
    <customSheetView guid="{3046F990-4623-45D5-BDDC-01BD5999DDBC}" scale="60" showPageBreaks="1" fitToPage="1" printArea="1" hiddenRows="1" view="pageBreakPreview">
      <selection activeCell="B53" sqref="B53"/>
      <rowBreaks count="2" manualBreakCount="2">
        <brk id="38" max="3" man="1"/>
        <brk id="57" max="16383" man="1"/>
      </rowBreaks>
      <pageMargins left="0.70866141732283472" right="0.70866141732283472" top="0.74803149606299213" bottom="0.74803149606299213" header="0.31496062992125984" footer="0.31496062992125984"/>
      <pageSetup paperSize="9" scale="61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hiddenRows="1" view="pageBreakPreview" topLeftCell="A34">
      <selection activeCell="B47" sqref="B47"/>
      <rowBreaks count="2" manualBreakCount="2">
        <brk id="38" max="3" man="1"/>
        <brk id="57" max="16383" man="1"/>
      </rowBreaks>
      <pageMargins left="0.70866141732283472" right="0.70866141732283472" top="0.74803149606299213" bottom="0.74803149606299213" header="0.31496062992125984" footer="0.31496062992125984"/>
      <pageSetup paperSize="9" scale="61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hiddenRows="1" view="pageBreakPreview">
      <selection activeCell="A6" sqref="A6:D6"/>
      <rowBreaks count="2" manualBreakCount="2">
        <brk id="38" max="3" man="1"/>
        <brk id="57" max="16383" man="1"/>
      </rowBreaks>
      <pageMargins left="0.70866141732283472" right="0.70866141732283472" top="0.74803149606299213" bottom="0.74803149606299213" header="0.31496062992125984" footer="0.31496062992125984"/>
      <pageSetup paperSize="9" scale="65" fitToHeight="0" orientation="portrait" r:id="rId3"/>
      <headerFooter>
        <oddFooter>&amp;C&amp;P</oddFooter>
      </headerFooter>
    </customSheetView>
  </customSheetViews>
  <mergeCells count="11">
    <mergeCell ref="A64:B64"/>
    <mergeCell ref="A66:B66"/>
    <mergeCell ref="A57:B57"/>
    <mergeCell ref="C3:D3"/>
    <mergeCell ref="A10:B10"/>
    <mergeCell ref="A56:B56"/>
    <mergeCell ref="A2:D2"/>
    <mergeCell ref="A6:D6"/>
    <mergeCell ref="A8:B8"/>
    <mergeCell ref="A11:B11"/>
    <mergeCell ref="A63:B63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4"/>
  <headerFooter>
    <oddFooter>&amp;C&amp;P</oddFooter>
  </headerFooter>
  <rowBreaks count="2" manualBreakCount="2">
    <brk id="38" max="3" man="1"/>
    <brk id="57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view="pageBreakPreview" zoomScale="60" zoomScaleNormal="100" workbookViewId="0">
      <selection activeCell="A6" sqref="A6:D6"/>
    </sheetView>
  </sheetViews>
  <sheetFormatPr defaultRowHeight="15" x14ac:dyDescent="0.25"/>
  <cols>
    <col min="1" max="1" width="15.28515625" customWidth="1"/>
    <col min="2" max="2" width="85.42578125" customWidth="1"/>
    <col min="3" max="3" width="14.85546875" customWidth="1"/>
    <col min="4" max="4" width="19.140625" customWidth="1"/>
  </cols>
  <sheetData>
    <row r="1" spans="1:11" ht="18.75" x14ac:dyDescent="0.3">
      <c r="A1" s="4"/>
      <c r="B1" s="5"/>
      <c r="C1" s="35"/>
      <c r="D1" s="5"/>
    </row>
    <row r="2" spans="1:11" ht="15.75" customHeight="1" x14ac:dyDescent="0.25">
      <c r="A2" s="256" t="s">
        <v>307</v>
      </c>
      <c r="B2" s="256"/>
      <c r="C2" s="256"/>
      <c r="D2" s="256"/>
    </row>
    <row r="3" spans="1:11" ht="15" customHeight="1" x14ac:dyDescent="0.25">
      <c r="A3" s="4"/>
      <c r="B3" s="4"/>
      <c r="C3" s="273"/>
      <c r="D3" s="274"/>
    </row>
    <row r="4" spans="1:11" ht="15.75" x14ac:dyDescent="0.25">
      <c r="A4" s="186" t="s">
        <v>723</v>
      </c>
      <c r="B4" s="32"/>
      <c r="C4" s="32"/>
      <c r="D4" s="32"/>
    </row>
    <row r="5" spans="1:11" x14ac:dyDescent="0.25">
      <c r="A5" s="4"/>
      <c r="B5" s="33"/>
      <c r="C5" s="33"/>
      <c r="D5" s="9"/>
    </row>
    <row r="6" spans="1:11" ht="15.75" x14ac:dyDescent="0.25">
      <c r="A6" s="277" t="s">
        <v>1044</v>
      </c>
      <c r="B6" s="277"/>
      <c r="C6" s="277"/>
      <c r="D6" s="277"/>
    </row>
    <row r="7" spans="1:11" ht="16.5" customHeight="1" x14ac:dyDescent="0.25">
      <c r="A7" s="180"/>
      <c r="B7" s="34"/>
      <c r="C7" s="34"/>
      <c r="D7" s="9"/>
      <c r="E7" s="49"/>
      <c r="F7" s="49"/>
      <c r="G7" s="49"/>
      <c r="H7" s="49"/>
      <c r="I7" s="49"/>
      <c r="J7" s="49"/>
      <c r="K7" s="49"/>
    </row>
    <row r="8" spans="1:11" x14ac:dyDescent="0.25">
      <c r="A8" s="270" t="s">
        <v>309</v>
      </c>
      <c r="B8" s="271"/>
      <c r="C8" s="34"/>
      <c r="D8" s="9"/>
    </row>
    <row r="9" spans="1:11" ht="15" customHeight="1" x14ac:dyDescent="0.25">
      <c r="A9" s="183"/>
      <c r="B9" s="184"/>
      <c r="C9" s="34"/>
      <c r="D9" s="9"/>
    </row>
    <row r="10" spans="1:11" ht="15.75" x14ac:dyDescent="0.25">
      <c r="A10" s="251" t="s">
        <v>790</v>
      </c>
      <c r="B10" s="251"/>
      <c r="C10" s="34"/>
      <c r="D10" s="9"/>
    </row>
    <row r="11" spans="1:11" ht="93.75" customHeight="1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11" x14ac:dyDescent="0.25">
      <c r="A12" s="13">
        <v>1</v>
      </c>
      <c r="B12" s="14">
        <v>2</v>
      </c>
      <c r="C12" s="13">
        <v>3</v>
      </c>
      <c r="D12" s="13">
        <v>4</v>
      </c>
    </row>
    <row r="13" spans="1:11" x14ac:dyDescent="0.25">
      <c r="A13" s="15"/>
      <c r="B13" s="22" t="s">
        <v>13</v>
      </c>
      <c r="C13" s="17"/>
      <c r="D13" s="17"/>
    </row>
    <row r="14" spans="1:11" x14ac:dyDescent="0.25">
      <c r="A14" s="37">
        <v>1100</v>
      </c>
      <c r="B14" s="16" t="s">
        <v>14</v>
      </c>
      <c r="C14" s="38"/>
      <c r="D14" s="38"/>
    </row>
    <row r="15" spans="1:11" ht="77.25" customHeight="1" x14ac:dyDescent="0.25">
      <c r="A15" s="18"/>
      <c r="B15" s="157" t="s">
        <v>959</v>
      </c>
      <c r="C15" s="55">
        <f>0.11*30</f>
        <v>3.3</v>
      </c>
      <c r="D15" s="55">
        <f>C15*4</f>
        <v>13.2</v>
      </c>
    </row>
    <row r="16" spans="1:11" ht="33.75" customHeight="1" x14ac:dyDescent="0.25">
      <c r="A16" s="18">
        <v>1200</v>
      </c>
      <c r="B16" s="158" t="s">
        <v>292</v>
      </c>
      <c r="C16" s="55">
        <f>ROUND(C15*0.2359,2)</f>
        <v>0.78</v>
      </c>
      <c r="D16" s="55">
        <f>C16*4</f>
        <v>3.12</v>
      </c>
    </row>
    <row r="17" spans="1:4" x14ac:dyDescent="0.25">
      <c r="A17" s="18">
        <v>2341</v>
      </c>
      <c r="B17" s="18" t="s">
        <v>77</v>
      </c>
      <c r="C17" s="19"/>
      <c r="D17" s="19"/>
    </row>
    <row r="18" spans="1:4" ht="63" customHeight="1" x14ac:dyDescent="0.25">
      <c r="A18" s="18"/>
      <c r="B18" s="158" t="s">
        <v>602</v>
      </c>
      <c r="C18" s="55">
        <f>0.04+0.06+0.08+0.59</f>
        <v>0.77</v>
      </c>
      <c r="D18" s="55">
        <f>C18*4</f>
        <v>3.08</v>
      </c>
    </row>
    <row r="19" spans="1:4" x14ac:dyDescent="0.25">
      <c r="A19" s="74"/>
      <c r="B19" s="159" t="s">
        <v>2</v>
      </c>
      <c r="C19" s="71">
        <f>SUM(C14:C18)</f>
        <v>4.8499999999999996</v>
      </c>
      <c r="D19" s="71">
        <f>SUM(D14:D18)</f>
        <v>19.399999999999999</v>
      </c>
    </row>
    <row r="20" spans="1:4" x14ac:dyDescent="0.25">
      <c r="A20" s="18"/>
      <c r="B20" s="160" t="s">
        <v>20</v>
      </c>
      <c r="C20" s="19"/>
      <c r="D20" s="19"/>
    </row>
    <row r="21" spans="1:4" x14ac:dyDescent="0.25">
      <c r="A21" s="18">
        <v>2219</v>
      </c>
      <c r="B21" s="158" t="s">
        <v>3</v>
      </c>
      <c r="C21" s="19"/>
      <c r="D21" s="19"/>
    </row>
    <row r="22" spans="1:4" ht="88.5" customHeight="1" x14ac:dyDescent="0.25">
      <c r="A22" s="18"/>
      <c r="B22" s="158" t="s">
        <v>618</v>
      </c>
      <c r="C22" s="40">
        <f>ROUND(3.18/18154,4)</f>
        <v>2.0000000000000001E-4</v>
      </c>
      <c r="D22" s="36">
        <f>C22*4</f>
        <v>8.0000000000000004E-4</v>
      </c>
    </row>
    <row r="23" spans="1:4" x14ac:dyDescent="0.25">
      <c r="A23" s="18">
        <v>2221</v>
      </c>
      <c r="B23" s="158" t="s">
        <v>4</v>
      </c>
      <c r="C23" s="19"/>
      <c r="D23" s="19"/>
    </row>
    <row r="24" spans="1:4" ht="45.75" customHeight="1" x14ac:dyDescent="0.25">
      <c r="A24" s="18"/>
      <c r="B24" s="158" t="s">
        <v>888</v>
      </c>
      <c r="C24" s="55">
        <f>ROUND(301.59/18154,2)</f>
        <v>0.02</v>
      </c>
      <c r="D24" s="55">
        <f>C24*4</f>
        <v>0.08</v>
      </c>
    </row>
    <row r="25" spans="1:4" x14ac:dyDescent="0.25">
      <c r="A25" s="18">
        <v>2222</v>
      </c>
      <c r="B25" s="158" t="s">
        <v>5</v>
      </c>
      <c r="C25" s="19"/>
      <c r="D25" s="19"/>
    </row>
    <row r="26" spans="1:4" ht="47.25" customHeight="1" x14ac:dyDescent="0.25">
      <c r="A26" s="18"/>
      <c r="B26" s="158" t="s">
        <v>894</v>
      </c>
      <c r="C26" s="36">
        <f>ROUND(31.02/18154,3)</f>
        <v>2E-3</v>
      </c>
      <c r="D26" s="55">
        <f>C26*4</f>
        <v>8.0000000000000002E-3</v>
      </c>
    </row>
    <row r="27" spans="1:4" x14ac:dyDescent="0.25">
      <c r="A27" s="18">
        <v>2223</v>
      </c>
      <c r="B27" s="18" t="s">
        <v>6</v>
      </c>
      <c r="C27" s="19"/>
      <c r="D27" s="19"/>
    </row>
    <row r="28" spans="1:4" ht="46.5" customHeight="1" x14ac:dyDescent="0.25">
      <c r="A28" s="18"/>
      <c r="B28" s="158" t="s">
        <v>217</v>
      </c>
      <c r="C28" s="55">
        <f>ROUND(538.27/18154,3)</f>
        <v>0.03</v>
      </c>
      <c r="D28" s="55">
        <f>C28*4</f>
        <v>0.12</v>
      </c>
    </row>
    <row r="29" spans="1:4" x14ac:dyDescent="0.25">
      <c r="A29" s="18">
        <v>2224</v>
      </c>
      <c r="B29" s="158" t="s">
        <v>7</v>
      </c>
      <c r="C29" s="19"/>
      <c r="D29" s="19"/>
    </row>
    <row r="30" spans="1:4" ht="48.75" customHeight="1" x14ac:dyDescent="0.25">
      <c r="A30" s="18"/>
      <c r="B30" s="158" t="s">
        <v>889</v>
      </c>
      <c r="C30" s="36">
        <f>ROUND(28.86/18154,4)</f>
        <v>1.6000000000000001E-3</v>
      </c>
      <c r="D30" s="55">
        <f>C30*4</f>
        <v>6.4000000000000003E-3</v>
      </c>
    </row>
    <row r="31" spans="1:4" x14ac:dyDescent="0.25">
      <c r="A31" s="45">
        <v>2231</v>
      </c>
      <c r="B31" s="158" t="s">
        <v>22</v>
      </c>
      <c r="C31" s="36"/>
      <c r="D31" s="19"/>
    </row>
    <row r="32" spans="1:4" ht="147" customHeight="1" x14ac:dyDescent="0.25">
      <c r="A32" s="45"/>
      <c r="B32" s="158" t="s">
        <v>604</v>
      </c>
      <c r="C32" s="55">
        <f>ROUND(1201.87/18154,2)</f>
        <v>7.0000000000000007E-2</v>
      </c>
      <c r="D32" s="55">
        <f>C32*4</f>
        <v>0.28000000000000003</v>
      </c>
    </row>
    <row r="33" spans="1:4" ht="15" customHeight="1" x14ac:dyDescent="0.25">
      <c r="A33" s="45">
        <v>2243</v>
      </c>
      <c r="B33" s="158" t="s">
        <v>132</v>
      </c>
      <c r="C33" s="55"/>
      <c r="D33" s="55"/>
    </row>
    <row r="34" spans="1:4" ht="47.25" customHeight="1" x14ac:dyDescent="0.25">
      <c r="A34" s="45"/>
      <c r="B34" s="158" t="s">
        <v>890</v>
      </c>
      <c r="C34" s="55">
        <f>ROUND(386.87/18154,2)</f>
        <v>0.02</v>
      </c>
      <c r="D34" s="55">
        <f>C34*4</f>
        <v>0.08</v>
      </c>
    </row>
    <row r="35" spans="1:4" x14ac:dyDescent="0.25">
      <c r="A35" s="18">
        <v>2244</v>
      </c>
      <c r="B35" s="158" t="s">
        <v>24</v>
      </c>
      <c r="C35" s="19"/>
      <c r="D35" s="19"/>
    </row>
    <row r="36" spans="1:4" ht="48" customHeight="1" x14ac:dyDescent="0.25">
      <c r="A36" s="21"/>
      <c r="B36" s="158" t="s">
        <v>606</v>
      </c>
      <c r="C36" s="55">
        <f>ROUND(383.44/18154,2)</f>
        <v>0.02</v>
      </c>
      <c r="D36" s="55">
        <f>C36*4</f>
        <v>0.08</v>
      </c>
    </row>
    <row r="37" spans="1:4" ht="45.75" customHeight="1" x14ac:dyDescent="0.25">
      <c r="A37" s="21"/>
      <c r="B37" s="158" t="s">
        <v>218</v>
      </c>
      <c r="C37" s="40">
        <f>ROUND(5.03/18154,4)</f>
        <v>2.9999999999999997E-4</v>
      </c>
      <c r="D37" s="36">
        <f>C37*4</f>
        <v>1.1999999999999999E-3</v>
      </c>
    </row>
    <row r="38" spans="1:4" x14ac:dyDescent="0.25">
      <c r="A38" s="18">
        <v>2249</v>
      </c>
      <c r="B38" s="158" t="s">
        <v>8</v>
      </c>
      <c r="C38" s="19"/>
      <c r="D38" s="19"/>
    </row>
    <row r="39" spans="1:4" ht="47.25" customHeight="1" x14ac:dyDescent="0.25">
      <c r="A39" s="18"/>
      <c r="B39" s="158" t="s">
        <v>891</v>
      </c>
      <c r="C39" s="36">
        <f>ROUND(9.76/18154,4)</f>
        <v>5.0000000000000001E-4</v>
      </c>
      <c r="D39" s="36">
        <f>C39*4</f>
        <v>2E-3</v>
      </c>
    </row>
    <row r="40" spans="1:4" x14ac:dyDescent="0.25">
      <c r="A40" s="18">
        <v>2311</v>
      </c>
      <c r="B40" s="158" t="s">
        <v>9</v>
      </c>
      <c r="C40" s="36"/>
      <c r="D40" s="19"/>
    </row>
    <row r="41" spans="1:4" ht="51" customHeight="1" x14ac:dyDescent="0.25">
      <c r="A41" s="18"/>
      <c r="B41" s="158" t="s">
        <v>977</v>
      </c>
      <c r="C41" s="36">
        <f>ROUND(54.99/18154,4)</f>
        <v>3.0000000000000001E-3</v>
      </c>
      <c r="D41" s="55">
        <f>C41*4</f>
        <v>1.2E-2</v>
      </c>
    </row>
    <row r="42" spans="1:4" x14ac:dyDescent="0.25">
      <c r="A42" s="18">
        <v>2350</v>
      </c>
      <c r="B42" s="158" t="s">
        <v>21</v>
      </c>
      <c r="C42" s="36"/>
      <c r="D42" s="19"/>
    </row>
    <row r="43" spans="1:4" ht="78" customHeight="1" x14ac:dyDescent="0.25">
      <c r="A43" s="18"/>
      <c r="B43" s="158" t="s">
        <v>607</v>
      </c>
      <c r="C43" s="40">
        <f>ROUND(6.69/18154,4)</f>
        <v>4.0000000000000002E-4</v>
      </c>
      <c r="D43" s="36">
        <f>C43*4</f>
        <v>1.6000000000000001E-3</v>
      </c>
    </row>
    <row r="44" spans="1:4" ht="16.5" customHeight="1" x14ac:dyDescent="0.25">
      <c r="A44" s="18">
        <v>2513</v>
      </c>
      <c r="B44" s="158" t="s">
        <v>133</v>
      </c>
      <c r="C44" s="40"/>
      <c r="D44" s="55"/>
    </row>
    <row r="45" spans="1:4" ht="48.75" customHeight="1" x14ac:dyDescent="0.25">
      <c r="A45" s="18"/>
      <c r="B45" s="158" t="s">
        <v>608</v>
      </c>
      <c r="C45" s="36">
        <f>ROUND(9.53/18154,4)</f>
        <v>5.0000000000000001E-4</v>
      </c>
      <c r="D45" s="36">
        <f>C45*4</f>
        <v>2E-3</v>
      </c>
    </row>
    <row r="46" spans="1:4" ht="13.5" customHeight="1" x14ac:dyDescent="0.25">
      <c r="A46" s="18">
        <v>5220</v>
      </c>
      <c r="B46" s="158" t="s">
        <v>136</v>
      </c>
      <c r="C46" s="40"/>
      <c r="D46" s="55"/>
    </row>
    <row r="47" spans="1:4" ht="73.5" customHeight="1" x14ac:dyDescent="0.25">
      <c r="A47" s="18"/>
      <c r="B47" s="158" t="s">
        <v>892</v>
      </c>
      <c r="C47" s="36">
        <f>ROUND(31.55/18154,3)</f>
        <v>2E-3</v>
      </c>
      <c r="D47" s="55">
        <f>C47*4</f>
        <v>8.0000000000000002E-3</v>
      </c>
    </row>
    <row r="48" spans="1:4" ht="14.25" customHeight="1" x14ac:dyDescent="0.25">
      <c r="A48" s="18">
        <v>5238</v>
      </c>
      <c r="B48" s="158" t="s">
        <v>134</v>
      </c>
      <c r="C48" s="40"/>
      <c r="D48" s="55"/>
    </row>
    <row r="49" spans="1:4" ht="48.75" customHeight="1" x14ac:dyDescent="0.25">
      <c r="A49" s="18"/>
      <c r="B49" s="158" t="s">
        <v>893</v>
      </c>
      <c r="C49" s="36">
        <f>ROUND(33.68/18154,3)</f>
        <v>2E-3</v>
      </c>
      <c r="D49" s="55">
        <f>C49*4</f>
        <v>8.0000000000000002E-3</v>
      </c>
    </row>
    <row r="50" spans="1:4" x14ac:dyDescent="0.25">
      <c r="A50" s="68"/>
      <c r="B50" s="72" t="s">
        <v>10</v>
      </c>
      <c r="C50" s="71">
        <f>ROUND(C49+C47+C45+C43+C41+C39+C37+C36+C34+C32+C30+C28+C26+C24+C22,3)</f>
        <v>0.17299999999999999</v>
      </c>
      <c r="D50" s="71">
        <f>ROUND(D49+D47+D45+D43+D41+D39+D37+D36+D34+D32+D30+D28+D26+D24+D22,2)</f>
        <v>0.69</v>
      </c>
    </row>
    <row r="51" spans="1:4" x14ac:dyDescent="0.25">
      <c r="A51" s="23"/>
      <c r="B51" s="24" t="s">
        <v>15</v>
      </c>
      <c r="C51" s="52">
        <f>ROUND(C50+C19,3)</f>
        <v>5.0229999999999997</v>
      </c>
      <c r="D51" s="192">
        <f>D50+D19</f>
        <v>20.09</v>
      </c>
    </row>
    <row r="52" spans="1:4" x14ac:dyDescent="0.25">
      <c r="A52" s="25"/>
      <c r="B52" s="26"/>
      <c r="C52" s="27"/>
      <c r="D52" s="27"/>
    </row>
    <row r="53" spans="1:4" x14ac:dyDescent="0.25">
      <c r="A53" s="26"/>
      <c r="B53" s="28"/>
      <c r="C53" s="28"/>
      <c r="D53" s="9"/>
    </row>
    <row r="54" spans="1:4" ht="15" customHeight="1" x14ac:dyDescent="0.25">
      <c r="A54" s="252" t="s">
        <v>16</v>
      </c>
      <c r="B54" s="253"/>
      <c r="C54" s="138">
        <v>4</v>
      </c>
      <c r="D54" s="29"/>
    </row>
    <row r="55" spans="1:4" ht="33.75" customHeight="1" x14ac:dyDescent="0.25">
      <c r="A55" s="254" t="s">
        <v>23</v>
      </c>
      <c r="B55" s="255"/>
      <c r="C55" s="193">
        <f>D51/C54</f>
        <v>5.0225</v>
      </c>
      <c r="D55" s="29"/>
    </row>
    <row r="56" spans="1:4" x14ac:dyDescent="0.25">
      <c r="A56" s="30"/>
      <c r="B56" s="30"/>
      <c r="C56" s="30"/>
      <c r="D56" s="30"/>
    </row>
    <row r="57" spans="1:4" x14ac:dyDescent="0.25">
      <c r="A57" s="30"/>
      <c r="B57" s="30"/>
      <c r="C57" s="30"/>
      <c r="D57" s="152"/>
    </row>
    <row r="58" spans="1:4" x14ac:dyDescent="0.25">
      <c r="A58" s="30"/>
      <c r="B58" s="30"/>
      <c r="C58" s="30"/>
      <c r="D58" s="152"/>
    </row>
    <row r="59" spans="1:4" x14ac:dyDescent="0.25">
      <c r="A59" s="30"/>
      <c r="B59" s="30"/>
      <c r="C59" s="30"/>
      <c r="D59" s="152"/>
    </row>
    <row r="60" spans="1:4" x14ac:dyDescent="0.25">
      <c r="A60" s="30"/>
      <c r="B60" s="30"/>
      <c r="C60" s="30"/>
      <c r="D60" s="30"/>
    </row>
    <row r="61" spans="1:4" x14ac:dyDescent="0.25">
      <c r="A61" s="231"/>
      <c r="B61" s="231"/>
      <c r="C61" s="9"/>
      <c r="D61" s="9"/>
    </row>
    <row r="62" spans="1:4" x14ac:dyDescent="0.25">
      <c r="A62" s="250"/>
      <c r="B62" s="231"/>
      <c r="C62" s="9"/>
      <c r="D62" s="9"/>
    </row>
    <row r="63" spans="1:4" x14ac:dyDescent="0.25">
      <c r="A63" s="154"/>
      <c r="B63" s="9"/>
      <c r="C63" s="31"/>
      <c r="D63" s="9"/>
    </row>
    <row r="64" spans="1:4" x14ac:dyDescent="0.25">
      <c r="A64" s="250"/>
      <c r="B64" s="250"/>
      <c r="C64" s="31"/>
      <c r="D64" s="9"/>
    </row>
  </sheetData>
  <customSheetViews>
    <customSheetView guid="{3046F990-4623-45D5-BDDC-01BD5999DDBC}" scale="60" showPageBreaks="1" printArea="1" view="pageBreakPreview">
      <selection activeCell="B53" sqref="B53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4" orientation="portrait" r:id="rId1"/>
      <headerFooter>
        <oddFooter>&amp;C&amp;P</oddFooter>
      </headerFooter>
    </customSheetView>
    <customSheetView guid="{FC502735-BE91-49EC-9614-36ECAE88D000}" scale="60" showPageBreaks="1" printArea="1" view="pageBreakPreview" topLeftCell="A16">
      <selection activeCell="B47" sqref="B47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4" orientation="portrait" r:id="rId2"/>
      <headerFooter>
        <oddFooter>&amp;C&amp;P</oddFooter>
      </headerFooter>
    </customSheetView>
    <customSheetView guid="{2CF5EF93-C226-48EA-959E-36D142677DAA}" scale="60" showPageBreaks="1" printArea="1" view="pageBreakPreview">
      <selection activeCell="A6" sqref="A6:D6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4" orientation="portrait" r:id="rId3"/>
      <headerFooter>
        <oddFooter>&amp;C&amp;P</oddFooter>
      </headerFooter>
    </customSheetView>
  </customSheetViews>
  <mergeCells count="10">
    <mergeCell ref="A62:B62"/>
    <mergeCell ref="A64:B64"/>
    <mergeCell ref="A55:B55"/>
    <mergeCell ref="C3:D3"/>
    <mergeCell ref="A54:B54"/>
    <mergeCell ref="A2:D2"/>
    <mergeCell ref="A6:D6"/>
    <mergeCell ref="A8:B8"/>
    <mergeCell ref="A10:B10"/>
    <mergeCell ref="A61:B61"/>
  </mergeCells>
  <pageMargins left="0.70866141732283472" right="0.70866141732283472" top="0.74803149606299213" bottom="0.74803149606299213" header="0.31496062992125984" footer="0.31496062992125984"/>
  <pageSetup paperSize="9" scale="64" orientation="portrait" r:id="rId4"/>
  <headerFooter>
    <oddFooter>&amp;C&amp;P</oddFooter>
  </headerFooter>
  <rowBreaks count="1" manualBreakCount="1">
    <brk id="34" max="3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view="pageBreakPreview" topLeftCell="A2" zoomScale="60" zoomScaleNormal="100" workbookViewId="0">
      <selection activeCell="A6" sqref="A6:D6"/>
    </sheetView>
  </sheetViews>
  <sheetFormatPr defaultRowHeight="15" x14ac:dyDescent="0.25"/>
  <cols>
    <col min="1" max="1" width="14.85546875" customWidth="1"/>
    <col min="2" max="2" width="94.28515625" customWidth="1"/>
    <col min="3" max="3" width="16.7109375" customWidth="1"/>
    <col min="4" max="4" width="18.85546875" customWidth="1"/>
  </cols>
  <sheetData>
    <row r="1" spans="1:11" ht="18.75" x14ac:dyDescent="0.3">
      <c r="A1" s="4"/>
      <c r="B1" s="5"/>
      <c r="C1" s="35"/>
      <c r="D1" s="5"/>
    </row>
    <row r="2" spans="1:11" ht="15.75" customHeight="1" x14ac:dyDescent="0.25">
      <c r="A2" s="256" t="s">
        <v>307</v>
      </c>
      <c r="B2" s="256"/>
      <c r="C2" s="256"/>
      <c r="D2" s="256"/>
    </row>
    <row r="3" spans="1:11" ht="15" customHeight="1" x14ac:dyDescent="0.25">
      <c r="A3" s="4"/>
      <c r="B3" s="4"/>
      <c r="C3" s="273"/>
      <c r="D3" s="274"/>
    </row>
    <row r="4" spans="1:11" ht="15.75" x14ac:dyDescent="0.25">
      <c r="A4" s="186" t="s">
        <v>723</v>
      </c>
      <c r="B4" s="32"/>
      <c r="C4" s="32"/>
      <c r="D4" s="32"/>
    </row>
    <row r="5" spans="1:11" x14ac:dyDescent="0.25">
      <c r="A5" s="4"/>
      <c r="B5" s="33"/>
      <c r="C5" s="33"/>
      <c r="D5" s="9"/>
    </row>
    <row r="6" spans="1:11" ht="15.75" x14ac:dyDescent="0.25">
      <c r="A6" s="277" t="s">
        <v>1045</v>
      </c>
      <c r="B6" s="277"/>
      <c r="C6" s="277"/>
      <c r="D6" s="277"/>
    </row>
    <row r="7" spans="1:11" ht="15" customHeight="1" x14ac:dyDescent="0.25">
      <c r="A7" s="180"/>
      <c r="B7" s="34"/>
      <c r="C7" s="34"/>
      <c r="D7" s="9"/>
      <c r="E7" s="50"/>
      <c r="F7" s="50"/>
      <c r="G7" s="50"/>
      <c r="H7" s="50"/>
      <c r="I7" s="50"/>
      <c r="J7" s="50"/>
      <c r="K7" s="50"/>
    </row>
    <row r="8" spans="1:11" x14ac:dyDescent="0.25">
      <c r="A8" s="270" t="s">
        <v>309</v>
      </c>
      <c r="B8" s="271"/>
      <c r="C8" s="34"/>
      <c r="D8" s="9"/>
    </row>
    <row r="9" spans="1:11" ht="15" customHeight="1" x14ac:dyDescent="0.25">
      <c r="A9" s="183"/>
      <c r="B9" s="184"/>
      <c r="C9" s="34"/>
      <c r="D9" s="9"/>
    </row>
    <row r="10" spans="1:11" ht="15.75" x14ac:dyDescent="0.25">
      <c r="A10" s="251" t="s">
        <v>791</v>
      </c>
      <c r="B10" s="251"/>
      <c r="C10" s="34"/>
      <c r="D10" s="9"/>
    </row>
    <row r="11" spans="1:11" ht="90.75" customHeight="1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11" x14ac:dyDescent="0.25">
      <c r="A12" s="13">
        <v>1</v>
      </c>
      <c r="B12" s="14">
        <v>2</v>
      </c>
      <c r="C12" s="13">
        <v>3</v>
      </c>
      <c r="D12" s="13">
        <v>4</v>
      </c>
    </row>
    <row r="13" spans="1:11" x14ac:dyDescent="0.25">
      <c r="A13" s="15"/>
      <c r="B13" s="22" t="s">
        <v>13</v>
      </c>
      <c r="C13" s="17"/>
      <c r="D13" s="17"/>
    </row>
    <row r="14" spans="1:11" x14ac:dyDescent="0.25">
      <c r="A14" s="37">
        <v>1100</v>
      </c>
      <c r="B14" s="16" t="s">
        <v>14</v>
      </c>
      <c r="C14" s="38"/>
      <c r="D14" s="38"/>
    </row>
    <row r="15" spans="1:11" ht="76.5" customHeight="1" x14ac:dyDescent="0.25">
      <c r="A15" s="18"/>
      <c r="B15" s="157" t="s">
        <v>219</v>
      </c>
      <c r="C15" s="55">
        <f>0.11*110</f>
        <v>12.1</v>
      </c>
      <c r="D15" s="55">
        <f>C15*5</f>
        <v>60.5</v>
      </c>
    </row>
    <row r="16" spans="1:11" ht="34.5" customHeight="1" x14ac:dyDescent="0.25">
      <c r="A16" s="18">
        <v>1200</v>
      </c>
      <c r="B16" s="158" t="s">
        <v>293</v>
      </c>
      <c r="C16" s="55">
        <f>ROUND(C15*0.2359,2)</f>
        <v>2.85</v>
      </c>
      <c r="D16" s="55">
        <f>C16*5</f>
        <v>14.25</v>
      </c>
    </row>
    <row r="17" spans="1:4" x14ac:dyDescent="0.25">
      <c r="A17" s="18">
        <v>2341</v>
      </c>
      <c r="B17" s="18" t="s">
        <v>77</v>
      </c>
      <c r="C17" s="19"/>
      <c r="D17" s="19"/>
    </row>
    <row r="18" spans="1:4" ht="58.5" customHeight="1" x14ac:dyDescent="0.25">
      <c r="A18" s="18"/>
      <c r="B18" s="158" t="s">
        <v>220</v>
      </c>
      <c r="C18" s="55">
        <f>0.04+0.14+0.59+1.76+0.09</f>
        <v>2.62</v>
      </c>
      <c r="D18" s="55">
        <f>C18*5</f>
        <v>13.100000000000001</v>
      </c>
    </row>
    <row r="19" spans="1:4" x14ac:dyDescent="0.25">
      <c r="A19" s="74"/>
      <c r="B19" s="159" t="s">
        <v>2</v>
      </c>
      <c r="C19" s="71">
        <f>SUM(C14:C18)</f>
        <v>17.57</v>
      </c>
      <c r="D19" s="71">
        <f>SUM(D14:D18)</f>
        <v>87.85</v>
      </c>
    </row>
    <row r="20" spans="1:4" x14ac:dyDescent="0.25">
      <c r="A20" s="18"/>
      <c r="B20" s="160" t="s">
        <v>20</v>
      </c>
      <c r="C20" s="19"/>
      <c r="D20" s="19"/>
    </row>
    <row r="21" spans="1:4" x14ac:dyDescent="0.25">
      <c r="A21" s="18">
        <v>2219</v>
      </c>
      <c r="B21" s="158" t="s">
        <v>3</v>
      </c>
      <c r="C21" s="19"/>
      <c r="D21" s="19"/>
    </row>
    <row r="22" spans="1:4" ht="75.75" customHeight="1" x14ac:dyDescent="0.25">
      <c r="A22" s="18"/>
      <c r="B22" s="158" t="s">
        <v>619</v>
      </c>
      <c r="C22" s="40">
        <f>ROUND(3.18/18154,4)</f>
        <v>2.0000000000000001E-4</v>
      </c>
      <c r="D22" s="36">
        <f>C22*5</f>
        <v>1E-3</v>
      </c>
    </row>
    <row r="23" spans="1:4" x14ac:dyDescent="0.25">
      <c r="A23" s="18">
        <v>2221</v>
      </c>
      <c r="B23" s="158" t="s">
        <v>4</v>
      </c>
      <c r="C23" s="19"/>
      <c r="D23" s="19"/>
    </row>
    <row r="24" spans="1:4" ht="50.25" customHeight="1" x14ac:dyDescent="0.25">
      <c r="A24" s="18"/>
      <c r="B24" s="158" t="s">
        <v>610</v>
      </c>
      <c r="C24" s="55">
        <f>ROUND(301.59/18154,4)</f>
        <v>1.66E-2</v>
      </c>
      <c r="D24" s="55">
        <f>C24*5</f>
        <v>8.3000000000000004E-2</v>
      </c>
    </row>
    <row r="25" spans="1:4" ht="15.75" customHeight="1" x14ac:dyDescent="0.25">
      <c r="A25" s="18">
        <v>2222</v>
      </c>
      <c r="B25" s="158" t="s">
        <v>5</v>
      </c>
      <c r="C25" s="19"/>
      <c r="D25" s="19"/>
    </row>
    <row r="26" spans="1:4" ht="48" customHeight="1" x14ac:dyDescent="0.25">
      <c r="A26" s="18"/>
      <c r="B26" s="158" t="s">
        <v>221</v>
      </c>
      <c r="C26" s="36">
        <f>ROUND(31.02/18154,3)</f>
        <v>2E-3</v>
      </c>
      <c r="D26" s="55">
        <f>C26*5</f>
        <v>0.01</v>
      </c>
    </row>
    <row r="27" spans="1:4" x14ac:dyDescent="0.25">
      <c r="A27" s="18">
        <v>2223</v>
      </c>
      <c r="B27" s="18" t="s">
        <v>6</v>
      </c>
      <c r="C27" s="19"/>
      <c r="D27" s="19"/>
    </row>
    <row r="28" spans="1:4" ht="45" customHeight="1" x14ac:dyDescent="0.25">
      <c r="A28" s="18"/>
      <c r="B28" s="158" t="s">
        <v>222</v>
      </c>
      <c r="C28" s="55">
        <f>ROUND(538.27/18154,3)</f>
        <v>0.03</v>
      </c>
      <c r="D28" s="55">
        <f>C28*5</f>
        <v>0.15</v>
      </c>
    </row>
    <row r="29" spans="1:4" x14ac:dyDescent="0.25">
      <c r="A29" s="18">
        <v>2224</v>
      </c>
      <c r="B29" s="158" t="s">
        <v>7</v>
      </c>
      <c r="C29" s="19"/>
      <c r="D29" s="19"/>
    </row>
    <row r="30" spans="1:4" ht="47.25" customHeight="1" x14ac:dyDescent="0.25">
      <c r="A30" s="18"/>
      <c r="B30" s="158" t="s">
        <v>611</v>
      </c>
      <c r="C30" s="36">
        <f>ROUND(28.86/18154,4)</f>
        <v>1.6000000000000001E-3</v>
      </c>
      <c r="D30" s="55">
        <f>C30*5</f>
        <v>8.0000000000000002E-3</v>
      </c>
    </row>
    <row r="31" spans="1:4" x14ac:dyDescent="0.25">
      <c r="A31" s="45">
        <v>2231</v>
      </c>
      <c r="B31" s="158" t="s">
        <v>22</v>
      </c>
      <c r="C31" s="36"/>
      <c r="D31" s="19"/>
    </row>
    <row r="32" spans="1:4" ht="154.5" customHeight="1" x14ac:dyDescent="0.25">
      <c r="A32" s="45"/>
      <c r="B32" s="158" t="s">
        <v>612</v>
      </c>
      <c r="C32" s="55">
        <f>ROUND(1201.87/18154,2)</f>
        <v>7.0000000000000007E-2</v>
      </c>
      <c r="D32" s="55">
        <f>C32*5</f>
        <v>0.35000000000000003</v>
      </c>
    </row>
    <row r="33" spans="1:4" ht="15.75" customHeight="1" x14ac:dyDescent="0.25">
      <c r="A33" s="45">
        <v>2243</v>
      </c>
      <c r="B33" s="158" t="s">
        <v>132</v>
      </c>
      <c r="C33" s="55"/>
      <c r="D33" s="55"/>
    </row>
    <row r="34" spans="1:4" ht="45.75" customHeight="1" x14ac:dyDescent="0.25">
      <c r="A34" s="45"/>
      <c r="B34" s="158" t="s">
        <v>895</v>
      </c>
      <c r="C34" s="55">
        <f>ROUND(386.87/18154,2)</f>
        <v>0.02</v>
      </c>
      <c r="D34" s="55">
        <f>C34*5</f>
        <v>0.1</v>
      </c>
    </row>
    <row r="35" spans="1:4" x14ac:dyDescent="0.25">
      <c r="A35" s="18">
        <v>2244</v>
      </c>
      <c r="B35" s="158" t="s">
        <v>24</v>
      </c>
      <c r="C35" s="19"/>
      <c r="D35" s="19"/>
    </row>
    <row r="36" spans="1:4" ht="49.5" customHeight="1" x14ac:dyDescent="0.25">
      <c r="A36" s="21"/>
      <c r="B36" s="158" t="s">
        <v>223</v>
      </c>
      <c r="C36" s="55">
        <f>ROUND(383.44/18154,2)</f>
        <v>0.02</v>
      </c>
      <c r="D36" s="55">
        <f>C36*5</f>
        <v>0.1</v>
      </c>
    </row>
    <row r="37" spans="1:4" ht="49.5" customHeight="1" x14ac:dyDescent="0.25">
      <c r="A37" s="21"/>
      <c r="B37" s="158" t="s">
        <v>613</v>
      </c>
      <c r="C37" s="40">
        <f>ROUND(5.03/18154,4)</f>
        <v>2.9999999999999997E-4</v>
      </c>
      <c r="D37" s="36">
        <f>C37*5</f>
        <v>1.4999999999999998E-3</v>
      </c>
    </row>
    <row r="38" spans="1:4" x14ac:dyDescent="0.25">
      <c r="A38" s="18">
        <v>2249</v>
      </c>
      <c r="B38" s="158" t="s">
        <v>8</v>
      </c>
      <c r="C38" s="19"/>
      <c r="D38" s="19"/>
    </row>
    <row r="39" spans="1:4" ht="50.25" customHeight="1" x14ac:dyDescent="0.25">
      <c r="A39" s="18"/>
      <c r="B39" s="158" t="s">
        <v>896</v>
      </c>
      <c r="C39" s="36">
        <f>ROUND(9.76/18154,4)</f>
        <v>5.0000000000000001E-4</v>
      </c>
      <c r="D39" s="36">
        <f>C39*5</f>
        <v>2.5000000000000001E-3</v>
      </c>
    </row>
    <row r="40" spans="1:4" x14ac:dyDescent="0.25">
      <c r="A40" s="18">
        <v>2311</v>
      </c>
      <c r="B40" s="158" t="s">
        <v>9</v>
      </c>
      <c r="C40" s="36"/>
      <c r="D40" s="19"/>
    </row>
    <row r="41" spans="1:4" ht="45" customHeight="1" x14ac:dyDescent="0.25">
      <c r="A41" s="18"/>
      <c r="B41" s="158" t="s">
        <v>897</v>
      </c>
      <c r="C41" s="36">
        <f>ROUND(54.99/18154,3)</f>
        <v>3.0000000000000001E-3</v>
      </c>
      <c r="D41" s="55">
        <f>C41*5</f>
        <v>1.4999999999999999E-2</v>
      </c>
    </row>
    <row r="42" spans="1:4" x14ac:dyDescent="0.25">
      <c r="A42" s="18">
        <v>2350</v>
      </c>
      <c r="B42" s="158" t="s">
        <v>21</v>
      </c>
      <c r="C42" s="36"/>
      <c r="D42" s="19"/>
    </row>
    <row r="43" spans="1:4" ht="78" customHeight="1" x14ac:dyDescent="0.25">
      <c r="A43" s="18"/>
      <c r="B43" s="158" t="s">
        <v>614</v>
      </c>
      <c r="C43" s="40">
        <f>ROUND(6.69/18154,4)</f>
        <v>4.0000000000000002E-4</v>
      </c>
      <c r="D43" s="36">
        <f>C43*5</f>
        <v>2E-3</v>
      </c>
    </row>
    <row r="44" spans="1:4" ht="15.75" customHeight="1" x14ac:dyDescent="0.25">
      <c r="A44" s="18">
        <v>2513</v>
      </c>
      <c r="B44" s="158" t="s">
        <v>133</v>
      </c>
      <c r="C44" s="40"/>
      <c r="D44" s="55"/>
    </row>
    <row r="45" spans="1:4" ht="48.75" customHeight="1" x14ac:dyDescent="0.25">
      <c r="A45" s="18"/>
      <c r="B45" s="158" t="s">
        <v>898</v>
      </c>
      <c r="C45" s="36">
        <f>ROUND(9.53/18154,3)</f>
        <v>1E-3</v>
      </c>
      <c r="D45" s="55">
        <f>C45*5</f>
        <v>5.0000000000000001E-3</v>
      </c>
    </row>
    <row r="46" spans="1:4" ht="16.5" customHeight="1" x14ac:dyDescent="0.25">
      <c r="A46" s="18">
        <v>5220</v>
      </c>
      <c r="B46" s="158" t="s">
        <v>136</v>
      </c>
      <c r="C46" s="40"/>
      <c r="D46" s="55"/>
    </row>
    <row r="47" spans="1:4" ht="63.75" customHeight="1" x14ac:dyDescent="0.25">
      <c r="A47" s="18"/>
      <c r="B47" s="158" t="s">
        <v>899</v>
      </c>
      <c r="C47" s="36">
        <f>ROUND(31.55/18154,3)</f>
        <v>2E-3</v>
      </c>
      <c r="D47" s="55">
        <f>C47*5</f>
        <v>0.01</v>
      </c>
    </row>
    <row r="48" spans="1:4" ht="15.75" customHeight="1" x14ac:dyDescent="0.25">
      <c r="A48" s="18">
        <v>5238</v>
      </c>
      <c r="B48" s="158" t="s">
        <v>134</v>
      </c>
      <c r="C48" s="40"/>
      <c r="D48" s="55"/>
    </row>
    <row r="49" spans="1:4" ht="48" customHeight="1" x14ac:dyDescent="0.25">
      <c r="A49" s="18"/>
      <c r="B49" s="158" t="s">
        <v>615</v>
      </c>
      <c r="C49" s="36">
        <f>ROUND(33.68/18154,3)</f>
        <v>2E-3</v>
      </c>
      <c r="D49" s="55">
        <f>C49*5</f>
        <v>0.01</v>
      </c>
    </row>
    <row r="50" spans="1:4" x14ac:dyDescent="0.25">
      <c r="A50" s="68"/>
      <c r="B50" s="72" t="s">
        <v>10</v>
      </c>
      <c r="C50" s="71">
        <f>ROUND(C49+C47+C45+C43+C41+C39+C37+C36+C34+C32+C30+C28+C26+C24+C22,2)</f>
        <v>0.17</v>
      </c>
      <c r="D50" s="71">
        <f>ROUND(D49+D47+D45+D43+D41+D39+D37+D36+D34+D32+D30+D28+D26+D24+D22,2)</f>
        <v>0.85</v>
      </c>
    </row>
    <row r="51" spans="1:4" x14ac:dyDescent="0.25">
      <c r="A51" s="23"/>
      <c r="B51" s="24" t="s">
        <v>15</v>
      </c>
      <c r="C51" s="52">
        <f>ROUND(C50+C19,2)</f>
        <v>17.739999999999998</v>
      </c>
      <c r="D51" s="52">
        <f>D50+D19</f>
        <v>88.699999999999989</v>
      </c>
    </row>
    <row r="52" spans="1:4" x14ac:dyDescent="0.25">
      <c r="A52" s="25"/>
      <c r="B52" s="26"/>
      <c r="C52" s="27"/>
      <c r="D52" s="27"/>
    </row>
    <row r="53" spans="1:4" x14ac:dyDescent="0.25">
      <c r="A53" s="26"/>
      <c r="B53" s="28"/>
      <c r="C53" s="75"/>
      <c r="D53" s="9"/>
    </row>
    <row r="54" spans="1:4" ht="15" customHeight="1" x14ac:dyDescent="0.25">
      <c r="A54" s="252" t="s">
        <v>16</v>
      </c>
      <c r="B54" s="253"/>
      <c r="C54" s="138">
        <v>5</v>
      </c>
      <c r="D54" s="29"/>
    </row>
    <row r="55" spans="1:4" ht="29.25" customHeight="1" x14ac:dyDescent="0.25">
      <c r="A55" s="252" t="s">
        <v>23</v>
      </c>
      <c r="B55" s="253"/>
      <c r="C55" s="139">
        <f>D51/C54</f>
        <v>17.739999999999998</v>
      </c>
      <c r="D55" s="29"/>
    </row>
    <row r="56" spans="1:4" x14ac:dyDescent="0.25">
      <c r="A56" s="30"/>
      <c r="B56" s="30"/>
      <c r="C56" s="30"/>
      <c r="D56" s="30"/>
    </row>
    <row r="57" spans="1:4" x14ac:dyDescent="0.25">
      <c r="A57" s="30"/>
      <c r="B57" s="30"/>
      <c r="C57" s="30"/>
      <c r="D57" s="152"/>
    </row>
    <row r="58" spans="1:4" x14ac:dyDescent="0.25">
      <c r="A58" s="30"/>
      <c r="B58" s="30"/>
      <c r="C58" s="30"/>
      <c r="D58" s="152"/>
    </row>
    <row r="59" spans="1:4" x14ac:dyDescent="0.25">
      <c r="A59" s="30"/>
      <c r="B59" s="30"/>
      <c r="C59" s="30"/>
      <c r="D59" s="152"/>
    </row>
    <row r="60" spans="1:4" x14ac:dyDescent="0.25">
      <c r="A60" s="30"/>
      <c r="B60" s="30"/>
      <c r="C60" s="30"/>
      <c r="D60" s="152"/>
    </row>
    <row r="61" spans="1:4" x14ac:dyDescent="0.25">
      <c r="A61" s="231"/>
      <c r="B61" s="231"/>
      <c r="C61" s="9"/>
      <c r="D61" s="9"/>
    </row>
    <row r="62" spans="1:4" x14ac:dyDescent="0.25">
      <c r="A62" s="250"/>
      <c r="B62" s="231"/>
      <c r="C62" s="9"/>
      <c r="D62" s="9"/>
    </row>
    <row r="63" spans="1:4" x14ac:dyDescent="0.25">
      <c r="A63" s="154"/>
      <c r="B63" s="9"/>
      <c r="C63" s="31"/>
      <c r="D63" s="9"/>
    </row>
    <row r="64" spans="1:4" x14ac:dyDescent="0.25">
      <c r="A64" s="250"/>
      <c r="B64" s="250"/>
      <c r="C64" s="31"/>
      <c r="D64" s="9"/>
    </row>
  </sheetData>
  <customSheetViews>
    <customSheetView guid="{3046F990-4623-45D5-BDDC-01BD5999DDBC}" scale="60" showPageBreaks="1" fitToPage="1" printArea="1" view="pageBreakPreview" topLeftCell="A2">
      <selection activeCell="B53" sqref="B53"/>
      <rowBreaks count="1" manualBreakCount="1">
        <brk id="38" max="3" man="1"/>
      </rowBreaks>
      <pageMargins left="0.70866141732283472" right="0.70866141732283472" top="0.74803149606299213" bottom="0.74803149606299213" header="0.31496062992125984" footer="0.31496062992125984"/>
      <pageSetup paperSize="9" scale="60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view="pageBreakPreview" topLeftCell="A26">
      <selection activeCell="A54" sqref="A54:B54"/>
      <rowBreaks count="1" manualBreakCount="1">
        <brk id="38" max="3" man="1"/>
      </rowBreaks>
      <pageMargins left="0.70866141732283472" right="0.70866141732283472" top="0.74803149606299213" bottom="0.74803149606299213" header="0.31496062992125984" footer="0.31496062992125984"/>
      <pageSetup paperSize="9" scale="60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view="pageBreakPreview" topLeftCell="A2">
      <selection activeCell="A6" sqref="A6:D6"/>
      <rowBreaks count="1" manualBreakCount="1">
        <brk id="38" max="3" man="1"/>
      </rowBreaks>
      <pageMargins left="0.70866141732283472" right="0.70866141732283472" top="0.74803149606299213" bottom="0.74803149606299213" header="0.31496062992125984" footer="0.31496062992125984"/>
      <pageSetup paperSize="9" scale="63" fitToHeight="0" orientation="portrait" r:id="rId3"/>
      <headerFooter>
        <oddFooter>&amp;C&amp;P</oddFooter>
      </headerFooter>
    </customSheetView>
  </customSheetViews>
  <mergeCells count="10">
    <mergeCell ref="A62:B62"/>
    <mergeCell ref="A64:B64"/>
    <mergeCell ref="A55:B55"/>
    <mergeCell ref="C3:D3"/>
    <mergeCell ref="A54:B54"/>
    <mergeCell ref="A2:D2"/>
    <mergeCell ref="A6:D6"/>
    <mergeCell ref="A8:B8"/>
    <mergeCell ref="A10:B10"/>
    <mergeCell ref="A61:B61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4"/>
  <headerFooter>
    <oddFooter>&amp;C&amp;P</oddFooter>
  </headerFooter>
  <rowBreaks count="1" manualBreakCount="1">
    <brk id="38" max="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view="pageBreakPreview" zoomScale="60" zoomScaleNormal="100" workbookViewId="0">
      <selection activeCell="A6" sqref="A6:D6"/>
    </sheetView>
  </sheetViews>
  <sheetFormatPr defaultRowHeight="15" x14ac:dyDescent="0.25"/>
  <cols>
    <col min="1" max="1" width="14.42578125" customWidth="1"/>
    <col min="2" max="2" width="99.5703125" customWidth="1"/>
    <col min="3" max="3" width="15.140625" customWidth="1"/>
    <col min="4" max="4" width="17" customWidth="1"/>
  </cols>
  <sheetData>
    <row r="1" spans="1:11" ht="18.75" x14ac:dyDescent="0.3">
      <c r="A1" s="4"/>
      <c r="B1" s="5"/>
      <c r="C1" s="35"/>
      <c r="D1" s="5"/>
    </row>
    <row r="2" spans="1:11" ht="15.75" customHeight="1" x14ac:dyDescent="0.25">
      <c r="A2" s="256" t="s">
        <v>307</v>
      </c>
      <c r="B2" s="256"/>
      <c r="C2" s="256"/>
      <c r="D2" s="256"/>
    </row>
    <row r="3" spans="1:11" ht="15" customHeight="1" x14ac:dyDescent="0.25">
      <c r="A3" s="4"/>
      <c r="B3" s="4"/>
      <c r="C3" s="273"/>
      <c r="D3" s="274"/>
    </row>
    <row r="4" spans="1:11" ht="15.75" x14ac:dyDescent="0.25">
      <c r="A4" s="186" t="s">
        <v>723</v>
      </c>
      <c r="B4" s="32"/>
      <c r="C4" s="32"/>
      <c r="D4" s="32"/>
    </row>
    <row r="5" spans="1:11" x14ac:dyDescent="0.25">
      <c r="A5" s="4"/>
      <c r="B5" s="33"/>
      <c r="C5" s="33"/>
      <c r="D5" s="9"/>
    </row>
    <row r="6" spans="1:11" ht="20.25" customHeight="1" x14ac:dyDescent="0.25">
      <c r="A6" s="277" t="s">
        <v>1046</v>
      </c>
      <c r="B6" s="277"/>
      <c r="C6" s="277"/>
      <c r="D6" s="277"/>
    </row>
    <row r="7" spans="1:11" ht="13.5" customHeight="1" x14ac:dyDescent="0.25">
      <c r="A7" s="180"/>
      <c r="B7" s="34"/>
      <c r="C7" s="34"/>
      <c r="D7" s="9"/>
      <c r="E7" s="51"/>
      <c r="F7" s="51"/>
      <c r="G7" s="51"/>
      <c r="H7" s="51"/>
      <c r="I7" s="51"/>
      <c r="J7" s="51"/>
      <c r="K7" s="51"/>
    </row>
    <row r="8" spans="1:11" x14ac:dyDescent="0.25">
      <c r="A8" s="270" t="s">
        <v>309</v>
      </c>
      <c r="B8" s="271"/>
      <c r="C8" s="34"/>
      <c r="D8" s="9"/>
    </row>
    <row r="9" spans="1:11" ht="15" customHeight="1" x14ac:dyDescent="0.25">
      <c r="A9" s="183"/>
      <c r="B9" s="184"/>
      <c r="C9" s="34"/>
      <c r="D9" s="9"/>
    </row>
    <row r="10" spans="1:11" ht="15.75" x14ac:dyDescent="0.25">
      <c r="A10" s="251" t="s">
        <v>790</v>
      </c>
      <c r="B10" s="251"/>
      <c r="C10" s="34"/>
      <c r="D10" s="9"/>
    </row>
    <row r="11" spans="1:11" ht="85.5" customHeight="1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11" x14ac:dyDescent="0.25">
      <c r="A12" s="13">
        <v>1</v>
      </c>
      <c r="B12" s="14">
        <v>2</v>
      </c>
      <c r="C12" s="13">
        <v>3</v>
      </c>
      <c r="D12" s="13">
        <v>4</v>
      </c>
    </row>
    <row r="13" spans="1:11" x14ac:dyDescent="0.25">
      <c r="A13" s="15"/>
      <c r="B13" s="22" t="s">
        <v>13</v>
      </c>
      <c r="C13" s="17"/>
      <c r="D13" s="17"/>
    </row>
    <row r="14" spans="1:11" x14ac:dyDescent="0.25">
      <c r="A14" s="37">
        <v>1100</v>
      </c>
      <c r="B14" s="16" t="s">
        <v>14</v>
      </c>
      <c r="C14" s="38"/>
      <c r="D14" s="38"/>
    </row>
    <row r="15" spans="1:11" ht="64.5" customHeight="1" x14ac:dyDescent="0.25">
      <c r="A15" s="18"/>
      <c r="B15" s="157" t="s">
        <v>616</v>
      </c>
      <c r="C15" s="55">
        <f>0.11*195</f>
        <v>21.45</v>
      </c>
      <c r="D15" s="55">
        <f>C15*4</f>
        <v>85.8</v>
      </c>
    </row>
    <row r="16" spans="1:11" ht="33.75" customHeight="1" x14ac:dyDescent="0.25">
      <c r="A16" s="18">
        <v>1200</v>
      </c>
      <c r="B16" s="158" t="s">
        <v>294</v>
      </c>
      <c r="C16" s="55">
        <f>ROUND(C15*0.2359,2)</f>
        <v>5.0599999999999996</v>
      </c>
      <c r="D16" s="55">
        <f>C16*4</f>
        <v>20.239999999999998</v>
      </c>
    </row>
    <row r="17" spans="1:4" x14ac:dyDescent="0.25">
      <c r="A17" s="18">
        <v>2341</v>
      </c>
      <c r="B17" s="18" t="s">
        <v>77</v>
      </c>
      <c r="C17" s="19"/>
      <c r="D17" s="19"/>
    </row>
    <row r="18" spans="1:4" ht="63.75" customHeight="1" x14ac:dyDescent="0.25">
      <c r="A18" s="18"/>
      <c r="B18" s="158" t="s">
        <v>617</v>
      </c>
      <c r="C18" s="55">
        <f>0.04+0.2+0.88+14.7+0.12</f>
        <v>15.94</v>
      </c>
      <c r="D18" s="55">
        <f>C18*4</f>
        <v>63.76</v>
      </c>
    </row>
    <row r="19" spans="1:4" x14ac:dyDescent="0.25">
      <c r="A19" s="68"/>
      <c r="B19" s="159" t="s">
        <v>2</v>
      </c>
      <c r="C19" s="71">
        <f>SUM(C14:C18)</f>
        <v>42.449999999999996</v>
      </c>
      <c r="D19" s="71">
        <f>SUM(D14:D18)</f>
        <v>169.79999999999998</v>
      </c>
    </row>
    <row r="20" spans="1:4" x14ac:dyDescent="0.25">
      <c r="A20" s="18"/>
      <c r="B20" s="160" t="s">
        <v>20</v>
      </c>
      <c r="C20" s="19"/>
      <c r="D20" s="19"/>
    </row>
    <row r="21" spans="1:4" x14ac:dyDescent="0.25">
      <c r="A21" s="18">
        <v>2219</v>
      </c>
      <c r="B21" s="158" t="s">
        <v>3</v>
      </c>
      <c r="C21" s="19"/>
      <c r="D21" s="19"/>
    </row>
    <row r="22" spans="1:4" ht="79.5" customHeight="1" x14ac:dyDescent="0.25">
      <c r="A22" s="18"/>
      <c r="B22" s="158" t="s">
        <v>618</v>
      </c>
      <c r="C22" s="40">
        <f>ROUND(3.18/18154,4)</f>
        <v>2.0000000000000001E-4</v>
      </c>
      <c r="D22" s="36">
        <f>C22*4</f>
        <v>8.0000000000000004E-4</v>
      </c>
    </row>
    <row r="23" spans="1:4" x14ac:dyDescent="0.25">
      <c r="A23" s="18">
        <v>2221</v>
      </c>
      <c r="B23" s="158" t="s">
        <v>4</v>
      </c>
      <c r="C23" s="19"/>
      <c r="D23" s="19"/>
    </row>
    <row r="24" spans="1:4" ht="32.25" customHeight="1" x14ac:dyDescent="0.25">
      <c r="A24" s="18"/>
      <c r="B24" s="158" t="s">
        <v>603</v>
      </c>
      <c r="C24" s="55">
        <f>ROUND(301.59/18154,2)</f>
        <v>0.02</v>
      </c>
      <c r="D24" s="55">
        <f>C24*4</f>
        <v>0.08</v>
      </c>
    </row>
    <row r="25" spans="1:4" ht="15" customHeight="1" x14ac:dyDescent="0.25">
      <c r="A25" s="18">
        <v>2222</v>
      </c>
      <c r="B25" s="158" t="s">
        <v>5</v>
      </c>
      <c r="C25" s="19"/>
      <c r="D25" s="19"/>
    </row>
    <row r="26" spans="1:4" ht="49.5" customHeight="1" x14ac:dyDescent="0.25">
      <c r="A26" s="18"/>
      <c r="B26" s="158" t="s">
        <v>900</v>
      </c>
      <c r="C26" s="36">
        <f>ROUND(31.02/18154,3)</f>
        <v>2E-3</v>
      </c>
      <c r="D26" s="55">
        <f>C26*4</f>
        <v>8.0000000000000002E-3</v>
      </c>
    </row>
    <row r="27" spans="1:4" x14ac:dyDescent="0.25">
      <c r="A27" s="18">
        <v>2223</v>
      </c>
      <c r="B27" s="18" t="s">
        <v>6</v>
      </c>
      <c r="C27" s="19"/>
      <c r="D27" s="19"/>
    </row>
    <row r="28" spans="1:4" ht="33" customHeight="1" x14ac:dyDescent="0.25">
      <c r="A28" s="18"/>
      <c r="B28" s="158" t="s">
        <v>217</v>
      </c>
      <c r="C28" s="55">
        <f>ROUND(538.27/18154,3)</f>
        <v>0.03</v>
      </c>
      <c r="D28" s="55">
        <f>C28*4</f>
        <v>0.12</v>
      </c>
    </row>
    <row r="29" spans="1:4" x14ac:dyDescent="0.25">
      <c r="A29" s="18">
        <v>2224</v>
      </c>
      <c r="B29" s="158" t="s">
        <v>7</v>
      </c>
      <c r="C29" s="19"/>
      <c r="D29" s="19"/>
    </row>
    <row r="30" spans="1:4" ht="33" customHeight="1" x14ac:dyDescent="0.25">
      <c r="A30" s="18"/>
      <c r="B30" s="158" t="s">
        <v>901</v>
      </c>
      <c r="C30" s="36">
        <f>ROUND(28.86/18154,4)</f>
        <v>1.6000000000000001E-3</v>
      </c>
      <c r="D30" s="55">
        <f>C30*4</f>
        <v>6.4000000000000003E-3</v>
      </c>
    </row>
    <row r="31" spans="1:4" x14ac:dyDescent="0.25">
      <c r="A31" s="45">
        <v>2231</v>
      </c>
      <c r="B31" s="158" t="s">
        <v>22</v>
      </c>
      <c r="C31" s="36"/>
      <c r="D31" s="19"/>
    </row>
    <row r="32" spans="1:4" ht="136.5" customHeight="1" x14ac:dyDescent="0.25">
      <c r="A32" s="45"/>
      <c r="B32" s="158" t="s">
        <v>604</v>
      </c>
      <c r="C32" s="55">
        <f>ROUND(1201.87/18154,2)</f>
        <v>7.0000000000000007E-2</v>
      </c>
      <c r="D32" s="55">
        <f>C32*4</f>
        <v>0.28000000000000003</v>
      </c>
    </row>
    <row r="33" spans="1:4" ht="14.25" customHeight="1" x14ac:dyDescent="0.25">
      <c r="A33" s="45">
        <v>2243</v>
      </c>
      <c r="B33" s="158" t="s">
        <v>132</v>
      </c>
      <c r="C33" s="55"/>
      <c r="D33" s="55"/>
    </row>
    <row r="34" spans="1:4" ht="48" customHeight="1" x14ac:dyDescent="0.25">
      <c r="A34" s="45"/>
      <c r="B34" s="158" t="s">
        <v>605</v>
      </c>
      <c r="C34" s="55">
        <f>ROUND(386.87/18154,2)</f>
        <v>0.02</v>
      </c>
      <c r="D34" s="55">
        <f>C34*4</f>
        <v>0.08</v>
      </c>
    </row>
    <row r="35" spans="1:4" x14ac:dyDescent="0.25">
      <c r="A35" s="18">
        <v>2244</v>
      </c>
      <c r="B35" s="158" t="s">
        <v>24</v>
      </c>
      <c r="C35" s="19"/>
      <c r="D35" s="19"/>
    </row>
    <row r="36" spans="1:4" ht="51" customHeight="1" x14ac:dyDescent="0.25">
      <c r="A36" s="21"/>
      <c r="B36" s="158" t="s">
        <v>606</v>
      </c>
      <c r="C36" s="55">
        <f>ROUND(383.44/18154,2)</f>
        <v>0.02</v>
      </c>
      <c r="D36" s="55">
        <f>C36*4</f>
        <v>0.08</v>
      </c>
    </row>
    <row r="37" spans="1:4" ht="47.25" customHeight="1" x14ac:dyDescent="0.25">
      <c r="A37" s="21"/>
      <c r="B37" s="158" t="s">
        <v>694</v>
      </c>
      <c r="C37" s="40">
        <f>ROUND(5.03/18154,4)</f>
        <v>2.9999999999999997E-4</v>
      </c>
      <c r="D37" s="36">
        <f>C37*4</f>
        <v>1.1999999999999999E-3</v>
      </c>
    </row>
    <row r="38" spans="1:4" x14ac:dyDescent="0.25">
      <c r="A38" s="18">
        <v>2249</v>
      </c>
      <c r="B38" s="158" t="s">
        <v>8</v>
      </c>
      <c r="C38" s="19"/>
      <c r="D38" s="19"/>
    </row>
    <row r="39" spans="1:4" ht="48.75" customHeight="1" x14ac:dyDescent="0.25">
      <c r="A39" s="18"/>
      <c r="B39" s="158" t="s">
        <v>696</v>
      </c>
      <c r="C39" s="36">
        <f>ROUND(9.76/18154,4)</f>
        <v>5.0000000000000001E-4</v>
      </c>
      <c r="D39" s="36">
        <f>C39*4</f>
        <v>2E-3</v>
      </c>
    </row>
    <row r="40" spans="1:4" x14ac:dyDescent="0.25">
      <c r="A40" s="18">
        <v>2311</v>
      </c>
      <c r="B40" s="158" t="s">
        <v>9</v>
      </c>
      <c r="C40" s="36"/>
      <c r="D40" s="19"/>
    </row>
    <row r="41" spans="1:4" ht="43.5" customHeight="1" x14ac:dyDescent="0.25">
      <c r="A41" s="18"/>
      <c r="B41" s="158" t="s">
        <v>695</v>
      </c>
      <c r="C41" s="36">
        <f>ROUND(54.99/18154,3)</f>
        <v>3.0000000000000001E-3</v>
      </c>
      <c r="D41" s="55">
        <f>C41*4</f>
        <v>1.2E-2</v>
      </c>
    </row>
    <row r="42" spans="1:4" x14ac:dyDescent="0.25">
      <c r="A42" s="18">
        <v>2350</v>
      </c>
      <c r="B42" s="158" t="s">
        <v>21</v>
      </c>
      <c r="C42" s="36"/>
      <c r="D42" s="19"/>
    </row>
    <row r="43" spans="1:4" ht="63.75" customHeight="1" x14ac:dyDescent="0.25">
      <c r="A43" s="18"/>
      <c r="B43" s="158" t="s">
        <v>697</v>
      </c>
      <c r="C43" s="40">
        <f>ROUND(6.69/18154,4)</f>
        <v>4.0000000000000002E-4</v>
      </c>
      <c r="D43" s="36">
        <f>C43*4</f>
        <v>1.6000000000000001E-3</v>
      </c>
    </row>
    <row r="44" spans="1:4" ht="15" customHeight="1" x14ac:dyDescent="0.25">
      <c r="A44" s="18">
        <v>2513</v>
      </c>
      <c r="B44" s="158" t="s">
        <v>133</v>
      </c>
      <c r="C44" s="40"/>
      <c r="D44" s="55"/>
    </row>
    <row r="45" spans="1:4" ht="32.25" customHeight="1" x14ac:dyDescent="0.25">
      <c r="A45" s="18"/>
      <c r="B45" s="158" t="s">
        <v>902</v>
      </c>
      <c r="C45" s="36">
        <f>ROUND(9.53/18154,3)</f>
        <v>1E-3</v>
      </c>
      <c r="D45" s="36">
        <f>C45*4</f>
        <v>4.0000000000000001E-3</v>
      </c>
    </row>
    <row r="46" spans="1:4" ht="15.75" customHeight="1" x14ac:dyDescent="0.25">
      <c r="A46" s="18">
        <v>5220</v>
      </c>
      <c r="B46" s="158" t="s">
        <v>136</v>
      </c>
      <c r="C46" s="40"/>
      <c r="D46" s="55"/>
    </row>
    <row r="47" spans="1:4" ht="62.25" customHeight="1" x14ac:dyDescent="0.25">
      <c r="A47" s="18"/>
      <c r="B47" s="158" t="s">
        <v>903</v>
      </c>
      <c r="C47" s="36">
        <f>ROUND(31.55/18154,3)</f>
        <v>2E-3</v>
      </c>
      <c r="D47" s="36">
        <f>C47*4</f>
        <v>8.0000000000000002E-3</v>
      </c>
    </row>
    <row r="48" spans="1:4" ht="15.75" customHeight="1" x14ac:dyDescent="0.25">
      <c r="A48" s="18">
        <v>5238</v>
      </c>
      <c r="B48" s="158" t="s">
        <v>134</v>
      </c>
      <c r="C48" s="40"/>
      <c r="D48" s="55"/>
    </row>
    <row r="49" spans="1:7" ht="48" customHeight="1" x14ac:dyDescent="0.25">
      <c r="A49" s="18"/>
      <c r="B49" s="158" t="s">
        <v>609</v>
      </c>
      <c r="C49" s="36">
        <f>ROUND(33.68/18154,3)</f>
        <v>2E-3</v>
      </c>
      <c r="D49" s="36">
        <f>C49*4</f>
        <v>8.0000000000000002E-3</v>
      </c>
      <c r="F49" s="140"/>
      <c r="G49" s="140"/>
    </row>
    <row r="50" spans="1:7" x14ac:dyDescent="0.25">
      <c r="A50" s="68"/>
      <c r="B50" s="72" t="s">
        <v>10</v>
      </c>
      <c r="C50" s="71">
        <f>ROUND(C49+C47+C45+C43+C41+C39+C37+C36+C34+C32+C30+C28+C26+C24+C22,3)</f>
        <v>0.17299999999999999</v>
      </c>
      <c r="D50" s="71">
        <f>ROUND(D49+D47+D45+D43+D41+D39+D37+D36+D34+D32+D30+D28+D26+D24+D22,2)</f>
        <v>0.69</v>
      </c>
      <c r="F50" s="140"/>
    </row>
    <row r="51" spans="1:7" x14ac:dyDescent="0.25">
      <c r="A51" s="23"/>
      <c r="B51" s="24" t="s">
        <v>15</v>
      </c>
      <c r="C51" s="52">
        <f>ROUND(C50+C19,3)</f>
        <v>42.622999999999998</v>
      </c>
      <c r="D51" s="52">
        <f>D50+D19</f>
        <v>170.48999999999998</v>
      </c>
    </row>
    <row r="52" spans="1:7" x14ac:dyDescent="0.25">
      <c r="A52" s="25"/>
      <c r="B52" s="26"/>
      <c r="C52" s="27"/>
      <c r="D52" s="27"/>
    </row>
    <row r="53" spans="1:7" x14ac:dyDescent="0.25">
      <c r="A53" s="26"/>
      <c r="B53" s="28"/>
      <c r="C53" s="28"/>
      <c r="D53" s="9"/>
    </row>
    <row r="54" spans="1:7" ht="15" customHeight="1" x14ac:dyDescent="0.25">
      <c r="A54" s="252" t="s">
        <v>16</v>
      </c>
      <c r="B54" s="253"/>
      <c r="C54" s="138">
        <v>4</v>
      </c>
      <c r="D54" s="29"/>
    </row>
    <row r="55" spans="1:7" ht="33.75" customHeight="1" x14ac:dyDescent="0.25">
      <c r="A55" s="254" t="s">
        <v>23</v>
      </c>
      <c r="B55" s="255"/>
      <c r="C55" s="139">
        <f>D51/C54</f>
        <v>42.622499999999995</v>
      </c>
      <c r="D55" s="29"/>
    </row>
    <row r="56" spans="1:7" x14ac:dyDescent="0.25">
      <c r="A56" s="30"/>
      <c r="B56" s="30"/>
      <c r="C56" s="30"/>
      <c r="D56" s="30"/>
    </row>
    <row r="57" spans="1:7" x14ac:dyDescent="0.25">
      <c r="A57" s="30"/>
      <c r="B57" s="30"/>
      <c r="C57" s="30"/>
      <c r="D57" s="152"/>
    </row>
    <row r="58" spans="1:7" x14ac:dyDescent="0.25">
      <c r="A58" s="30"/>
      <c r="B58" s="30"/>
      <c r="C58" s="30"/>
      <c r="D58" s="152"/>
    </row>
    <row r="59" spans="1:7" x14ac:dyDescent="0.25">
      <c r="A59" s="30"/>
      <c r="B59" s="30"/>
      <c r="C59" s="30"/>
      <c r="D59" s="152"/>
    </row>
    <row r="60" spans="1:7" x14ac:dyDescent="0.25">
      <c r="A60" s="30"/>
      <c r="B60" s="30"/>
      <c r="C60" s="30"/>
      <c r="D60" s="30"/>
    </row>
    <row r="61" spans="1:7" x14ac:dyDescent="0.25">
      <c r="A61" s="231"/>
      <c r="B61" s="231"/>
      <c r="C61" s="9"/>
      <c r="D61" s="9"/>
    </row>
    <row r="62" spans="1:7" x14ac:dyDescent="0.25">
      <c r="A62" s="250"/>
      <c r="B62" s="231"/>
      <c r="C62" s="9"/>
      <c r="D62" s="9"/>
    </row>
    <row r="63" spans="1:7" x14ac:dyDescent="0.25">
      <c r="A63" s="154"/>
      <c r="B63" s="9"/>
      <c r="C63" s="31"/>
      <c r="D63" s="9"/>
    </row>
    <row r="64" spans="1:7" x14ac:dyDescent="0.25">
      <c r="A64" s="250"/>
      <c r="B64" s="250"/>
      <c r="C64" s="31"/>
      <c r="D64" s="9"/>
    </row>
  </sheetData>
  <customSheetViews>
    <customSheetView guid="{3046F990-4623-45D5-BDDC-01BD5999DDBC}" scale="60" showPageBreaks="1" fitToPage="1" printArea="1" view="pageBreakPreview">
      <selection activeCell="B53" sqref="B53"/>
      <rowBreaks count="1" manualBreakCount="1">
        <brk id="37" max="3" man="1"/>
      </rowBreaks>
      <pageMargins left="0.70866141732283472" right="0.70866141732283472" top="0.74803149606299213" bottom="0.74803149606299213" header="0.31496062992125984" footer="0.31496062992125984"/>
      <pageSetup paperSize="9" scale="59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view="pageBreakPreview" topLeftCell="A19">
      <selection activeCell="B45" sqref="B45"/>
      <rowBreaks count="1" manualBreakCount="1">
        <brk id="37" max="3" man="1"/>
      </rowBreaks>
      <pageMargins left="0.70866141732283472" right="0.70866141732283472" top="0.74803149606299213" bottom="0.74803149606299213" header="0.31496062992125984" footer="0.31496062992125984"/>
      <pageSetup paperSize="9" scale="59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view="pageBreakPreview">
      <selection activeCell="A6" sqref="A6:D6"/>
      <rowBreaks count="1" manualBreakCount="1">
        <brk id="37" max="3" man="1"/>
      </rowBreaks>
      <pageMargins left="0.70866141732283472" right="0.70866141732283472" top="0.74803149606299213" bottom="0.74803149606299213" header="0.31496062992125984" footer="0.31496062992125984"/>
      <pageSetup paperSize="9" scale="65" fitToHeight="0" orientation="portrait" r:id="rId3"/>
      <headerFooter>
        <oddFooter>&amp;C&amp;P</oddFooter>
      </headerFooter>
    </customSheetView>
  </customSheetViews>
  <mergeCells count="10">
    <mergeCell ref="A62:B62"/>
    <mergeCell ref="A64:B64"/>
    <mergeCell ref="A55:B55"/>
    <mergeCell ref="C3:D3"/>
    <mergeCell ref="A54:B54"/>
    <mergeCell ref="A2:D2"/>
    <mergeCell ref="A6:D6"/>
    <mergeCell ref="A8:B8"/>
    <mergeCell ref="A10:B10"/>
    <mergeCell ref="A61:B61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4"/>
  <headerFooter>
    <oddFooter>&amp;C&amp;P</oddFooter>
  </headerFooter>
  <rowBreaks count="1" manualBreakCount="1">
    <brk id="37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view="pageBreakPreview" topLeftCell="A25" zoomScale="60" zoomScaleNormal="100" workbookViewId="0">
      <selection activeCell="D40" sqref="D40"/>
    </sheetView>
  </sheetViews>
  <sheetFormatPr defaultRowHeight="15" x14ac:dyDescent="0.25"/>
  <cols>
    <col min="1" max="1" width="14.7109375" customWidth="1"/>
    <col min="2" max="2" width="82.85546875" customWidth="1"/>
    <col min="3" max="3" width="14.85546875" customWidth="1"/>
    <col min="4" max="4" width="19.5703125" customWidth="1"/>
  </cols>
  <sheetData>
    <row r="1" spans="1:5" ht="18.75" x14ac:dyDescent="0.3">
      <c r="A1" s="4"/>
      <c r="B1" s="5"/>
      <c r="C1" s="35"/>
      <c r="D1" s="5"/>
    </row>
    <row r="2" spans="1:5" ht="15.75" x14ac:dyDescent="0.25">
      <c r="A2" s="256" t="s">
        <v>307</v>
      </c>
      <c r="B2" s="256"/>
      <c r="C2" s="256"/>
      <c r="D2" s="256"/>
      <c r="E2" s="187"/>
    </row>
    <row r="3" spans="1:5" x14ac:dyDescent="0.25">
      <c r="A3" s="4"/>
      <c r="B3" s="4"/>
      <c r="C3" s="264"/>
      <c r="D3" s="265"/>
    </row>
    <row r="4" spans="1:5" ht="15.75" x14ac:dyDescent="0.25">
      <c r="A4" s="186" t="s">
        <v>723</v>
      </c>
      <c r="B4" s="32"/>
      <c r="C4" s="32"/>
      <c r="D4" s="32"/>
    </row>
    <row r="5" spans="1:5" x14ac:dyDescent="0.25">
      <c r="A5" s="34"/>
      <c r="B5" s="34"/>
      <c r="C5" s="34"/>
      <c r="D5" s="9"/>
    </row>
    <row r="6" spans="1:5" ht="32.25" customHeight="1" x14ac:dyDescent="0.25">
      <c r="A6" s="272" t="s">
        <v>731</v>
      </c>
      <c r="B6" s="272"/>
      <c r="C6" s="272"/>
      <c r="D6" s="272"/>
    </row>
    <row r="7" spans="1:5" x14ac:dyDescent="0.25">
      <c r="A7" s="136"/>
      <c r="B7" s="34"/>
      <c r="C7" s="34"/>
      <c r="D7" s="9"/>
    </row>
    <row r="8" spans="1:5" x14ac:dyDescent="0.25">
      <c r="A8" s="258" t="s">
        <v>749</v>
      </c>
      <c r="B8" s="267"/>
      <c r="C8" s="34"/>
      <c r="D8" s="9"/>
    </row>
    <row r="9" spans="1:5" s="181" customFormat="1" x14ac:dyDescent="0.25">
      <c r="A9" s="180"/>
      <c r="B9" s="182"/>
      <c r="C9" s="34"/>
      <c r="D9" s="9"/>
    </row>
    <row r="10" spans="1:5" ht="15.75" x14ac:dyDescent="0.25">
      <c r="A10" s="251" t="s">
        <v>730</v>
      </c>
      <c r="B10" s="251"/>
      <c r="C10" s="8"/>
      <c r="D10" s="9"/>
    </row>
    <row r="11" spans="1:5" ht="93.75" customHeight="1" x14ac:dyDescent="0.25">
      <c r="A11" s="12" t="s">
        <v>0</v>
      </c>
      <c r="B11" s="12" t="s">
        <v>1</v>
      </c>
      <c r="C11" s="12" t="s">
        <v>120</v>
      </c>
      <c r="D11" s="12" t="s">
        <v>18</v>
      </c>
    </row>
    <row r="12" spans="1:5" x14ac:dyDescent="0.25">
      <c r="A12" s="13">
        <v>1</v>
      </c>
      <c r="B12" s="14">
        <v>2</v>
      </c>
      <c r="C12" s="13">
        <v>3</v>
      </c>
      <c r="D12" s="13">
        <v>4</v>
      </c>
    </row>
    <row r="13" spans="1:5" x14ac:dyDescent="0.25">
      <c r="A13" s="15"/>
      <c r="B13" s="22" t="s">
        <v>13</v>
      </c>
      <c r="C13" s="17"/>
      <c r="D13" s="17"/>
    </row>
    <row r="14" spans="1:5" x14ac:dyDescent="0.25">
      <c r="A14" s="37">
        <v>1100</v>
      </c>
      <c r="B14" s="16" t="s">
        <v>14</v>
      </c>
      <c r="C14" s="38"/>
      <c r="D14" s="38"/>
    </row>
    <row r="15" spans="1:5" ht="80.25" customHeight="1" x14ac:dyDescent="0.25">
      <c r="A15" s="18"/>
      <c r="B15" s="157" t="s">
        <v>1006</v>
      </c>
      <c r="C15" s="55">
        <f>21.06+25.74</f>
        <v>46.8</v>
      </c>
      <c r="D15" s="55">
        <f>C15*20</f>
        <v>936</v>
      </c>
    </row>
    <row r="16" spans="1:5" ht="34.5" customHeight="1" x14ac:dyDescent="0.25">
      <c r="A16" s="85">
        <v>1200</v>
      </c>
      <c r="B16" s="158" t="s">
        <v>1007</v>
      </c>
      <c r="C16" s="55">
        <f>ROUND(C15*0.2359,2)</f>
        <v>11.04</v>
      </c>
      <c r="D16" s="55">
        <f>C16*C43</f>
        <v>220.79999999999998</v>
      </c>
    </row>
    <row r="17" spans="1:4" x14ac:dyDescent="0.25">
      <c r="A17" s="85">
        <v>2341</v>
      </c>
      <c r="B17" s="161" t="s">
        <v>77</v>
      </c>
      <c r="C17" s="19"/>
      <c r="D17" s="19"/>
    </row>
    <row r="18" spans="1:4" ht="18.75" customHeight="1" x14ac:dyDescent="0.25">
      <c r="A18" s="18"/>
      <c r="B18" s="158" t="s">
        <v>114</v>
      </c>
      <c r="C18" s="55">
        <v>148.30000000000001</v>
      </c>
      <c r="D18" s="55">
        <f>C18*C43</f>
        <v>2966</v>
      </c>
    </row>
    <row r="19" spans="1:4" x14ac:dyDescent="0.25">
      <c r="A19" s="68"/>
      <c r="B19" s="159" t="s">
        <v>2</v>
      </c>
      <c r="C19" s="71">
        <f>SUM(C14:C18)</f>
        <v>206.14000000000001</v>
      </c>
      <c r="D19" s="71">
        <f>SUM(D14:D18)</f>
        <v>4122.8</v>
      </c>
    </row>
    <row r="20" spans="1:4" x14ac:dyDescent="0.25">
      <c r="A20" s="18"/>
      <c r="B20" s="160" t="s">
        <v>20</v>
      </c>
      <c r="C20" s="19"/>
      <c r="D20" s="19"/>
    </row>
    <row r="21" spans="1:4" x14ac:dyDescent="0.25">
      <c r="A21" s="85">
        <v>2219</v>
      </c>
      <c r="B21" s="158" t="s">
        <v>3</v>
      </c>
      <c r="C21" s="19"/>
      <c r="D21" s="19"/>
    </row>
    <row r="22" spans="1:4" ht="61.5" customHeight="1" x14ac:dyDescent="0.25">
      <c r="A22" s="18"/>
      <c r="B22" s="158" t="s">
        <v>732</v>
      </c>
      <c r="C22" s="55">
        <f>3.5/10</f>
        <v>0.35</v>
      </c>
      <c r="D22" s="55">
        <f>C22*C43</f>
        <v>7</v>
      </c>
    </row>
    <row r="23" spans="1:4" x14ac:dyDescent="0.25">
      <c r="A23" s="85">
        <v>2221</v>
      </c>
      <c r="B23" s="158" t="s">
        <v>4</v>
      </c>
      <c r="C23" s="19"/>
      <c r="D23" s="19"/>
    </row>
    <row r="24" spans="1:4" ht="63" customHeight="1" x14ac:dyDescent="0.25">
      <c r="A24" s="18"/>
      <c r="B24" s="158" t="s">
        <v>733</v>
      </c>
      <c r="C24" s="55">
        <f>8.1/10</f>
        <v>0.80999999999999994</v>
      </c>
      <c r="D24" s="55">
        <f>C24*C43</f>
        <v>16.2</v>
      </c>
    </row>
    <row r="25" spans="1:4" ht="14.25" customHeight="1" x14ac:dyDescent="0.25">
      <c r="A25" s="85">
        <v>2222</v>
      </c>
      <c r="B25" s="158" t="s">
        <v>5</v>
      </c>
      <c r="C25" s="19"/>
      <c r="D25" s="19"/>
    </row>
    <row r="26" spans="1:4" ht="63.75" customHeight="1" x14ac:dyDescent="0.25">
      <c r="A26" s="18"/>
      <c r="B26" s="158" t="s">
        <v>734</v>
      </c>
      <c r="C26" s="55">
        <f>0.6/10</f>
        <v>0.06</v>
      </c>
      <c r="D26" s="55">
        <f>C26*C43</f>
        <v>1.2</v>
      </c>
    </row>
    <row r="27" spans="1:4" x14ac:dyDescent="0.25">
      <c r="A27" s="85">
        <v>2223</v>
      </c>
      <c r="B27" s="161" t="s">
        <v>6</v>
      </c>
      <c r="C27" s="19"/>
      <c r="D27" s="19"/>
    </row>
    <row r="28" spans="1:4" ht="62.25" customHeight="1" x14ac:dyDescent="0.25">
      <c r="A28" s="18"/>
      <c r="B28" s="158" t="s">
        <v>250</v>
      </c>
      <c r="C28" s="55">
        <f>15.7/10</f>
        <v>1.5699999999999998</v>
      </c>
      <c r="D28" s="55">
        <f>C28*C43</f>
        <v>31.4</v>
      </c>
    </row>
    <row r="29" spans="1:4" x14ac:dyDescent="0.25">
      <c r="A29" s="86">
        <v>2231</v>
      </c>
      <c r="B29" s="158" t="s">
        <v>22</v>
      </c>
      <c r="C29" s="36"/>
      <c r="D29" s="19"/>
    </row>
    <row r="30" spans="1:4" ht="61.5" customHeight="1" x14ac:dyDescent="0.25">
      <c r="A30" s="45"/>
      <c r="B30" s="158" t="s">
        <v>936</v>
      </c>
      <c r="C30" s="55">
        <f>1.7/10</f>
        <v>0.16999999999999998</v>
      </c>
      <c r="D30" s="55">
        <f>C30*C43</f>
        <v>3.3999999999999995</v>
      </c>
    </row>
    <row r="31" spans="1:4" x14ac:dyDescent="0.25">
      <c r="A31" s="85">
        <v>2244</v>
      </c>
      <c r="B31" s="158" t="s">
        <v>24</v>
      </c>
      <c r="C31" s="19"/>
      <c r="D31" s="19"/>
    </row>
    <row r="32" spans="1:4" ht="63" customHeight="1" x14ac:dyDescent="0.25">
      <c r="A32" s="21"/>
      <c r="B32" s="158" t="s">
        <v>257</v>
      </c>
      <c r="C32" s="55">
        <f>8.2/10</f>
        <v>0.82</v>
      </c>
      <c r="D32" s="55">
        <f>C32*C43</f>
        <v>16.399999999999999</v>
      </c>
    </row>
    <row r="33" spans="1:4" x14ac:dyDescent="0.25">
      <c r="A33" s="85">
        <v>2311</v>
      </c>
      <c r="B33" s="158" t="s">
        <v>9</v>
      </c>
      <c r="C33" s="36"/>
      <c r="D33" s="19"/>
    </row>
    <row r="34" spans="1:4" ht="62.25" customHeight="1" x14ac:dyDescent="0.25">
      <c r="A34" s="85"/>
      <c r="B34" s="158" t="s">
        <v>251</v>
      </c>
      <c r="C34" s="55">
        <f>0.9/10</f>
        <v>0.09</v>
      </c>
      <c r="D34" s="55">
        <f>C34*C43</f>
        <v>1.7999999999999998</v>
      </c>
    </row>
    <row r="35" spans="1:4" x14ac:dyDescent="0.25">
      <c r="A35" s="85">
        <v>2350</v>
      </c>
      <c r="B35" s="158" t="s">
        <v>21</v>
      </c>
      <c r="C35" s="36"/>
      <c r="D35" s="19"/>
    </row>
    <row r="36" spans="1:4" ht="62.25" customHeight="1" x14ac:dyDescent="0.25">
      <c r="A36" s="18"/>
      <c r="B36" s="158" t="s">
        <v>252</v>
      </c>
      <c r="C36" s="55">
        <f>3.6/10</f>
        <v>0.36</v>
      </c>
      <c r="D36" s="55">
        <f>C36*C43</f>
        <v>7.1999999999999993</v>
      </c>
    </row>
    <row r="37" spans="1:4" x14ac:dyDescent="0.25">
      <c r="A37" s="68"/>
      <c r="B37" s="72" t="s">
        <v>10</v>
      </c>
      <c r="C37" s="71">
        <f>SUM(C21:C36)</f>
        <v>4.2299999999999995</v>
      </c>
      <c r="D37" s="71">
        <f>SUM(D21:D36)</f>
        <v>84.6</v>
      </c>
    </row>
    <row r="38" spans="1:4" x14ac:dyDescent="0.25">
      <c r="A38" s="23"/>
      <c r="B38" s="24" t="s">
        <v>116</v>
      </c>
      <c r="C38" s="52">
        <f>C37+C19</f>
        <v>210.37</v>
      </c>
      <c r="D38" s="52">
        <f>D37+D19</f>
        <v>4207.4000000000005</v>
      </c>
    </row>
    <row r="39" spans="1:4" x14ac:dyDescent="0.25">
      <c r="A39" s="23"/>
      <c r="B39" s="24" t="s">
        <v>117</v>
      </c>
      <c r="C39" s="52">
        <f>ROUND(C38*0.21,2)</f>
        <v>44.18</v>
      </c>
      <c r="D39" s="52">
        <f>C39*C43</f>
        <v>883.6</v>
      </c>
    </row>
    <row r="40" spans="1:4" x14ac:dyDescent="0.25">
      <c r="A40" s="23"/>
      <c r="B40" s="83" t="s">
        <v>118</v>
      </c>
      <c r="C40" s="52">
        <f>C38+C39</f>
        <v>254.55</v>
      </c>
      <c r="D40" s="52">
        <f>D38+D39</f>
        <v>5091.0000000000009</v>
      </c>
    </row>
    <row r="41" spans="1:4" x14ac:dyDescent="0.25">
      <c r="A41" s="25"/>
      <c r="B41" s="26"/>
      <c r="C41" s="27"/>
      <c r="D41" s="27"/>
    </row>
    <row r="42" spans="1:4" x14ac:dyDescent="0.25">
      <c r="A42" s="26"/>
      <c r="B42" s="28"/>
      <c r="C42" s="28"/>
      <c r="D42" s="9"/>
    </row>
    <row r="43" spans="1:4" ht="15" customHeight="1" x14ac:dyDescent="0.25">
      <c r="A43" s="252" t="s">
        <v>16</v>
      </c>
      <c r="B43" s="253"/>
      <c r="C43" s="138">
        <v>20</v>
      </c>
      <c r="D43" s="29"/>
    </row>
    <row r="44" spans="1:4" ht="36.75" customHeight="1" x14ac:dyDescent="0.25">
      <c r="A44" s="254" t="s">
        <v>23</v>
      </c>
      <c r="B44" s="255"/>
      <c r="C44" s="139">
        <f>D40/C43</f>
        <v>254.55000000000004</v>
      </c>
      <c r="D44" s="29"/>
    </row>
    <row r="45" spans="1:4" x14ac:dyDescent="0.25">
      <c r="A45" s="30"/>
      <c r="B45" s="30"/>
      <c r="C45" s="30"/>
      <c r="D45" s="30"/>
    </row>
    <row r="46" spans="1:4" x14ac:dyDescent="0.25">
      <c r="A46" s="30"/>
      <c r="B46" s="30"/>
      <c r="C46" s="9"/>
      <c r="D46" s="5"/>
    </row>
    <row r="47" spans="1:4" x14ac:dyDescent="0.25">
      <c r="A47" s="30"/>
      <c r="B47" s="30"/>
      <c r="C47" s="31"/>
      <c r="D47" s="5"/>
    </row>
    <row r="48" spans="1:4" x14ac:dyDescent="0.25">
      <c r="A48" s="30"/>
      <c r="B48" s="30"/>
      <c r="C48" s="31"/>
      <c r="D48" s="5"/>
    </row>
    <row r="49" spans="1:2" x14ac:dyDescent="0.25">
      <c r="A49" s="30"/>
      <c r="B49" s="30"/>
    </row>
    <row r="50" spans="1:2" x14ac:dyDescent="0.25">
      <c r="A50" s="231"/>
      <c r="B50" s="231"/>
    </row>
    <row r="51" spans="1:2" x14ac:dyDescent="0.25">
      <c r="A51" s="250"/>
      <c r="B51" s="231"/>
    </row>
    <row r="52" spans="1:2" x14ac:dyDescent="0.25">
      <c r="A52" s="154"/>
      <c r="B52" s="9"/>
    </row>
    <row r="53" spans="1:2" x14ac:dyDescent="0.25">
      <c r="A53" s="250"/>
      <c r="B53" s="250"/>
    </row>
  </sheetData>
  <customSheetViews>
    <customSheetView guid="{3046F990-4623-45D5-BDDC-01BD5999DDBC}" scale="60" showPageBreaks="1" fitToPage="1" printArea="1" view="pageBreakPreview" topLeftCell="A34">
      <selection activeCell="B53" sqref="B53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6" fitToHeight="0" orientation="portrait" verticalDpi="0" r:id="rId1"/>
      <headerFooter>
        <oddFooter>&amp;C&amp;P</oddFooter>
      </headerFooter>
    </customSheetView>
    <customSheetView guid="{FC502735-BE91-49EC-9614-36ECAE88D000}" scale="60" showPageBreaks="1" fitToPage="1" printArea="1" view="pageBreakPreview" topLeftCell="A34">
      <selection activeCell="B19" sqref="B19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6" fitToHeight="0" orientation="portrait" verticalDpi="0" r:id="rId2"/>
      <headerFooter>
        <oddFooter>&amp;C&amp;P</oddFooter>
      </headerFooter>
    </customSheetView>
    <customSheetView guid="{2CF5EF93-C226-48EA-959E-36D142677DAA}" scale="60" showPageBreaks="1" fitToPage="1" printArea="1" view="pageBreakPreview" topLeftCell="A25">
      <selection activeCell="D40" sqref="D40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6" fitToHeight="0" orientation="portrait" r:id="rId3"/>
      <headerFooter>
        <oddFooter>&amp;C&amp;P</oddFooter>
      </headerFooter>
    </customSheetView>
  </customSheetViews>
  <mergeCells count="10">
    <mergeCell ref="A2:D2"/>
    <mergeCell ref="A10:B10"/>
    <mergeCell ref="A51:B51"/>
    <mergeCell ref="A53:B53"/>
    <mergeCell ref="A43:B43"/>
    <mergeCell ref="A44:B44"/>
    <mergeCell ref="C3:D3"/>
    <mergeCell ref="A6:D6"/>
    <mergeCell ref="A8:B8"/>
    <mergeCell ref="A50:B50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4"/>
  <headerFooter>
    <oddFooter>&amp;C&amp;P</oddFooter>
  </headerFooter>
  <rowBreaks count="1" manualBreakCount="1">
    <brk id="34" max="3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view="pageBreakPreview" zoomScale="60" zoomScaleNormal="100" workbookViewId="0">
      <selection activeCell="A6" sqref="A6:D6"/>
    </sheetView>
  </sheetViews>
  <sheetFormatPr defaultRowHeight="15" x14ac:dyDescent="0.25"/>
  <cols>
    <col min="1" max="1" width="13.42578125" customWidth="1"/>
    <col min="2" max="2" width="89.5703125" customWidth="1"/>
    <col min="3" max="3" width="15.7109375" customWidth="1"/>
    <col min="4" max="4" width="19.42578125" customWidth="1"/>
  </cols>
  <sheetData>
    <row r="1" spans="1:11" ht="18.75" x14ac:dyDescent="0.3">
      <c r="A1" s="4"/>
      <c r="B1" s="5"/>
      <c r="C1" s="35"/>
      <c r="D1" s="5"/>
    </row>
    <row r="2" spans="1:11" ht="15.75" customHeight="1" x14ac:dyDescent="0.25">
      <c r="A2" s="279" t="s">
        <v>307</v>
      </c>
      <c r="B2" s="279"/>
      <c r="C2" s="279"/>
      <c r="D2" s="279"/>
    </row>
    <row r="3" spans="1:11" ht="15" customHeight="1" x14ac:dyDescent="0.25">
      <c r="A3" s="4"/>
      <c r="B3" s="4"/>
      <c r="C3" s="273"/>
      <c r="D3" s="274"/>
    </row>
    <row r="4" spans="1:11" ht="15.75" x14ac:dyDescent="0.25">
      <c r="A4" s="186" t="s">
        <v>723</v>
      </c>
      <c r="B4" s="32"/>
      <c r="C4" s="32"/>
      <c r="D4" s="32"/>
    </row>
    <row r="5" spans="1:11" x14ac:dyDescent="0.25">
      <c r="A5" s="4"/>
      <c r="B5" s="33"/>
      <c r="C5" s="33"/>
      <c r="D5" s="9"/>
    </row>
    <row r="6" spans="1:11" ht="19.5" customHeight="1" x14ac:dyDescent="0.25">
      <c r="A6" s="277" t="s">
        <v>1047</v>
      </c>
      <c r="B6" s="277"/>
      <c r="C6" s="277"/>
      <c r="D6" s="277"/>
    </row>
    <row r="7" spans="1:11" ht="15.75" customHeight="1" x14ac:dyDescent="0.25">
      <c r="A7" s="180"/>
      <c r="B7" s="34"/>
      <c r="C7" s="34"/>
      <c r="D7" s="9"/>
      <c r="E7" s="51"/>
      <c r="F7" s="51"/>
      <c r="G7" s="51"/>
      <c r="H7" s="51"/>
      <c r="I7" s="51"/>
      <c r="J7" s="51"/>
      <c r="K7" s="51"/>
    </row>
    <row r="8" spans="1:11" x14ac:dyDescent="0.25">
      <c r="A8" s="270" t="s">
        <v>309</v>
      </c>
      <c r="B8" s="271"/>
      <c r="C8" s="34"/>
      <c r="D8" s="9"/>
    </row>
    <row r="9" spans="1:11" ht="15" customHeight="1" x14ac:dyDescent="0.25">
      <c r="A9" s="183"/>
      <c r="B9" s="184"/>
      <c r="C9" s="34"/>
      <c r="D9" s="9"/>
    </row>
    <row r="10" spans="1:11" ht="15.75" x14ac:dyDescent="0.25">
      <c r="A10" s="251" t="s">
        <v>730</v>
      </c>
      <c r="B10" s="251"/>
      <c r="C10" s="34"/>
      <c r="D10" s="9"/>
    </row>
    <row r="11" spans="1:11" ht="93.75" customHeight="1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11" x14ac:dyDescent="0.25">
      <c r="A12" s="13">
        <v>1</v>
      </c>
      <c r="B12" s="14">
        <v>2</v>
      </c>
      <c r="C12" s="13">
        <v>3</v>
      </c>
      <c r="D12" s="13">
        <v>4</v>
      </c>
    </row>
    <row r="13" spans="1:11" x14ac:dyDescent="0.25">
      <c r="A13" s="15"/>
      <c r="B13" s="22" t="s">
        <v>13</v>
      </c>
      <c r="C13" s="17"/>
      <c r="D13" s="17"/>
    </row>
    <row r="14" spans="1:11" x14ac:dyDescent="0.25">
      <c r="A14" s="37">
        <v>1100</v>
      </c>
      <c r="B14" s="16" t="s">
        <v>14</v>
      </c>
      <c r="C14" s="38"/>
      <c r="D14" s="38"/>
    </row>
    <row r="15" spans="1:11" ht="76.5" customHeight="1" x14ac:dyDescent="0.25">
      <c r="A15" s="18"/>
      <c r="B15" s="157" t="s">
        <v>224</v>
      </c>
      <c r="C15" s="55">
        <f>0.11*5</f>
        <v>0.55000000000000004</v>
      </c>
      <c r="D15" s="55">
        <f>C15*20</f>
        <v>11</v>
      </c>
    </row>
    <row r="16" spans="1:11" ht="35.25" customHeight="1" x14ac:dyDescent="0.25">
      <c r="A16" s="18">
        <v>1200</v>
      </c>
      <c r="B16" s="158" t="s">
        <v>295</v>
      </c>
      <c r="C16" s="55">
        <f>ROUND(C15*0.2359,2)</f>
        <v>0.13</v>
      </c>
      <c r="D16" s="55">
        <f>C16*20</f>
        <v>2.6</v>
      </c>
    </row>
    <row r="17" spans="1:4" x14ac:dyDescent="0.25">
      <c r="A17" s="18">
        <v>2341</v>
      </c>
      <c r="B17" s="18" t="s">
        <v>77</v>
      </c>
      <c r="C17" s="19"/>
      <c r="D17" s="19"/>
    </row>
    <row r="18" spans="1:4" ht="49.5" customHeight="1" x14ac:dyDescent="0.25">
      <c r="A18" s="18"/>
      <c r="B18" s="158" t="s">
        <v>700</v>
      </c>
      <c r="C18" s="55">
        <f>0.04+0.06+0.02</f>
        <v>0.12000000000000001</v>
      </c>
      <c r="D18" s="55">
        <f>C18*20</f>
        <v>2.4000000000000004</v>
      </c>
    </row>
    <row r="19" spans="1:4" x14ac:dyDescent="0.25">
      <c r="A19" s="74"/>
      <c r="B19" s="159" t="s">
        <v>2</v>
      </c>
      <c r="C19" s="71">
        <f>SUM(C14:C18)</f>
        <v>0.8</v>
      </c>
      <c r="D19" s="71">
        <f>SUM(D14:D18)</f>
        <v>16</v>
      </c>
    </row>
    <row r="20" spans="1:4" x14ac:dyDescent="0.25">
      <c r="A20" s="18"/>
      <c r="B20" s="160" t="s">
        <v>20</v>
      </c>
      <c r="C20" s="19"/>
      <c r="D20" s="19"/>
    </row>
    <row r="21" spans="1:4" x14ac:dyDescent="0.25">
      <c r="A21" s="18">
        <v>2219</v>
      </c>
      <c r="B21" s="158" t="s">
        <v>3</v>
      </c>
      <c r="C21" s="19"/>
      <c r="D21" s="19"/>
    </row>
    <row r="22" spans="1:4" ht="79.5" customHeight="1" x14ac:dyDescent="0.25">
      <c r="A22" s="18"/>
      <c r="B22" s="158" t="s">
        <v>645</v>
      </c>
      <c r="C22" s="40">
        <f>ROUND(3.18/18154,4)</f>
        <v>2.0000000000000001E-4</v>
      </c>
      <c r="D22" s="36">
        <f>C22*20</f>
        <v>4.0000000000000001E-3</v>
      </c>
    </row>
    <row r="23" spans="1:4" x14ac:dyDescent="0.25">
      <c r="A23" s="18">
        <v>2221</v>
      </c>
      <c r="B23" s="158" t="s">
        <v>4</v>
      </c>
      <c r="C23" s="19"/>
      <c r="D23" s="19"/>
    </row>
    <row r="24" spans="1:4" ht="45.75" customHeight="1" x14ac:dyDescent="0.25">
      <c r="A24" s="18"/>
      <c r="B24" s="158" t="s">
        <v>701</v>
      </c>
      <c r="C24" s="55">
        <f>ROUND(301.59/18154,4)</f>
        <v>1.66E-2</v>
      </c>
      <c r="D24" s="55">
        <f>C24*20</f>
        <v>0.33200000000000002</v>
      </c>
    </row>
    <row r="25" spans="1:4" ht="15" customHeight="1" x14ac:dyDescent="0.25">
      <c r="A25" s="18">
        <v>2222</v>
      </c>
      <c r="B25" s="158" t="s">
        <v>5</v>
      </c>
      <c r="C25" s="19"/>
      <c r="D25" s="36"/>
    </row>
    <row r="26" spans="1:4" ht="48.75" customHeight="1" x14ac:dyDescent="0.25">
      <c r="A26" s="18"/>
      <c r="B26" s="158" t="s">
        <v>702</v>
      </c>
      <c r="C26" s="36">
        <f>ROUND(31.02/18154,3)</f>
        <v>2E-3</v>
      </c>
      <c r="D26" s="55">
        <f>C26*20</f>
        <v>0.04</v>
      </c>
    </row>
    <row r="27" spans="1:4" x14ac:dyDescent="0.25">
      <c r="A27" s="18">
        <v>2223</v>
      </c>
      <c r="B27" s="18" t="s">
        <v>6</v>
      </c>
      <c r="C27" s="19"/>
      <c r="D27" s="19"/>
    </row>
    <row r="28" spans="1:4" ht="48" customHeight="1" x14ac:dyDescent="0.25">
      <c r="A28" s="18"/>
      <c r="B28" s="158" t="s">
        <v>174</v>
      </c>
      <c r="C28" s="55">
        <f>ROUND(538.27/18154,3)</f>
        <v>0.03</v>
      </c>
      <c r="D28" s="55">
        <f>C28*20</f>
        <v>0.6</v>
      </c>
    </row>
    <row r="29" spans="1:4" x14ac:dyDescent="0.25">
      <c r="A29" s="18">
        <v>2224</v>
      </c>
      <c r="B29" s="158" t="s">
        <v>7</v>
      </c>
      <c r="C29" s="19"/>
      <c r="D29" s="19"/>
    </row>
    <row r="30" spans="1:4" ht="45.75" customHeight="1" x14ac:dyDescent="0.25">
      <c r="A30" s="18"/>
      <c r="B30" s="158" t="s">
        <v>907</v>
      </c>
      <c r="C30" s="36">
        <f>ROUND(28.86/18154,4)</f>
        <v>1.6000000000000001E-3</v>
      </c>
      <c r="D30" s="55">
        <f>C30*20</f>
        <v>3.2000000000000001E-2</v>
      </c>
    </row>
    <row r="31" spans="1:4" x14ac:dyDescent="0.25">
      <c r="A31" s="45">
        <v>2231</v>
      </c>
      <c r="B31" s="158" t="s">
        <v>22</v>
      </c>
      <c r="C31" s="36"/>
      <c r="D31" s="19"/>
    </row>
    <row r="32" spans="1:4" ht="151.5" customHeight="1" x14ac:dyDescent="0.25">
      <c r="A32" s="45"/>
      <c r="B32" s="158" t="s">
        <v>644</v>
      </c>
      <c r="C32" s="55">
        <f>ROUND(1201.87/18154,2)</f>
        <v>7.0000000000000007E-2</v>
      </c>
      <c r="D32" s="55">
        <f>C32*20</f>
        <v>1.4000000000000001</v>
      </c>
    </row>
    <row r="33" spans="1:4" ht="14.25" customHeight="1" x14ac:dyDescent="0.25">
      <c r="A33" s="45">
        <v>2243</v>
      </c>
      <c r="B33" s="158" t="s">
        <v>132</v>
      </c>
      <c r="C33" s="55"/>
      <c r="D33" s="55"/>
    </row>
    <row r="34" spans="1:4" ht="46.5" customHeight="1" x14ac:dyDescent="0.25">
      <c r="A34" s="45"/>
      <c r="B34" s="158" t="s">
        <v>703</v>
      </c>
      <c r="C34" s="55">
        <f>ROUND(386.87/18154,4)</f>
        <v>2.1299999999999999E-2</v>
      </c>
      <c r="D34" s="55">
        <f>C34*20</f>
        <v>0.42599999999999999</v>
      </c>
    </row>
    <row r="35" spans="1:4" x14ac:dyDescent="0.25">
      <c r="A35" s="18">
        <v>2244</v>
      </c>
      <c r="B35" s="158" t="s">
        <v>24</v>
      </c>
      <c r="C35" s="19"/>
      <c r="D35" s="19"/>
    </row>
    <row r="36" spans="1:4" ht="47.25" customHeight="1" x14ac:dyDescent="0.25">
      <c r="A36" s="21"/>
      <c r="B36" s="158" t="s">
        <v>704</v>
      </c>
      <c r="C36" s="55">
        <f>ROUND(383.44/18154,2)</f>
        <v>0.02</v>
      </c>
      <c r="D36" s="55">
        <f>C36*20</f>
        <v>0.4</v>
      </c>
    </row>
    <row r="37" spans="1:4" ht="48.75" customHeight="1" x14ac:dyDescent="0.25">
      <c r="A37" s="21"/>
      <c r="B37" s="158" t="s">
        <v>908</v>
      </c>
      <c r="C37" s="40">
        <f>ROUND(5.03/18154,4)</f>
        <v>2.9999999999999997E-4</v>
      </c>
      <c r="D37" s="55">
        <f>C37*20</f>
        <v>5.9999999999999993E-3</v>
      </c>
    </row>
    <row r="38" spans="1:4" x14ac:dyDescent="0.25">
      <c r="A38" s="18">
        <v>2249</v>
      </c>
      <c r="B38" s="158" t="s">
        <v>8</v>
      </c>
      <c r="C38" s="19"/>
      <c r="D38" s="19"/>
    </row>
    <row r="39" spans="1:4" ht="49.5" customHeight="1" x14ac:dyDescent="0.25">
      <c r="A39" s="18"/>
      <c r="B39" s="158" t="s">
        <v>909</v>
      </c>
      <c r="C39" s="36">
        <f>ROUND(9.76/18154,4)</f>
        <v>5.0000000000000001E-4</v>
      </c>
      <c r="D39" s="55">
        <f>C39*20</f>
        <v>0.01</v>
      </c>
    </row>
    <row r="40" spans="1:4" x14ac:dyDescent="0.25">
      <c r="A40" s="18">
        <v>2311</v>
      </c>
      <c r="B40" s="158" t="s">
        <v>9</v>
      </c>
      <c r="C40" s="36"/>
      <c r="D40" s="19"/>
    </row>
    <row r="41" spans="1:4" ht="48.75" customHeight="1" x14ac:dyDescent="0.25">
      <c r="A41" s="18"/>
      <c r="B41" s="158" t="s">
        <v>431</v>
      </c>
      <c r="C41" s="36">
        <f>ROUND(54.99/18154,4)</f>
        <v>3.0000000000000001E-3</v>
      </c>
      <c r="D41" s="55">
        <f>C41*20</f>
        <v>0.06</v>
      </c>
    </row>
    <row r="42" spans="1:4" x14ac:dyDescent="0.25">
      <c r="A42" s="18">
        <v>2350</v>
      </c>
      <c r="B42" s="158" t="s">
        <v>21</v>
      </c>
      <c r="C42" s="36"/>
      <c r="D42" s="19"/>
    </row>
    <row r="43" spans="1:4" ht="78" customHeight="1" x14ac:dyDescent="0.25">
      <c r="A43" s="18"/>
      <c r="B43" s="158" t="s">
        <v>361</v>
      </c>
      <c r="C43" s="40">
        <f>ROUND(6.69/18154,4)</f>
        <v>4.0000000000000002E-4</v>
      </c>
      <c r="D43" s="55">
        <f>C43*20</f>
        <v>8.0000000000000002E-3</v>
      </c>
    </row>
    <row r="44" spans="1:4" ht="16.5" customHeight="1" x14ac:dyDescent="0.25">
      <c r="A44" s="18">
        <v>2513</v>
      </c>
      <c r="B44" s="158" t="s">
        <v>133</v>
      </c>
      <c r="C44" s="40"/>
      <c r="D44" s="55"/>
    </row>
    <row r="45" spans="1:4" ht="47.25" customHeight="1" x14ac:dyDescent="0.25">
      <c r="A45" s="18"/>
      <c r="B45" s="158" t="s">
        <v>699</v>
      </c>
      <c r="C45" s="36">
        <f>ROUND(9.53/18154,4)</f>
        <v>5.0000000000000001E-4</v>
      </c>
      <c r="D45" s="55">
        <f>C45*20</f>
        <v>0.01</v>
      </c>
    </row>
    <row r="46" spans="1:4" ht="18" customHeight="1" x14ac:dyDescent="0.25">
      <c r="A46" s="18">
        <v>5220</v>
      </c>
      <c r="B46" s="158" t="s">
        <v>136</v>
      </c>
      <c r="C46" s="40"/>
      <c r="D46" s="55"/>
    </row>
    <row r="47" spans="1:4" ht="76.5" customHeight="1" x14ac:dyDescent="0.25">
      <c r="A47" s="18"/>
      <c r="B47" s="158" t="s">
        <v>698</v>
      </c>
      <c r="C47" s="36">
        <f>ROUND(31.55/18154,4)</f>
        <v>1.6999999999999999E-3</v>
      </c>
      <c r="D47" s="55">
        <f>C47*20</f>
        <v>3.3999999999999996E-2</v>
      </c>
    </row>
    <row r="48" spans="1:4" ht="15" customHeight="1" x14ac:dyDescent="0.25">
      <c r="A48" s="18">
        <v>5238</v>
      </c>
      <c r="B48" s="158" t="s">
        <v>134</v>
      </c>
      <c r="C48" s="40"/>
      <c r="D48" s="55"/>
    </row>
    <row r="49" spans="1:4" ht="46.5" customHeight="1" x14ac:dyDescent="0.25">
      <c r="A49" s="18"/>
      <c r="B49" s="158" t="s">
        <v>515</v>
      </c>
      <c r="C49" s="36">
        <f>ROUND(33.68/18154,3)</f>
        <v>2E-3</v>
      </c>
      <c r="D49" s="55">
        <f>C49*20</f>
        <v>0.04</v>
      </c>
    </row>
    <row r="50" spans="1:4" x14ac:dyDescent="0.25">
      <c r="A50" s="68"/>
      <c r="B50" s="72" t="s">
        <v>10</v>
      </c>
      <c r="C50" s="71">
        <f>ROUND(C49+C47+C45+C43+C41+C39+C37+C36+C34+C32+C30+C28+C26+C24+C22,3)</f>
        <v>0.17</v>
      </c>
      <c r="D50" s="71">
        <f>ROUND(D49+D47+D45+D43+D41+D39+D37+D36+D34+D32+D30+D28+D26+D24+D22,3)</f>
        <v>3.4020000000000001</v>
      </c>
    </row>
    <row r="51" spans="1:4" x14ac:dyDescent="0.25">
      <c r="A51" s="23"/>
      <c r="B51" s="24" t="s">
        <v>15</v>
      </c>
      <c r="C51" s="52">
        <f>ROUND(C50+C19,3)</f>
        <v>0.97</v>
      </c>
      <c r="D51" s="52">
        <f>D50+D19</f>
        <v>19.402000000000001</v>
      </c>
    </row>
    <row r="52" spans="1:4" x14ac:dyDescent="0.25">
      <c r="A52" s="25"/>
      <c r="B52" s="26"/>
      <c r="C52" s="27"/>
      <c r="D52" s="27"/>
    </row>
    <row r="53" spans="1:4" x14ac:dyDescent="0.25">
      <c r="A53" s="26"/>
      <c r="B53" s="28"/>
      <c r="C53" s="28"/>
      <c r="D53" s="9"/>
    </row>
    <row r="54" spans="1:4" ht="15" customHeight="1" x14ac:dyDescent="0.25">
      <c r="A54" s="252" t="s">
        <v>16</v>
      </c>
      <c r="B54" s="253"/>
      <c r="C54" s="138">
        <v>20</v>
      </c>
      <c r="D54" s="29"/>
    </row>
    <row r="55" spans="1:4" ht="31.5" customHeight="1" x14ac:dyDescent="0.25">
      <c r="A55" s="254" t="s">
        <v>23</v>
      </c>
      <c r="B55" s="255"/>
      <c r="C55" s="139">
        <f>D51/C54</f>
        <v>0.97010000000000007</v>
      </c>
      <c r="D55" s="29"/>
    </row>
    <row r="56" spans="1:4" x14ac:dyDescent="0.25">
      <c r="A56" s="30"/>
      <c r="B56" s="30"/>
      <c r="C56" s="30"/>
      <c r="D56" s="30"/>
    </row>
    <row r="57" spans="1:4" x14ac:dyDescent="0.25">
      <c r="A57" s="30"/>
      <c r="B57" s="30"/>
      <c r="C57" s="30"/>
      <c r="D57" s="152"/>
    </row>
    <row r="58" spans="1:4" x14ac:dyDescent="0.25">
      <c r="A58" s="30"/>
      <c r="B58" s="30"/>
      <c r="C58" s="30"/>
      <c r="D58" s="152"/>
    </row>
    <row r="59" spans="1:4" x14ac:dyDescent="0.25">
      <c r="A59" s="30"/>
      <c r="B59" s="30"/>
      <c r="C59" s="30"/>
      <c r="D59" s="152"/>
    </row>
    <row r="60" spans="1:4" x14ac:dyDescent="0.25">
      <c r="A60" s="30"/>
      <c r="B60" s="30"/>
      <c r="C60" s="30"/>
      <c r="D60" s="30"/>
    </row>
    <row r="61" spans="1:4" x14ac:dyDescent="0.25">
      <c r="A61" s="231"/>
      <c r="B61" s="231"/>
      <c r="C61" s="9"/>
      <c r="D61" s="9"/>
    </row>
    <row r="62" spans="1:4" x14ac:dyDescent="0.25">
      <c r="A62" s="250"/>
      <c r="B62" s="231"/>
      <c r="C62" s="9"/>
      <c r="D62" s="9"/>
    </row>
    <row r="63" spans="1:4" x14ac:dyDescent="0.25">
      <c r="A63" s="154"/>
      <c r="B63" s="9"/>
      <c r="C63" s="31"/>
      <c r="D63" s="9"/>
    </row>
    <row r="64" spans="1:4" x14ac:dyDescent="0.25">
      <c r="A64" s="250"/>
      <c r="B64" s="250"/>
      <c r="C64" s="31"/>
      <c r="D64" s="9"/>
    </row>
  </sheetData>
  <customSheetViews>
    <customSheetView guid="{3046F990-4623-45D5-BDDC-01BD5999DDBC}" scale="60" showPageBreaks="1" fitToPage="1" printArea="1" view="pageBreakPreview">
      <selection activeCell="B53" sqref="B53"/>
      <rowBreaks count="1" manualBreakCount="1">
        <brk id="36" max="3" man="1"/>
      </rowBreaks>
      <pageMargins left="0.70866141732283472" right="0.70866141732283472" top="0.74803149606299213" bottom="0.74803149606299213" header="0.31496062992125984" footer="0.31496062992125984"/>
      <pageSetup paperSize="9" scale="63" fitToHeight="0" orientation="portrait" r:id="rId1"/>
      <headerFooter>
        <oddFooter>&amp;C&amp;P</oddFooter>
      </headerFooter>
    </customSheetView>
    <customSheetView guid="{FC502735-BE91-49EC-9614-36ECAE88D000}" scale="60" showPageBreaks="1" fitToPage="1" printArea="1" view="pageBreakPreview">
      <selection activeCell="C39" sqref="C39"/>
      <rowBreaks count="1" manualBreakCount="1">
        <brk id="36" max="3" man="1"/>
      </rowBreaks>
      <pageMargins left="0.70866141732283472" right="0.70866141732283472" top="0.74803149606299213" bottom="0.74803149606299213" header="0.31496062992125984" footer="0.31496062992125984"/>
      <pageSetup paperSize="9" scale="63" fitToHeight="0" orientation="portrait" r:id="rId2"/>
      <headerFooter>
        <oddFooter>&amp;C&amp;P</oddFooter>
      </headerFooter>
    </customSheetView>
    <customSheetView guid="{2CF5EF93-C226-48EA-959E-36D142677DAA}" scale="60" showPageBreaks="1" fitToPage="1" printArea="1" view="pageBreakPreview">
      <selection activeCell="A6" sqref="A6:D6"/>
      <rowBreaks count="1" manualBreakCount="1">
        <brk id="36" max="3" man="1"/>
      </rowBreaks>
      <pageMargins left="0.70866141732283472" right="0.70866141732283472" top="0.74803149606299213" bottom="0.74803149606299213" header="0.31496062992125984" footer="0.31496062992125984"/>
      <pageSetup paperSize="9" scale="64" fitToHeight="0" orientation="portrait" r:id="rId3"/>
      <headerFooter>
        <oddFooter>&amp;C&amp;P</oddFooter>
      </headerFooter>
    </customSheetView>
  </customSheetViews>
  <mergeCells count="10">
    <mergeCell ref="A62:B62"/>
    <mergeCell ref="A64:B64"/>
    <mergeCell ref="A55:B55"/>
    <mergeCell ref="C3:D3"/>
    <mergeCell ref="A54:B54"/>
    <mergeCell ref="A2:D2"/>
    <mergeCell ref="A6:D6"/>
    <mergeCell ref="A8:B8"/>
    <mergeCell ref="A10:B10"/>
    <mergeCell ref="A61:B61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4"/>
  <headerFooter>
    <oddFooter>&amp;C&amp;P</oddFooter>
  </headerFooter>
  <rowBreaks count="1" manualBreakCount="1">
    <brk id="36" max="3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view="pageBreakPreview" zoomScale="60" zoomScaleNormal="100" workbookViewId="0">
      <selection activeCell="A6" sqref="A6:D6"/>
    </sheetView>
  </sheetViews>
  <sheetFormatPr defaultRowHeight="15" x14ac:dyDescent="0.25"/>
  <cols>
    <col min="1" max="1" width="15.5703125" customWidth="1"/>
    <col min="2" max="2" width="88.28515625" customWidth="1"/>
    <col min="3" max="3" width="18.85546875" customWidth="1"/>
    <col min="4" max="4" width="17.28515625" customWidth="1"/>
  </cols>
  <sheetData>
    <row r="1" spans="1:10" ht="18.75" x14ac:dyDescent="0.3">
      <c r="A1" s="4"/>
      <c r="B1" s="5"/>
      <c r="C1" s="35"/>
      <c r="D1" s="5"/>
    </row>
    <row r="2" spans="1:10" ht="15.75" customHeight="1" x14ac:dyDescent="0.25">
      <c r="A2" s="256" t="s">
        <v>307</v>
      </c>
      <c r="B2" s="256"/>
      <c r="C2" s="256"/>
      <c r="D2" s="256"/>
    </row>
    <row r="3" spans="1:10" ht="15" customHeight="1" x14ac:dyDescent="0.25">
      <c r="A3" s="4"/>
      <c r="B3" s="4"/>
      <c r="C3" s="273"/>
      <c r="D3" s="274"/>
    </row>
    <row r="4" spans="1:10" ht="15.75" x14ac:dyDescent="0.25">
      <c r="A4" s="186" t="s">
        <v>723</v>
      </c>
      <c r="B4" s="32"/>
      <c r="C4" s="32"/>
      <c r="D4" s="32"/>
    </row>
    <row r="5" spans="1:10" x14ac:dyDescent="0.25">
      <c r="A5" s="4"/>
      <c r="B5" s="33"/>
      <c r="C5" s="33"/>
      <c r="D5" s="9"/>
    </row>
    <row r="6" spans="1:10" ht="18.75" customHeight="1" x14ac:dyDescent="0.25">
      <c r="A6" s="277" t="s">
        <v>1048</v>
      </c>
      <c r="B6" s="277"/>
      <c r="C6" s="277"/>
      <c r="D6" s="277"/>
    </row>
    <row r="7" spans="1:10" ht="14.25" customHeight="1" x14ac:dyDescent="0.25">
      <c r="A7" s="180"/>
      <c r="B7" s="34"/>
      <c r="C7" s="34"/>
      <c r="D7" s="9"/>
      <c r="E7" s="51"/>
      <c r="F7" s="51"/>
      <c r="G7" s="51"/>
      <c r="H7" s="51"/>
      <c r="I7" s="51"/>
      <c r="J7" s="51"/>
    </row>
    <row r="8" spans="1:10" x14ac:dyDescent="0.25">
      <c r="A8" s="270" t="s">
        <v>309</v>
      </c>
      <c r="B8" s="271"/>
      <c r="C8" s="34"/>
      <c r="D8" s="9"/>
    </row>
    <row r="9" spans="1:10" ht="15" customHeight="1" x14ac:dyDescent="0.25">
      <c r="A9" s="183"/>
      <c r="B9" s="184"/>
      <c r="C9" s="34"/>
      <c r="D9" s="9"/>
    </row>
    <row r="10" spans="1:10" ht="15.75" x14ac:dyDescent="0.25">
      <c r="A10" s="251" t="s">
        <v>727</v>
      </c>
      <c r="B10" s="251"/>
      <c r="C10" s="34"/>
      <c r="D10" s="9"/>
    </row>
    <row r="11" spans="1:10" ht="87" customHeight="1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10" x14ac:dyDescent="0.25">
      <c r="A12" s="13">
        <v>1</v>
      </c>
      <c r="B12" s="14">
        <v>2</v>
      </c>
      <c r="C12" s="13">
        <v>3</v>
      </c>
      <c r="D12" s="13">
        <v>4</v>
      </c>
    </row>
    <row r="13" spans="1:10" x14ac:dyDescent="0.25">
      <c r="A13" s="15"/>
      <c r="B13" s="22" t="s">
        <v>13</v>
      </c>
      <c r="C13" s="17"/>
      <c r="D13" s="17"/>
    </row>
    <row r="14" spans="1:10" x14ac:dyDescent="0.25">
      <c r="A14" s="37">
        <v>1100</v>
      </c>
      <c r="B14" s="16" t="s">
        <v>14</v>
      </c>
      <c r="C14" s="38"/>
      <c r="D14" s="38"/>
    </row>
    <row r="15" spans="1:10" ht="122.25" customHeight="1" x14ac:dyDescent="0.25">
      <c r="A15" s="18"/>
      <c r="B15" s="157" t="s">
        <v>705</v>
      </c>
      <c r="C15" s="55">
        <f>0.08*27+0.15*5</f>
        <v>2.91</v>
      </c>
      <c r="D15" s="55">
        <f>C15*10</f>
        <v>29.1</v>
      </c>
    </row>
    <row r="16" spans="1:10" ht="33.75" customHeight="1" x14ac:dyDescent="0.25">
      <c r="A16" s="18">
        <v>1200</v>
      </c>
      <c r="B16" s="158" t="s">
        <v>296</v>
      </c>
      <c r="C16" s="55">
        <f>ROUND(C15*0.2359,2)</f>
        <v>0.69</v>
      </c>
      <c r="D16" s="55">
        <v>6.9</v>
      </c>
    </row>
    <row r="17" spans="1:4" ht="17.25" customHeight="1" x14ac:dyDescent="0.25">
      <c r="A17" s="18">
        <v>2341</v>
      </c>
      <c r="B17" s="18" t="s">
        <v>77</v>
      </c>
      <c r="C17" s="19"/>
      <c r="D17" s="19"/>
    </row>
    <row r="18" spans="1:4" ht="65.25" customHeight="1" x14ac:dyDescent="0.25">
      <c r="A18" s="18"/>
      <c r="B18" s="158" t="s">
        <v>225</v>
      </c>
      <c r="C18" s="55">
        <f>ROUND(1.1+0.004+0.1+0.06,2)</f>
        <v>1.26</v>
      </c>
      <c r="D18" s="55">
        <f>C18*10</f>
        <v>12.6</v>
      </c>
    </row>
    <row r="19" spans="1:4" x14ac:dyDescent="0.25">
      <c r="A19" s="74"/>
      <c r="B19" s="159" t="s">
        <v>2</v>
      </c>
      <c r="C19" s="71">
        <f>SUM(C14:C18)</f>
        <v>4.8600000000000003</v>
      </c>
      <c r="D19" s="71">
        <f>SUM(D14:D18)</f>
        <v>48.6</v>
      </c>
    </row>
    <row r="20" spans="1:4" x14ac:dyDescent="0.25">
      <c r="A20" s="18"/>
      <c r="B20" s="160" t="s">
        <v>20</v>
      </c>
      <c r="C20" s="19"/>
      <c r="D20" s="19"/>
    </row>
    <row r="21" spans="1:4" x14ac:dyDescent="0.25">
      <c r="A21" s="18">
        <v>2219</v>
      </c>
      <c r="B21" s="158" t="s">
        <v>3</v>
      </c>
      <c r="C21" s="19"/>
      <c r="D21" s="19"/>
    </row>
    <row r="22" spans="1:4" ht="66" customHeight="1" x14ac:dyDescent="0.25">
      <c r="A22" s="18"/>
      <c r="B22" s="158" t="s">
        <v>912</v>
      </c>
      <c r="C22" s="40">
        <f>ROUND(1.33/23775,4)</f>
        <v>1E-4</v>
      </c>
      <c r="D22" s="36">
        <f>C22*10</f>
        <v>1E-3</v>
      </c>
    </row>
    <row r="23" spans="1:4" x14ac:dyDescent="0.25">
      <c r="A23" s="18">
        <v>2221</v>
      </c>
      <c r="B23" s="158" t="s">
        <v>4</v>
      </c>
      <c r="C23" s="19"/>
      <c r="D23" s="19"/>
    </row>
    <row r="24" spans="1:4" ht="51" customHeight="1" x14ac:dyDescent="0.25">
      <c r="A24" s="18"/>
      <c r="B24" s="158" t="s">
        <v>706</v>
      </c>
      <c r="C24" s="55">
        <f>ROUND(400.38/23775,2)</f>
        <v>0.02</v>
      </c>
      <c r="D24" s="55">
        <f>C24*10</f>
        <v>0.2</v>
      </c>
    </row>
    <row r="25" spans="1:4" ht="15" customHeight="1" x14ac:dyDescent="0.25">
      <c r="A25" s="18">
        <v>2222</v>
      </c>
      <c r="B25" s="158" t="s">
        <v>5</v>
      </c>
      <c r="C25" s="19"/>
      <c r="D25" s="19"/>
    </row>
    <row r="26" spans="1:4" ht="44.25" customHeight="1" x14ac:dyDescent="0.25">
      <c r="A26" s="18"/>
      <c r="B26" s="158" t="s">
        <v>910</v>
      </c>
      <c r="C26" s="36">
        <f>ROUND(17.99/23775,3)</f>
        <v>1E-3</v>
      </c>
      <c r="D26" s="55">
        <f>C26*10</f>
        <v>0.01</v>
      </c>
    </row>
    <row r="27" spans="1:4" x14ac:dyDescent="0.25">
      <c r="A27" s="18">
        <v>2223</v>
      </c>
      <c r="B27" s="18" t="s">
        <v>6</v>
      </c>
      <c r="C27" s="19"/>
      <c r="D27" s="19"/>
    </row>
    <row r="28" spans="1:4" ht="48" customHeight="1" x14ac:dyDescent="0.25">
      <c r="A28" s="18"/>
      <c r="B28" s="158" t="s">
        <v>227</v>
      </c>
      <c r="C28" s="55">
        <f>ROUND(714.58/23775,2)</f>
        <v>0.03</v>
      </c>
      <c r="D28" s="55">
        <f>C28*10</f>
        <v>0.3</v>
      </c>
    </row>
    <row r="29" spans="1:4" x14ac:dyDescent="0.25">
      <c r="A29" s="18">
        <v>2224</v>
      </c>
      <c r="B29" s="158" t="s">
        <v>7</v>
      </c>
      <c r="C29" s="19"/>
      <c r="D29" s="19"/>
    </row>
    <row r="30" spans="1:4" ht="49.5" customHeight="1" x14ac:dyDescent="0.25">
      <c r="A30" s="18"/>
      <c r="B30" s="158" t="s">
        <v>911</v>
      </c>
      <c r="C30" s="36">
        <f>ROUND(16.59/23775,3)</f>
        <v>1E-3</v>
      </c>
      <c r="D30" s="55">
        <f>C30*10</f>
        <v>0.01</v>
      </c>
    </row>
    <row r="31" spans="1:4" x14ac:dyDescent="0.25">
      <c r="A31" s="45">
        <v>2231</v>
      </c>
      <c r="B31" s="158" t="s">
        <v>22</v>
      </c>
      <c r="C31" s="36"/>
      <c r="D31" s="19"/>
    </row>
    <row r="32" spans="1:4" ht="135.75" customHeight="1" x14ac:dyDescent="0.25">
      <c r="A32" s="45"/>
      <c r="B32" s="158" t="s">
        <v>228</v>
      </c>
      <c r="C32" s="55">
        <f>ROUND(1201.87/23775,2)</f>
        <v>0.05</v>
      </c>
      <c r="D32" s="55">
        <f>C32*10</f>
        <v>0.5</v>
      </c>
    </row>
    <row r="33" spans="1:4" ht="17.25" customHeight="1" x14ac:dyDescent="0.25">
      <c r="A33" s="45">
        <v>2243</v>
      </c>
      <c r="B33" s="158" t="s">
        <v>132</v>
      </c>
      <c r="C33" s="55"/>
      <c r="D33" s="55"/>
    </row>
    <row r="34" spans="1:4" ht="48.75" customHeight="1" x14ac:dyDescent="0.25">
      <c r="A34" s="45"/>
      <c r="B34" s="158" t="s">
        <v>229</v>
      </c>
      <c r="C34" s="55">
        <f>ROUND(762.14/23775,2)</f>
        <v>0.03</v>
      </c>
      <c r="D34" s="55">
        <f>C34*10</f>
        <v>0.3</v>
      </c>
    </row>
    <row r="35" spans="1:4" x14ac:dyDescent="0.25">
      <c r="A35" s="18">
        <v>2244</v>
      </c>
      <c r="B35" s="158" t="s">
        <v>24</v>
      </c>
      <c r="C35" s="19"/>
      <c r="D35" s="19"/>
    </row>
    <row r="36" spans="1:4" ht="47.25" customHeight="1" x14ac:dyDescent="0.25">
      <c r="A36" s="21"/>
      <c r="B36" s="158" t="s">
        <v>230</v>
      </c>
      <c r="C36" s="55">
        <f>ROUND(509.04/23775,2)</f>
        <v>0.02</v>
      </c>
      <c r="D36" s="55">
        <f>C36*10</f>
        <v>0.2</v>
      </c>
    </row>
    <row r="37" spans="1:4" ht="46.5" customHeight="1" x14ac:dyDescent="0.25">
      <c r="A37" s="21"/>
      <c r="B37" s="179" t="s">
        <v>707</v>
      </c>
      <c r="C37" s="40">
        <f>ROUND(2.93/23775,4)</f>
        <v>1E-4</v>
      </c>
      <c r="D37" s="36">
        <f>C37*10</f>
        <v>1E-3</v>
      </c>
    </row>
    <row r="38" spans="1:4" s="116" customFormat="1" x14ac:dyDescent="0.25">
      <c r="A38" s="45">
        <v>2249</v>
      </c>
      <c r="B38" s="158" t="s">
        <v>8</v>
      </c>
      <c r="C38" s="103"/>
      <c r="D38" s="103"/>
    </row>
    <row r="39" spans="1:4" ht="51" customHeight="1" x14ac:dyDescent="0.25">
      <c r="A39" s="18"/>
      <c r="B39" s="158" t="s">
        <v>708</v>
      </c>
      <c r="C39" s="40">
        <f>ROUND(3.7/23775,4)</f>
        <v>2.0000000000000001E-4</v>
      </c>
      <c r="D39" s="36">
        <f>C39*10</f>
        <v>2E-3</v>
      </c>
    </row>
    <row r="40" spans="1:4" x14ac:dyDescent="0.25">
      <c r="A40" s="18">
        <v>2311</v>
      </c>
      <c r="B40" s="158" t="s">
        <v>9</v>
      </c>
      <c r="C40" s="36"/>
      <c r="D40" s="19"/>
    </row>
    <row r="41" spans="1:4" ht="47.25" customHeight="1" x14ac:dyDescent="0.25">
      <c r="A41" s="18"/>
      <c r="B41" s="158" t="s">
        <v>233</v>
      </c>
      <c r="C41" s="36">
        <f>ROUND(35.18/23775,3)</f>
        <v>1E-3</v>
      </c>
      <c r="D41" s="55">
        <f>C41*10</f>
        <v>0.01</v>
      </c>
    </row>
    <row r="42" spans="1:4" x14ac:dyDescent="0.25">
      <c r="A42" s="18">
        <v>2350</v>
      </c>
      <c r="B42" s="158" t="s">
        <v>21</v>
      </c>
      <c r="C42" s="36"/>
      <c r="D42" s="19"/>
    </row>
    <row r="43" spans="1:4" ht="49.5" customHeight="1" x14ac:dyDescent="0.25">
      <c r="A43" s="18"/>
      <c r="B43" s="158" t="s">
        <v>234</v>
      </c>
      <c r="C43" s="55">
        <f>ROUND(367.54/23775,2)</f>
        <v>0.02</v>
      </c>
      <c r="D43" s="55">
        <f>C43*10</f>
        <v>0.2</v>
      </c>
    </row>
    <row r="44" spans="1:4" ht="17.25" customHeight="1" x14ac:dyDescent="0.25">
      <c r="A44" s="18">
        <v>2513</v>
      </c>
      <c r="B44" s="158" t="s">
        <v>133</v>
      </c>
      <c r="C44" s="40"/>
      <c r="D44" s="55"/>
    </row>
    <row r="45" spans="1:4" ht="49.5" customHeight="1" x14ac:dyDescent="0.25">
      <c r="A45" s="18"/>
      <c r="B45" s="158" t="s">
        <v>709</v>
      </c>
      <c r="C45" s="36">
        <f>ROUND(12.65/23775,3)</f>
        <v>1E-3</v>
      </c>
      <c r="D45" s="55">
        <f>C45*10</f>
        <v>0.01</v>
      </c>
    </row>
    <row r="46" spans="1:4" ht="17.25" customHeight="1" x14ac:dyDescent="0.25">
      <c r="A46" s="18">
        <v>5220</v>
      </c>
      <c r="B46" s="158" t="s">
        <v>136</v>
      </c>
      <c r="C46" s="40"/>
      <c r="D46" s="55"/>
    </row>
    <row r="47" spans="1:4" ht="30.75" customHeight="1" x14ac:dyDescent="0.25">
      <c r="A47" s="18"/>
      <c r="B47" s="158" t="s">
        <v>710</v>
      </c>
      <c r="C47" s="40">
        <v>0</v>
      </c>
      <c r="D47" s="36">
        <v>0</v>
      </c>
    </row>
    <row r="48" spans="1:4" ht="17.25" customHeight="1" x14ac:dyDescent="0.25">
      <c r="A48" s="18">
        <v>5238</v>
      </c>
      <c r="B48" s="158" t="s">
        <v>134</v>
      </c>
      <c r="C48" s="40"/>
      <c r="D48" s="55"/>
    </row>
    <row r="49" spans="1:4" ht="49.5" customHeight="1" x14ac:dyDescent="0.25">
      <c r="A49" s="18"/>
      <c r="B49" s="158" t="s">
        <v>711</v>
      </c>
      <c r="C49" s="36">
        <f>ROUND(21.81/23775,3)</f>
        <v>1E-3</v>
      </c>
      <c r="D49" s="55">
        <f>C49*10</f>
        <v>0.01</v>
      </c>
    </row>
    <row r="50" spans="1:4" x14ac:dyDescent="0.25">
      <c r="A50" s="68"/>
      <c r="B50" s="72" t="s">
        <v>10</v>
      </c>
      <c r="C50" s="71">
        <f>ROUND(C49+C47+C45+C43+C41+C39+C37+C36+C34+C32+C30+C28+C26+C24+C22,3)</f>
        <v>0.17499999999999999</v>
      </c>
      <c r="D50" s="71">
        <f>ROUND(D49+D47+D45+D43+D41+D39+D37+D36+D34+D32+D30+D28+D26+D24+D22,2)</f>
        <v>1.75</v>
      </c>
    </row>
    <row r="51" spans="1:4" x14ac:dyDescent="0.25">
      <c r="A51" s="23"/>
      <c r="B51" s="24" t="s">
        <v>15</v>
      </c>
      <c r="C51" s="52">
        <f>ROUND(C50+C19,3)</f>
        <v>5.0350000000000001</v>
      </c>
      <c r="D51" s="197">
        <f>D50+D19</f>
        <v>50.35</v>
      </c>
    </row>
    <row r="52" spans="1:4" x14ac:dyDescent="0.25">
      <c r="A52" s="25"/>
      <c r="B52" s="26"/>
      <c r="C52" s="27"/>
      <c r="D52" s="27"/>
    </row>
    <row r="53" spans="1:4" x14ac:dyDescent="0.25">
      <c r="A53" s="26"/>
      <c r="B53" s="28"/>
      <c r="C53" s="28"/>
      <c r="D53" s="9"/>
    </row>
    <row r="54" spans="1:4" ht="15" customHeight="1" x14ac:dyDescent="0.25">
      <c r="A54" s="252" t="s">
        <v>16</v>
      </c>
      <c r="B54" s="253"/>
      <c r="C54" s="138">
        <v>10</v>
      </c>
      <c r="D54" s="29"/>
    </row>
    <row r="55" spans="1:4" ht="33" customHeight="1" x14ac:dyDescent="0.25">
      <c r="A55" s="254" t="s">
        <v>23</v>
      </c>
      <c r="B55" s="255"/>
      <c r="C55" s="139">
        <f>D51/C54</f>
        <v>5.0350000000000001</v>
      </c>
      <c r="D55" s="29"/>
    </row>
    <row r="56" spans="1:4" x14ac:dyDescent="0.25">
      <c r="A56" s="30"/>
      <c r="B56" s="30"/>
      <c r="C56" s="30"/>
      <c r="D56" s="30"/>
    </row>
    <row r="57" spans="1:4" x14ac:dyDescent="0.25">
      <c r="A57" s="30"/>
      <c r="B57" s="30"/>
      <c r="C57" s="30"/>
      <c r="D57" s="152"/>
    </row>
    <row r="58" spans="1:4" x14ac:dyDescent="0.25">
      <c r="A58" s="30"/>
      <c r="B58" s="30"/>
      <c r="C58" s="30"/>
      <c r="D58" s="152"/>
    </row>
    <row r="59" spans="1:4" x14ac:dyDescent="0.25">
      <c r="A59" s="30"/>
      <c r="B59" s="30"/>
      <c r="C59" s="30"/>
      <c r="D59" s="152"/>
    </row>
    <row r="60" spans="1:4" x14ac:dyDescent="0.25">
      <c r="A60" s="30"/>
      <c r="B60" s="30"/>
      <c r="C60" s="30"/>
      <c r="D60" s="30"/>
    </row>
    <row r="61" spans="1:4" x14ac:dyDescent="0.25">
      <c r="A61" s="231"/>
      <c r="B61" s="231"/>
      <c r="C61" s="9"/>
      <c r="D61" s="9"/>
    </row>
    <row r="62" spans="1:4" x14ac:dyDescent="0.25">
      <c r="A62" s="250"/>
      <c r="B62" s="231"/>
      <c r="C62" s="9"/>
      <c r="D62" s="9"/>
    </row>
    <row r="63" spans="1:4" x14ac:dyDescent="0.25">
      <c r="A63" s="154"/>
      <c r="B63" s="9"/>
      <c r="C63" s="31"/>
      <c r="D63" s="9"/>
    </row>
    <row r="64" spans="1:4" x14ac:dyDescent="0.25">
      <c r="A64" s="250"/>
      <c r="B64" s="250"/>
      <c r="C64" s="31"/>
      <c r="D64" s="9"/>
    </row>
  </sheetData>
  <customSheetViews>
    <customSheetView guid="{3046F990-4623-45D5-BDDC-01BD5999DDBC}" scale="60" showPageBreaks="1" fitToPage="1" printArea="1" view="pageBreakPreview">
      <selection activeCell="B53" sqref="B53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2" fitToHeight="0" orientation="portrait" verticalDpi="0" r:id="rId1"/>
      <headerFooter>
        <oddFooter>&amp;C&amp;P</oddFooter>
      </headerFooter>
    </customSheetView>
    <customSheetView guid="{FC502735-BE91-49EC-9614-36ECAE88D000}" scale="60" showPageBreaks="1" fitToPage="1" printArea="1" view="pageBreakPreview" topLeftCell="A34">
      <selection activeCell="B34" sqref="B34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2" fitToHeight="0" orientation="portrait" verticalDpi="0" r:id="rId2"/>
      <headerFooter>
        <oddFooter>&amp;C&amp;P</oddFooter>
      </headerFooter>
    </customSheetView>
    <customSheetView guid="{2CF5EF93-C226-48EA-959E-36D142677DAA}" scale="60" showPageBreaks="1" fitToPage="1" printArea="1" view="pageBreakPreview">
      <selection activeCell="A6" sqref="A6:D6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3" fitToHeight="0" orientation="portrait" r:id="rId3"/>
      <headerFooter>
        <oddFooter>&amp;C&amp;P</oddFooter>
      </headerFooter>
    </customSheetView>
  </customSheetViews>
  <mergeCells count="10">
    <mergeCell ref="A62:B62"/>
    <mergeCell ref="A64:B64"/>
    <mergeCell ref="A55:B55"/>
    <mergeCell ref="C3:D3"/>
    <mergeCell ref="A54:B54"/>
    <mergeCell ref="A2:D2"/>
    <mergeCell ref="A6:D6"/>
    <mergeCell ref="A8:B8"/>
    <mergeCell ref="A10:B10"/>
    <mergeCell ref="A61:B61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4"/>
  <headerFooter>
    <oddFooter>&amp;C&amp;P</oddFooter>
  </headerFooter>
  <rowBreaks count="1" manualBreakCount="1">
    <brk id="34" max="3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view="pageBreakPreview" zoomScale="60" zoomScaleNormal="100" workbookViewId="0">
      <selection activeCell="A6" sqref="A6:D6"/>
    </sheetView>
  </sheetViews>
  <sheetFormatPr defaultRowHeight="15" x14ac:dyDescent="0.25"/>
  <cols>
    <col min="2" max="2" width="94" customWidth="1"/>
    <col min="3" max="3" width="18" customWidth="1"/>
    <col min="4" max="4" width="22" customWidth="1"/>
  </cols>
  <sheetData>
    <row r="1" spans="1:10" ht="18.75" x14ac:dyDescent="0.3">
      <c r="A1" s="4"/>
      <c r="B1" s="5"/>
      <c r="C1" s="35"/>
      <c r="D1" s="5"/>
    </row>
    <row r="2" spans="1:10" ht="15.75" customHeight="1" x14ac:dyDescent="0.25">
      <c r="A2" s="256" t="s">
        <v>307</v>
      </c>
      <c r="B2" s="256"/>
      <c r="C2" s="256"/>
      <c r="D2" s="256"/>
    </row>
    <row r="3" spans="1:10" ht="15" customHeight="1" x14ac:dyDescent="0.25">
      <c r="A3" s="4"/>
      <c r="B3" s="4"/>
      <c r="C3" s="273"/>
      <c r="D3" s="274"/>
    </row>
    <row r="4" spans="1:10" ht="15.75" x14ac:dyDescent="0.25">
      <c r="A4" s="186" t="s">
        <v>723</v>
      </c>
      <c r="B4" s="32"/>
      <c r="C4" s="32"/>
      <c r="D4" s="32"/>
    </row>
    <row r="5" spans="1:10" x14ac:dyDescent="0.25">
      <c r="A5" s="4"/>
      <c r="B5" s="33"/>
      <c r="C5" s="33"/>
      <c r="D5" s="9"/>
    </row>
    <row r="6" spans="1:10" ht="15.75" x14ac:dyDescent="0.25">
      <c r="A6" s="277" t="s">
        <v>1049</v>
      </c>
      <c r="B6" s="277"/>
      <c r="C6" s="277"/>
      <c r="D6" s="277"/>
    </row>
    <row r="7" spans="1:10" ht="14.25" customHeight="1" x14ac:dyDescent="0.25">
      <c r="A7" s="180"/>
      <c r="B7" s="34"/>
      <c r="C7" s="34"/>
      <c r="D7" s="9"/>
      <c r="E7" s="51"/>
      <c r="F7" s="51"/>
      <c r="G7" s="51"/>
      <c r="H7" s="51"/>
      <c r="I7" s="51"/>
      <c r="J7" s="51"/>
    </row>
    <row r="8" spans="1:10" x14ac:dyDescent="0.25">
      <c r="A8" s="270" t="s">
        <v>309</v>
      </c>
      <c r="B8" s="271"/>
      <c r="C8" s="34"/>
      <c r="D8" s="9"/>
    </row>
    <row r="9" spans="1:10" ht="15" customHeight="1" x14ac:dyDescent="0.25">
      <c r="A9" s="183"/>
      <c r="B9" s="184"/>
      <c r="C9" s="34"/>
      <c r="D9" s="9"/>
    </row>
    <row r="10" spans="1:10" ht="15.75" x14ac:dyDescent="0.25">
      <c r="A10" s="251" t="s">
        <v>727</v>
      </c>
      <c r="B10" s="251"/>
      <c r="C10" s="34"/>
      <c r="D10" s="9"/>
    </row>
    <row r="11" spans="1:10" ht="91.5" customHeight="1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10" x14ac:dyDescent="0.25">
      <c r="A12" s="13">
        <v>1</v>
      </c>
      <c r="B12" s="14">
        <v>2</v>
      </c>
      <c r="C12" s="13">
        <v>3</v>
      </c>
      <c r="D12" s="13">
        <v>4</v>
      </c>
    </row>
    <row r="13" spans="1:10" x14ac:dyDescent="0.25">
      <c r="A13" s="15"/>
      <c r="B13" s="22" t="s">
        <v>13</v>
      </c>
      <c r="C13" s="17"/>
      <c r="D13" s="17"/>
    </row>
    <row r="14" spans="1:10" x14ac:dyDescent="0.25">
      <c r="A14" s="37">
        <v>1100</v>
      </c>
      <c r="B14" s="16" t="s">
        <v>14</v>
      </c>
      <c r="C14" s="38"/>
      <c r="D14" s="38"/>
    </row>
    <row r="15" spans="1:10" ht="105" customHeight="1" x14ac:dyDescent="0.25">
      <c r="A15" s="18"/>
      <c r="B15" s="157" t="s">
        <v>235</v>
      </c>
      <c r="C15" s="55">
        <f>0.08*18+0.15*5</f>
        <v>2.19</v>
      </c>
      <c r="D15" s="55">
        <f>C15*10</f>
        <v>21.9</v>
      </c>
    </row>
    <row r="16" spans="1:10" ht="32.25" customHeight="1" x14ac:dyDescent="0.25">
      <c r="A16" s="18">
        <v>1200</v>
      </c>
      <c r="B16" s="158" t="s">
        <v>297</v>
      </c>
      <c r="C16" s="55">
        <f>ROUND(C15*0.2359,2)</f>
        <v>0.52</v>
      </c>
      <c r="D16" s="55">
        <v>5.2</v>
      </c>
    </row>
    <row r="17" spans="1:4" ht="17.25" customHeight="1" x14ac:dyDescent="0.25">
      <c r="A17" s="18">
        <v>2341</v>
      </c>
      <c r="B17" s="18" t="s">
        <v>77</v>
      </c>
      <c r="C17" s="19"/>
      <c r="D17" s="19"/>
    </row>
    <row r="18" spans="1:4" ht="66" customHeight="1" x14ac:dyDescent="0.25">
      <c r="A18" s="18"/>
      <c r="B18" s="158" t="s">
        <v>713</v>
      </c>
      <c r="C18" s="55">
        <f>ROUND(0.67+0.004+0.1+0.06,2)</f>
        <v>0.83</v>
      </c>
      <c r="D18" s="55">
        <f>0.83*10</f>
        <v>8.2999999999999989</v>
      </c>
    </row>
    <row r="19" spans="1:4" x14ac:dyDescent="0.25">
      <c r="A19" s="74"/>
      <c r="B19" s="159" t="s">
        <v>2</v>
      </c>
      <c r="C19" s="71">
        <f>SUM(C14:C18)</f>
        <v>3.54</v>
      </c>
      <c r="D19" s="71">
        <f>SUM(D14:D18)</f>
        <v>35.4</v>
      </c>
    </row>
    <row r="20" spans="1:4" x14ac:dyDescent="0.25">
      <c r="A20" s="18"/>
      <c r="B20" s="160" t="s">
        <v>20</v>
      </c>
      <c r="C20" s="19"/>
      <c r="D20" s="19"/>
    </row>
    <row r="21" spans="1:4" x14ac:dyDescent="0.25">
      <c r="A21" s="18">
        <v>2219</v>
      </c>
      <c r="B21" s="158" t="s">
        <v>3</v>
      </c>
      <c r="C21" s="19"/>
      <c r="D21" s="19"/>
    </row>
    <row r="22" spans="1:4" ht="65.25" customHeight="1" x14ac:dyDescent="0.25">
      <c r="A22" s="18"/>
      <c r="B22" s="158" t="s">
        <v>912</v>
      </c>
      <c r="C22" s="40">
        <f>ROUND(1.33/23775,4)</f>
        <v>1E-4</v>
      </c>
      <c r="D22" s="36">
        <f>C22*10</f>
        <v>1E-3</v>
      </c>
    </row>
    <row r="23" spans="1:4" x14ac:dyDescent="0.25">
      <c r="A23" s="18">
        <v>2221</v>
      </c>
      <c r="B23" s="158" t="s">
        <v>4</v>
      </c>
      <c r="C23" s="19"/>
      <c r="D23" s="19"/>
    </row>
    <row r="24" spans="1:4" ht="51" customHeight="1" x14ac:dyDescent="0.25">
      <c r="A24" s="18"/>
      <c r="B24" s="158" t="s">
        <v>226</v>
      </c>
      <c r="C24" s="55">
        <f>ROUND(400.38/23775,2)</f>
        <v>0.02</v>
      </c>
      <c r="D24" s="55">
        <f>C24*10</f>
        <v>0.2</v>
      </c>
    </row>
    <row r="25" spans="1:4" ht="15" customHeight="1" x14ac:dyDescent="0.25">
      <c r="A25" s="18">
        <v>2222</v>
      </c>
      <c r="B25" s="158" t="s">
        <v>5</v>
      </c>
      <c r="C25" s="19"/>
      <c r="D25" s="19"/>
    </row>
    <row r="26" spans="1:4" ht="49.5" customHeight="1" x14ac:dyDescent="0.25">
      <c r="A26" s="18"/>
      <c r="B26" s="158" t="s">
        <v>913</v>
      </c>
      <c r="C26" s="36">
        <f>ROUND(17.99/23775,3)</f>
        <v>1E-3</v>
      </c>
      <c r="D26" s="55">
        <f>C26*10</f>
        <v>0.01</v>
      </c>
    </row>
    <row r="27" spans="1:4" x14ac:dyDescent="0.25">
      <c r="A27" s="18">
        <v>2223</v>
      </c>
      <c r="B27" s="18" t="s">
        <v>6</v>
      </c>
      <c r="C27" s="19"/>
      <c r="D27" s="19"/>
    </row>
    <row r="28" spans="1:4" ht="48" customHeight="1" x14ac:dyDescent="0.25">
      <c r="A28" s="18"/>
      <c r="B28" s="158" t="s">
        <v>227</v>
      </c>
      <c r="C28" s="55">
        <f>ROUND(714.58/23775,2)</f>
        <v>0.03</v>
      </c>
      <c r="D28" s="55">
        <f>C28*10</f>
        <v>0.3</v>
      </c>
    </row>
    <row r="29" spans="1:4" x14ac:dyDescent="0.25">
      <c r="A29" s="18">
        <v>2224</v>
      </c>
      <c r="B29" s="158" t="s">
        <v>7</v>
      </c>
      <c r="C29" s="19"/>
      <c r="D29" s="19"/>
    </row>
    <row r="30" spans="1:4" ht="47.25" customHeight="1" x14ac:dyDescent="0.25">
      <c r="A30" s="18"/>
      <c r="B30" s="158" t="s">
        <v>914</v>
      </c>
      <c r="C30" s="36">
        <f>ROUND(16.59/23775,3)</f>
        <v>1E-3</v>
      </c>
      <c r="D30" s="55">
        <f>C30*10</f>
        <v>0.01</v>
      </c>
    </row>
    <row r="31" spans="1:4" x14ac:dyDescent="0.25">
      <c r="A31" s="45">
        <v>2231</v>
      </c>
      <c r="B31" s="158" t="s">
        <v>22</v>
      </c>
      <c r="C31" s="36"/>
      <c r="D31" s="19"/>
    </row>
    <row r="32" spans="1:4" ht="120.75" customHeight="1" x14ac:dyDescent="0.25">
      <c r="A32" s="45"/>
      <c r="B32" s="158" t="s">
        <v>228</v>
      </c>
      <c r="C32" s="55">
        <f>ROUND(1201.87/23775,2)</f>
        <v>0.05</v>
      </c>
      <c r="D32" s="55">
        <f>C32*10</f>
        <v>0.5</v>
      </c>
    </row>
    <row r="33" spans="1:4" ht="16.5" customHeight="1" x14ac:dyDescent="0.25">
      <c r="A33" s="45">
        <v>2243</v>
      </c>
      <c r="B33" s="158" t="s">
        <v>132</v>
      </c>
      <c r="C33" s="55"/>
      <c r="D33" s="55"/>
    </row>
    <row r="34" spans="1:4" ht="48" customHeight="1" x14ac:dyDescent="0.25">
      <c r="A34" s="45"/>
      <c r="B34" s="158" t="s">
        <v>915</v>
      </c>
      <c r="C34" s="55">
        <f>ROUND(762.14/23775,2)</f>
        <v>0.03</v>
      </c>
      <c r="D34" s="55">
        <f>C34*10</f>
        <v>0.3</v>
      </c>
    </row>
    <row r="35" spans="1:4" x14ac:dyDescent="0.25">
      <c r="A35" s="18">
        <v>2244</v>
      </c>
      <c r="B35" s="158" t="s">
        <v>24</v>
      </c>
      <c r="C35" s="19"/>
      <c r="D35" s="19"/>
    </row>
    <row r="36" spans="1:4" ht="50.25" customHeight="1" x14ac:dyDescent="0.25">
      <c r="A36" s="21"/>
      <c r="B36" s="158" t="s">
        <v>230</v>
      </c>
      <c r="C36" s="55">
        <f>ROUND(509.04/23775,2)</f>
        <v>0.02</v>
      </c>
      <c r="D36" s="55">
        <f>C36*10</f>
        <v>0.2</v>
      </c>
    </row>
    <row r="37" spans="1:4" ht="48.75" customHeight="1" x14ac:dyDescent="0.25">
      <c r="A37" s="21"/>
      <c r="B37" s="179" t="s">
        <v>231</v>
      </c>
      <c r="C37" s="40">
        <f>ROUND(2.93/23775,4)</f>
        <v>1E-4</v>
      </c>
      <c r="D37" s="36">
        <f>C37*10</f>
        <v>1E-3</v>
      </c>
    </row>
    <row r="38" spans="1:4" s="116" customFormat="1" x14ac:dyDescent="0.25">
      <c r="A38" s="45">
        <v>2249</v>
      </c>
      <c r="B38" s="158" t="s">
        <v>8</v>
      </c>
      <c r="C38" s="103"/>
      <c r="D38" s="103"/>
    </row>
    <row r="39" spans="1:4" ht="49.5" customHeight="1" x14ac:dyDescent="0.25">
      <c r="A39" s="18"/>
      <c r="B39" s="158" t="s">
        <v>708</v>
      </c>
      <c r="C39" s="40">
        <f>ROUND(3.7/23775,4)</f>
        <v>2.0000000000000001E-4</v>
      </c>
      <c r="D39" s="36">
        <f>C39*10</f>
        <v>2E-3</v>
      </c>
    </row>
    <row r="40" spans="1:4" x14ac:dyDescent="0.25">
      <c r="A40" s="18">
        <v>2311</v>
      </c>
      <c r="B40" s="158" t="s">
        <v>9</v>
      </c>
      <c r="C40" s="36"/>
      <c r="D40" s="19"/>
    </row>
    <row r="41" spans="1:4" ht="51.75" customHeight="1" x14ac:dyDescent="0.25">
      <c r="A41" s="18"/>
      <c r="B41" s="158" t="s">
        <v>233</v>
      </c>
      <c r="C41" s="36">
        <f>ROUND(35.18/23775,3)</f>
        <v>1E-3</v>
      </c>
      <c r="D41" s="55">
        <f>C41*10</f>
        <v>0.01</v>
      </c>
    </row>
    <row r="42" spans="1:4" x14ac:dyDescent="0.25">
      <c r="A42" s="18">
        <v>2350</v>
      </c>
      <c r="B42" s="158" t="s">
        <v>21</v>
      </c>
      <c r="C42" s="36"/>
      <c r="D42" s="19"/>
    </row>
    <row r="43" spans="1:4" ht="49.5" customHeight="1" x14ac:dyDescent="0.25">
      <c r="A43" s="18"/>
      <c r="B43" s="158" t="s">
        <v>234</v>
      </c>
      <c r="C43" s="55">
        <f>ROUND(367.54/23775,2)</f>
        <v>0.02</v>
      </c>
      <c r="D43" s="55">
        <f>C43*10</f>
        <v>0.2</v>
      </c>
    </row>
    <row r="44" spans="1:4" ht="15" customHeight="1" x14ac:dyDescent="0.25">
      <c r="A44" s="18">
        <v>2513</v>
      </c>
      <c r="B44" s="158" t="s">
        <v>133</v>
      </c>
      <c r="C44" s="40"/>
      <c r="D44" s="55"/>
    </row>
    <row r="45" spans="1:4" ht="38.25" customHeight="1" x14ac:dyDescent="0.25">
      <c r="A45" s="18"/>
      <c r="B45" s="158" t="s">
        <v>714</v>
      </c>
      <c r="C45" s="36">
        <f>ROUND(12.65/23775,3)</f>
        <v>1E-3</v>
      </c>
      <c r="D45" s="55">
        <f>C45*10</f>
        <v>0.01</v>
      </c>
    </row>
    <row r="46" spans="1:4" ht="15.75" customHeight="1" x14ac:dyDescent="0.25">
      <c r="A46" s="18">
        <v>5220</v>
      </c>
      <c r="B46" s="158" t="s">
        <v>136</v>
      </c>
      <c r="C46" s="40"/>
      <c r="D46" s="55"/>
    </row>
    <row r="47" spans="1:4" ht="33" customHeight="1" x14ac:dyDescent="0.25">
      <c r="A47" s="18"/>
      <c r="B47" s="158" t="s">
        <v>712</v>
      </c>
      <c r="C47" s="40">
        <v>0</v>
      </c>
      <c r="D47" s="36">
        <v>0</v>
      </c>
    </row>
    <row r="48" spans="1:4" ht="15" customHeight="1" x14ac:dyDescent="0.25">
      <c r="A48" s="18">
        <v>5238</v>
      </c>
      <c r="B48" s="158" t="s">
        <v>134</v>
      </c>
      <c r="C48" s="40"/>
      <c r="D48" s="55"/>
    </row>
    <row r="49" spans="1:4" ht="32.25" customHeight="1" x14ac:dyDescent="0.25">
      <c r="A49" s="18"/>
      <c r="B49" s="158" t="s">
        <v>711</v>
      </c>
      <c r="C49" s="36">
        <f>ROUND(21.81/23775,3)</f>
        <v>1E-3</v>
      </c>
      <c r="D49" s="55">
        <f>C49*10</f>
        <v>0.01</v>
      </c>
    </row>
    <row r="50" spans="1:4" x14ac:dyDescent="0.25">
      <c r="A50" s="68"/>
      <c r="B50" s="72" t="s">
        <v>10</v>
      </c>
      <c r="C50" s="71">
        <f>ROUND(C49+C47+C45+C43+C41+C39+C37+C36+C34+C32+C30+C28+C26+C24+C22,3)</f>
        <v>0.17499999999999999</v>
      </c>
      <c r="D50" s="71">
        <f>ROUND(D49+D47+D45+D43+D41+D39+D37+D36+D34+D32+D30+D28+D26+D24+D22,3)</f>
        <v>1.754</v>
      </c>
    </row>
    <row r="51" spans="1:4" x14ac:dyDescent="0.25">
      <c r="A51" s="23"/>
      <c r="B51" s="24" t="s">
        <v>15</v>
      </c>
      <c r="C51" s="52">
        <f>ROUND(C50+C19,3)</f>
        <v>3.7149999999999999</v>
      </c>
      <c r="D51" s="52">
        <f>ROUND(D50+D19,3)</f>
        <v>37.154000000000003</v>
      </c>
    </row>
    <row r="52" spans="1:4" x14ac:dyDescent="0.25">
      <c r="A52" s="25"/>
      <c r="B52" s="26"/>
      <c r="C52" s="27"/>
      <c r="D52" s="27"/>
    </row>
    <row r="53" spans="1:4" x14ac:dyDescent="0.25">
      <c r="A53" s="26"/>
      <c r="B53" s="28"/>
      <c r="C53" s="28"/>
      <c r="D53" s="9"/>
    </row>
    <row r="54" spans="1:4" ht="15" customHeight="1" x14ac:dyDescent="0.25">
      <c r="A54" s="252" t="s">
        <v>16</v>
      </c>
      <c r="B54" s="253"/>
      <c r="C54" s="138">
        <v>10</v>
      </c>
      <c r="D54" s="29"/>
    </row>
    <row r="55" spans="1:4" ht="32.25" customHeight="1" x14ac:dyDescent="0.25">
      <c r="A55" s="254" t="s">
        <v>23</v>
      </c>
      <c r="B55" s="255"/>
      <c r="C55" s="139">
        <f>D51/C54</f>
        <v>3.7154000000000003</v>
      </c>
      <c r="D55" s="29"/>
    </row>
    <row r="56" spans="1:4" x14ac:dyDescent="0.25">
      <c r="A56" s="30"/>
      <c r="B56" s="30"/>
      <c r="C56" s="30"/>
      <c r="D56" s="30"/>
    </row>
    <row r="57" spans="1:4" x14ac:dyDescent="0.25">
      <c r="A57" s="30"/>
      <c r="B57" s="30"/>
      <c r="C57" s="30"/>
      <c r="D57" s="152"/>
    </row>
    <row r="58" spans="1:4" x14ac:dyDescent="0.25">
      <c r="A58" s="30"/>
      <c r="B58" s="30"/>
      <c r="C58" s="30"/>
      <c r="D58" s="152"/>
    </row>
    <row r="59" spans="1:4" x14ac:dyDescent="0.25">
      <c r="A59" s="30"/>
      <c r="B59" s="30"/>
      <c r="C59" s="30"/>
      <c r="D59" s="152"/>
    </row>
    <row r="60" spans="1:4" x14ac:dyDescent="0.25">
      <c r="A60" s="30"/>
      <c r="B60" s="30"/>
      <c r="C60" s="30"/>
      <c r="D60" s="30"/>
    </row>
    <row r="61" spans="1:4" x14ac:dyDescent="0.25">
      <c r="A61" s="231"/>
      <c r="B61" s="231"/>
      <c r="C61" s="9"/>
      <c r="D61" s="9"/>
    </row>
    <row r="62" spans="1:4" x14ac:dyDescent="0.25">
      <c r="A62" s="250"/>
      <c r="B62" s="231"/>
      <c r="C62" s="9"/>
      <c r="D62" s="9"/>
    </row>
    <row r="63" spans="1:4" x14ac:dyDescent="0.25">
      <c r="A63" s="154"/>
      <c r="B63" s="9"/>
      <c r="C63" s="31"/>
      <c r="D63" s="9"/>
    </row>
    <row r="64" spans="1:4" x14ac:dyDescent="0.25">
      <c r="A64" s="250"/>
      <c r="B64" s="250"/>
      <c r="C64" s="31"/>
      <c r="D64" s="9"/>
    </row>
  </sheetData>
  <customSheetViews>
    <customSheetView guid="{3046F990-4623-45D5-BDDC-01BD5999DDBC}" scale="60" showPageBreaks="1" fitToPage="1" printArea="1" view="pageBreakPreview">
      <selection activeCell="B53" sqref="B53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0" fitToHeight="0" orientation="portrait" verticalDpi="0" r:id="rId1"/>
      <headerFooter>
        <oddFooter>&amp;C&amp;P</oddFooter>
      </headerFooter>
    </customSheetView>
    <customSheetView guid="{FC502735-BE91-49EC-9614-36ECAE88D000}" scale="60" showPageBreaks="1" fitToPage="1" printArea="1" view="pageBreakPreview" topLeftCell="A25">
      <selection activeCell="C37" sqref="C37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0" fitToHeight="0" orientation="portrait" verticalDpi="0" r:id="rId2"/>
      <headerFooter>
        <oddFooter>&amp;C&amp;P</oddFooter>
      </headerFooter>
    </customSheetView>
    <customSheetView guid="{2CF5EF93-C226-48EA-959E-36D142677DAA}" scale="60" showPageBreaks="1" fitToPage="1" printArea="1" view="pageBreakPreview">
      <selection activeCell="A6" sqref="A6:D6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4" fitToHeight="0" orientation="portrait" r:id="rId3"/>
      <headerFooter>
        <oddFooter>&amp;C&amp;P</oddFooter>
      </headerFooter>
    </customSheetView>
  </customSheetViews>
  <mergeCells count="10">
    <mergeCell ref="A62:B62"/>
    <mergeCell ref="A64:B64"/>
    <mergeCell ref="A55:B55"/>
    <mergeCell ref="C3:D3"/>
    <mergeCell ref="A54:B54"/>
    <mergeCell ref="A2:D2"/>
    <mergeCell ref="A6:D6"/>
    <mergeCell ref="A8:B8"/>
    <mergeCell ref="A10:B10"/>
    <mergeCell ref="A61:B61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4"/>
  <headerFooter>
    <oddFooter>&amp;C&amp;P</oddFooter>
  </headerFooter>
  <rowBreaks count="1" manualBreakCount="1">
    <brk id="34" max="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view="pageBreakPreview" zoomScale="60" zoomScaleNormal="100" workbookViewId="0">
      <selection activeCell="A6" sqref="A6:D6"/>
    </sheetView>
  </sheetViews>
  <sheetFormatPr defaultRowHeight="15" x14ac:dyDescent="0.25"/>
  <cols>
    <col min="1" max="1" width="15.28515625" customWidth="1"/>
    <col min="2" max="2" width="85.140625" customWidth="1"/>
    <col min="3" max="3" width="15.85546875" customWidth="1"/>
    <col min="4" max="4" width="20.5703125" customWidth="1"/>
  </cols>
  <sheetData>
    <row r="1" spans="1:10" ht="18.75" x14ac:dyDescent="0.3">
      <c r="A1" s="4"/>
      <c r="B1" s="5"/>
      <c r="C1" s="35"/>
      <c r="D1" s="5"/>
    </row>
    <row r="2" spans="1:10" ht="15.75" customHeight="1" x14ac:dyDescent="0.25">
      <c r="A2" s="256" t="s">
        <v>307</v>
      </c>
      <c r="B2" s="256"/>
      <c r="C2" s="256"/>
      <c r="D2" s="256"/>
    </row>
    <row r="3" spans="1:10" ht="15" customHeight="1" x14ac:dyDescent="0.25">
      <c r="A3" s="4"/>
      <c r="B3" s="4"/>
      <c r="C3" s="273"/>
      <c r="D3" s="274"/>
    </row>
    <row r="4" spans="1:10" ht="15.75" x14ac:dyDescent="0.25">
      <c r="A4" s="186" t="s">
        <v>723</v>
      </c>
      <c r="B4" s="32"/>
      <c r="C4" s="32"/>
      <c r="D4" s="32"/>
    </row>
    <row r="5" spans="1:10" x14ac:dyDescent="0.25">
      <c r="A5" s="4"/>
      <c r="B5" s="33"/>
      <c r="C5" s="33"/>
      <c r="D5" s="9"/>
    </row>
    <row r="6" spans="1:10" ht="18.75" customHeight="1" x14ac:dyDescent="0.25">
      <c r="A6" s="277" t="s">
        <v>1050</v>
      </c>
      <c r="B6" s="277"/>
      <c r="C6" s="277"/>
      <c r="D6" s="277"/>
    </row>
    <row r="7" spans="1:10" ht="15.75" customHeight="1" x14ac:dyDescent="0.25">
      <c r="A7" s="180"/>
      <c r="B7" s="34"/>
      <c r="C7" s="34"/>
      <c r="D7" s="9"/>
      <c r="E7" s="51"/>
      <c r="F7" s="51"/>
      <c r="G7" s="51"/>
      <c r="H7" s="51"/>
      <c r="I7" s="51"/>
      <c r="J7" s="51"/>
    </row>
    <row r="8" spans="1:10" x14ac:dyDescent="0.25">
      <c r="A8" s="270" t="s">
        <v>309</v>
      </c>
      <c r="B8" s="271"/>
      <c r="C8" s="34"/>
      <c r="D8" s="9"/>
    </row>
    <row r="9" spans="1:10" ht="15" customHeight="1" x14ac:dyDescent="0.25">
      <c r="A9" s="183"/>
      <c r="B9" s="184"/>
      <c r="C9" s="34"/>
      <c r="D9" s="9"/>
    </row>
    <row r="10" spans="1:10" ht="15.75" x14ac:dyDescent="0.25">
      <c r="A10" s="251" t="s">
        <v>727</v>
      </c>
      <c r="B10" s="251"/>
      <c r="C10" s="34"/>
      <c r="D10" s="9"/>
    </row>
    <row r="11" spans="1:10" ht="90.75" customHeight="1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10" x14ac:dyDescent="0.25">
      <c r="A12" s="13">
        <v>1</v>
      </c>
      <c r="B12" s="14">
        <v>2</v>
      </c>
      <c r="C12" s="13">
        <v>3</v>
      </c>
      <c r="D12" s="13">
        <v>4</v>
      </c>
    </row>
    <row r="13" spans="1:10" x14ac:dyDescent="0.25">
      <c r="A13" s="15"/>
      <c r="B13" s="22" t="s">
        <v>13</v>
      </c>
      <c r="C13" s="17"/>
      <c r="D13" s="17"/>
    </row>
    <row r="14" spans="1:10" x14ac:dyDescent="0.25">
      <c r="A14" s="37">
        <v>1100</v>
      </c>
      <c r="B14" s="16" t="s">
        <v>14</v>
      </c>
      <c r="C14" s="38"/>
      <c r="D14" s="38"/>
    </row>
    <row r="15" spans="1:10" ht="122.25" customHeight="1" x14ac:dyDescent="0.25">
      <c r="A15" s="18"/>
      <c r="B15" s="157" t="s">
        <v>949</v>
      </c>
      <c r="C15" s="55">
        <f>0.08*18+0.15*5</f>
        <v>2.19</v>
      </c>
      <c r="D15" s="55">
        <f>C15*10</f>
        <v>21.9</v>
      </c>
    </row>
    <row r="16" spans="1:10" ht="27.75" customHeight="1" x14ac:dyDescent="0.25">
      <c r="A16" s="18">
        <v>1200</v>
      </c>
      <c r="B16" s="158" t="s">
        <v>297</v>
      </c>
      <c r="C16" s="55">
        <f>ROUND(C15*0.2359,2)</f>
        <v>0.52</v>
      </c>
      <c r="D16" s="55">
        <f>C16*10</f>
        <v>5.2</v>
      </c>
    </row>
    <row r="17" spans="1:4" ht="18.75" customHeight="1" x14ac:dyDescent="0.25">
      <c r="A17" s="18">
        <v>2341</v>
      </c>
      <c r="B17" s="18" t="s">
        <v>77</v>
      </c>
      <c r="C17" s="19"/>
      <c r="D17" s="19"/>
    </row>
    <row r="18" spans="1:4" ht="58.5" customHeight="1" x14ac:dyDescent="0.25">
      <c r="A18" s="18"/>
      <c r="B18" s="158" t="s">
        <v>715</v>
      </c>
      <c r="C18" s="55">
        <f>ROUND(2.43+0.005+0.1+0.06,2)</f>
        <v>2.6</v>
      </c>
      <c r="D18" s="55">
        <f>C18*10</f>
        <v>26</v>
      </c>
    </row>
    <row r="19" spans="1:4" x14ac:dyDescent="0.25">
      <c r="A19" s="74"/>
      <c r="B19" s="159" t="s">
        <v>2</v>
      </c>
      <c r="C19" s="71">
        <f>SUM(C14:C18)</f>
        <v>5.3100000000000005</v>
      </c>
      <c r="D19" s="71">
        <f>SUM(D14:D18)</f>
        <v>53.099999999999994</v>
      </c>
    </row>
    <row r="20" spans="1:4" x14ac:dyDescent="0.25">
      <c r="A20" s="18"/>
      <c r="B20" s="160" t="s">
        <v>20</v>
      </c>
      <c r="C20" s="19"/>
      <c r="D20" s="19"/>
    </row>
    <row r="21" spans="1:4" x14ac:dyDescent="0.25">
      <c r="A21" s="18">
        <v>2219</v>
      </c>
      <c r="B21" s="158" t="s">
        <v>3</v>
      </c>
      <c r="C21" s="19"/>
      <c r="D21" s="19"/>
    </row>
    <row r="22" spans="1:4" ht="65.25" customHeight="1" x14ac:dyDescent="0.25">
      <c r="A22" s="18"/>
      <c r="B22" s="158" t="s">
        <v>916</v>
      </c>
      <c r="C22" s="40">
        <f>ROUND(1.33/23775,4)</f>
        <v>1E-4</v>
      </c>
      <c r="D22" s="36">
        <f>C22*10</f>
        <v>1E-3</v>
      </c>
    </row>
    <row r="23" spans="1:4" x14ac:dyDescent="0.25">
      <c r="A23" s="18">
        <v>2221</v>
      </c>
      <c r="B23" s="158" t="s">
        <v>4</v>
      </c>
      <c r="C23" s="19"/>
      <c r="D23" s="19"/>
    </row>
    <row r="24" spans="1:4" ht="48.75" customHeight="1" x14ac:dyDescent="0.25">
      <c r="A24" s="18"/>
      <c r="B24" s="158" t="s">
        <v>226</v>
      </c>
      <c r="C24" s="55">
        <f>ROUND(400.38/23775,2)</f>
        <v>0.02</v>
      </c>
      <c r="D24" s="55">
        <f>C24*10</f>
        <v>0.2</v>
      </c>
    </row>
    <row r="25" spans="1:4" ht="15" customHeight="1" x14ac:dyDescent="0.25">
      <c r="A25" s="18">
        <v>2222</v>
      </c>
      <c r="B25" s="158" t="s">
        <v>5</v>
      </c>
      <c r="C25" s="19"/>
      <c r="D25" s="19"/>
    </row>
    <row r="26" spans="1:4" ht="49.5" customHeight="1" x14ac:dyDescent="0.25">
      <c r="A26" s="18"/>
      <c r="B26" s="158" t="s">
        <v>917</v>
      </c>
      <c r="C26" s="36">
        <f>ROUND(17.99/23775,3)</f>
        <v>1E-3</v>
      </c>
      <c r="D26" s="55">
        <f>C26*10</f>
        <v>0.01</v>
      </c>
    </row>
    <row r="27" spans="1:4" x14ac:dyDescent="0.25">
      <c r="A27" s="18">
        <v>2223</v>
      </c>
      <c r="B27" s="18" t="s">
        <v>6</v>
      </c>
      <c r="C27" s="19"/>
      <c r="D27" s="19"/>
    </row>
    <row r="28" spans="1:4" ht="50.25" customHeight="1" x14ac:dyDescent="0.25">
      <c r="A28" s="18"/>
      <c r="B28" s="158" t="s">
        <v>716</v>
      </c>
      <c r="C28" s="55">
        <f>ROUND(714.58/23775,2)</f>
        <v>0.03</v>
      </c>
      <c r="D28" s="55">
        <f>C28*10</f>
        <v>0.3</v>
      </c>
    </row>
    <row r="29" spans="1:4" x14ac:dyDescent="0.25">
      <c r="A29" s="18">
        <v>2224</v>
      </c>
      <c r="B29" s="158" t="s">
        <v>7</v>
      </c>
      <c r="C29" s="19"/>
      <c r="D29" s="19"/>
    </row>
    <row r="30" spans="1:4" ht="48.75" customHeight="1" x14ac:dyDescent="0.25">
      <c r="A30" s="18"/>
      <c r="B30" s="158" t="s">
        <v>914</v>
      </c>
      <c r="C30" s="36">
        <f>ROUND(16.59/23775,3)</f>
        <v>1E-3</v>
      </c>
      <c r="D30" s="55">
        <f>C30*10</f>
        <v>0.01</v>
      </c>
    </row>
    <row r="31" spans="1:4" x14ac:dyDescent="0.25">
      <c r="A31" s="45">
        <v>2231</v>
      </c>
      <c r="B31" s="158" t="s">
        <v>22</v>
      </c>
      <c r="C31" s="36"/>
      <c r="D31" s="19"/>
    </row>
    <row r="32" spans="1:4" ht="134.25" customHeight="1" x14ac:dyDescent="0.25">
      <c r="A32" s="45"/>
      <c r="B32" s="158" t="s">
        <v>228</v>
      </c>
      <c r="C32" s="55">
        <f>ROUND(1201.87/23775,2)</f>
        <v>0.05</v>
      </c>
      <c r="D32" s="55">
        <f>C32*10</f>
        <v>0.5</v>
      </c>
    </row>
    <row r="33" spans="1:4" ht="14.25" customHeight="1" x14ac:dyDescent="0.25">
      <c r="A33" s="45">
        <v>2243</v>
      </c>
      <c r="B33" s="158" t="s">
        <v>132</v>
      </c>
      <c r="C33" s="55"/>
      <c r="D33" s="55"/>
    </row>
    <row r="34" spans="1:4" ht="48" customHeight="1" x14ac:dyDescent="0.25">
      <c r="A34" s="45"/>
      <c r="B34" s="158" t="s">
        <v>717</v>
      </c>
      <c r="C34" s="55">
        <f>ROUND(762.14/23775,2)</f>
        <v>0.03</v>
      </c>
      <c r="D34" s="55">
        <f>C34*10</f>
        <v>0.3</v>
      </c>
    </row>
    <row r="35" spans="1:4" x14ac:dyDescent="0.25">
      <c r="A35" s="18">
        <v>2244</v>
      </c>
      <c r="B35" s="158" t="s">
        <v>24</v>
      </c>
      <c r="C35" s="19"/>
      <c r="D35" s="19"/>
    </row>
    <row r="36" spans="1:4" ht="48.75" customHeight="1" x14ac:dyDescent="0.25">
      <c r="A36" s="21"/>
      <c r="B36" s="158" t="s">
        <v>718</v>
      </c>
      <c r="C36" s="55">
        <f>ROUND(509.04/23775,2)</f>
        <v>0.02</v>
      </c>
      <c r="D36" s="55">
        <f>C36*10</f>
        <v>0.2</v>
      </c>
    </row>
    <row r="37" spans="1:4" ht="47.25" customHeight="1" x14ac:dyDescent="0.25">
      <c r="A37" s="21"/>
      <c r="B37" s="179" t="s">
        <v>231</v>
      </c>
      <c r="C37" s="40">
        <f>ROUND(2.93/23775,4)</f>
        <v>1E-4</v>
      </c>
      <c r="D37" s="36">
        <f>C37*10</f>
        <v>1E-3</v>
      </c>
    </row>
    <row r="38" spans="1:4" s="116" customFormat="1" x14ac:dyDescent="0.25">
      <c r="A38" s="45">
        <v>2249</v>
      </c>
      <c r="B38" s="158" t="s">
        <v>8</v>
      </c>
      <c r="C38" s="103"/>
      <c r="D38" s="103"/>
    </row>
    <row r="39" spans="1:4" ht="48" customHeight="1" x14ac:dyDescent="0.25">
      <c r="A39" s="18"/>
      <c r="B39" s="158" t="s">
        <v>232</v>
      </c>
      <c r="C39" s="40">
        <f>ROUND(3.7/23775,4)</f>
        <v>2.0000000000000001E-4</v>
      </c>
      <c r="D39" s="36">
        <f>C39*10</f>
        <v>2E-3</v>
      </c>
    </row>
    <row r="40" spans="1:4" x14ac:dyDescent="0.25">
      <c r="A40" s="18">
        <v>2311</v>
      </c>
      <c r="B40" s="158" t="s">
        <v>9</v>
      </c>
      <c r="C40" s="36"/>
      <c r="D40" s="19"/>
    </row>
    <row r="41" spans="1:4" ht="48.75" customHeight="1" x14ac:dyDescent="0.25">
      <c r="A41" s="18"/>
      <c r="B41" s="158" t="s">
        <v>233</v>
      </c>
      <c r="C41" s="36">
        <f>ROUND(35.18/23775,3)</f>
        <v>1E-3</v>
      </c>
      <c r="D41" s="55">
        <f>C41*10</f>
        <v>0.01</v>
      </c>
    </row>
    <row r="42" spans="1:4" x14ac:dyDescent="0.25">
      <c r="A42" s="18">
        <v>2350</v>
      </c>
      <c r="B42" s="158" t="s">
        <v>21</v>
      </c>
      <c r="C42" s="36"/>
      <c r="D42" s="19"/>
    </row>
    <row r="43" spans="1:4" ht="49.5" customHeight="1" x14ac:dyDescent="0.25">
      <c r="A43" s="18"/>
      <c r="B43" s="158" t="s">
        <v>234</v>
      </c>
      <c r="C43" s="55">
        <f>ROUND(367.54/23775,2)</f>
        <v>0.02</v>
      </c>
      <c r="D43" s="55">
        <f>C43*10</f>
        <v>0.2</v>
      </c>
    </row>
    <row r="44" spans="1:4" ht="15" customHeight="1" x14ac:dyDescent="0.25">
      <c r="A44" s="18">
        <v>2513</v>
      </c>
      <c r="B44" s="158" t="s">
        <v>133</v>
      </c>
      <c r="C44" s="40"/>
      <c r="D44" s="55"/>
    </row>
    <row r="45" spans="1:4" ht="47.25" customHeight="1" x14ac:dyDescent="0.25">
      <c r="A45" s="18"/>
      <c r="B45" s="158" t="s">
        <v>709</v>
      </c>
      <c r="C45" s="36">
        <f>ROUND(12.65/23775,3)</f>
        <v>1E-3</v>
      </c>
      <c r="D45" s="55">
        <f>C45*10</f>
        <v>0.01</v>
      </c>
    </row>
    <row r="46" spans="1:4" ht="17.25" customHeight="1" x14ac:dyDescent="0.25">
      <c r="A46" s="18">
        <v>5220</v>
      </c>
      <c r="B46" s="158" t="s">
        <v>136</v>
      </c>
      <c r="C46" s="40"/>
      <c r="D46" s="55"/>
    </row>
    <row r="47" spans="1:4" ht="32.25" customHeight="1" x14ac:dyDescent="0.25">
      <c r="A47" s="18"/>
      <c r="B47" s="158" t="s">
        <v>137</v>
      </c>
      <c r="C47" s="40">
        <v>0</v>
      </c>
      <c r="D47" s="36">
        <v>0</v>
      </c>
    </row>
    <row r="48" spans="1:4" ht="15" customHeight="1" x14ac:dyDescent="0.25">
      <c r="A48" s="18">
        <v>5238</v>
      </c>
      <c r="B48" s="158" t="s">
        <v>134</v>
      </c>
      <c r="C48" s="40"/>
      <c r="D48" s="55"/>
    </row>
    <row r="49" spans="1:4" ht="49.5" customHeight="1" x14ac:dyDescent="0.25">
      <c r="A49" s="18"/>
      <c r="B49" s="158" t="s">
        <v>711</v>
      </c>
      <c r="C49" s="36">
        <f>ROUND(21.81/23775,3)</f>
        <v>1E-3</v>
      </c>
      <c r="D49" s="55">
        <f>C49*10</f>
        <v>0.01</v>
      </c>
    </row>
    <row r="50" spans="1:4" x14ac:dyDescent="0.25">
      <c r="A50" s="68"/>
      <c r="B50" s="72" t="s">
        <v>10</v>
      </c>
      <c r="C50" s="71">
        <f>ROUND(C49+C47+C45+C43+C41+C39+C37+C36+C34+C32+C30+C28+C26+C24+C22,3)</f>
        <v>0.17499999999999999</v>
      </c>
      <c r="D50" s="71">
        <f>ROUND(D49+D47+D45+D43+D41+D39+D37+D36+D34+D32+D30+D28+D26+D24+D22,3)</f>
        <v>1.754</v>
      </c>
    </row>
    <row r="51" spans="1:4" x14ac:dyDescent="0.25">
      <c r="A51" s="23"/>
      <c r="B51" s="24" t="s">
        <v>15</v>
      </c>
      <c r="C51" s="52">
        <f>ROUND(C50+C19,3)</f>
        <v>5.4850000000000003</v>
      </c>
      <c r="D51" s="52">
        <f>ROUND(D50+D19,2)</f>
        <v>54.85</v>
      </c>
    </row>
    <row r="52" spans="1:4" x14ac:dyDescent="0.25">
      <c r="A52" s="25"/>
      <c r="B52" s="26"/>
      <c r="C52" s="27"/>
      <c r="D52" s="27"/>
    </row>
    <row r="53" spans="1:4" x14ac:dyDescent="0.25">
      <c r="A53" s="26"/>
      <c r="B53" s="28"/>
      <c r="C53" s="28"/>
      <c r="D53" s="9"/>
    </row>
    <row r="54" spans="1:4" ht="15" customHeight="1" x14ac:dyDescent="0.25">
      <c r="A54" s="252" t="s">
        <v>16</v>
      </c>
      <c r="B54" s="253"/>
      <c r="C54" s="138">
        <v>10</v>
      </c>
      <c r="D54" s="29"/>
    </row>
    <row r="55" spans="1:4" ht="33" customHeight="1" x14ac:dyDescent="0.25">
      <c r="A55" s="254" t="s">
        <v>23</v>
      </c>
      <c r="B55" s="255"/>
      <c r="C55" s="139">
        <f>D51/C54</f>
        <v>5.4850000000000003</v>
      </c>
      <c r="D55" s="29"/>
    </row>
    <row r="56" spans="1:4" x14ac:dyDescent="0.25">
      <c r="A56" s="30"/>
      <c r="B56" s="30"/>
      <c r="C56" s="30"/>
      <c r="D56" s="30"/>
    </row>
    <row r="57" spans="1:4" x14ac:dyDescent="0.25">
      <c r="A57" s="30"/>
      <c r="B57" s="30"/>
      <c r="C57" s="30"/>
      <c r="D57" s="152"/>
    </row>
    <row r="58" spans="1:4" x14ac:dyDescent="0.25">
      <c r="A58" s="30"/>
      <c r="B58" s="30"/>
      <c r="C58" s="30"/>
      <c r="D58" s="152"/>
    </row>
    <row r="59" spans="1:4" x14ac:dyDescent="0.25">
      <c r="A59" s="30"/>
      <c r="B59" s="30"/>
      <c r="C59" s="30"/>
      <c r="D59" s="152"/>
    </row>
    <row r="60" spans="1:4" x14ac:dyDescent="0.25">
      <c r="A60" s="30"/>
      <c r="B60" s="30"/>
      <c r="C60" s="30"/>
      <c r="D60" s="30"/>
    </row>
    <row r="61" spans="1:4" x14ac:dyDescent="0.25">
      <c r="A61" s="231"/>
      <c r="B61" s="231"/>
      <c r="C61" s="9"/>
      <c r="D61" s="9"/>
    </row>
    <row r="62" spans="1:4" x14ac:dyDescent="0.25">
      <c r="A62" s="250"/>
      <c r="B62" s="231"/>
      <c r="C62" s="9"/>
      <c r="D62" s="9"/>
    </row>
    <row r="63" spans="1:4" x14ac:dyDescent="0.25">
      <c r="A63" s="154"/>
      <c r="B63" s="9"/>
      <c r="C63" s="31"/>
      <c r="D63" s="9"/>
    </row>
    <row r="64" spans="1:4" x14ac:dyDescent="0.25">
      <c r="A64" s="250"/>
      <c r="B64" s="250"/>
      <c r="C64" s="31"/>
      <c r="D64" s="9"/>
    </row>
  </sheetData>
  <customSheetViews>
    <customSheetView guid="{3046F990-4623-45D5-BDDC-01BD5999DDBC}" scale="60" showPageBreaks="1" fitToPage="1" printArea="1" view="pageBreakPreview">
      <selection activeCell="B53" sqref="B53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3" fitToHeight="0" orientation="portrait" verticalDpi="0" r:id="rId1"/>
      <headerFooter>
        <oddFooter>&amp;C&amp;P</oddFooter>
      </headerFooter>
    </customSheetView>
    <customSheetView guid="{FC502735-BE91-49EC-9614-36ECAE88D000}" scale="60" showPageBreaks="1" fitToPage="1" printArea="1" view="pageBreakPreview" topLeftCell="A16">
      <selection activeCell="B45" sqref="B45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3" fitToHeight="0" orientation="portrait" verticalDpi="0" r:id="rId2"/>
      <headerFooter>
        <oddFooter>&amp;C&amp;P</oddFooter>
      </headerFooter>
    </customSheetView>
    <customSheetView guid="{2CF5EF93-C226-48EA-959E-36D142677DAA}" scale="60" showPageBreaks="1" fitToPage="1" printArea="1" view="pageBreakPreview">
      <selection activeCell="A6" sqref="A6:D6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3" fitToHeight="0" orientation="portrait" r:id="rId3"/>
      <headerFooter>
        <oddFooter>&amp;C&amp;P</oddFooter>
      </headerFooter>
    </customSheetView>
  </customSheetViews>
  <mergeCells count="10">
    <mergeCell ref="A62:B62"/>
    <mergeCell ref="A64:B64"/>
    <mergeCell ref="A55:B55"/>
    <mergeCell ref="C3:D3"/>
    <mergeCell ref="A54:B54"/>
    <mergeCell ref="A2:D2"/>
    <mergeCell ref="A6:D6"/>
    <mergeCell ref="A8:B8"/>
    <mergeCell ref="A10:B10"/>
    <mergeCell ref="A61:B61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4"/>
  <headerFooter>
    <oddFooter>&amp;C&amp;P</oddFooter>
  </headerFooter>
  <rowBreaks count="1" manualBreakCount="1">
    <brk id="34" max="3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view="pageBreakPreview" zoomScale="60" zoomScaleNormal="100" workbookViewId="0">
      <selection activeCell="F28" sqref="F28"/>
    </sheetView>
  </sheetViews>
  <sheetFormatPr defaultRowHeight="15" x14ac:dyDescent="0.25"/>
  <cols>
    <col min="1" max="1" width="14.85546875" customWidth="1"/>
    <col min="2" max="2" width="87.5703125" customWidth="1"/>
    <col min="3" max="3" width="16.28515625" customWidth="1"/>
    <col min="4" max="4" width="17.28515625" customWidth="1"/>
  </cols>
  <sheetData>
    <row r="1" spans="1:10" ht="18.75" x14ac:dyDescent="0.3">
      <c r="A1" s="4"/>
      <c r="B1" s="5"/>
      <c r="C1" s="35"/>
      <c r="D1" s="5"/>
    </row>
    <row r="2" spans="1:10" ht="15.75" customHeight="1" x14ac:dyDescent="0.25">
      <c r="A2" s="256" t="s">
        <v>307</v>
      </c>
      <c r="B2" s="256"/>
      <c r="C2" s="256"/>
      <c r="D2" s="256"/>
    </row>
    <row r="3" spans="1:10" ht="15" customHeight="1" x14ac:dyDescent="0.25">
      <c r="A3" s="4"/>
      <c r="B3" s="4"/>
      <c r="C3" s="273"/>
      <c r="D3" s="274"/>
    </row>
    <row r="4" spans="1:10" ht="15.75" x14ac:dyDescent="0.25">
      <c r="A4" s="186" t="s">
        <v>723</v>
      </c>
      <c r="B4" s="32"/>
      <c r="C4" s="32"/>
      <c r="D4" s="32"/>
    </row>
    <row r="5" spans="1:10" x14ac:dyDescent="0.25">
      <c r="A5" s="4"/>
      <c r="B5" s="33"/>
      <c r="C5" s="33"/>
      <c r="D5" s="9"/>
    </row>
    <row r="6" spans="1:10" ht="23.25" customHeight="1" x14ac:dyDescent="0.25">
      <c r="A6" s="277" t="s">
        <v>1051</v>
      </c>
      <c r="B6" s="277"/>
      <c r="C6" s="277"/>
      <c r="D6" s="277"/>
    </row>
    <row r="7" spans="1:10" ht="15.75" customHeight="1" x14ac:dyDescent="0.25">
      <c r="A7" s="180"/>
      <c r="B7" s="34"/>
      <c r="C7" s="34"/>
      <c r="D7" s="9"/>
      <c r="E7" s="51"/>
      <c r="F7" s="51"/>
      <c r="G7" s="51"/>
      <c r="H7" s="51"/>
      <c r="I7" s="51"/>
      <c r="J7" s="51"/>
    </row>
    <row r="8" spans="1:10" x14ac:dyDescent="0.25">
      <c r="A8" s="270" t="s">
        <v>309</v>
      </c>
      <c r="B8" s="271"/>
      <c r="C8" s="34"/>
      <c r="D8" s="9"/>
    </row>
    <row r="9" spans="1:10" ht="15" customHeight="1" x14ac:dyDescent="0.25">
      <c r="A9" s="183"/>
      <c r="B9" s="184"/>
      <c r="C9" s="34"/>
      <c r="D9" s="9"/>
    </row>
    <row r="10" spans="1:10" ht="15.75" x14ac:dyDescent="0.25">
      <c r="A10" s="251" t="s">
        <v>727</v>
      </c>
      <c r="B10" s="251"/>
      <c r="C10" s="34"/>
      <c r="D10" s="9"/>
    </row>
    <row r="11" spans="1:10" ht="90" customHeight="1" x14ac:dyDescent="0.25">
      <c r="A11" s="12" t="s">
        <v>0</v>
      </c>
      <c r="B11" s="12" t="s">
        <v>1</v>
      </c>
      <c r="C11" s="12" t="s">
        <v>83</v>
      </c>
      <c r="D11" s="12" t="s">
        <v>18</v>
      </c>
    </row>
    <row r="12" spans="1:10" x14ac:dyDescent="0.25">
      <c r="A12" s="13">
        <v>1</v>
      </c>
      <c r="B12" s="14">
        <v>2</v>
      </c>
      <c r="C12" s="13">
        <v>3</v>
      </c>
      <c r="D12" s="13">
        <v>4</v>
      </c>
    </row>
    <row r="13" spans="1:10" x14ac:dyDescent="0.25">
      <c r="A13" s="15"/>
      <c r="B13" s="22" t="s">
        <v>13</v>
      </c>
      <c r="C13" s="17"/>
      <c r="D13" s="17"/>
    </row>
    <row r="14" spans="1:10" x14ac:dyDescent="0.25">
      <c r="A14" s="37">
        <v>1100</v>
      </c>
      <c r="B14" s="16" t="s">
        <v>14</v>
      </c>
      <c r="C14" s="38"/>
      <c r="D14" s="38"/>
    </row>
    <row r="15" spans="1:10" ht="123.75" customHeight="1" x14ac:dyDescent="0.25">
      <c r="A15" s="18"/>
      <c r="B15" s="157" t="s">
        <v>799</v>
      </c>
      <c r="C15" s="55">
        <f>0.08*18+0.15*5</f>
        <v>2.19</v>
      </c>
      <c r="D15" s="55">
        <f>C15*10</f>
        <v>21.9</v>
      </c>
    </row>
    <row r="16" spans="1:10" ht="36.75" customHeight="1" x14ac:dyDescent="0.25">
      <c r="A16" s="18">
        <v>1200</v>
      </c>
      <c r="B16" s="158" t="s">
        <v>297</v>
      </c>
      <c r="C16" s="55">
        <f>ROUND(C15*0.2359,2)</f>
        <v>0.52</v>
      </c>
      <c r="D16" s="55">
        <f>C16*10</f>
        <v>5.2</v>
      </c>
    </row>
    <row r="17" spans="1:4" ht="17.25" customHeight="1" x14ac:dyDescent="0.25">
      <c r="A17" s="18">
        <v>2341</v>
      </c>
      <c r="B17" s="18" t="s">
        <v>77</v>
      </c>
      <c r="C17" s="19"/>
      <c r="D17" s="19"/>
    </row>
    <row r="18" spans="1:4" ht="64.5" customHeight="1" x14ac:dyDescent="0.25">
      <c r="A18" s="18"/>
      <c r="B18" s="158" t="s">
        <v>236</v>
      </c>
      <c r="C18" s="55">
        <f>ROUND(1.57+0.004+0.1+0.06,2)</f>
        <v>1.73</v>
      </c>
      <c r="D18" s="55">
        <v>17.3</v>
      </c>
    </row>
    <row r="19" spans="1:4" x14ac:dyDescent="0.25">
      <c r="A19" s="74"/>
      <c r="B19" s="159" t="s">
        <v>2</v>
      </c>
      <c r="C19" s="71">
        <f>SUM(C14:C18)</f>
        <v>4.4399999999999995</v>
      </c>
      <c r="D19" s="71">
        <f>SUM(D14:D18)</f>
        <v>44.4</v>
      </c>
    </row>
    <row r="20" spans="1:4" x14ac:dyDescent="0.25">
      <c r="A20" s="18"/>
      <c r="B20" s="160" t="s">
        <v>20</v>
      </c>
      <c r="C20" s="19"/>
      <c r="D20" s="19"/>
    </row>
    <row r="21" spans="1:4" x14ac:dyDescent="0.25">
      <c r="A21" s="18">
        <v>2219</v>
      </c>
      <c r="B21" s="158" t="s">
        <v>3</v>
      </c>
      <c r="C21" s="19"/>
      <c r="D21" s="19"/>
    </row>
    <row r="22" spans="1:4" ht="64.5" customHeight="1" x14ac:dyDescent="0.25">
      <c r="A22" s="18"/>
      <c r="B22" s="158" t="s">
        <v>918</v>
      </c>
      <c r="C22" s="40">
        <f>ROUND(1.33/23775,4)</f>
        <v>1E-4</v>
      </c>
      <c r="D22" s="36">
        <f>C22*10</f>
        <v>1E-3</v>
      </c>
    </row>
    <row r="23" spans="1:4" x14ac:dyDescent="0.25">
      <c r="A23" s="18">
        <v>2221</v>
      </c>
      <c r="B23" s="158" t="s">
        <v>4</v>
      </c>
      <c r="C23" s="19"/>
      <c r="D23" s="19"/>
    </row>
    <row r="24" spans="1:4" ht="48" customHeight="1" x14ac:dyDescent="0.25">
      <c r="A24" s="18"/>
      <c r="B24" s="158" t="s">
        <v>706</v>
      </c>
      <c r="C24" s="55">
        <f>ROUND(400.38/23775,2)</f>
        <v>0.02</v>
      </c>
      <c r="D24" s="55">
        <f>C24*10</f>
        <v>0.2</v>
      </c>
    </row>
    <row r="25" spans="1:4" ht="15" customHeight="1" x14ac:dyDescent="0.25">
      <c r="A25" s="18">
        <v>2222</v>
      </c>
      <c r="B25" s="158" t="s">
        <v>5</v>
      </c>
      <c r="C25" s="19"/>
      <c r="D25" s="19"/>
    </row>
    <row r="26" spans="1:4" ht="48.75" customHeight="1" x14ac:dyDescent="0.25">
      <c r="A26" s="18"/>
      <c r="B26" s="158" t="s">
        <v>917</v>
      </c>
      <c r="C26" s="36">
        <f>ROUND(17.99/23775,3)</f>
        <v>1E-3</v>
      </c>
      <c r="D26" s="55">
        <f>C26*10</f>
        <v>0.01</v>
      </c>
    </row>
    <row r="27" spans="1:4" x14ac:dyDescent="0.25">
      <c r="A27" s="18">
        <v>2223</v>
      </c>
      <c r="B27" s="18" t="s">
        <v>6</v>
      </c>
      <c r="C27" s="19"/>
      <c r="D27" s="19"/>
    </row>
    <row r="28" spans="1:4" ht="47.25" customHeight="1" x14ac:dyDescent="0.25">
      <c r="A28" s="18"/>
      <c r="B28" s="158" t="s">
        <v>716</v>
      </c>
      <c r="C28" s="55">
        <f>ROUND(714.58/23775,2)</f>
        <v>0.03</v>
      </c>
      <c r="D28" s="55">
        <f>C28*10</f>
        <v>0.3</v>
      </c>
    </row>
    <row r="29" spans="1:4" x14ac:dyDescent="0.25">
      <c r="A29" s="18">
        <v>2224</v>
      </c>
      <c r="B29" s="158" t="s">
        <v>7</v>
      </c>
      <c r="C29" s="19"/>
      <c r="D29" s="19"/>
    </row>
    <row r="30" spans="1:4" ht="45" x14ac:dyDescent="0.25">
      <c r="A30" s="18"/>
      <c r="B30" s="158" t="s">
        <v>914</v>
      </c>
      <c r="C30" s="36">
        <f>ROUND(16.59/23775,3)</f>
        <v>1E-3</v>
      </c>
      <c r="D30" s="55">
        <f>C30*10</f>
        <v>0.01</v>
      </c>
    </row>
    <row r="31" spans="1:4" x14ac:dyDescent="0.25">
      <c r="A31" s="45">
        <v>2231</v>
      </c>
      <c r="B31" s="158" t="s">
        <v>22</v>
      </c>
      <c r="C31" s="36"/>
      <c r="D31" s="19"/>
    </row>
    <row r="32" spans="1:4" ht="139.5" customHeight="1" x14ac:dyDescent="0.25">
      <c r="A32" s="45"/>
      <c r="B32" s="158" t="s">
        <v>719</v>
      </c>
      <c r="C32" s="55">
        <f>ROUND(1201.87/23775,2)</f>
        <v>0.05</v>
      </c>
      <c r="D32" s="55">
        <f>C32*10</f>
        <v>0.5</v>
      </c>
    </row>
    <row r="33" spans="1:4" ht="15.75" customHeight="1" x14ac:dyDescent="0.25">
      <c r="A33" s="45">
        <v>2243</v>
      </c>
      <c r="B33" s="158" t="s">
        <v>132</v>
      </c>
      <c r="C33" s="55"/>
      <c r="D33" s="55"/>
    </row>
    <row r="34" spans="1:4" ht="49.5" customHeight="1" x14ac:dyDescent="0.25">
      <c r="A34" s="45"/>
      <c r="B34" s="158" t="s">
        <v>919</v>
      </c>
      <c r="C34" s="55">
        <f>ROUND(762.14/23775,2)</f>
        <v>0.03</v>
      </c>
      <c r="D34" s="55">
        <f>C34*10</f>
        <v>0.3</v>
      </c>
    </row>
    <row r="35" spans="1:4" x14ac:dyDescent="0.25">
      <c r="A35" s="18">
        <v>2244</v>
      </c>
      <c r="B35" s="158" t="s">
        <v>24</v>
      </c>
      <c r="C35" s="19"/>
      <c r="D35" s="19"/>
    </row>
    <row r="36" spans="1:4" ht="48.75" customHeight="1" x14ac:dyDescent="0.25">
      <c r="A36" s="21"/>
      <c r="B36" s="158" t="s">
        <v>230</v>
      </c>
      <c r="C36" s="55">
        <f>ROUND(509.04/23775,2)</f>
        <v>0.02</v>
      </c>
      <c r="D36" s="55">
        <f>C36*10</f>
        <v>0.2</v>
      </c>
    </row>
    <row r="37" spans="1:4" ht="43.5" customHeight="1" x14ac:dyDescent="0.25">
      <c r="A37" s="21"/>
      <c r="B37" s="179" t="s">
        <v>231</v>
      </c>
      <c r="C37" s="40">
        <f>ROUND(2.93/23775,4)</f>
        <v>1E-4</v>
      </c>
      <c r="D37" s="36">
        <f>C37*10</f>
        <v>1E-3</v>
      </c>
    </row>
    <row r="38" spans="1:4" s="116" customFormat="1" x14ac:dyDescent="0.25">
      <c r="A38" s="45">
        <v>2249</v>
      </c>
      <c r="B38" s="158" t="s">
        <v>8</v>
      </c>
      <c r="C38" s="103"/>
      <c r="D38" s="103"/>
    </row>
    <row r="39" spans="1:4" ht="48.75" customHeight="1" x14ac:dyDescent="0.25">
      <c r="A39" s="18"/>
      <c r="B39" s="158" t="s">
        <v>232</v>
      </c>
      <c r="C39" s="40">
        <f>ROUND(3.7/23775,4)</f>
        <v>2.0000000000000001E-4</v>
      </c>
      <c r="D39" s="36">
        <f>C39*10</f>
        <v>2E-3</v>
      </c>
    </row>
    <row r="40" spans="1:4" x14ac:dyDescent="0.25">
      <c r="A40" s="18">
        <v>2311</v>
      </c>
      <c r="B40" s="158" t="s">
        <v>9</v>
      </c>
      <c r="C40" s="36"/>
      <c r="D40" s="19"/>
    </row>
    <row r="41" spans="1:4" ht="50.25" customHeight="1" x14ac:dyDescent="0.25">
      <c r="A41" s="18"/>
      <c r="B41" s="158" t="s">
        <v>233</v>
      </c>
      <c r="C41" s="36">
        <f>ROUND(35.18/23775,3)</f>
        <v>1E-3</v>
      </c>
      <c r="D41" s="55">
        <f>C41*10</f>
        <v>0.01</v>
      </c>
    </row>
    <row r="42" spans="1:4" x14ac:dyDescent="0.25">
      <c r="A42" s="18">
        <v>2350</v>
      </c>
      <c r="B42" s="158" t="s">
        <v>21</v>
      </c>
      <c r="C42" s="36"/>
      <c r="D42" s="19"/>
    </row>
    <row r="43" spans="1:4" ht="48.75" customHeight="1" x14ac:dyDescent="0.25">
      <c r="A43" s="18"/>
      <c r="B43" s="158" t="s">
        <v>234</v>
      </c>
      <c r="C43" s="55">
        <f>ROUND(367.54/23775,2)</f>
        <v>0.02</v>
      </c>
      <c r="D43" s="55">
        <f>C43*10</f>
        <v>0.2</v>
      </c>
    </row>
    <row r="44" spans="1:4" ht="17.25" customHeight="1" x14ac:dyDescent="0.25">
      <c r="A44" s="18">
        <v>2513</v>
      </c>
      <c r="B44" s="158" t="s">
        <v>133</v>
      </c>
      <c r="C44" s="40"/>
      <c r="D44" s="55"/>
    </row>
    <row r="45" spans="1:4" ht="48" customHeight="1" x14ac:dyDescent="0.25">
      <c r="A45" s="18"/>
      <c r="B45" s="158" t="s">
        <v>720</v>
      </c>
      <c r="C45" s="36">
        <f>ROUND(12.65/23775,3)</f>
        <v>1E-3</v>
      </c>
      <c r="D45" s="55">
        <f>C45*10</f>
        <v>0.01</v>
      </c>
    </row>
    <row r="46" spans="1:4" ht="17.25" customHeight="1" x14ac:dyDescent="0.25">
      <c r="A46" s="18">
        <v>5220</v>
      </c>
      <c r="B46" s="158" t="s">
        <v>136</v>
      </c>
      <c r="C46" s="40"/>
      <c r="D46" s="55"/>
    </row>
    <row r="47" spans="1:4" ht="33.75" customHeight="1" x14ac:dyDescent="0.25">
      <c r="A47" s="18"/>
      <c r="B47" s="158" t="s">
        <v>721</v>
      </c>
      <c r="C47" s="40">
        <v>0</v>
      </c>
      <c r="D47" s="36">
        <v>0</v>
      </c>
    </row>
    <row r="48" spans="1:4" ht="15.75" customHeight="1" x14ac:dyDescent="0.25">
      <c r="A48" s="18">
        <v>5238</v>
      </c>
      <c r="B48" s="158" t="s">
        <v>134</v>
      </c>
      <c r="C48" s="40"/>
      <c r="D48" s="55"/>
    </row>
    <row r="49" spans="1:4" ht="47.25" customHeight="1" x14ac:dyDescent="0.25">
      <c r="A49" s="18"/>
      <c r="B49" s="158" t="s">
        <v>711</v>
      </c>
      <c r="C49" s="36">
        <f>ROUND(21.81/23775,3)</f>
        <v>1E-3</v>
      </c>
      <c r="D49" s="55">
        <f>C49*10</f>
        <v>0.01</v>
      </c>
    </row>
    <row r="50" spans="1:4" x14ac:dyDescent="0.25">
      <c r="A50" s="68"/>
      <c r="B50" s="72" t="s">
        <v>10</v>
      </c>
      <c r="C50" s="71">
        <f>ROUND(C49+C47+C45+C43+C41+C39+C37+C36+C34+C32+C30+C28+C26+C24+C22,3)</f>
        <v>0.17499999999999999</v>
      </c>
      <c r="D50" s="71">
        <f>ROUND(D49+D47+D45+D43+D41+D39+D37+D36+D34+D32+D30+D28+D26+D24+D22,3)</f>
        <v>1.754</v>
      </c>
    </row>
    <row r="51" spans="1:4" x14ac:dyDescent="0.25">
      <c r="A51" s="23"/>
      <c r="B51" s="24" t="s">
        <v>15</v>
      </c>
      <c r="C51" s="52">
        <f>ROUND(C50+C19,3)</f>
        <v>4.6150000000000002</v>
      </c>
      <c r="D51" s="52">
        <f>D50+D19</f>
        <v>46.153999999999996</v>
      </c>
    </row>
    <row r="52" spans="1:4" x14ac:dyDescent="0.25">
      <c r="A52" s="25"/>
      <c r="B52" s="26"/>
      <c r="C52" s="27"/>
      <c r="D52" s="27"/>
    </row>
    <row r="53" spans="1:4" x14ac:dyDescent="0.25">
      <c r="A53" s="26"/>
      <c r="B53" s="28"/>
      <c r="C53" s="28"/>
      <c r="D53" s="9"/>
    </row>
    <row r="54" spans="1:4" ht="15" customHeight="1" x14ac:dyDescent="0.25">
      <c r="A54" s="252" t="s">
        <v>16</v>
      </c>
      <c r="B54" s="253"/>
      <c r="C54" s="138">
        <v>10</v>
      </c>
      <c r="D54" s="29"/>
    </row>
    <row r="55" spans="1:4" ht="32.25" customHeight="1" x14ac:dyDescent="0.25">
      <c r="A55" s="254" t="s">
        <v>23</v>
      </c>
      <c r="B55" s="255"/>
      <c r="C55" s="139">
        <f>D51/10</f>
        <v>4.6153999999999993</v>
      </c>
      <c r="D55" s="29"/>
    </row>
    <row r="56" spans="1:4" s="215" customFormat="1" ht="32.25" customHeight="1" x14ac:dyDescent="0.25">
      <c r="A56" s="216"/>
      <c r="B56" s="221"/>
      <c r="C56" s="222"/>
      <c r="D56" s="150"/>
    </row>
    <row r="57" spans="1:4" s="215" customFormat="1" ht="32.25" customHeight="1" x14ac:dyDescent="0.25">
      <c r="A57" s="216"/>
      <c r="B57" s="221"/>
      <c r="C57" s="222"/>
      <c r="D57" s="150"/>
    </row>
    <row r="58" spans="1:4" x14ac:dyDescent="0.25">
      <c r="A58" s="30"/>
      <c r="B58" s="30"/>
      <c r="C58" s="30"/>
      <c r="D58" s="30"/>
    </row>
    <row r="59" spans="1:4" ht="20.25" x14ac:dyDescent="0.3">
      <c r="A59" s="229" t="s">
        <v>319</v>
      </c>
      <c r="B59" s="229"/>
      <c r="C59" s="229"/>
      <c r="D59" s="230" t="s">
        <v>311</v>
      </c>
    </row>
    <row r="60" spans="1:4" s="215" customFormat="1" ht="20.25" x14ac:dyDescent="0.3">
      <c r="A60" s="229"/>
      <c r="B60" s="229"/>
      <c r="C60" s="229"/>
      <c r="D60" s="230"/>
    </row>
    <row r="61" spans="1:4" ht="20.25" x14ac:dyDescent="0.3">
      <c r="A61" s="229"/>
      <c r="B61" s="229"/>
      <c r="C61" s="229"/>
      <c r="D61" s="230"/>
    </row>
    <row r="62" spans="1:4" ht="20.25" x14ac:dyDescent="0.3">
      <c r="A62" s="229" t="s">
        <v>320</v>
      </c>
      <c r="B62" s="229"/>
      <c r="C62" s="229"/>
      <c r="D62" s="230" t="s">
        <v>312</v>
      </c>
    </row>
    <row r="63" spans="1:4" s="215" customFormat="1" ht="18.75" x14ac:dyDescent="0.3">
      <c r="A63" s="217"/>
      <c r="B63" s="217"/>
      <c r="C63" s="217"/>
      <c r="D63" s="218"/>
    </row>
    <row r="64" spans="1:4" s="215" customFormat="1" ht="18.75" x14ac:dyDescent="0.3">
      <c r="A64" s="217"/>
      <c r="B64" s="217"/>
      <c r="C64" s="217"/>
      <c r="D64" s="218"/>
    </row>
    <row r="65" spans="1:4" s="215" customFormat="1" ht="18.75" x14ac:dyDescent="0.3">
      <c r="A65" s="217"/>
      <c r="B65" s="217"/>
      <c r="C65" s="217"/>
      <c r="D65" s="218"/>
    </row>
    <row r="66" spans="1:4" x14ac:dyDescent="0.25">
      <c r="A66" s="30"/>
      <c r="B66" s="30"/>
      <c r="C66" s="30"/>
      <c r="D66" s="30"/>
    </row>
    <row r="67" spans="1:4" ht="15.75" x14ac:dyDescent="0.25">
      <c r="A67" s="280" t="s">
        <v>317</v>
      </c>
      <c r="B67" s="280"/>
      <c r="C67" s="9"/>
      <c r="D67" s="9"/>
    </row>
    <row r="68" spans="1:4" ht="15.75" x14ac:dyDescent="0.25">
      <c r="A68" s="281" t="s">
        <v>318</v>
      </c>
      <c r="B68" s="280"/>
      <c r="C68" s="9"/>
      <c r="D68" s="9"/>
    </row>
    <row r="69" spans="1:4" ht="15.75" x14ac:dyDescent="0.25">
      <c r="A69" s="219" t="s">
        <v>313</v>
      </c>
      <c r="B69" s="220"/>
      <c r="C69" s="31"/>
      <c r="D69" s="9"/>
    </row>
    <row r="70" spans="1:4" ht="15.75" x14ac:dyDescent="0.25">
      <c r="A70" s="281" t="s">
        <v>314</v>
      </c>
      <c r="B70" s="281"/>
      <c r="C70" s="31"/>
      <c r="D70" s="9"/>
    </row>
  </sheetData>
  <customSheetViews>
    <customSheetView guid="{3046F990-4623-45D5-BDDC-01BD5999DDBC}" scale="60" showPageBreaks="1" fitToPage="1" view="pageBreakPreview" topLeftCell="A42">
      <selection activeCell="O44" sqref="O44"/>
      <rowBreaks count="1" manualBreakCount="1">
        <brk id="34" max="16383" man="1"/>
      </rowBreaks>
      <pageMargins left="0.70866141732283472" right="0.70866141732283472" top="0.74803149606299213" bottom="0.74803149606299213" header="0.31496062992125984" footer="0.31496062992125984"/>
      <pageSetup paperSize="9" scale="64" fitToHeight="0" orientation="portrait" r:id="rId1"/>
      <headerFooter>
        <oddFooter>&amp;C&amp;P</oddFooter>
      </headerFooter>
    </customSheetView>
    <customSheetView guid="{FC502735-BE91-49EC-9614-36ECAE88D000}" scale="84" showPageBreaks="1" fitToPage="1" view="pageBreakPreview" topLeftCell="A33">
      <selection activeCell="M45" sqref="M45"/>
      <rowBreaks count="1" manualBreakCount="1">
        <brk id="34" max="16383" man="1"/>
      </rowBreaks>
      <pageMargins left="0.70866141732283472" right="0.70866141732283472" top="0.74803149606299213" bottom="0.74803149606299213" header="0.31496062992125984" footer="0.31496062992125984"/>
      <pageSetup paperSize="9" scale="64" fitToHeight="0" orientation="portrait" r:id="rId2"/>
      <headerFooter>
        <oddFooter>&amp;C&amp;P</oddFooter>
      </headerFooter>
    </customSheetView>
    <customSheetView guid="{2CF5EF93-C226-48EA-959E-36D142677DAA}" scale="60" showPageBreaks="1" fitToPage="1" view="pageBreakPreview">
      <selection activeCell="B15" sqref="B15"/>
      <rowBreaks count="1" manualBreakCount="1">
        <brk id="34" max="16383" man="1"/>
      </rowBreaks>
      <pageMargins left="0.70866141732283472" right="0.70866141732283472" top="0.74803149606299213" bottom="0.74803149606299213" header="0.31496062992125984" footer="0.31496062992125984"/>
      <pageSetup paperSize="9" scale="64" fitToHeight="0" orientation="portrait" r:id="rId3"/>
      <headerFooter>
        <oddFooter>&amp;C&amp;P</oddFooter>
      </headerFooter>
    </customSheetView>
  </customSheetViews>
  <mergeCells count="10">
    <mergeCell ref="A68:B68"/>
    <mergeCell ref="A70:B70"/>
    <mergeCell ref="A55:B55"/>
    <mergeCell ref="C3:D3"/>
    <mergeCell ref="A54:B54"/>
    <mergeCell ref="A2:D2"/>
    <mergeCell ref="A6:D6"/>
    <mergeCell ref="A8:B8"/>
    <mergeCell ref="A10:B10"/>
    <mergeCell ref="A67:B67"/>
  </mergeCells>
  <hyperlinks>
    <hyperlink ref="A68" r:id="rId4"/>
    <hyperlink ref="A70" r:id="rId5" display="mailto:lasma.zandberga@vm.gov.lv"/>
  </hyperlinks>
  <pageMargins left="0.70866141732283472" right="0.70866141732283472" top="0.74803149606299213" bottom="0.74803149606299213" header="0.31496062992125984" footer="0.31496062992125984"/>
  <pageSetup paperSize="9" scale="64" fitToHeight="0" orientation="portrait" r:id="rId6"/>
  <headerFooter>
    <oddFooter>&amp;C&amp;P</oddFooter>
  </headerFooter>
  <rowBreaks count="1" manualBreakCount="1">
    <brk id="34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3" sqref="B53"/>
    </sheetView>
  </sheetViews>
  <sheetFormatPr defaultRowHeight="15" x14ac:dyDescent="0.25"/>
  <sheetData/>
  <customSheetViews>
    <customSheetView guid="{3046F990-4623-45D5-BDDC-01BD5999DDBC}">
      <selection activeCell="B53" sqref="B53"/>
      <pageMargins left="0.7" right="0.7" top="0.75" bottom="0.75" header="0.3" footer="0.3"/>
      <pageSetup paperSize="9" orientation="portrait" verticalDpi="0" r:id="rId1"/>
    </customSheetView>
    <customSheetView guid="{FC502735-BE91-49EC-9614-36ECAE88D000}">
      <selection activeCell="B53" sqref="B53"/>
      <pageMargins left="0.7" right="0.7" top="0.75" bottom="0.75" header="0.3" footer="0.3"/>
      <pageSetup paperSize="9" orientation="portrait" verticalDpi="0" r:id="rId2"/>
    </customSheetView>
    <customSheetView guid="{2CF5EF93-C226-48EA-959E-36D142677DAA}" state="hidden">
      <selection activeCell="B53" sqref="B53"/>
      <pageMargins left="0.7" right="0.7" top="0.75" bottom="0.75" header="0.3" footer="0.3"/>
      <pageSetup paperSize="9" orientation="portrait" verticalDpi="0" r:id="rId3"/>
    </customSheetView>
  </customSheetViews>
  <pageMargins left="0.7" right="0.7" top="0.75" bottom="0.75" header="0.3" footer="0.3"/>
  <pageSetup paperSize="9" orientation="portrait" verticalDpi="0" r:id="rId4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17" zoomScaleNormal="100" workbookViewId="0">
      <selection activeCell="F52" sqref="F52"/>
    </sheetView>
  </sheetViews>
  <sheetFormatPr defaultRowHeight="15" x14ac:dyDescent="0.25"/>
  <cols>
    <col min="1" max="1" width="15.28515625" customWidth="1"/>
    <col min="2" max="2" width="81" customWidth="1"/>
    <col min="3" max="3" width="13.7109375" customWidth="1"/>
    <col min="4" max="4" width="18.5703125" customWidth="1"/>
  </cols>
  <sheetData/>
  <customSheetViews>
    <customSheetView guid="{3046F990-4623-45D5-BDDC-01BD5999DDBC}" showPageBreaks="1" fitToPage="1" topLeftCell="A17">
      <selection activeCell="F52" sqref="F52"/>
      <pageMargins left="0.70866141732283472" right="0.70866141732283472" top="0.74803149606299213" bottom="0.74803149606299213" header="0.31496062992125984" footer="0.31496062992125984"/>
      <pageSetup paperSize="9" fitToHeight="0" orientation="portrait" r:id="rId1"/>
      <headerFooter>
        <oddFooter>&amp;C&amp;P</oddFooter>
      </headerFooter>
    </customSheetView>
    <customSheetView guid="{FC502735-BE91-49EC-9614-36ECAE88D000}" showPageBreaks="1" fitToPage="1" topLeftCell="A9">
      <selection activeCell="E19" sqref="E19"/>
      <rowBreaks count="2" manualBreakCount="2">
        <brk id="35" max="3" man="1"/>
        <brk id="57" max="16383" man="1"/>
      </rowBreaks>
      <pageMargins left="0.70866141732283472" right="0.70866141732283472" top="0.74803149606299213" bottom="0.74803149606299213" header="0.31496062992125984" footer="0.31496062992125984"/>
      <pageSetup paperSize="9" fitToHeight="0" orientation="portrait" r:id="rId2"/>
      <headerFooter>
        <oddFooter>&amp;C&amp;P</oddFooter>
      </headerFooter>
    </customSheetView>
    <customSheetView guid="{2CF5EF93-C226-48EA-959E-36D142677DAA}" fitToPage="1" state="hidden" topLeftCell="A17">
      <selection activeCell="F52" sqref="F52"/>
      <pageMargins left="0.70866141732283472" right="0.70866141732283472" top="0.74803149606299213" bottom="0.74803149606299213" header="0.31496062992125984" footer="0.31496062992125984"/>
      <pageSetup paperSize="9" fitToHeight="0" orientation="portrait" r:id="rId3"/>
      <headerFooter>
        <oddFooter>&amp;C&amp;P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fitToHeight="0" orientation="portrait" r:id="rId4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view="pageBreakPreview" topLeftCell="A16" zoomScale="60" zoomScaleNormal="100" workbookViewId="0">
      <selection activeCell="D40" sqref="D40"/>
    </sheetView>
  </sheetViews>
  <sheetFormatPr defaultRowHeight="15" x14ac:dyDescent="0.25"/>
  <cols>
    <col min="1" max="1" width="13.42578125" customWidth="1"/>
    <col min="2" max="2" width="83.85546875" customWidth="1"/>
    <col min="3" max="3" width="13.140625" customWidth="1"/>
    <col min="4" max="4" width="16.42578125" customWidth="1"/>
  </cols>
  <sheetData>
    <row r="1" spans="1:5" ht="18.75" x14ac:dyDescent="0.3">
      <c r="A1" s="4"/>
      <c r="B1" s="5"/>
      <c r="C1" s="35"/>
      <c r="D1" s="5"/>
    </row>
    <row r="2" spans="1:5" ht="15.75" x14ac:dyDescent="0.25">
      <c r="A2" s="256" t="s">
        <v>307</v>
      </c>
      <c r="B2" s="256"/>
      <c r="C2" s="256"/>
      <c r="D2" s="256"/>
      <c r="E2" s="187"/>
    </row>
    <row r="3" spans="1:5" x14ac:dyDescent="0.25">
      <c r="A3" s="4"/>
      <c r="B3" s="4"/>
      <c r="C3" s="264"/>
      <c r="D3" s="265"/>
    </row>
    <row r="4" spans="1:5" ht="15.75" x14ac:dyDescent="0.25">
      <c r="A4" s="186" t="s">
        <v>723</v>
      </c>
      <c r="B4" s="32"/>
      <c r="C4" s="32"/>
      <c r="D4" s="32"/>
    </row>
    <row r="5" spans="1:5" x14ac:dyDescent="0.25">
      <c r="A5" s="4"/>
      <c r="B5" s="33"/>
      <c r="C5" s="33"/>
      <c r="D5" s="9"/>
    </row>
    <row r="6" spans="1:5" ht="36.75" customHeight="1" x14ac:dyDescent="0.25">
      <c r="A6" s="272" t="s">
        <v>735</v>
      </c>
      <c r="B6" s="272"/>
      <c r="C6" s="272"/>
      <c r="D6" s="272"/>
    </row>
    <row r="7" spans="1:5" x14ac:dyDescent="0.25">
      <c r="A7" s="136"/>
      <c r="B7" s="34"/>
      <c r="C7" s="34"/>
      <c r="D7" s="9"/>
    </row>
    <row r="8" spans="1:5" x14ac:dyDescent="0.25">
      <c r="A8" s="258" t="s">
        <v>309</v>
      </c>
      <c r="B8" s="267"/>
      <c r="C8" s="34"/>
      <c r="D8" s="9"/>
    </row>
    <row r="9" spans="1:5" s="181" customFormat="1" x14ac:dyDescent="0.25">
      <c r="A9" s="180"/>
      <c r="B9" s="182"/>
      <c r="C9" s="34"/>
      <c r="D9" s="9"/>
    </row>
    <row r="10" spans="1:5" ht="15.75" x14ac:dyDescent="0.25">
      <c r="A10" s="251" t="s">
        <v>310</v>
      </c>
      <c r="B10" s="251"/>
      <c r="C10" s="8"/>
      <c r="D10" s="9"/>
    </row>
    <row r="11" spans="1:5" ht="89.25" customHeight="1" x14ac:dyDescent="0.25">
      <c r="A11" s="12" t="s">
        <v>0</v>
      </c>
      <c r="B11" s="12" t="s">
        <v>1</v>
      </c>
      <c r="C11" s="12" t="s">
        <v>120</v>
      </c>
      <c r="D11" s="12" t="s">
        <v>18</v>
      </c>
    </row>
    <row r="12" spans="1:5" x14ac:dyDescent="0.25">
      <c r="A12" s="13">
        <v>1</v>
      </c>
      <c r="B12" s="14">
        <v>2</v>
      </c>
      <c r="C12" s="13">
        <v>3</v>
      </c>
      <c r="D12" s="13">
        <v>4</v>
      </c>
    </row>
    <row r="13" spans="1:5" x14ac:dyDescent="0.25">
      <c r="A13" s="15"/>
      <c r="B13" s="22" t="s">
        <v>13</v>
      </c>
      <c r="C13" s="17"/>
      <c r="D13" s="17"/>
    </row>
    <row r="14" spans="1:5" x14ac:dyDescent="0.25">
      <c r="A14" s="37">
        <v>1100</v>
      </c>
      <c r="B14" s="16" t="s">
        <v>14</v>
      </c>
      <c r="C14" s="38"/>
      <c r="D14" s="38"/>
    </row>
    <row r="15" spans="1:5" ht="90.75" customHeight="1" x14ac:dyDescent="0.25">
      <c r="A15" s="18"/>
      <c r="B15" s="157" t="s">
        <v>1008</v>
      </c>
      <c r="C15" s="55">
        <f>11.7+4.68</f>
        <v>16.38</v>
      </c>
      <c r="D15" s="55">
        <f>C15*50</f>
        <v>819</v>
      </c>
    </row>
    <row r="16" spans="1:5" ht="34.5" customHeight="1" x14ac:dyDescent="0.25">
      <c r="A16" s="85">
        <v>1200</v>
      </c>
      <c r="B16" s="158" t="s">
        <v>1009</v>
      </c>
      <c r="C16" s="55">
        <f>ROUND(C15*0.2359,2)</f>
        <v>3.86</v>
      </c>
      <c r="D16" s="55">
        <f>C16*C43</f>
        <v>193</v>
      </c>
    </row>
    <row r="17" spans="1:4" x14ac:dyDescent="0.25">
      <c r="A17" s="85">
        <v>2341</v>
      </c>
      <c r="B17" s="161" t="s">
        <v>77</v>
      </c>
      <c r="C17" s="19"/>
      <c r="D17" s="19"/>
    </row>
    <row r="18" spans="1:4" ht="16.5" customHeight="1" x14ac:dyDescent="0.25">
      <c r="A18" s="18"/>
      <c r="B18" s="158" t="s">
        <v>114</v>
      </c>
      <c r="C18" s="82">
        <v>12.59</v>
      </c>
      <c r="D18" s="55">
        <f>C18*C43</f>
        <v>629.5</v>
      </c>
    </row>
    <row r="19" spans="1:4" x14ac:dyDescent="0.25">
      <c r="A19" s="68"/>
      <c r="B19" s="159" t="s">
        <v>2</v>
      </c>
      <c r="C19" s="71">
        <f>SUM(C14:C18)</f>
        <v>32.83</v>
      </c>
      <c r="D19" s="71">
        <f>SUM(D14:D18)</f>
        <v>1641.5</v>
      </c>
    </row>
    <row r="20" spans="1:4" x14ac:dyDescent="0.25">
      <c r="A20" s="18"/>
      <c r="B20" s="160" t="s">
        <v>20</v>
      </c>
      <c r="C20" s="19"/>
      <c r="D20" s="19"/>
    </row>
    <row r="21" spans="1:4" x14ac:dyDescent="0.25">
      <c r="A21" s="85">
        <v>2219</v>
      </c>
      <c r="B21" s="158" t="s">
        <v>3</v>
      </c>
      <c r="C21" s="19"/>
      <c r="D21" s="19"/>
    </row>
    <row r="22" spans="1:4" ht="66" customHeight="1" x14ac:dyDescent="0.25">
      <c r="A22" s="18"/>
      <c r="B22" s="158" t="s">
        <v>937</v>
      </c>
      <c r="C22" s="55">
        <f>ROUND(1.05/10,2)</f>
        <v>0.11</v>
      </c>
      <c r="D22" s="55">
        <f>C22*C43</f>
        <v>5.5</v>
      </c>
    </row>
    <row r="23" spans="1:4" x14ac:dyDescent="0.25">
      <c r="A23" s="85">
        <v>2221</v>
      </c>
      <c r="B23" s="158" t="s">
        <v>4</v>
      </c>
      <c r="C23" s="118"/>
      <c r="D23" s="54"/>
    </row>
    <row r="24" spans="1:4" ht="61.5" customHeight="1" x14ac:dyDescent="0.25">
      <c r="A24" s="18"/>
      <c r="B24" s="158" t="s">
        <v>244</v>
      </c>
      <c r="C24" s="55">
        <f>ROUND(2.43/10,2)</f>
        <v>0.24</v>
      </c>
      <c r="D24" s="55">
        <f>C24*C43</f>
        <v>12</v>
      </c>
    </row>
    <row r="25" spans="1:4" ht="16.5" customHeight="1" x14ac:dyDescent="0.25">
      <c r="A25" s="85">
        <v>2222</v>
      </c>
      <c r="B25" s="158" t="s">
        <v>5</v>
      </c>
      <c r="C25" s="118"/>
      <c r="D25" s="118"/>
    </row>
    <row r="26" spans="1:4" ht="60.75" customHeight="1" x14ac:dyDescent="0.25">
      <c r="A26" s="18"/>
      <c r="B26" s="158" t="s">
        <v>245</v>
      </c>
      <c r="C26" s="55">
        <f>ROUND(0.18/10,2)</f>
        <v>0.02</v>
      </c>
      <c r="D26" s="55">
        <f>C26*C43</f>
        <v>1</v>
      </c>
    </row>
    <row r="27" spans="1:4" x14ac:dyDescent="0.25">
      <c r="A27" s="85">
        <v>2223</v>
      </c>
      <c r="B27" s="161" t="s">
        <v>6</v>
      </c>
      <c r="C27" s="19"/>
      <c r="D27" s="19"/>
    </row>
    <row r="28" spans="1:4" ht="62.25" customHeight="1" x14ac:dyDescent="0.25">
      <c r="A28" s="18"/>
      <c r="B28" s="158" t="s">
        <v>246</v>
      </c>
      <c r="C28" s="55">
        <f>ROUND(4.71/10,2)</f>
        <v>0.47</v>
      </c>
      <c r="D28" s="55">
        <f>C28*C43</f>
        <v>23.5</v>
      </c>
    </row>
    <row r="29" spans="1:4" x14ac:dyDescent="0.25">
      <c r="A29" s="86">
        <v>2231</v>
      </c>
      <c r="B29" s="158" t="s">
        <v>22</v>
      </c>
      <c r="C29" s="40"/>
      <c r="D29" s="118"/>
    </row>
    <row r="30" spans="1:4" ht="81" customHeight="1" x14ac:dyDescent="0.25">
      <c r="A30" s="45"/>
      <c r="B30" s="158" t="s">
        <v>938</v>
      </c>
      <c r="C30" s="55">
        <f>ROUND(0.51/10,2)</f>
        <v>0.05</v>
      </c>
      <c r="D30" s="55">
        <f>C30*C43</f>
        <v>2.5</v>
      </c>
    </row>
    <row r="31" spans="1:4" x14ac:dyDescent="0.25">
      <c r="A31" s="85">
        <v>2244</v>
      </c>
      <c r="B31" s="158" t="s">
        <v>24</v>
      </c>
      <c r="C31" s="118"/>
      <c r="D31" s="118"/>
    </row>
    <row r="32" spans="1:4" ht="61.5" customHeight="1" x14ac:dyDescent="0.25">
      <c r="A32" s="21"/>
      <c r="B32" s="158" t="s">
        <v>939</v>
      </c>
      <c r="C32" s="55">
        <f>ROUND(2.46/10,2)</f>
        <v>0.25</v>
      </c>
      <c r="D32" s="55">
        <f>C32*C43</f>
        <v>12.5</v>
      </c>
    </row>
    <row r="33" spans="1:4" x14ac:dyDescent="0.25">
      <c r="A33" s="85">
        <v>2311</v>
      </c>
      <c r="B33" s="158" t="s">
        <v>9</v>
      </c>
      <c r="C33" s="36"/>
      <c r="D33" s="118"/>
    </row>
    <row r="34" spans="1:4" ht="62.25" customHeight="1" x14ac:dyDescent="0.25">
      <c r="A34" s="18"/>
      <c r="B34" s="158" t="s">
        <v>253</v>
      </c>
      <c r="C34" s="55">
        <f>ROUND(0.27/10,2)</f>
        <v>0.03</v>
      </c>
      <c r="D34" s="55">
        <f>C34*C43</f>
        <v>1.5</v>
      </c>
    </row>
    <row r="35" spans="1:4" x14ac:dyDescent="0.25">
      <c r="A35" s="85">
        <v>2350</v>
      </c>
      <c r="B35" s="158" t="s">
        <v>21</v>
      </c>
      <c r="C35" s="36"/>
      <c r="D35" s="54"/>
    </row>
    <row r="36" spans="1:4" ht="63.75" customHeight="1" x14ac:dyDescent="0.25">
      <c r="A36" s="18"/>
      <c r="B36" s="158" t="s">
        <v>249</v>
      </c>
      <c r="C36" s="55">
        <f>ROUND(1.08/10,2)</f>
        <v>0.11</v>
      </c>
      <c r="D36" s="55">
        <f>C36*C43</f>
        <v>5.5</v>
      </c>
    </row>
    <row r="37" spans="1:4" x14ac:dyDescent="0.25">
      <c r="A37" s="18"/>
      <c r="B37" s="22" t="s">
        <v>10</v>
      </c>
      <c r="C37" s="52">
        <f>ROUND(C22+C24+C26+C28+C30+C32+C34+C36,2)</f>
        <v>1.28</v>
      </c>
      <c r="D37" s="52">
        <f>SUM(D21:D36)</f>
        <v>64</v>
      </c>
    </row>
    <row r="38" spans="1:4" x14ac:dyDescent="0.25">
      <c r="A38" s="23"/>
      <c r="B38" s="22" t="s">
        <v>116</v>
      </c>
      <c r="C38" s="52">
        <f>C37+C19</f>
        <v>34.11</v>
      </c>
      <c r="D38" s="52">
        <f>D37+D19</f>
        <v>1705.5</v>
      </c>
    </row>
    <row r="39" spans="1:4" x14ac:dyDescent="0.25">
      <c r="A39" s="23"/>
      <c r="B39" s="24" t="s">
        <v>117</v>
      </c>
      <c r="C39" s="52">
        <f>ROUND(C38*0.21,2)</f>
        <v>7.16</v>
      </c>
      <c r="D39" s="52">
        <f>C39*C43</f>
        <v>358</v>
      </c>
    </row>
    <row r="40" spans="1:4" ht="22.5" customHeight="1" x14ac:dyDescent="0.25">
      <c r="A40" s="23"/>
      <c r="B40" s="169" t="s">
        <v>118</v>
      </c>
      <c r="C40" s="52">
        <f>ROUND(C38+C39,2)</f>
        <v>41.27</v>
      </c>
      <c r="D40" s="52">
        <f>D38+D39</f>
        <v>2063.5</v>
      </c>
    </row>
    <row r="41" spans="1:4" x14ac:dyDescent="0.25">
      <c r="A41" s="25"/>
      <c r="B41" s="26"/>
      <c r="C41" s="27"/>
      <c r="D41" s="27"/>
    </row>
    <row r="42" spans="1:4" x14ac:dyDescent="0.25">
      <c r="A42" s="26"/>
      <c r="B42" s="28"/>
      <c r="C42" s="28"/>
      <c r="D42" s="9"/>
    </row>
    <row r="43" spans="1:4" ht="15" customHeight="1" x14ac:dyDescent="0.25">
      <c r="A43" s="252" t="s">
        <v>16</v>
      </c>
      <c r="B43" s="253"/>
      <c r="C43" s="84">
        <v>50</v>
      </c>
      <c r="D43" s="29"/>
    </row>
    <row r="44" spans="1:4" ht="37.5" customHeight="1" x14ac:dyDescent="0.25">
      <c r="A44" s="254" t="s">
        <v>23</v>
      </c>
      <c r="B44" s="255"/>
      <c r="C44" s="139">
        <f>D40/C43</f>
        <v>41.27</v>
      </c>
      <c r="D44" s="29"/>
    </row>
    <row r="45" spans="1:4" x14ac:dyDescent="0.25">
      <c r="A45" s="30"/>
      <c r="B45" s="30"/>
      <c r="C45" s="30"/>
      <c r="D45" s="30"/>
    </row>
    <row r="46" spans="1:4" x14ac:dyDescent="0.25">
      <c r="A46" s="30"/>
      <c r="B46" s="30"/>
      <c r="C46" s="9"/>
      <c r="D46" s="5"/>
    </row>
    <row r="47" spans="1:4" x14ac:dyDescent="0.25">
      <c r="A47" s="30"/>
      <c r="B47" s="30"/>
      <c r="C47" s="9"/>
      <c r="D47" s="5"/>
    </row>
    <row r="48" spans="1:4" x14ac:dyDescent="0.25">
      <c r="A48" s="30"/>
      <c r="B48" s="30"/>
      <c r="C48" s="31"/>
      <c r="D48" s="5"/>
    </row>
    <row r="49" spans="1:4" x14ac:dyDescent="0.25">
      <c r="A49" s="30"/>
      <c r="B49" s="30"/>
      <c r="C49" s="31"/>
      <c r="D49" s="9"/>
    </row>
    <row r="50" spans="1:4" x14ac:dyDescent="0.25">
      <c r="A50" s="231"/>
      <c r="B50" s="231"/>
    </row>
    <row r="51" spans="1:4" x14ac:dyDescent="0.25">
      <c r="A51" s="250"/>
      <c r="B51" s="231"/>
    </row>
    <row r="52" spans="1:4" x14ac:dyDescent="0.25">
      <c r="A52" s="154"/>
      <c r="B52" s="9"/>
    </row>
    <row r="53" spans="1:4" x14ac:dyDescent="0.25">
      <c r="A53" s="250"/>
      <c r="B53" s="250"/>
    </row>
  </sheetData>
  <customSheetViews>
    <customSheetView guid="{3046F990-4623-45D5-BDDC-01BD5999DDBC}" scale="60" showPageBreaks="1" fitToPage="1" printArea="1" view="pageBreakPreview" topLeftCell="A22">
      <selection activeCell="B53" sqref="B53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8" fitToHeight="0" orientation="portrait" verticalDpi="0" r:id="rId1"/>
      <headerFooter>
        <oddFooter>&amp;C&amp;P</oddFooter>
      </headerFooter>
    </customSheetView>
    <customSheetView guid="{FC502735-BE91-49EC-9614-36ECAE88D000}" scale="60" showPageBreaks="1" fitToPage="1" printArea="1" view="pageBreakPreview" topLeftCell="A22">
      <selection activeCell="B36" sqref="B36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8" fitToHeight="0" orientation="portrait" verticalDpi="0" r:id="rId2"/>
      <headerFooter>
        <oddFooter>&amp;C&amp;P</oddFooter>
      </headerFooter>
    </customSheetView>
    <customSheetView guid="{2CF5EF93-C226-48EA-959E-36D142677DAA}" scale="60" showPageBreaks="1" fitToPage="1" printArea="1" view="pageBreakPreview" topLeftCell="A16">
      <selection activeCell="D40" sqref="D40"/>
      <rowBreaks count="1" manualBreakCount="1">
        <brk id="34" max="3" man="1"/>
      </rowBreaks>
      <pageMargins left="0.70866141732283472" right="0.70866141732283472" top="0.74803149606299213" bottom="0.74803149606299213" header="0.31496062992125984" footer="0.31496062992125984"/>
      <pageSetup paperSize="9" scale="69" fitToHeight="0" orientation="portrait" r:id="rId3"/>
      <headerFooter>
        <oddFooter>&amp;C&amp;P</oddFooter>
      </headerFooter>
    </customSheetView>
  </customSheetViews>
  <mergeCells count="10">
    <mergeCell ref="A10:B10"/>
    <mergeCell ref="A2:D2"/>
    <mergeCell ref="A51:B51"/>
    <mergeCell ref="A53:B53"/>
    <mergeCell ref="A43:B43"/>
    <mergeCell ref="A44:B44"/>
    <mergeCell ref="C3:D3"/>
    <mergeCell ref="A6:D6"/>
    <mergeCell ref="A8:B8"/>
    <mergeCell ref="A50:B50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4"/>
  <headerFooter>
    <oddFooter>&amp;C&amp;P</oddFooter>
  </headerFooter>
  <rowBreaks count="1" manualBreakCount="1">
    <brk id="34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view="pageBreakPreview" topLeftCell="A16" zoomScale="60" zoomScaleNormal="100" workbookViewId="0">
      <selection activeCell="C39" sqref="C39"/>
    </sheetView>
  </sheetViews>
  <sheetFormatPr defaultRowHeight="15" x14ac:dyDescent="0.25"/>
  <cols>
    <col min="1" max="1" width="14.85546875" customWidth="1"/>
    <col min="2" max="2" width="91.5703125" customWidth="1"/>
    <col min="3" max="3" width="13.7109375" customWidth="1"/>
    <col min="4" max="4" width="21.28515625" customWidth="1"/>
  </cols>
  <sheetData>
    <row r="1" spans="1:5" ht="18.75" x14ac:dyDescent="0.3">
      <c r="A1" s="4"/>
      <c r="B1" s="5"/>
      <c r="C1" s="35"/>
      <c r="D1" s="5"/>
    </row>
    <row r="2" spans="1:5" ht="15.75" x14ac:dyDescent="0.25">
      <c r="A2" s="256" t="s">
        <v>307</v>
      </c>
      <c r="B2" s="256"/>
      <c r="C2" s="256"/>
      <c r="D2" s="256"/>
      <c r="E2" s="187"/>
    </row>
    <row r="3" spans="1:5" ht="21" customHeight="1" x14ac:dyDescent="0.25">
      <c r="A3" s="4"/>
      <c r="B3" s="4"/>
      <c r="C3" s="273"/>
      <c r="D3" s="274"/>
    </row>
    <row r="4" spans="1:5" ht="15.75" x14ac:dyDescent="0.25">
      <c r="A4" s="186" t="s">
        <v>723</v>
      </c>
      <c r="B4" s="90"/>
      <c r="C4" s="90"/>
      <c r="D4" s="90"/>
    </row>
    <row r="5" spans="1:5" x14ac:dyDescent="0.25">
      <c r="A5" s="87"/>
      <c r="B5" s="91"/>
      <c r="C5" s="91"/>
      <c r="D5" s="81"/>
    </row>
    <row r="6" spans="1:5" ht="31.5" customHeight="1" x14ac:dyDescent="0.25">
      <c r="A6" s="275" t="s">
        <v>736</v>
      </c>
      <c r="B6" s="275"/>
      <c r="C6" s="275"/>
      <c r="D6" s="275"/>
    </row>
    <row r="7" spans="1:5" x14ac:dyDescent="0.25">
      <c r="A7" s="137"/>
      <c r="B7" s="80"/>
      <c r="C7" s="80"/>
      <c r="D7" s="81"/>
    </row>
    <row r="8" spans="1:5" x14ac:dyDescent="0.25">
      <c r="A8" s="270" t="s">
        <v>749</v>
      </c>
      <c r="B8" s="271"/>
      <c r="C8" s="80"/>
      <c r="D8" s="81"/>
    </row>
    <row r="9" spans="1:5" s="181" customFormat="1" x14ac:dyDescent="0.25">
      <c r="A9" s="183"/>
      <c r="B9" s="184"/>
      <c r="C9" s="80"/>
      <c r="D9" s="81"/>
    </row>
    <row r="10" spans="1:5" ht="15.75" x14ac:dyDescent="0.25">
      <c r="A10" s="251" t="s">
        <v>730</v>
      </c>
      <c r="B10" s="251"/>
      <c r="C10" s="93"/>
      <c r="D10" s="81"/>
    </row>
    <row r="11" spans="1:5" ht="91.5" customHeight="1" x14ac:dyDescent="0.25">
      <c r="A11" s="94" t="s">
        <v>0</v>
      </c>
      <c r="B11" s="94" t="s">
        <v>1</v>
      </c>
      <c r="C11" s="94" t="s">
        <v>120</v>
      </c>
      <c r="D11" s="94" t="s">
        <v>18</v>
      </c>
    </row>
    <row r="12" spans="1:5" x14ac:dyDescent="0.25">
      <c r="A12" s="95">
        <v>1</v>
      </c>
      <c r="B12" s="96">
        <v>2</v>
      </c>
      <c r="C12" s="95">
        <v>3</v>
      </c>
      <c r="D12" s="95">
        <v>4</v>
      </c>
    </row>
    <row r="13" spans="1:5" x14ac:dyDescent="0.25">
      <c r="A13" s="97"/>
      <c r="B13" s="98" t="s">
        <v>13</v>
      </c>
      <c r="C13" s="99"/>
      <c r="D13" s="99"/>
    </row>
    <row r="14" spans="1:5" x14ac:dyDescent="0.25">
      <c r="A14" s="100">
        <v>1100</v>
      </c>
      <c r="B14" s="101" t="s">
        <v>14</v>
      </c>
      <c r="C14" s="102"/>
      <c r="D14" s="102"/>
    </row>
    <row r="15" spans="1:5" ht="76.5" customHeight="1" x14ac:dyDescent="0.25">
      <c r="A15" s="45"/>
      <c r="B15" s="162" t="s">
        <v>1010</v>
      </c>
      <c r="C15" s="82">
        <f>23.4+31.2</f>
        <v>54.599999999999994</v>
      </c>
      <c r="D15" s="82">
        <f>C15*20</f>
        <v>1092</v>
      </c>
    </row>
    <row r="16" spans="1:5" ht="32.25" customHeight="1" x14ac:dyDescent="0.25">
      <c r="A16" s="85">
        <v>1200</v>
      </c>
      <c r="B16" s="158" t="s">
        <v>1011</v>
      </c>
      <c r="C16" s="55">
        <f>ROUND(C15*0.2359,2)</f>
        <v>12.88</v>
      </c>
      <c r="D16" s="55">
        <f>C16*C43</f>
        <v>257.60000000000002</v>
      </c>
    </row>
    <row r="17" spans="1:4" x14ac:dyDescent="0.25">
      <c r="A17" s="85">
        <v>2341</v>
      </c>
      <c r="B17" s="161" t="s">
        <v>125</v>
      </c>
      <c r="C17" s="19"/>
      <c r="D17" s="19"/>
    </row>
    <row r="18" spans="1:4" ht="18.75" customHeight="1" x14ac:dyDescent="0.25">
      <c r="A18" s="18"/>
      <c r="B18" s="158" t="s">
        <v>114</v>
      </c>
      <c r="C18" s="55">
        <v>130.03</v>
      </c>
      <c r="D18" s="55">
        <f>C18*C43</f>
        <v>2600.6</v>
      </c>
    </row>
    <row r="19" spans="1:4" x14ac:dyDescent="0.25">
      <c r="A19" s="68"/>
      <c r="B19" s="159" t="s">
        <v>2</v>
      </c>
      <c r="C19" s="71">
        <f>SUM(C14:C18)</f>
        <v>197.51</v>
      </c>
      <c r="D19" s="71">
        <f>SUM(D14:D18)</f>
        <v>3950.2</v>
      </c>
    </row>
    <row r="20" spans="1:4" x14ac:dyDescent="0.25">
      <c r="A20" s="18"/>
      <c r="B20" s="160" t="s">
        <v>20</v>
      </c>
      <c r="C20" s="19"/>
      <c r="D20" s="19"/>
    </row>
    <row r="21" spans="1:4" x14ac:dyDescent="0.25">
      <c r="A21" s="85">
        <v>2219</v>
      </c>
      <c r="B21" s="158" t="s">
        <v>3</v>
      </c>
      <c r="C21" s="19"/>
      <c r="D21" s="19"/>
    </row>
    <row r="22" spans="1:4" ht="50.25" customHeight="1" x14ac:dyDescent="0.25">
      <c r="A22" s="18"/>
      <c r="B22" s="158" t="s">
        <v>254</v>
      </c>
      <c r="C22" s="55">
        <f>3.5/10</f>
        <v>0.35</v>
      </c>
      <c r="D22" s="55">
        <f>C22*C43</f>
        <v>7</v>
      </c>
    </row>
    <row r="23" spans="1:4" x14ac:dyDescent="0.25">
      <c r="A23" s="85">
        <v>2221</v>
      </c>
      <c r="B23" s="158" t="s">
        <v>4</v>
      </c>
      <c r="C23" s="19"/>
      <c r="D23" s="19"/>
    </row>
    <row r="24" spans="1:4" ht="53.25" customHeight="1" x14ac:dyDescent="0.25">
      <c r="A24" s="18"/>
      <c r="B24" s="158" t="s">
        <v>321</v>
      </c>
      <c r="C24" s="55">
        <f>8.1/10</f>
        <v>0.80999999999999994</v>
      </c>
      <c r="D24" s="55">
        <f>C24*C43</f>
        <v>16.2</v>
      </c>
    </row>
    <row r="25" spans="1:4" ht="15" customHeight="1" x14ac:dyDescent="0.25">
      <c r="A25" s="85">
        <v>2222</v>
      </c>
      <c r="B25" s="158" t="s">
        <v>5</v>
      </c>
      <c r="C25" s="19"/>
      <c r="D25" s="19"/>
    </row>
    <row r="26" spans="1:4" ht="53.25" customHeight="1" x14ac:dyDescent="0.25">
      <c r="A26" s="18"/>
      <c r="B26" s="158" t="s">
        <v>255</v>
      </c>
      <c r="C26" s="55">
        <f>0.6/10</f>
        <v>0.06</v>
      </c>
      <c r="D26" s="55">
        <f>C26*C43</f>
        <v>1.2</v>
      </c>
    </row>
    <row r="27" spans="1:4" x14ac:dyDescent="0.25">
      <c r="A27" s="85">
        <v>2223</v>
      </c>
      <c r="B27" s="161" t="s">
        <v>6</v>
      </c>
      <c r="C27" s="19"/>
      <c r="D27" s="19"/>
    </row>
    <row r="28" spans="1:4" ht="51" customHeight="1" x14ac:dyDescent="0.25">
      <c r="A28" s="18"/>
      <c r="B28" s="158" t="s">
        <v>256</v>
      </c>
      <c r="C28" s="55">
        <f>15.7/10</f>
        <v>1.5699999999999998</v>
      </c>
      <c r="D28" s="55">
        <f>C28*C43</f>
        <v>31.4</v>
      </c>
    </row>
    <row r="29" spans="1:4" x14ac:dyDescent="0.25">
      <c r="A29" s="86">
        <v>2231</v>
      </c>
      <c r="B29" s="158" t="s">
        <v>22</v>
      </c>
      <c r="C29" s="36"/>
      <c r="D29" s="54"/>
    </row>
    <row r="30" spans="1:4" ht="54.75" customHeight="1" x14ac:dyDescent="0.25">
      <c r="A30" s="45"/>
      <c r="B30" s="158" t="s">
        <v>322</v>
      </c>
      <c r="C30" s="55">
        <f>1.7/10</f>
        <v>0.16999999999999998</v>
      </c>
      <c r="D30" s="55">
        <f>C30*C43</f>
        <v>3.3999999999999995</v>
      </c>
    </row>
    <row r="31" spans="1:4" x14ac:dyDescent="0.25">
      <c r="A31" s="85">
        <v>2244</v>
      </c>
      <c r="B31" s="158" t="s">
        <v>24</v>
      </c>
      <c r="C31" s="19"/>
      <c r="D31" s="19"/>
    </row>
    <row r="32" spans="1:4" ht="59.25" customHeight="1" x14ac:dyDescent="0.25">
      <c r="A32" s="21"/>
      <c r="B32" s="158" t="s">
        <v>257</v>
      </c>
      <c r="C32" s="55">
        <f>8.2/10</f>
        <v>0.82</v>
      </c>
      <c r="D32" s="55">
        <f>C32*C43</f>
        <v>16.399999999999999</v>
      </c>
    </row>
    <row r="33" spans="1:4" x14ac:dyDescent="0.25">
      <c r="A33" s="85">
        <v>2311</v>
      </c>
      <c r="B33" s="158" t="s">
        <v>9</v>
      </c>
      <c r="C33" s="36"/>
      <c r="D33" s="19"/>
    </row>
    <row r="34" spans="1:4" ht="62.25" customHeight="1" x14ac:dyDescent="0.25">
      <c r="A34" s="18"/>
      <c r="B34" s="158" t="s">
        <v>323</v>
      </c>
      <c r="C34" s="55">
        <f>0.9/10</f>
        <v>0.09</v>
      </c>
      <c r="D34" s="55">
        <f>C34*C43</f>
        <v>1.7999999999999998</v>
      </c>
    </row>
    <row r="35" spans="1:4" x14ac:dyDescent="0.25">
      <c r="A35" s="85">
        <v>2350</v>
      </c>
      <c r="B35" s="158" t="s">
        <v>21</v>
      </c>
      <c r="C35" s="36"/>
      <c r="D35" s="19"/>
    </row>
    <row r="36" spans="1:4" ht="57" customHeight="1" x14ac:dyDescent="0.25">
      <c r="A36" s="18"/>
      <c r="B36" s="158" t="s">
        <v>258</v>
      </c>
      <c r="C36" s="55">
        <f>3.6/10</f>
        <v>0.36</v>
      </c>
      <c r="D36" s="55">
        <f>C36*C43</f>
        <v>7.1999999999999993</v>
      </c>
    </row>
    <row r="37" spans="1:4" x14ac:dyDescent="0.25">
      <c r="A37" s="68"/>
      <c r="B37" s="72" t="s">
        <v>10</v>
      </c>
      <c r="C37" s="71">
        <f>SUM(C21:C36)</f>
        <v>4.2299999999999995</v>
      </c>
      <c r="D37" s="71">
        <f>SUM(D21:D36)</f>
        <v>84.6</v>
      </c>
    </row>
    <row r="38" spans="1:4" x14ac:dyDescent="0.25">
      <c r="A38" s="23"/>
      <c r="B38" s="24" t="s">
        <v>116</v>
      </c>
      <c r="C38" s="52">
        <f>C37+C19</f>
        <v>201.73999999999998</v>
      </c>
      <c r="D38" s="52">
        <f>D37+D19</f>
        <v>4034.7999999999997</v>
      </c>
    </row>
    <row r="39" spans="1:4" x14ac:dyDescent="0.25">
      <c r="A39" s="23"/>
      <c r="B39" s="24" t="s">
        <v>117</v>
      </c>
      <c r="C39" s="52">
        <f>ROUND(C38*0.21,2)</f>
        <v>42.37</v>
      </c>
      <c r="D39" s="52">
        <f>C39*C43</f>
        <v>847.4</v>
      </c>
    </row>
    <row r="40" spans="1:4" x14ac:dyDescent="0.25">
      <c r="A40" s="23"/>
      <c r="B40" s="83" t="s">
        <v>118</v>
      </c>
      <c r="C40" s="52">
        <f>C38+C39</f>
        <v>244.10999999999999</v>
      </c>
      <c r="D40" s="52">
        <f>D38+D39</f>
        <v>4882.2</v>
      </c>
    </row>
    <row r="41" spans="1:4" x14ac:dyDescent="0.25">
      <c r="A41" s="25"/>
      <c r="B41" s="26"/>
      <c r="C41" s="27"/>
      <c r="D41" s="27"/>
    </row>
    <row r="42" spans="1:4" x14ac:dyDescent="0.25">
      <c r="A42" s="26"/>
      <c r="B42" s="28"/>
      <c r="C42" s="28"/>
      <c r="D42" s="9"/>
    </row>
    <row r="43" spans="1:4" ht="15" customHeight="1" x14ac:dyDescent="0.25">
      <c r="A43" s="252" t="s">
        <v>16</v>
      </c>
      <c r="B43" s="253"/>
      <c r="C43" s="138">
        <v>20</v>
      </c>
      <c r="D43" s="29"/>
    </row>
    <row r="44" spans="1:4" ht="30.75" customHeight="1" x14ac:dyDescent="0.25">
      <c r="A44" s="254" t="s">
        <v>23</v>
      </c>
      <c r="B44" s="255"/>
      <c r="C44" s="139">
        <f>D40/C43</f>
        <v>244.10999999999999</v>
      </c>
      <c r="D44" s="29"/>
    </row>
    <row r="45" spans="1:4" x14ac:dyDescent="0.25">
      <c r="A45" s="30"/>
      <c r="B45" s="30"/>
      <c r="C45" s="30"/>
      <c r="D45" s="30"/>
    </row>
    <row r="46" spans="1:4" x14ac:dyDescent="0.25">
      <c r="A46" s="30"/>
      <c r="B46" s="30"/>
      <c r="C46" s="30"/>
      <c r="D46" s="152"/>
    </row>
    <row r="47" spans="1:4" x14ac:dyDescent="0.25">
      <c r="A47" s="30"/>
      <c r="B47" s="30"/>
      <c r="C47" s="30"/>
      <c r="D47" s="152"/>
    </row>
    <row r="48" spans="1:4" x14ac:dyDescent="0.25">
      <c r="A48" s="30"/>
      <c r="B48" s="30"/>
      <c r="C48" s="30"/>
      <c r="D48" s="152"/>
    </row>
    <row r="49" spans="1:4" x14ac:dyDescent="0.25">
      <c r="A49" s="30"/>
      <c r="B49" s="30"/>
      <c r="C49" s="30"/>
      <c r="D49" s="30"/>
    </row>
    <row r="50" spans="1:4" x14ac:dyDescent="0.25">
      <c r="A50" s="231"/>
      <c r="B50" s="231"/>
      <c r="C50" s="9"/>
      <c r="D50" s="9"/>
    </row>
    <row r="51" spans="1:4" x14ac:dyDescent="0.25">
      <c r="A51" s="250"/>
      <c r="B51" s="231"/>
      <c r="C51" s="9"/>
      <c r="D51" s="9"/>
    </row>
    <row r="52" spans="1:4" x14ac:dyDescent="0.25">
      <c r="A52" s="154"/>
      <c r="B52" s="9"/>
      <c r="C52" s="31"/>
      <c r="D52" s="9"/>
    </row>
    <row r="53" spans="1:4" x14ac:dyDescent="0.25">
      <c r="A53" s="250"/>
      <c r="B53" s="250"/>
      <c r="C53" s="31"/>
      <c r="D53" s="9"/>
    </row>
  </sheetData>
  <customSheetViews>
    <customSheetView guid="{3046F990-4623-45D5-BDDC-01BD5999DDBC}" scale="60" showPageBreaks="1" fitToPage="1" printArea="1" view="pageBreakPreview" topLeftCell="A16">
      <selection activeCell="B53" sqref="B53"/>
      <pageMargins left="0.70866141732283472" right="0.70866141732283472" top="0.74803149606299213" bottom="0.74803149606299213" header="0.31496062992125984" footer="0.31496062992125984"/>
      <pageSetup paperSize="9" scale="61" fitToHeight="0" orientation="portrait" verticalDpi="0" r:id="rId1"/>
      <headerFooter>
        <oddFooter>&amp;C&amp;P</oddFooter>
      </headerFooter>
    </customSheetView>
    <customSheetView guid="{FC502735-BE91-49EC-9614-36ECAE88D000}" scale="60" showPageBreaks="1" fitToPage="1" printArea="1" view="pageBreakPreview" topLeftCell="A16">
      <selection activeCell="B32" sqref="B32"/>
      <pageMargins left="0.70866141732283472" right="0.70866141732283472" top="0.74803149606299213" bottom="0.74803149606299213" header="0.31496062992125984" footer="0.31496062992125984"/>
      <pageSetup paperSize="9" scale="61" fitToHeight="0" orientation="portrait" verticalDpi="0" r:id="rId2"/>
      <headerFooter>
        <oddFooter>&amp;C&amp;P</oddFooter>
      </headerFooter>
    </customSheetView>
    <customSheetView guid="{2CF5EF93-C226-48EA-959E-36D142677DAA}" scale="60" showPageBreaks="1" fitToPage="1" printArea="1" view="pageBreakPreview" topLeftCell="A16">
      <selection activeCell="C39" sqref="C39"/>
      <pageMargins left="0.70866141732283472" right="0.70866141732283472" top="0.74803149606299213" bottom="0.74803149606299213" header="0.31496062992125984" footer="0.31496062992125984"/>
      <pageSetup paperSize="9" scale="63" fitToHeight="0" orientation="portrait" r:id="rId3"/>
      <headerFooter>
        <oddFooter>&amp;C&amp;P</oddFooter>
      </headerFooter>
    </customSheetView>
  </customSheetViews>
  <mergeCells count="10">
    <mergeCell ref="A2:D2"/>
    <mergeCell ref="A10:B10"/>
    <mergeCell ref="A51:B51"/>
    <mergeCell ref="A53:B53"/>
    <mergeCell ref="A43:B43"/>
    <mergeCell ref="A44:B44"/>
    <mergeCell ref="C3:D3"/>
    <mergeCell ref="A6:D6"/>
    <mergeCell ref="A8:B8"/>
    <mergeCell ref="A50:B50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4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view="pageBreakPreview" topLeftCell="A16" zoomScale="60" zoomScaleNormal="100" workbookViewId="0">
      <selection activeCell="C44" sqref="C44"/>
    </sheetView>
  </sheetViews>
  <sheetFormatPr defaultRowHeight="15" x14ac:dyDescent="0.25"/>
  <cols>
    <col min="1" max="1" width="14.28515625" customWidth="1"/>
    <col min="2" max="2" width="83.5703125" customWidth="1"/>
    <col min="3" max="3" width="12.85546875" customWidth="1"/>
    <col min="4" max="4" width="17.140625" customWidth="1"/>
  </cols>
  <sheetData>
    <row r="1" spans="1:4" ht="18.75" x14ac:dyDescent="0.3">
      <c r="A1" s="4"/>
      <c r="B1" s="5"/>
      <c r="C1" s="35"/>
      <c r="D1" s="5"/>
    </row>
    <row r="2" spans="1:4" ht="15.75" x14ac:dyDescent="0.25">
      <c r="A2" s="256" t="s">
        <v>307</v>
      </c>
      <c r="B2" s="256"/>
      <c r="C2" s="256"/>
      <c r="D2" s="256"/>
    </row>
    <row r="3" spans="1:4" x14ac:dyDescent="0.25">
      <c r="A3" s="4"/>
      <c r="B3" s="4"/>
      <c r="C3" s="273"/>
      <c r="D3" s="274"/>
    </row>
    <row r="4" spans="1:4" ht="15.75" x14ac:dyDescent="0.25">
      <c r="A4" s="186" t="s">
        <v>723</v>
      </c>
      <c r="B4" s="32"/>
      <c r="C4" s="32"/>
      <c r="D4" s="32"/>
    </row>
    <row r="5" spans="1:4" x14ac:dyDescent="0.25">
      <c r="A5" s="4"/>
      <c r="B5" s="33"/>
      <c r="C5" s="33"/>
      <c r="D5" s="9"/>
    </row>
    <row r="6" spans="1:4" ht="33.75" customHeight="1" x14ac:dyDescent="0.25">
      <c r="A6" s="276" t="s">
        <v>737</v>
      </c>
      <c r="B6" s="276"/>
      <c r="C6" s="276"/>
      <c r="D6" s="276"/>
    </row>
    <row r="7" spans="1:4" x14ac:dyDescent="0.25">
      <c r="A7" s="136"/>
      <c r="B7" s="34"/>
      <c r="C7" s="34"/>
      <c r="D7" s="9"/>
    </row>
    <row r="8" spans="1:4" ht="15" customHeight="1" x14ac:dyDescent="0.25">
      <c r="A8" s="270" t="s">
        <v>309</v>
      </c>
      <c r="B8" s="271"/>
      <c r="C8" s="34"/>
      <c r="D8" s="9"/>
    </row>
    <row r="9" spans="1:4" s="181" customFormat="1" ht="15" customHeight="1" x14ac:dyDescent="0.25">
      <c r="A9" s="183"/>
      <c r="B9" s="184"/>
      <c r="C9" s="34"/>
      <c r="D9" s="9"/>
    </row>
    <row r="10" spans="1:4" ht="15.75" x14ac:dyDescent="0.25">
      <c r="A10" s="251" t="s">
        <v>310</v>
      </c>
      <c r="B10" s="251"/>
      <c r="C10" s="8"/>
      <c r="D10" s="9"/>
    </row>
    <row r="11" spans="1:4" ht="105" customHeight="1" x14ac:dyDescent="0.25">
      <c r="A11" s="12" t="s">
        <v>0</v>
      </c>
      <c r="B11" s="12" t="s">
        <v>1</v>
      </c>
      <c r="C11" s="12" t="s">
        <v>120</v>
      </c>
      <c r="D11" s="12" t="s">
        <v>18</v>
      </c>
    </row>
    <row r="12" spans="1:4" x14ac:dyDescent="0.25">
      <c r="A12" s="13">
        <v>1</v>
      </c>
      <c r="B12" s="14">
        <v>2</v>
      </c>
      <c r="C12" s="13">
        <v>3</v>
      </c>
      <c r="D12" s="13">
        <v>4</v>
      </c>
    </row>
    <row r="13" spans="1:4" x14ac:dyDescent="0.25">
      <c r="A13" s="15"/>
      <c r="B13" s="22" t="s">
        <v>13</v>
      </c>
      <c r="C13" s="17"/>
      <c r="D13" s="17"/>
    </row>
    <row r="14" spans="1:4" x14ac:dyDescent="0.25">
      <c r="A14" s="37">
        <v>1100</v>
      </c>
      <c r="B14" s="16" t="s">
        <v>14</v>
      </c>
      <c r="C14" s="38"/>
      <c r="D14" s="38"/>
    </row>
    <row r="15" spans="1:4" ht="171" customHeight="1" x14ac:dyDescent="0.25">
      <c r="A15" s="18"/>
      <c r="B15" s="157" t="s">
        <v>1012</v>
      </c>
      <c r="C15" s="55">
        <f>10.91+9</f>
        <v>19.91</v>
      </c>
      <c r="D15" s="55">
        <f>C15*50</f>
        <v>995.5</v>
      </c>
    </row>
    <row r="16" spans="1:4" ht="33.75" customHeight="1" x14ac:dyDescent="0.25">
      <c r="A16" s="85">
        <v>1200</v>
      </c>
      <c r="B16" s="162" t="s">
        <v>738</v>
      </c>
      <c r="C16" s="55">
        <f>ROUND(10.91*0.2359,2)</f>
        <v>2.57</v>
      </c>
      <c r="D16" s="55">
        <f>C16*C43</f>
        <v>128.5</v>
      </c>
    </row>
    <row r="17" spans="1:4" ht="15" customHeight="1" x14ac:dyDescent="0.25">
      <c r="A17" s="85">
        <v>2341</v>
      </c>
      <c r="B17" s="18" t="s">
        <v>77</v>
      </c>
      <c r="C17" s="55"/>
      <c r="D17" s="19"/>
    </row>
    <row r="18" spans="1:4" ht="19.5" customHeight="1" x14ac:dyDescent="0.25">
      <c r="A18" s="18"/>
      <c r="B18" s="162" t="s">
        <v>114</v>
      </c>
      <c r="C18" s="55">
        <v>0.45</v>
      </c>
      <c r="D18" s="55">
        <f>C18*C43</f>
        <v>22.5</v>
      </c>
    </row>
    <row r="19" spans="1:4" x14ac:dyDescent="0.25">
      <c r="A19" s="68"/>
      <c r="B19" s="165" t="s">
        <v>2</v>
      </c>
      <c r="C19" s="71">
        <f>SUM(C14:C18)</f>
        <v>22.93</v>
      </c>
      <c r="D19" s="71">
        <f>SUM(D14:D18)</f>
        <v>1146.5</v>
      </c>
    </row>
    <row r="20" spans="1:4" x14ac:dyDescent="0.25">
      <c r="A20" s="18"/>
      <c r="B20" s="166" t="s">
        <v>20</v>
      </c>
      <c r="C20" s="19"/>
      <c r="D20" s="19"/>
    </row>
    <row r="21" spans="1:4" x14ac:dyDescent="0.25">
      <c r="A21" s="85">
        <v>2219</v>
      </c>
      <c r="B21" s="162" t="s">
        <v>3</v>
      </c>
      <c r="C21" s="19"/>
      <c r="D21" s="19"/>
    </row>
    <row r="22" spans="1:4" ht="61.5" customHeight="1" x14ac:dyDescent="0.25">
      <c r="A22" s="18"/>
      <c r="B22" s="162" t="s">
        <v>259</v>
      </c>
      <c r="C22" s="55">
        <f>0.7/10</f>
        <v>6.9999999999999993E-2</v>
      </c>
      <c r="D22" s="55">
        <f>C22*C43</f>
        <v>3.4999999999999996</v>
      </c>
    </row>
    <row r="23" spans="1:4" x14ac:dyDescent="0.25">
      <c r="A23" s="85">
        <v>2221</v>
      </c>
      <c r="B23" s="162" t="s">
        <v>4</v>
      </c>
      <c r="C23" s="19"/>
      <c r="D23" s="54"/>
    </row>
    <row r="24" spans="1:4" ht="63" customHeight="1" x14ac:dyDescent="0.25">
      <c r="A24" s="18"/>
      <c r="B24" s="162" t="s">
        <v>260</v>
      </c>
      <c r="C24" s="55">
        <f>ROUND(1.62/10,2)</f>
        <v>0.16</v>
      </c>
      <c r="D24" s="55">
        <f>C24*C43</f>
        <v>8</v>
      </c>
    </row>
    <row r="25" spans="1:4" ht="14.25" customHeight="1" x14ac:dyDescent="0.25">
      <c r="A25" s="85">
        <v>2222</v>
      </c>
      <c r="B25" s="162" t="s">
        <v>5</v>
      </c>
      <c r="C25" s="19"/>
      <c r="D25" s="54"/>
    </row>
    <row r="26" spans="1:4" ht="60.75" customHeight="1" x14ac:dyDescent="0.25">
      <c r="A26" s="18"/>
      <c r="B26" s="162" t="s">
        <v>261</v>
      </c>
      <c r="C26" s="55">
        <f>ROUND(0.12/10,2)</f>
        <v>0.01</v>
      </c>
      <c r="D26" s="55">
        <f>C26*C43</f>
        <v>0.5</v>
      </c>
    </row>
    <row r="27" spans="1:4" x14ac:dyDescent="0.25">
      <c r="A27" s="85">
        <v>2223</v>
      </c>
      <c r="B27" s="18" t="s">
        <v>6</v>
      </c>
      <c r="C27" s="19"/>
      <c r="D27" s="54"/>
    </row>
    <row r="28" spans="1:4" ht="60" customHeight="1" x14ac:dyDescent="0.25">
      <c r="A28" s="18"/>
      <c r="B28" s="162" t="s">
        <v>807</v>
      </c>
      <c r="C28" s="55">
        <f>ROUND(3.14/10,2)</f>
        <v>0.31</v>
      </c>
      <c r="D28" s="55">
        <f>C28*C43</f>
        <v>15.5</v>
      </c>
    </row>
    <row r="29" spans="1:4" x14ac:dyDescent="0.25">
      <c r="A29" s="86">
        <v>2231</v>
      </c>
      <c r="B29" s="162" t="s">
        <v>22</v>
      </c>
      <c r="C29" s="36"/>
      <c r="D29" s="19"/>
    </row>
    <row r="30" spans="1:4" ht="79.5" customHeight="1" x14ac:dyDescent="0.25">
      <c r="A30" s="45"/>
      <c r="B30" s="162" t="s">
        <v>739</v>
      </c>
      <c r="C30" s="55">
        <f>ROUND(0.34/10,2)</f>
        <v>0.03</v>
      </c>
      <c r="D30" s="55">
        <f>C30*C43</f>
        <v>1.5</v>
      </c>
    </row>
    <row r="31" spans="1:4" x14ac:dyDescent="0.25">
      <c r="A31" s="85">
        <v>2244</v>
      </c>
      <c r="B31" s="162" t="s">
        <v>24</v>
      </c>
      <c r="C31" s="19"/>
      <c r="D31" s="19"/>
    </row>
    <row r="32" spans="1:4" ht="60" customHeight="1" x14ac:dyDescent="0.25">
      <c r="A32" s="21"/>
      <c r="B32" s="162" t="s">
        <v>262</v>
      </c>
      <c r="C32" s="55">
        <f>ROUND(1.64/10,2)</f>
        <v>0.16</v>
      </c>
      <c r="D32" s="55">
        <f>C32*C43</f>
        <v>8</v>
      </c>
    </row>
    <row r="33" spans="1:4" x14ac:dyDescent="0.25">
      <c r="A33" s="85">
        <v>2311</v>
      </c>
      <c r="B33" s="162" t="s">
        <v>9</v>
      </c>
      <c r="C33" s="36"/>
      <c r="D33" s="19"/>
    </row>
    <row r="34" spans="1:4" ht="64.5" customHeight="1" x14ac:dyDescent="0.25">
      <c r="A34" s="18"/>
      <c r="B34" s="162" t="s">
        <v>263</v>
      </c>
      <c r="C34" s="55">
        <f>ROUND(0.18/10,2)</f>
        <v>0.02</v>
      </c>
      <c r="D34" s="55">
        <f>C34*C43</f>
        <v>1</v>
      </c>
    </row>
    <row r="35" spans="1:4" ht="15" customHeight="1" x14ac:dyDescent="0.25">
      <c r="A35" s="85">
        <v>2350</v>
      </c>
      <c r="B35" s="162" t="s">
        <v>21</v>
      </c>
      <c r="C35" s="36"/>
      <c r="D35" s="19"/>
    </row>
    <row r="36" spans="1:4" ht="62.25" customHeight="1" x14ac:dyDescent="0.25">
      <c r="A36" s="18"/>
      <c r="B36" s="162" t="s">
        <v>264</v>
      </c>
      <c r="C36" s="55">
        <f>ROUND(0.72/10,2)</f>
        <v>7.0000000000000007E-2</v>
      </c>
      <c r="D36" s="55">
        <f>C36*C43</f>
        <v>3.5000000000000004</v>
      </c>
    </row>
    <row r="37" spans="1:4" x14ac:dyDescent="0.25">
      <c r="A37" s="18"/>
      <c r="B37" s="22" t="s">
        <v>10</v>
      </c>
      <c r="C37" s="52">
        <f>SUM(C21:C36)</f>
        <v>0.83000000000000007</v>
      </c>
      <c r="D37" s="52">
        <f>SUM(D21:D36)</f>
        <v>41.5</v>
      </c>
    </row>
    <row r="38" spans="1:4" x14ac:dyDescent="0.25">
      <c r="A38" s="23"/>
      <c r="B38" s="24" t="s">
        <v>116</v>
      </c>
      <c r="C38" s="52">
        <f>C37+C19</f>
        <v>23.759999999999998</v>
      </c>
      <c r="D38" s="52">
        <f>D37+D19</f>
        <v>1188</v>
      </c>
    </row>
    <row r="39" spans="1:4" x14ac:dyDescent="0.25">
      <c r="A39" s="23"/>
      <c r="B39" s="24" t="s">
        <v>117</v>
      </c>
      <c r="C39" s="52">
        <f>ROUND(C38*0.21,2)</f>
        <v>4.99</v>
      </c>
      <c r="D39" s="52">
        <f>C39*C43</f>
        <v>249.5</v>
      </c>
    </row>
    <row r="40" spans="1:4" ht="17.25" customHeight="1" x14ac:dyDescent="0.25">
      <c r="A40" s="23"/>
      <c r="B40" s="169" t="s">
        <v>118</v>
      </c>
      <c r="C40" s="52">
        <f>C38+C39</f>
        <v>28.75</v>
      </c>
      <c r="D40" s="52">
        <f>D38+D39</f>
        <v>1437.5</v>
      </c>
    </row>
    <row r="41" spans="1:4" x14ac:dyDescent="0.25">
      <c r="A41" s="25"/>
      <c r="B41" s="26"/>
      <c r="C41" s="27"/>
      <c r="D41" s="27"/>
    </row>
    <row r="42" spans="1:4" x14ac:dyDescent="0.25">
      <c r="A42" s="26"/>
      <c r="B42" s="28"/>
      <c r="C42" s="28"/>
      <c r="D42" s="9"/>
    </row>
    <row r="43" spans="1:4" ht="15" customHeight="1" x14ac:dyDescent="0.25">
      <c r="A43" s="252" t="s">
        <v>16</v>
      </c>
      <c r="B43" s="253"/>
      <c r="C43" s="138">
        <v>50</v>
      </c>
      <c r="D43" s="29"/>
    </row>
    <row r="44" spans="1:4" ht="38.25" customHeight="1" x14ac:dyDescent="0.25">
      <c r="A44" s="254" t="s">
        <v>23</v>
      </c>
      <c r="B44" s="255"/>
      <c r="C44" s="139">
        <f>D40/C43</f>
        <v>28.75</v>
      </c>
      <c r="D44" s="29"/>
    </row>
    <row r="45" spans="1:4" x14ac:dyDescent="0.25">
      <c r="A45" s="30"/>
      <c r="B45" s="30"/>
      <c r="C45" s="30"/>
      <c r="D45" s="30"/>
    </row>
    <row r="46" spans="1:4" x14ac:dyDescent="0.25">
      <c r="A46" s="30"/>
      <c r="B46" s="30"/>
      <c r="C46" s="30"/>
      <c r="D46" s="152"/>
    </row>
    <row r="47" spans="1:4" x14ac:dyDescent="0.25">
      <c r="A47" s="30"/>
      <c r="B47" s="30"/>
      <c r="C47" s="30"/>
      <c r="D47" s="152"/>
    </row>
    <row r="48" spans="1:4" x14ac:dyDescent="0.25">
      <c r="A48" s="30"/>
      <c r="B48" s="30"/>
      <c r="C48" s="30"/>
      <c r="D48" s="152"/>
    </row>
    <row r="49" spans="1:4" x14ac:dyDescent="0.25">
      <c r="A49" s="30"/>
      <c r="B49" s="30"/>
      <c r="C49" s="30"/>
      <c r="D49" s="30"/>
    </row>
    <row r="50" spans="1:4" x14ac:dyDescent="0.25">
      <c r="A50" s="231"/>
      <c r="B50" s="231"/>
      <c r="C50" s="9"/>
      <c r="D50" s="9"/>
    </row>
    <row r="51" spans="1:4" x14ac:dyDescent="0.25">
      <c r="A51" s="250"/>
      <c r="B51" s="231"/>
      <c r="C51" s="9"/>
      <c r="D51" s="9"/>
    </row>
    <row r="52" spans="1:4" x14ac:dyDescent="0.25">
      <c r="A52" s="154"/>
      <c r="B52" s="9"/>
      <c r="C52" s="31"/>
      <c r="D52" s="9"/>
    </row>
    <row r="53" spans="1:4" x14ac:dyDescent="0.25">
      <c r="A53" s="250"/>
      <c r="B53" s="250"/>
      <c r="C53" s="31"/>
      <c r="D53" s="9"/>
    </row>
  </sheetData>
  <customSheetViews>
    <customSheetView guid="{3046F990-4623-45D5-BDDC-01BD5999DDBC}" scale="60" showPageBreaks="1" fitToPage="1" printArea="1" view="pageBreakPreview">
      <selection activeCell="B53" sqref="B53"/>
      <rowBreaks count="1" manualBreakCount="1">
        <brk id="32" max="3" man="1"/>
      </rowBreaks>
      <pageMargins left="0.70866141732283472" right="0.70866141732283472" top="0.74803149606299213" bottom="0.74803149606299213" header="0.31496062992125984" footer="0.31496062992125984"/>
      <pageSetup paperSize="9" scale="68" fitToHeight="0" orientation="portrait" verticalDpi="0" r:id="rId1"/>
      <headerFooter>
        <oddFooter>&amp;C&amp;P</oddFooter>
      </headerFooter>
    </customSheetView>
    <customSheetView guid="{FC502735-BE91-49EC-9614-36ECAE88D000}" scale="60" showPageBreaks="1" fitToPage="1" printArea="1" view="pageBreakPreview">
      <selection activeCell="B36" sqref="B36"/>
      <rowBreaks count="1" manualBreakCount="1">
        <brk id="32" max="3" man="1"/>
      </rowBreaks>
      <pageMargins left="0.70866141732283472" right="0.70866141732283472" top="0.74803149606299213" bottom="0.74803149606299213" header="0.31496062992125984" footer="0.31496062992125984"/>
      <pageSetup paperSize="9" scale="68" fitToHeight="0" orientation="portrait" verticalDpi="0" r:id="rId2"/>
      <headerFooter>
        <oddFooter>&amp;C&amp;P</oddFooter>
      </headerFooter>
    </customSheetView>
    <customSheetView guid="{2CF5EF93-C226-48EA-959E-36D142677DAA}" scale="60" showPageBreaks="1" fitToPage="1" printArea="1" view="pageBreakPreview" topLeftCell="A16">
      <selection activeCell="C44" sqref="C44"/>
      <rowBreaks count="1" manualBreakCount="1">
        <brk id="32" max="3" man="1"/>
      </rowBreaks>
      <pageMargins left="0.70866141732283472" right="0.70866141732283472" top="0.74803149606299213" bottom="0.74803149606299213" header="0.31496062992125984" footer="0.31496062992125984"/>
      <pageSetup paperSize="9" scale="68" fitToHeight="0" orientation="portrait" r:id="rId3"/>
      <headerFooter>
        <oddFooter>&amp;C&amp;P</oddFooter>
      </headerFooter>
    </customSheetView>
  </customSheetViews>
  <mergeCells count="10">
    <mergeCell ref="A2:D2"/>
    <mergeCell ref="A10:B10"/>
    <mergeCell ref="A51:B51"/>
    <mergeCell ref="A53:B53"/>
    <mergeCell ref="A43:B43"/>
    <mergeCell ref="A44:B44"/>
    <mergeCell ref="C3:D3"/>
    <mergeCell ref="A6:D6"/>
    <mergeCell ref="A8:B8"/>
    <mergeCell ref="A50:B50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4"/>
  <headerFooter>
    <oddFooter>&amp;C&amp;P</oddFooter>
  </headerFooter>
  <rowBreaks count="1" manualBreakCount="1">
    <brk id="3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66</vt:i4>
      </vt:variant>
      <vt:variant>
        <vt:lpstr>Named Ranges</vt:lpstr>
      </vt:variant>
      <vt:variant>
        <vt:i4>64</vt:i4>
      </vt:variant>
    </vt:vector>
  </HeadingPairs>
  <TitlesOfParts>
    <vt:vector size="130" baseType="lpstr">
      <vt:lpstr>Saturs</vt:lpstr>
      <vt:lpstr>1.1.</vt:lpstr>
      <vt:lpstr>1.2.</vt:lpstr>
      <vt:lpstr>1.3.</vt:lpstr>
      <vt:lpstr>1.4.</vt:lpstr>
      <vt:lpstr>1.5.</vt:lpstr>
      <vt:lpstr>1.6.</vt:lpstr>
      <vt:lpstr>1.7.</vt:lpstr>
      <vt:lpstr>1.8.</vt:lpstr>
      <vt:lpstr>1.9.</vt:lpstr>
      <vt:lpstr>1.10.</vt:lpstr>
      <vt:lpstr>1.11.</vt:lpstr>
      <vt:lpstr>1.12.</vt:lpstr>
      <vt:lpstr>1.13.</vt:lpstr>
      <vt:lpstr>1.14.</vt:lpstr>
      <vt:lpstr>2.1.</vt:lpstr>
      <vt:lpstr>2.2.</vt:lpstr>
      <vt:lpstr>2.3.</vt:lpstr>
      <vt:lpstr>2.4.</vt:lpstr>
      <vt:lpstr>2.5.</vt:lpstr>
      <vt:lpstr>2.6.</vt:lpstr>
      <vt:lpstr>2.7.</vt:lpstr>
      <vt:lpstr>2.8.</vt:lpstr>
      <vt:lpstr>2.9.</vt:lpstr>
      <vt:lpstr>2.10.</vt:lpstr>
      <vt:lpstr>2.11.</vt:lpstr>
      <vt:lpstr>2.12.</vt:lpstr>
      <vt:lpstr>2.13.</vt:lpstr>
      <vt:lpstr>2.14.</vt:lpstr>
      <vt:lpstr>2.15.</vt:lpstr>
      <vt:lpstr>2.16.</vt:lpstr>
      <vt:lpstr>2.17.</vt:lpstr>
      <vt:lpstr>2.18.</vt:lpstr>
      <vt:lpstr>2.19.</vt:lpstr>
      <vt:lpstr>2.20.</vt:lpstr>
      <vt:lpstr>2.21.</vt:lpstr>
      <vt:lpstr>2.22.</vt:lpstr>
      <vt:lpstr>2.23.</vt:lpstr>
      <vt:lpstr>2.24.</vt:lpstr>
      <vt:lpstr>2.25.</vt:lpstr>
      <vt:lpstr>2.26.</vt:lpstr>
      <vt:lpstr>2.27.</vt:lpstr>
      <vt:lpstr>2.28.</vt:lpstr>
      <vt:lpstr>2.29.</vt:lpstr>
      <vt:lpstr>2.30.</vt:lpstr>
      <vt:lpstr>2.31.</vt:lpstr>
      <vt:lpstr>2.32.</vt:lpstr>
      <vt:lpstr>2.33.</vt:lpstr>
      <vt:lpstr>2.34.</vt:lpstr>
      <vt:lpstr>2.35.</vt:lpstr>
      <vt:lpstr>2.36.</vt:lpstr>
      <vt:lpstr>2.37.</vt:lpstr>
      <vt:lpstr>2.38.</vt:lpstr>
      <vt:lpstr>2.39.</vt:lpstr>
      <vt:lpstr>2.40.</vt:lpstr>
      <vt:lpstr>2.41.</vt:lpstr>
      <vt:lpstr>2.42.</vt:lpstr>
      <vt:lpstr>2.43.</vt:lpstr>
      <vt:lpstr>2.44.</vt:lpstr>
      <vt:lpstr>2.45.</vt:lpstr>
      <vt:lpstr>2.46.</vt:lpstr>
      <vt:lpstr>2.47.</vt:lpstr>
      <vt:lpstr>2.48.</vt:lpstr>
      <vt:lpstr>2.49.</vt:lpstr>
      <vt:lpstr>Sheet1</vt:lpstr>
      <vt:lpstr>Sheet2</vt:lpstr>
      <vt:lpstr>'1.1.'!Print_Area</vt:lpstr>
      <vt:lpstr>'1.10.'!Print_Area</vt:lpstr>
      <vt:lpstr>'1.11.'!Print_Area</vt:lpstr>
      <vt:lpstr>'1.12.'!Print_Area</vt:lpstr>
      <vt:lpstr>'1.13.'!Print_Area</vt:lpstr>
      <vt:lpstr>'1.14.'!Print_Area</vt:lpstr>
      <vt:lpstr>'1.2.'!Print_Area</vt:lpstr>
      <vt:lpstr>'1.3.'!Print_Area</vt:lpstr>
      <vt:lpstr>'1.4.'!Print_Area</vt:lpstr>
      <vt:lpstr>'1.5.'!Print_Area</vt:lpstr>
      <vt:lpstr>'1.6.'!Print_Area</vt:lpstr>
      <vt:lpstr>'1.7.'!Print_Area</vt:lpstr>
      <vt:lpstr>'1.8.'!Print_Area</vt:lpstr>
      <vt:lpstr>'1.9.'!Print_Area</vt:lpstr>
      <vt:lpstr>'2.1.'!Print_Area</vt:lpstr>
      <vt:lpstr>'2.10.'!Print_Area</vt:lpstr>
      <vt:lpstr>'2.11.'!Print_Area</vt:lpstr>
      <vt:lpstr>'2.12.'!Print_Area</vt:lpstr>
      <vt:lpstr>'2.13.'!Print_Area</vt:lpstr>
      <vt:lpstr>'2.14.'!Print_Area</vt:lpstr>
      <vt:lpstr>'2.15.'!Print_Area</vt:lpstr>
      <vt:lpstr>'2.16.'!Print_Area</vt:lpstr>
      <vt:lpstr>'2.17.'!Print_Area</vt:lpstr>
      <vt:lpstr>'2.18.'!Print_Area</vt:lpstr>
      <vt:lpstr>'2.19.'!Print_Area</vt:lpstr>
      <vt:lpstr>'2.2.'!Print_Area</vt:lpstr>
      <vt:lpstr>'2.20.'!Print_Area</vt:lpstr>
      <vt:lpstr>'2.21.'!Print_Area</vt:lpstr>
      <vt:lpstr>'2.22.'!Print_Area</vt:lpstr>
      <vt:lpstr>'2.23.'!Print_Area</vt:lpstr>
      <vt:lpstr>'2.24.'!Print_Area</vt:lpstr>
      <vt:lpstr>'2.25.'!Print_Area</vt:lpstr>
      <vt:lpstr>'2.26.'!Print_Area</vt:lpstr>
      <vt:lpstr>'2.27.'!Print_Area</vt:lpstr>
      <vt:lpstr>'2.28.'!Print_Area</vt:lpstr>
      <vt:lpstr>'2.29.'!Print_Area</vt:lpstr>
      <vt:lpstr>'2.3.'!Print_Area</vt:lpstr>
      <vt:lpstr>'2.30.'!Print_Area</vt:lpstr>
      <vt:lpstr>'2.31.'!Print_Area</vt:lpstr>
      <vt:lpstr>'2.32.'!Print_Area</vt:lpstr>
      <vt:lpstr>'2.33.'!Print_Area</vt:lpstr>
      <vt:lpstr>'2.34.'!Print_Area</vt:lpstr>
      <vt:lpstr>'2.35.'!Print_Area</vt:lpstr>
      <vt:lpstr>'2.36.'!Print_Area</vt:lpstr>
      <vt:lpstr>'2.37.'!Print_Area</vt:lpstr>
      <vt:lpstr>'2.38.'!Print_Area</vt:lpstr>
      <vt:lpstr>'2.39.'!Print_Area</vt:lpstr>
      <vt:lpstr>'2.4.'!Print_Area</vt:lpstr>
      <vt:lpstr>'2.40.'!Print_Area</vt:lpstr>
      <vt:lpstr>'2.41.'!Print_Area</vt:lpstr>
      <vt:lpstr>'2.42.'!Print_Area</vt:lpstr>
      <vt:lpstr>'2.43.'!Print_Area</vt:lpstr>
      <vt:lpstr>'2.44.'!Print_Area</vt:lpstr>
      <vt:lpstr>'2.45.'!Print_Area</vt:lpstr>
      <vt:lpstr>'2.46.'!Print_Area</vt:lpstr>
      <vt:lpstr>'2.47.'!Print_Area</vt:lpstr>
      <vt:lpstr>'2.48.'!Print_Area</vt:lpstr>
      <vt:lpstr>'2.5.'!Print_Area</vt:lpstr>
      <vt:lpstr>'2.6.'!Print_Area</vt:lpstr>
      <vt:lpstr>'2.7.'!Print_Area</vt:lpstr>
      <vt:lpstr>'2.8.'!Print_Area</vt:lpstr>
      <vt:lpstr>'2.9.'!Print_Area</vt:lpstr>
      <vt:lpstr>Saturs!Print_Area</vt:lpstr>
      <vt:lpstr>'2.41.'!Print_Titles</vt:lpstr>
    </vt:vector>
  </TitlesOfParts>
  <Company>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 pielikums MK noteikumu projekta „Valsts asinsdonoru centra maksas pakalpojumu  cenrādis” sākotnējās (ex-ante) ietekmes  novērtējuma ziņojumam (anotācijai)</dc:title>
  <dc:subject>3.pielikums anotācijai</dc:subject>
  <dc:creator>Regīna Fiļipova, Lāsma Zandberga</dc:creator>
  <dc:description>Fiļipova  67408864_x000d_
regina.filipova@vadc.gov.lv_x000d_
Zandberga 67876041_x000d_
lasma.zandberga@vm.gov.lv</dc:description>
  <cp:lastModifiedBy>lzandberga</cp:lastModifiedBy>
  <cp:lastPrinted>2017-05-16T09:40:59Z</cp:lastPrinted>
  <dcterms:created xsi:type="dcterms:W3CDTF">2015-06-11T07:09:57Z</dcterms:created>
  <dcterms:modified xsi:type="dcterms:W3CDTF">2017-05-16T09:54:55Z</dcterms:modified>
</cp:coreProperties>
</file>