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filterPrivacy="1" defaultThemeVersion="124226"/>
  <bookViews>
    <workbookView xWindow="0" yWindow="0" windowWidth="28800" windowHeight="12210"/>
  </bookViews>
  <sheets>
    <sheet name="Saturs" sheetId="94" r:id="rId1"/>
    <sheet name="1.1.1.1" sheetId="1" r:id="rId2"/>
    <sheet name="1.1.1.2" sheetId="3" r:id="rId3"/>
    <sheet name="1.1.1.3" sheetId="4" r:id="rId4"/>
    <sheet name="1.1.2.1" sheetId="5" r:id="rId5"/>
    <sheet name="1.1.2.2." sheetId="6" r:id="rId6"/>
    <sheet name="1.1.2.3." sheetId="7" r:id="rId7"/>
    <sheet name="1.1.3.1." sheetId="8" r:id="rId8"/>
    <sheet name="1.1.3.2" sheetId="9" r:id="rId9"/>
    <sheet name="1.1.3.3." sheetId="10" r:id="rId10"/>
    <sheet name="1.1.4.1" sheetId="11" r:id="rId11"/>
    <sheet name="1.1.4.2" sheetId="12" r:id="rId12"/>
    <sheet name="1.1.4.3" sheetId="13" r:id="rId13"/>
    <sheet name="1.1.5." sheetId="14" r:id="rId14"/>
    <sheet name="1.1.6.1" sheetId="15" r:id="rId15"/>
    <sheet name="1.1.6.2." sheetId="16" r:id="rId16"/>
    <sheet name="1.1.6.3." sheetId="17" r:id="rId17"/>
    <sheet name="1.2.1." sheetId="18" r:id="rId18"/>
    <sheet name="1.2.2." sheetId="19" r:id="rId19"/>
    <sheet name="1.2.3." sheetId="26" r:id="rId20"/>
    <sheet name="1.2.4." sheetId="27" r:id="rId21"/>
    <sheet name="1.3.1." sheetId="28" r:id="rId22"/>
    <sheet name="1.3.2." sheetId="29" r:id="rId23"/>
    <sheet name="1.3.3." sheetId="30" r:id="rId24"/>
    <sheet name="1.3.4." sheetId="31" r:id="rId25"/>
    <sheet name="2.1.1." sheetId="32" r:id="rId26"/>
    <sheet name="2.1.2." sheetId="34" r:id="rId27"/>
    <sheet name="2.1.3" sheetId="33" r:id="rId28"/>
    <sheet name="2.1.4." sheetId="36" r:id="rId29"/>
    <sheet name="2.1.5" sheetId="37" r:id="rId30"/>
    <sheet name="2.1.6." sheetId="38" r:id="rId31"/>
    <sheet name="2.1.7" sheetId="39" r:id="rId32"/>
    <sheet name="2.2.1" sheetId="40" r:id="rId33"/>
    <sheet name="2.2.2." sheetId="41" r:id="rId34"/>
    <sheet name="2.2.3." sheetId="42" r:id="rId35"/>
    <sheet name="2.2.4." sheetId="43" r:id="rId36"/>
    <sheet name="2.2.5." sheetId="44" r:id="rId37"/>
    <sheet name="2.3.1." sheetId="45" r:id="rId38"/>
    <sheet name="2.3.2" sheetId="46" r:id="rId39"/>
    <sheet name="2.3.3." sheetId="48" r:id="rId40"/>
    <sheet name="2.3.4." sheetId="49" r:id="rId41"/>
    <sheet name="3.1.1." sheetId="50" r:id="rId42"/>
    <sheet name="3.1.2." sheetId="52" r:id="rId43"/>
    <sheet name="3.1.3." sheetId="51" r:id="rId44"/>
    <sheet name="3.1.4" sheetId="53" r:id="rId45"/>
    <sheet name="3.1.5." sheetId="54" r:id="rId46"/>
    <sheet name="3.1.6." sheetId="55" r:id="rId47"/>
    <sheet name="3.1.7." sheetId="56" r:id="rId48"/>
    <sheet name="3.2.1." sheetId="57" r:id="rId49"/>
    <sheet name="3.2.2." sheetId="58" r:id="rId50"/>
    <sheet name="3.2.3." sheetId="59" r:id="rId51"/>
    <sheet name="3.2.4." sheetId="60" r:id="rId52"/>
    <sheet name="3.2.5." sheetId="61" r:id="rId53"/>
    <sheet name="3.2.6." sheetId="62" r:id="rId54"/>
    <sheet name="3.2.7." sheetId="63" r:id="rId55"/>
    <sheet name="3.3.1." sheetId="64" r:id="rId56"/>
    <sheet name="3.3.2." sheetId="65" r:id="rId57"/>
    <sheet name="4.1.2." sheetId="66" r:id="rId58"/>
    <sheet name="4.1.3." sheetId="67" r:id="rId59"/>
    <sheet name="4.1.4." sheetId="68" r:id="rId60"/>
    <sheet name="4.1.6." sheetId="69" r:id="rId61"/>
    <sheet name="4.2.2." sheetId="71" r:id="rId62"/>
    <sheet name="4.2.3." sheetId="72" r:id="rId63"/>
    <sheet name="4.2.4" sheetId="73" r:id="rId64"/>
    <sheet name="4.3.2." sheetId="74" r:id="rId65"/>
    <sheet name="4.3.3." sheetId="75" r:id="rId66"/>
    <sheet name="4.3.4." sheetId="76" r:id="rId67"/>
    <sheet name="4.4.1." sheetId="77" r:id="rId68"/>
    <sheet name="4.4.2." sheetId="78" r:id="rId69"/>
    <sheet name="5.1.1." sheetId="2" r:id="rId70"/>
    <sheet name="5.1.2." sheetId="79" r:id="rId71"/>
    <sheet name="5.1.3." sheetId="80" r:id="rId72"/>
    <sheet name="5.1.4." sheetId="81" r:id="rId73"/>
    <sheet name="5.1.5." sheetId="82" r:id="rId74"/>
    <sheet name="5.1.6." sheetId="83" r:id="rId75"/>
    <sheet name="5.1.7." sheetId="84" r:id="rId76"/>
    <sheet name="5.2." sheetId="85" r:id="rId77"/>
    <sheet name="5.3." sheetId="86" r:id="rId78"/>
    <sheet name="Sheet1" sheetId="92" r:id="rId79"/>
    <sheet name="Sheet2" sheetId="93" r:id="rId80"/>
  </sheets>
  <definedNames>
    <definedName name="OLE_LINK1" localSheetId="1">'1.1.1.1'!#REF!</definedName>
    <definedName name="OLE_LINK3" localSheetId="1">'1.1.1.1'!#REF!</definedName>
    <definedName name="_xlnm.Print_Area" localSheetId="1">'1.1.1.1'!$A$1:$D$24</definedName>
    <definedName name="_xlnm.Print_Area" localSheetId="2">'1.1.1.2'!$A$1:$D$21</definedName>
    <definedName name="_xlnm.Print_Area" localSheetId="3">'1.1.1.3'!$A$1:$D$21</definedName>
    <definedName name="_xlnm.Print_Area" localSheetId="4">'1.1.2.1'!$A$1:$D$22</definedName>
    <definedName name="_xlnm.Print_Area" localSheetId="5">'1.1.2.2.'!$A$1:$D$21</definedName>
    <definedName name="_xlnm.Print_Area" localSheetId="6">'1.1.2.3.'!$A$1:$D$24</definedName>
    <definedName name="_xlnm.Print_Area" localSheetId="7">'1.1.3.1.'!$A$2:$D$21</definedName>
    <definedName name="_xlnm.Print_Area" localSheetId="8">'1.1.3.2'!$A$1:$D$23</definedName>
    <definedName name="_xlnm.Print_Area" localSheetId="9">'1.1.3.3.'!$A$1:$D$22</definedName>
    <definedName name="_xlnm.Print_Area" localSheetId="10">'1.1.4.1'!$A$1:$D$21</definedName>
    <definedName name="_xlnm.Print_Area" localSheetId="11">'1.1.4.2'!$A$1:$D$22</definedName>
    <definedName name="_xlnm.Print_Area" localSheetId="12">'1.1.4.3'!$A$1:$D$23</definedName>
    <definedName name="_xlnm.Print_Area" localSheetId="13">'1.1.5.'!$A$1:$D$21</definedName>
    <definedName name="_xlnm.Print_Area" localSheetId="14">'1.1.6.1'!$A$1:$D$21</definedName>
    <definedName name="_xlnm.Print_Area" localSheetId="15">'1.1.6.2.'!$A$1:$D$20</definedName>
    <definedName name="_xlnm.Print_Area" localSheetId="16">'1.1.6.3.'!$A$1:$D$23</definedName>
    <definedName name="_xlnm.Print_Area" localSheetId="17">'1.2.1.'!$A$1:$D$21</definedName>
    <definedName name="_xlnm.Print_Area" localSheetId="18">'1.2.2.'!$A$1:$D$22</definedName>
    <definedName name="_xlnm.Print_Area" localSheetId="19">'1.2.3.'!$A$1:$D$19</definedName>
    <definedName name="_xlnm.Print_Area" localSheetId="20">'1.2.4.'!$A$1:$D$23</definedName>
    <definedName name="_xlnm.Print_Area" localSheetId="21">'1.3.1.'!$A$1:$D$22</definedName>
    <definedName name="_xlnm.Print_Area" localSheetId="22">'1.3.2.'!$A$1:$D$22</definedName>
    <definedName name="_xlnm.Print_Area" localSheetId="23">'1.3.3.'!$A$1:$D$22</definedName>
    <definedName name="_xlnm.Print_Area" localSheetId="24">'1.3.4.'!$A$1:$D$24</definedName>
    <definedName name="_xlnm.Print_Area" localSheetId="25">'2.1.1.'!$A$1:$D$22</definedName>
    <definedName name="_xlnm.Print_Area" localSheetId="26">'2.1.2.'!$A$1:$D$22</definedName>
    <definedName name="_xlnm.Print_Area" localSheetId="27">'2.1.3'!$A$1:$D$22</definedName>
    <definedName name="_xlnm.Print_Area" localSheetId="28">'2.1.4.'!$A$1:$D$22</definedName>
    <definedName name="_xlnm.Print_Area" localSheetId="29">'2.1.5'!$A$1:$D$20</definedName>
    <definedName name="_xlnm.Print_Area" localSheetId="30">'2.1.6.'!$A$1:$D$22</definedName>
    <definedName name="_xlnm.Print_Area" localSheetId="31">'2.1.7'!$A$1:$D$22</definedName>
    <definedName name="_xlnm.Print_Area" localSheetId="32">'2.2.1'!$A$1:$D$22</definedName>
    <definedName name="_xlnm.Print_Area" localSheetId="33">'2.2.2.'!$A$1:$D$22</definedName>
    <definedName name="_xlnm.Print_Area" localSheetId="34">'2.2.3.'!$A$1:$D$22</definedName>
    <definedName name="_xlnm.Print_Area" localSheetId="35">'2.2.4.'!$A$1:$D$22</definedName>
    <definedName name="_xlnm.Print_Area" localSheetId="36">'2.2.5.'!$A$1:$D$20</definedName>
    <definedName name="_xlnm.Print_Area" localSheetId="37">'2.3.1.'!$A$1:$D$23</definedName>
    <definedName name="_xlnm.Print_Area" localSheetId="38">'2.3.2'!$A$1:$D$22</definedName>
    <definedName name="_xlnm.Print_Area" localSheetId="39">'2.3.3.'!$A$1:$D$22</definedName>
    <definedName name="_xlnm.Print_Area" localSheetId="40">'2.3.4.'!$A$1:$D$25</definedName>
    <definedName name="_xlnm.Print_Area" localSheetId="41">'3.1.1.'!$A$1:$D$20</definedName>
    <definedName name="_xlnm.Print_Area" localSheetId="42">'3.1.2.'!$A$1:$D$25</definedName>
    <definedName name="_xlnm.Print_Area" localSheetId="43">'3.1.3.'!$A$1:$D$26</definedName>
    <definedName name="_xlnm.Print_Area" localSheetId="44">'3.1.4'!$A$1:$D$25</definedName>
    <definedName name="_xlnm.Print_Area" localSheetId="45">'3.1.5.'!$A$1:$D$23</definedName>
    <definedName name="_xlnm.Print_Area" localSheetId="46">'3.1.6.'!$A$1:$D$25</definedName>
    <definedName name="_xlnm.Print_Area" localSheetId="47">'3.1.7.'!$A$1:$D$23</definedName>
    <definedName name="_xlnm.Print_Area" localSheetId="48">'3.2.1.'!$A$1:$D$23</definedName>
    <definedName name="_xlnm.Print_Area" localSheetId="49">'3.2.2.'!$A$1:$D$24</definedName>
    <definedName name="_xlnm.Print_Area" localSheetId="50">'3.2.3.'!$A$1:$D$25</definedName>
    <definedName name="_xlnm.Print_Area" localSheetId="51">'3.2.4.'!$A$1:$D$25</definedName>
    <definedName name="_xlnm.Print_Area" localSheetId="52">'3.2.5.'!$A$1:$D$26</definedName>
    <definedName name="_xlnm.Print_Area" localSheetId="53">'3.2.6.'!$A$1:$D$24</definedName>
    <definedName name="_xlnm.Print_Area" localSheetId="54">'3.2.7.'!$A$1:$D$27</definedName>
    <definedName name="_xlnm.Print_Area" localSheetId="55">'3.3.1.'!$A$1:$D$23</definedName>
    <definedName name="_xlnm.Print_Area" localSheetId="56">'3.3.2.'!$A$1:$D$25</definedName>
    <definedName name="_xlnm.Print_Area" localSheetId="57">'4.1.2.'!$A$1:$D$20</definedName>
    <definedName name="_xlnm.Print_Area" localSheetId="58">'4.1.3.'!$A$1:$D$22</definedName>
    <definedName name="_xlnm.Print_Area" localSheetId="59">'4.1.4.'!$A$1:$D$21</definedName>
    <definedName name="_xlnm.Print_Area" localSheetId="60">'4.1.6.'!$A$1:$D$24</definedName>
    <definedName name="_xlnm.Print_Area" localSheetId="61">'4.2.2.'!$A$1:$D$22</definedName>
    <definedName name="_xlnm.Print_Area" localSheetId="62">'4.2.3.'!$A$1:$D$22</definedName>
    <definedName name="_xlnm.Print_Area" localSheetId="63">'4.2.4'!$A$1:$D$22</definedName>
    <definedName name="_xlnm.Print_Area" localSheetId="64">'4.3.2.'!$A$1:$D$22</definedName>
    <definedName name="_xlnm.Print_Area" localSheetId="65">'4.3.3.'!$A$1:$D$22</definedName>
    <definedName name="_xlnm.Print_Area" localSheetId="66">'4.3.4.'!$A$1:$D$22</definedName>
    <definedName name="_xlnm.Print_Area" localSheetId="67">'4.4.1.'!$A$1:$D$21</definedName>
    <definedName name="_xlnm.Print_Area" localSheetId="68">'4.4.2.'!$A$1:$D$21</definedName>
    <definedName name="_xlnm.Print_Area" localSheetId="69">'5.1.1.'!$A$1:$D$26</definedName>
    <definedName name="_xlnm.Print_Area" localSheetId="70">'5.1.2.'!$A$1:$D$27</definedName>
    <definedName name="_xlnm.Print_Area" localSheetId="71">'5.1.3.'!$A$1:$D$24</definedName>
    <definedName name="_xlnm.Print_Area" localSheetId="72">'5.1.4.'!$A$1:$D$26</definedName>
    <definedName name="_xlnm.Print_Area" localSheetId="73">'5.1.5.'!$A$1:$D$27</definedName>
    <definedName name="_xlnm.Print_Area" localSheetId="74">'5.1.6.'!$A$1:$G$26</definedName>
    <definedName name="_xlnm.Print_Area" localSheetId="75">'5.1.7.'!$A$1:$D$23</definedName>
    <definedName name="_xlnm.Print_Area" localSheetId="76">'5.2.'!$A$1:$D$21</definedName>
    <definedName name="_xlnm.Print_Area" localSheetId="0">Saturs!$A$1:$C$120</definedName>
  </definedNames>
  <calcPr calcId="171027"/>
</workbook>
</file>

<file path=xl/calcChain.xml><?xml version="1.0" encoding="utf-8"?>
<calcChain xmlns="http://schemas.openxmlformats.org/spreadsheetml/2006/main">
  <c r="C13" i="26" l="1"/>
  <c r="C14" i="26"/>
  <c r="C10" i="26"/>
  <c r="C10" i="17"/>
  <c r="C17" i="17"/>
  <c r="C18" i="17"/>
  <c r="C18" i="13"/>
  <c r="C14" i="40" l="1"/>
  <c r="C10" i="27"/>
  <c r="C16" i="80" l="1"/>
  <c r="C22" i="79"/>
  <c r="C18" i="64"/>
  <c r="C11" i="56"/>
  <c r="C11" i="55"/>
  <c r="C19" i="55"/>
  <c r="C18" i="55"/>
  <c r="C11" i="54"/>
  <c r="C8" i="50"/>
  <c r="C17" i="48"/>
  <c r="C17" i="46"/>
  <c r="C18" i="46"/>
  <c r="C11" i="46"/>
  <c r="C14" i="46"/>
  <c r="C18" i="45"/>
  <c r="C10" i="39"/>
  <c r="C10" i="36"/>
  <c r="C16" i="27"/>
  <c r="C8" i="14"/>
  <c r="C16" i="8"/>
  <c r="C11" i="8"/>
  <c r="C12" i="8" s="1"/>
  <c r="C15" i="86" l="1"/>
  <c r="C11" i="85"/>
  <c r="C11" i="83"/>
  <c r="C14" i="83" s="1"/>
  <c r="C11" i="82"/>
  <c r="C11" i="81"/>
  <c r="C21" i="81"/>
  <c r="C18" i="81"/>
  <c r="C8" i="80"/>
  <c r="C11" i="79"/>
  <c r="C21" i="2"/>
  <c r="C10" i="71"/>
  <c r="C13" i="71" s="1"/>
  <c r="C16" i="71"/>
  <c r="C11" i="68"/>
  <c r="C14" i="68" s="1"/>
  <c r="C11" i="65"/>
  <c r="C11" i="64"/>
  <c r="C11" i="63"/>
  <c r="C19" i="62"/>
  <c r="C20" i="60"/>
  <c r="C19" i="60"/>
  <c r="C20" i="59"/>
  <c r="C19" i="59"/>
  <c r="C18" i="59"/>
  <c r="C15" i="56"/>
  <c r="C15" i="54"/>
  <c r="C18" i="54"/>
  <c r="C20" i="53"/>
  <c r="C19" i="53"/>
  <c r="C11" i="53"/>
  <c r="C10" i="51"/>
  <c r="C10" i="52"/>
  <c r="C18" i="52"/>
  <c r="C20" i="52"/>
  <c r="C19" i="52"/>
  <c r="C15" i="50"/>
  <c r="C20" i="49"/>
  <c r="C19" i="49"/>
  <c r="C17" i="45" l="1"/>
  <c r="C11" i="45"/>
  <c r="C10" i="38"/>
  <c r="C10" i="19"/>
  <c r="C15" i="10"/>
  <c r="C16" i="6"/>
  <c r="C11" i="6"/>
  <c r="C8" i="3"/>
  <c r="C12" i="3" s="1"/>
  <c r="C10" i="33" l="1"/>
  <c r="C14" i="4" l="1"/>
  <c r="C11" i="1" l="1"/>
  <c r="C17" i="13" l="1"/>
  <c r="C10" i="13"/>
  <c r="C13" i="13" s="1"/>
  <c r="C12" i="86" l="1"/>
  <c r="C17" i="2"/>
  <c r="C11" i="2"/>
  <c r="C16" i="68"/>
  <c r="C17" i="67"/>
  <c r="C8" i="66"/>
  <c r="C18" i="62"/>
  <c r="C11" i="62"/>
  <c r="C11" i="60"/>
  <c r="C11" i="59"/>
  <c r="C15" i="57"/>
  <c r="C17" i="5"/>
  <c r="C14" i="52"/>
  <c r="C11" i="49"/>
  <c r="C11" i="48"/>
  <c r="C15" i="37"/>
  <c r="C8" i="37"/>
  <c r="C11" i="31"/>
  <c r="C10" i="18"/>
  <c r="C21" i="51"/>
  <c r="C12" i="85" l="1"/>
  <c r="C14" i="84"/>
  <c r="C15" i="82"/>
  <c r="C15" i="81"/>
  <c r="C21" i="65" l="1"/>
  <c r="C21" i="55" l="1"/>
  <c r="C21" i="49" l="1"/>
  <c r="C19" i="45"/>
  <c r="C16" i="19" l="1"/>
  <c r="C18" i="19" s="1"/>
  <c r="C21" i="82" l="1"/>
  <c r="C20" i="82"/>
  <c r="C19" i="82"/>
  <c r="C20" i="81"/>
  <c r="C19" i="81"/>
  <c r="C15" i="80"/>
  <c r="C12" i="80"/>
  <c r="C15" i="79"/>
  <c r="C21" i="79"/>
  <c r="C20" i="79"/>
  <c r="C19" i="79"/>
  <c r="C18" i="79"/>
  <c r="C14" i="2"/>
  <c r="C20" i="2"/>
  <c r="C19" i="2"/>
  <c r="C18" i="2"/>
  <c r="C16" i="78"/>
  <c r="C11" i="78"/>
  <c r="C12" i="78" s="1"/>
  <c r="C15" i="78"/>
  <c r="C16" i="77"/>
  <c r="C11" i="77"/>
  <c r="C12" i="77" s="1"/>
  <c r="C15" i="77"/>
  <c r="C16" i="76"/>
  <c r="C10" i="76"/>
  <c r="C13" i="76" s="1"/>
  <c r="C16" i="75"/>
  <c r="C10" i="75"/>
  <c r="C13" i="75" s="1"/>
  <c r="C10" i="74"/>
  <c r="C13" i="74" s="1"/>
  <c r="C16" i="74"/>
  <c r="C16" i="73"/>
  <c r="C10" i="73"/>
  <c r="C13" i="73" s="1"/>
  <c r="C16" i="72" l="1"/>
  <c r="C10" i="72"/>
  <c r="C13" i="72" s="1"/>
  <c r="C18" i="69"/>
  <c r="C11" i="69"/>
  <c r="C15" i="69" s="1"/>
  <c r="C17" i="68"/>
  <c r="C10" i="67"/>
  <c r="C13" i="67" s="1"/>
  <c r="C16" i="67"/>
  <c r="C11" i="66"/>
  <c r="C14" i="66"/>
  <c r="C15" i="65"/>
  <c r="C15" i="64"/>
  <c r="C19" i="63"/>
  <c r="C20" i="63"/>
  <c r="C21" i="63"/>
  <c r="C17" i="62"/>
  <c r="C14" i="62"/>
  <c r="C18" i="61"/>
  <c r="C19" i="61"/>
  <c r="C15" i="61"/>
  <c r="C18" i="60"/>
  <c r="C21" i="60" s="1"/>
  <c r="C15" i="60"/>
  <c r="C21" i="59" l="1"/>
  <c r="C15" i="59"/>
  <c r="C11" i="58"/>
  <c r="C15" i="58" s="1"/>
  <c r="C18" i="56"/>
  <c r="C15" i="55"/>
  <c r="C18" i="53"/>
  <c r="C21" i="53" s="1"/>
  <c r="C15" i="53"/>
  <c r="C19" i="51"/>
  <c r="C17" i="51"/>
  <c r="C14" i="51"/>
  <c r="C12" i="50"/>
  <c r="C15" i="49"/>
  <c r="C14" i="48"/>
  <c r="C14" i="45" l="1"/>
  <c r="C12" i="44"/>
  <c r="C14" i="43"/>
  <c r="C14" i="42"/>
  <c r="C14" i="41"/>
  <c r="C17" i="39"/>
  <c r="C14" i="39"/>
  <c r="C17" i="38"/>
  <c r="C14" i="38"/>
  <c r="C12" i="37"/>
  <c r="C14" i="36"/>
  <c r="C14" i="33"/>
  <c r="C14" i="34" l="1"/>
  <c r="C14" i="32"/>
  <c r="C14" i="31"/>
  <c r="C14" i="30"/>
  <c r="C14" i="29"/>
  <c r="C14" i="28"/>
  <c r="C17" i="27"/>
  <c r="C13" i="27"/>
  <c r="C13" i="19"/>
  <c r="C13" i="18"/>
  <c r="C16" i="18"/>
  <c r="C14" i="17"/>
  <c r="C14" i="16"/>
  <c r="C8" i="16"/>
  <c r="C11" i="16" s="1"/>
  <c r="C10" i="15"/>
  <c r="C13" i="15" s="1"/>
  <c r="C16" i="14"/>
  <c r="C11" i="14"/>
  <c r="C16" i="13" l="1"/>
  <c r="C16" i="12"/>
  <c r="C13" i="12"/>
  <c r="C16" i="11"/>
  <c r="C13" i="11"/>
  <c r="C14" i="10"/>
  <c r="C8" i="10"/>
  <c r="C11" i="10" s="1"/>
  <c r="C16" i="9"/>
  <c r="C10" i="9"/>
  <c r="C13" i="9" s="1"/>
  <c r="C17" i="9"/>
  <c r="C15" i="8"/>
  <c r="C17" i="7"/>
  <c r="C11" i="7"/>
  <c r="C14" i="7" s="1"/>
  <c r="C15" i="6"/>
  <c r="C12" i="6"/>
  <c r="C11" i="4"/>
  <c r="C14" i="1"/>
  <c r="C17" i="12"/>
  <c r="C13" i="3" l="1"/>
  <c r="C17" i="6"/>
  <c r="C13" i="6"/>
  <c r="C18" i="6" l="1"/>
  <c r="C21" i="6" s="1"/>
  <c r="C17" i="86"/>
  <c r="C13" i="86"/>
  <c r="C18" i="86" l="1"/>
  <c r="C21" i="86" s="1"/>
  <c r="C19" i="57"/>
  <c r="C16" i="57"/>
  <c r="C19" i="56"/>
  <c r="C16" i="56"/>
  <c r="C20" i="56" s="1"/>
  <c r="C16" i="50"/>
  <c r="C13" i="50"/>
  <c r="C17" i="50" l="1"/>
  <c r="C20" i="50" s="1"/>
  <c r="C23" i="56"/>
  <c r="C20" i="57"/>
  <c r="C23" i="57" s="1"/>
  <c r="C17" i="85"/>
  <c r="C13" i="85"/>
  <c r="C19" i="84"/>
  <c r="C15" i="84"/>
  <c r="C22" i="83"/>
  <c r="C15" i="83"/>
  <c r="C23" i="82"/>
  <c r="C16" i="82"/>
  <c r="C22" i="81"/>
  <c r="C16" i="81"/>
  <c r="C23" i="81" s="1"/>
  <c r="C20" i="80"/>
  <c r="C13" i="80"/>
  <c r="C23" i="79"/>
  <c r="C16" i="79"/>
  <c r="C17" i="78"/>
  <c r="C13" i="78"/>
  <c r="C17" i="77"/>
  <c r="C13" i="77"/>
  <c r="C18" i="76"/>
  <c r="C14" i="76"/>
  <c r="C18" i="75"/>
  <c r="C14" i="75"/>
  <c r="C18" i="74"/>
  <c r="C14" i="74"/>
  <c r="C18" i="73"/>
  <c r="C14" i="73"/>
  <c r="C18" i="72"/>
  <c r="C14" i="72"/>
  <c r="C18" i="71"/>
  <c r="C14" i="71"/>
  <c r="C20" i="69"/>
  <c r="C16" i="69"/>
  <c r="C21" i="69" s="1"/>
  <c r="C15" i="68"/>
  <c r="C18" i="68" s="1"/>
  <c r="C18" i="67"/>
  <c r="C14" i="67"/>
  <c r="C16" i="66"/>
  <c r="C12" i="66"/>
  <c r="C16" i="65"/>
  <c r="C19" i="64"/>
  <c r="C16" i="64"/>
  <c r="C19" i="71" l="1"/>
  <c r="C22" i="71" s="1"/>
  <c r="C20" i="64"/>
  <c r="C23" i="64" s="1"/>
  <c r="C18" i="85"/>
  <c r="C21" i="85" s="1"/>
  <c r="C20" i="84"/>
  <c r="C23" i="84" s="1"/>
  <c r="C23" i="83"/>
  <c r="C26" i="83" s="1"/>
  <c r="C24" i="82"/>
  <c r="C27" i="82" s="1"/>
  <c r="C26" i="81"/>
  <c r="C21" i="80"/>
  <c r="C24" i="80" s="1"/>
  <c r="C24" i="79"/>
  <c r="C27" i="79" s="1"/>
  <c r="C18" i="78"/>
  <c r="C21" i="78" s="1"/>
  <c r="C18" i="77"/>
  <c r="C21" i="77" s="1"/>
  <c r="C19" i="76"/>
  <c r="C22" i="76" s="1"/>
  <c r="C19" i="75"/>
  <c r="C22" i="75" s="1"/>
  <c r="C19" i="74"/>
  <c r="C22" i="74" s="1"/>
  <c r="C19" i="73"/>
  <c r="C22" i="73" s="1"/>
  <c r="C19" i="72"/>
  <c r="C22" i="72" s="1"/>
  <c r="C24" i="69"/>
  <c r="C21" i="68"/>
  <c r="C19" i="67"/>
  <c r="C22" i="67" s="1"/>
  <c r="C17" i="66"/>
  <c r="C20" i="66" s="1"/>
  <c r="C22" i="65"/>
  <c r="C25" i="65" s="1"/>
  <c r="C23" i="63"/>
  <c r="C16" i="63"/>
  <c r="C24" i="63" l="1"/>
  <c r="C27" i="63" s="1"/>
  <c r="C20" i="62"/>
  <c r="C15" i="62"/>
  <c r="C22" i="61"/>
  <c r="C16" i="61"/>
  <c r="C21" i="62" l="1"/>
  <c r="C24" i="62" s="1"/>
  <c r="C23" i="61"/>
  <c r="C26" i="61" s="1"/>
  <c r="C16" i="60"/>
  <c r="C16" i="59"/>
  <c r="C22" i="59" s="1"/>
  <c r="C20" i="58"/>
  <c r="C16" i="58"/>
  <c r="C16" i="55"/>
  <c r="C22" i="55" s="1"/>
  <c r="C25" i="55" s="1"/>
  <c r="C22" i="60" l="1"/>
  <c r="C25" i="60" s="1"/>
  <c r="C25" i="59"/>
  <c r="C21" i="58"/>
  <c r="C24" i="58" s="1"/>
  <c r="C19" i="54"/>
  <c r="C16" i="54"/>
  <c r="C16" i="53"/>
  <c r="C20" i="54" l="1"/>
  <c r="C23" i="54" s="1"/>
  <c r="C22" i="53"/>
  <c r="C25" i="53" s="1"/>
  <c r="C22" i="51"/>
  <c r="C15" i="51"/>
  <c r="C21" i="52"/>
  <c r="C15" i="52"/>
  <c r="C16" i="49"/>
  <c r="C18" i="48"/>
  <c r="C15" i="48"/>
  <c r="C19" i="48" l="1"/>
  <c r="C22" i="48" s="1"/>
  <c r="C22" i="49"/>
  <c r="C25" i="49" s="1"/>
  <c r="C23" i="51"/>
  <c r="C26" i="51" s="1"/>
  <c r="C22" i="52"/>
  <c r="C25" i="52" s="1"/>
  <c r="C17" i="18"/>
  <c r="C14" i="18"/>
  <c r="C19" i="17"/>
  <c r="C15" i="17"/>
  <c r="C16" i="16"/>
  <c r="C12" i="16"/>
  <c r="C17" i="15"/>
  <c r="C14" i="15"/>
  <c r="C17" i="14"/>
  <c r="C12" i="14"/>
  <c r="C19" i="13"/>
  <c r="C14" i="13"/>
  <c r="C17" i="11"/>
  <c r="C14" i="11"/>
  <c r="C18" i="10"/>
  <c r="C12" i="10"/>
  <c r="C19" i="9"/>
  <c r="C14" i="9"/>
  <c r="C17" i="8"/>
  <c r="C13" i="8"/>
  <c r="C20" i="7"/>
  <c r="C15" i="7"/>
  <c r="C18" i="5"/>
  <c r="C15" i="5"/>
  <c r="C17" i="3"/>
  <c r="C22" i="2"/>
  <c r="C15" i="2"/>
  <c r="C20" i="1"/>
  <c r="C15" i="1"/>
  <c r="C21" i="1" l="1"/>
  <c r="C23" i="2"/>
  <c r="C26" i="2" s="1"/>
  <c r="C18" i="3"/>
  <c r="C21" i="3" s="1"/>
  <c r="C19" i="5"/>
  <c r="C22" i="5" s="1"/>
  <c r="C21" i="7"/>
  <c r="C24" i="7" s="1"/>
  <c r="C18" i="8"/>
  <c r="C21" i="8" s="1"/>
  <c r="C20" i="9"/>
  <c r="C23" i="9" s="1"/>
  <c r="C19" i="10"/>
  <c r="C22" i="10" s="1"/>
  <c r="C18" i="11"/>
  <c r="C21" i="11" s="1"/>
  <c r="C20" i="13"/>
  <c r="C23" i="13" s="1"/>
  <c r="C18" i="14"/>
  <c r="C21" i="14" s="1"/>
  <c r="C18" i="15"/>
  <c r="C21" i="15" s="1"/>
  <c r="C17" i="16"/>
  <c r="C20" i="17"/>
  <c r="C23" i="17" s="1"/>
  <c r="C18" i="18"/>
  <c r="C21" i="18" s="1"/>
  <c r="C15" i="46"/>
  <c r="C15" i="45"/>
  <c r="C16" i="44"/>
  <c r="C13" i="44"/>
  <c r="C18" i="43"/>
  <c r="C15" i="43"/>
  <c r="C18" i="42"/>
  <c r="C15" i="42"/>
  <c r="C18" i="41"/>
  <c r="C15" i="41"/>
  <c r="C18" i="40"/>
  <c r="C15" i="40"/>
  <c r="C18" i="39"/>
  <c r="C15" i="39"/>
  <c r="C18" i="38"/>
  <c r="C15" i="38"/>
  <c r="C19" i="38" s="1"/>
  <c r="C16" i="37"/>
  <c r="C13" i="37"/>
  <c r="C18" i="36"/>
  <c r="C15" i="36"/>
  <c r="C18" i="34"/>
  <c r="C15" i="34"/>
  <c r="C18" i="33"/>
  <c r="C15" i="33"/>
  <c r="C18" i="32"/>
  <c r="C15" i="32"/>
  <c r="C15" i="31"/>
  <c r="C18" i="30"/>
  <c r="C15" i="30"/>
  <c r="C19" i="39" l="1"/>
  <c r="C22" i="39" s="1"/>
  <c r="C19" i="40"/>
  <c r="C22" i="40" s="1"/>
  <c r="C19" i="32"/>
  <c r="C22" i="32" s="1"/>
  <c r="C19" i="34"/>
  <c r="C22" i="34" s="1"/>
  <c r="C19" i="36"/>
  <c r="C22" i="36" s="1"/>
  <c r="C17" i="37"/>
  <c r="C20" i="37" s="1"/>
  <c r="C22" i="38"/>
  <c r="C19" i="41"/>
  <c r="C22" i="41" s="1"/>
  <c r="C19" i="42"/>
  <c r="C22" i="42" s="1"/>
  <c r="C19" i="43"/>
  <c r="C22" i="43" s="1"/>
  <c r="C17" i="44"/>
  <c r="C20" i="44" s="1"/>
  <c r="C19" i="46"/>
  <c r="C22" i="46" s="1"/>
  <c r="C20" i="45"/>
  <c r="C23" i="45" s="1"/>
  <c r="C19" i="33"/>
  <c r="C22" i="33" s="1"/>
  <c r="C21" i="31"/>
  <c r="C24" i="31" s="1"/>
  <c r="C19" i="30"/>
  <c r="C22" i="30" s="1"/>
  <c r="C18" i="29"/>
  <c r="C15" i="29"/>
  <c r="C18" i="28"/>
  <c r="C15" i="28"/>
  <c r="C19" i="27"/>
  <c r="C14" i="27"/>
  <c r="C15" i="26"/>
  <c r="C14" i="19"/>
  <c r="C19" i="29" l="1"/>
  <c r="C22" i="29" s="1"/>
  <c r="C19" i="28"/>
  <c r="C22" i="28" s="1"/>
  <c r="C20" i="27"/>
  <c r="C23" i="27" s="1"/>
  <c r="C16" i="26"/>
  <c r="C19" i="26" s="1"/>
  <c r="C19" i="19"/>
  <c r="C22" i="19" s="1"/>
  <c r="C18" i="12" l="1"/>
  <c r="C14" i="12"/>
  <c r="C19" i="12" l="1"/>
  <c r="C22" i="12" s="1"/>
  <c r="C17" i="4" l="1"/>
  <c r="C12" i="4"/>
  <c r="C18" i="4" l="1"/>
  <c r="C21" i="4" s="1"/>
</calcChain>
</file>

<file path=xl/sharedStrings.xml><?xml version="1.0" encoding="utf-8"?>
<sst xmlns="http://schemas.openxmlformats.org/spreadsheetml/2006/main" count="2197" uniqueCount="718">
  <si>
    <t>Maksas pakalpojuma izcenojuma aprēķins</t>
  </si>
  <si>
    <r>
      <t>Laika posms:</t>
    </r>
    <r>
      <rPr>
        <sz val="12"/>
        <color rgb="FF000000"/>
        <rFont val="Times New Roman"/>
        <family val="1"/>
        <charset val="186"/>
      </rPr>
      <t xml:space="preserve"> 1 gads</t>
    </r>
  </si>
  <si>
    <t>Izdevumu klasifikācijas kods</t>
  </si>
  <si>
    <t>Rādītājs (materiāla/izejvielas nosaukums, atlīdzība un citi izmaksu veidi)</t>
  </si>
  <si>
    <t>Izmaksu apjoms noteiktā laikposmā viena maksas pakalpojuma veida nodrošināšanai</t>
  </si>
  <si>
    <t>Tiešās izmaksas</t>
  </si>
  <si>
    <t>EEK 1110</t>
  </si>
  <si>
    <t>EEK 1210</t>
  </si>
  <si>
    <t>Darba devēja valsts sociālās apdrošināšanas obligātās iemaksas, sociāla rakstura pabalsti un kompensācijas (23,59%).</t>
  </si>
  <si>
    <t>Tiešās izmaksas kopā:</t>
  </si>
  <si>
    <t>Netiešās izmaksas</t>
  </si>
  <si>
    <t>EEK 2210</t>
  </si>
  <si>
    <t>EEK 2220</t>
  </si>
  <si>
    <t>EEK 2240</t>
  </si>
  <si>
    <t>EKK 2311</t>
  </si>
  <si>
    <t>EEK 2350</t>
  </si>
  <si>
    <t>EKK 2513</t>
  </si>
  <si>
    <t>EKK 5200</t>
  </si>
  <si>
    <t>Netiešās izmaksas kopā:</t>
  </si>
  <si>
    <t>Pakalpojuma izmaksas kopā:</t>
  </si>
  <si>
    <t>Maksas pakalpojuma vienību skaits noteiktā laikposmā (gab.)</t>
  </si>
  <si>
    <r>
      <t xml:space="preserve">Maksas pakalpojuma izcenojums (euro) </t>
    </r>
    <r>
      <rPr>
        <i/>
        <sz val="12"/>
        <color rgb="FF000000"/>
        <rFont val="Times New Roman"/>
        <family val="1"/>
        <charset val="186"/>
      </rPr>
      <t>(pakalpojuma izmaksas kopā, dalītas ar maksas pakalpojuma vienību skaitu noteiktā laikposmā)</t>
    </r>
  </si>
  <si>
    <r>
      <t>Iestāde:</t>
    </r>
    <r>
      <rPr>
        <sz val="12"/>
        <color theme="1"/>
        <rFont val="Times New Roman"/>
        <family val="1"/>
        <charset val="186"/>
      </rPr>
      <t xml:space="preserve"> Paula Stradiņa Medicīnas vēstures muzejs</t>
    </r>
  </si>
  <si>
    <t xml:space="preserve">EKK 2230 </t>
  </si>
  <si>
    <t xml:space="preserve">Pasta, telefona un citu sakaru pakalpojumi: </t>
  </si>
  <si>
    <t>Administratīvie izdevumi</t>
  </si>
  <si>
    <r>
      <t>Iestāde:</t>
    </r>
    <r>
      <rPr>
        <sz val="12"/>
        <color indexed="8"/>
        <rFont val="Times New Roman"/>
        <family val="1"/>
        <charset val="186"/>
      </rPr>
      <t xml:space="preserve"> Paula Stradiņa Medicīnas vēstures muzejs</t>
    </r>
  </si>
  <si>
    <r>
      <t>Laika posms:</t>
    </r>
    <r>
      <rPr>
        <sz val="12"/>
        <color indexed="8"/>
        <rFont val="Times New Roman"/>
        <family val="1"/>
        <charset val="186"/>
      </rPr>
      <t xml:space="preserve"> 1 gads</t>
    </r>
  </si>
  <si>
    <r>
      <t xml:space="preserve">Maksas pakalpojuma izcenojums (euro) </t>
    </r>
    <r>
      <rPr>
        <i/>
        <sz val="12"/>
        <color indexed="8"/>
        <rFont val="Times New Roman"/>
        <family val="1"/>
        <charset val="186"/>
      </rPr>
      <t>(pakalpojuma izmaksas kopā, dalītas ar maksas pakalpojuma vienību skaitu noteiktā laikposmā)</t>
    </r>
  </si>
  <si>
    <t>Nr. p. k.</t>
  </si>
  <si>
    <t>Pakalpojuma veids</t>
  </si>
  <si>
    <t>Mērvienība</t>
  </si>
  <si>
    <t>1.</t>
  </si>
  <si>
    <t xml:space="preserve">Muzeja pastāvīgo ekspozīciju un izstāžu apskate </t>
  </si>
  <si>
    <t>1.1.</t>
  </si>
  <si>
    <t xml:space="preserve">Pastāvīgās ekspozīcijas un izstāžu apskate Paula Stradiņa Medicīnas vēstures muzejā </t>
  </si>
  <si>
    <t>1.1.1.</t>
  </si>
  <si>
    <t>Pastāvīgās ekspozīcijas apskate</t>
  </si>
  <si>
    <t>1.1.1.1.</t>
  </si>
  <si>
    <t>izglītojamiem</t>
  </si>
  <si>
    <t>1 apmeklējums</t>
  </si>
  <si>
    <t>1.1.1.2.</t>
  </si>
  <si>
    <t>studentiem, pensionāriem</t>
  </si>
  <si>
    <t>1.1.1.3.</t>
  </si>
  <si>
    <t>pieaugušajiem</t>
  </si>
  <si>
    <t>1.1.2.</t>
  </si>
  <si>
    <t>Izglītojošās izstādes apskate</t>
  </si>
  <si>
    <t>1.1.2.2.</t>
  </si>
  <si>
    <t>1.1.2.3.</t>
  </si>
  <si>
    <t>1.1.3.</t>
  </si>
  <si>
    <t>Pārējo izstāžu apskate</t>
  </si>
  <si>
    <t>1.1.3.1.</t>
  </si>
  <si>
    <t>1.1.3.2.</t>
  </si>
  <si>
    <t>1.1.3.3.</t>
  </si>
  <si>
    <t>1.1.4.</t>
  </si>
  <si>
    <t xml:space="preserve">Speciālās izstādes (ar ievērojamām materiālajām izmaksām) apskate </t>
  </si>
  <si>
    <t>1.1.4.1.</t>
  </si>
  <si>
    <t>1.1.4.2.</t>
  </si>
  <si>
    <t>1.1.4.3.</t>
  </si>
  <si>
    <t>1.1.5.</t>
  </si>
  <si>
    <t>“Ģimenes biļete” (1-2 pieaugušie un 1 un vairāk skolas vecuma bērnu) pastāvīgās ekspozīcijas un izglītojošās izstādes apskate</t>
  </si>
  <si>
    <t>1.1.6.</t>
  </si>
  <si>
    <t>Apvienotā biļete pastāvīgās ekspozīcijas, izglītojošo izstāžu un pārējo izstāžu apskatei</t>
  </si>
  <si>
    <t>1.1.6.1.</t>
  </si>
  <si>
    <t>1.1.6.2.</t>
  </si>
  <si>
    <t>1.1.6.3.</t>
  </si>
  <si>
    <t>1.2.</t>
  </si>
  <si>
    <t xml:space="preserve">Pastāvīgās ekspozīcijas un izstāžu apskate Paula Stradiņa Medicīnas vēstures muzeja filiālē Farmācijas muzejs </t>
  </si>
  <si>
    <t>1.2.1.</t>
  </si>
  <si>
    <t>1.2.2.</t>
  </si>
  <si>
    <t>1.2.3.</t>
  </si>
  <si>
    <t>1.2.4.</t>
  </si>
  <si>
    <t>“Ģimenes biļete” (1-2 pieaugušie un 1 un vairāk skolas vecuma bērnu)</t>
  </si>
  <si>
    <t>1.3.</t>
  </si>
  <si>
    <t>Pastāvīgās ekspozīcijas un izstāžu apskate Paula Stradiņa Medicīnas vēstures muzeja filiālē Profesora Aleksandra Bieziņa muzejs</t>
  </si>
  <si>
    <t>1.3.1.</t>
  </si>
  <si>
    <t>1.3.2.</t>
  </si>
  <si>
    <t>1.3.3.</t>
  </si>
  <si>
    <t>1.3.4.</t>
  </si>
  <si>
    <t>2.</t>
  </si>
  <si>
    <t>Gida pakalpojumi (grupā ne vairāk par 25 personām)</t>
  </si>
  <si>
    <t>2.1.</t>
  </si>
  <si>
    <t>Paula Stradiņa Medicīnas vēstures muzejā</t>
  </si>
  <si>
    <t>2.1.1.</t>
  </si>
  <si>
    <t>latviešu valodā izglītojamiem</t>
  </si>
  <si>
    <t>1 grupa</t>
  </si>
  <si>
    <t>2.1.2.</t>
  </si>
  <si>
    <t>latviešu valodā studentiem, pensionāriem</t>
  </si>
  <si>
    <t>2.1.3.</t>
  </si>
  <si>
    <t>latviešu valodā pieaugušajiem</t>
  </si>
  <si>
    <t>2.1.4.</t>
  </si>
  <si>
    <t>krievu valodā izglītojamiem</t>
  </si>
  <si>
    <t>2.1.5.</t>
  </si>
  <si>
    <t xml:space="preserve">svešvalodā (izņemot krievu valodā izglītojamiem) visiem apmeklētājiem </t>
  </si>
  <si>
    <t>2.1.6.</t>
  </si>
  <si>
    <t xml:space="preserve">interaktīva ekskursija skolēnu grupai </t>
  </si>
  <si>
    <t>2.1.7.</t>
  </si>
  <si>
    <t>interaktīva ekskursija studentiem, pensionāriem pieaugušajiem</t>
  </si>
  <si>
    <t xml:space="preserve">1 grupa </t>
  </si>
  <si>
    <t>2.2.</t>
  </si>
  <si>
    <t>Paula Stradiņa Medicīnas vēstures muzeja filiālē Farmācijas muzejā</t>
  </si>
  <si>
    <t>2.2.1.</t>
  </si>
  <si>
    <t>2.2.2.</t>
  </si>
  <si>
    <t>2.2.3.</t>
  </si>
  <si>
    <t>2.2.4.</t>
  </si>
  <si>
    <t>Svešvalodā (izņemot krievu valodā izglītojamiem) visiem apmeklētājiem</t>
  </si>
  <si>
    <t>2.3.</t>
  </si>
  <si>
    <t>Paula Stradiņa Medicīnas vēstures muzeja filiālē Profesora Aleksandra Bieziņa muzejā</t>
  </si>
  <si>
    <t>2.3.1.</t>
  </si>
  <si>
    <t>latviešu valodā izglītojamiem, studentiem, pensionāriem</t>
  </si>
  <si>
    <t>2.3.2.</t>
  </si>
  <si>
    <t>svešvalodā (izņemot krievu valodā izglītojamiem) visiem apmeklētājiem</t>
  </si>
  <si>
    <t>3.</t>
  </si>
  <si>
    <t>Muzeja pedagoģisko un kultūrizglītojošo programmu vadīšana</t>
  </si>
  <si>
    <t>3.1.</t>
  </si>
  <si>
    <t>3.1.1.</t>
  </si>
  <si>
    <t xml:space="preserve">3.1.2. </t>
  </si>
  <si>
    <t>3.1.3.</t>
  </si>
  <si>
    <t>3.1.4.</t>
  </si>
  <si>
    <t>3.1.5.</t>
  </si>
  <si>
    <t>3.1.6.</t>
  </si>
  <si>
    <t>3.1.7.</t>
  </si>
  <si>
    <t>3.2.</t>
  </si>
  <si>
    <t>Farmācijas muzejā</t>
  </si>
  <si>
    <t>3.2.1.</t>
  </si>
  <si>
    <t>3.2.2.</t>
  </si>
  <si>
    <t>3.2.3.</t>
  </si>
  <si>
    <t>2.2.5.</t>
  </si>
  <si>
    <t>3.3.</t>
  </si>
  <si>
    <t>Profesora Aleksandra Bieziņa muzejā</t>
  </si>
  <si>
    <t>3.3.1.</t>
  </si>
  <si>
    <t>3.3.2.</t>
  </si>
  <si>
    <t>4.</t>
  </si>
  <si>
    <t>Muzeja krājuma izmantošana</t>
  </si>
  <si>
    <t>4.1.</t>
  </si>
  <si>
    <t>Muzeja krājuma priekšmetu fotografēšana, filmēšana un skenēšana</t>
  </si>
  <si>
    <t>4.1.1.</t>
  </si>
  <si>
    <t>krājuma priekšmetu fotografēšana un filmēšana pastāvīgajās ekspozīcijās un izstādēs kultūras un izglītības mērķiem un muzeja reklāmai</t>
  </si>
  <si>
    <t>1 vienība</t>
  </si>
  <si>
    <t>4.1.2.</t>
  </si>
  <si>
    <t>krājuma priekšmetu fotografēšana un filmēšana pastāvīgajās ekspozīcijās un izstādēs komerciālos nolūkos</t>
  </si>
  <si>
    <t>4.1.3.</t>
  </si>
  <si>
    <t xml:space="preserve">krājuma priekšmetu fotografēšana un filmēšana krājuma glabātuvēs komerciālos nolūkos </t>
  </si>
  <si>
    <t>4.1.4.</t>
  </si>
  <si>
    <t>1 digitālais attēls</t>
  </si>
  <si>
    <t>4.1.5.</t>
  </si>
  <si>
    <t>Ekspozīciju izmantošana profesionālai fotografēšanai un filmēšanai kultūras un izglītības mērķiem un muzeja reklāmai</t>
  </si>
  <si>
    <t>1 stunda</t>
  </si>
  <si>
    <t>4.1.6.</t>
  </si>
  <si>
    <t>Ekspozīciju izmantošana profesionālai fotografēšanai un filmēšanai komerciāliem mērķiem</t>
  </si>
  <si>
    <t>4.2.</t>
  </si>
  <si>
    <t>Krājuma priekšmetu izmantošana publicēšanai</t>
  </si>
  <si>
    <t>4.2.1.</t>
  </si>
  <si>
    <t>ar muzeja pamatdarbību un krājuma izpēti saistītā publikācijā vai muzeja popularizēšanas nolūkā</t>
  </si>
  <si>
    <t>4.2.2.</t>
  </si>
  <si>
    <t>ar muzeja krājuma izpēti nesaistītos mācību un zinātniskos izdevumos</t>
  </si>
  <si>
    <t>4.2.3.</t>
  </si>
  <si>
    <t>ar muzeja pamatdarbību nesaistītos komerciālos nolūkos</t>
  </si>
  <si>
    <t>4.2.4.</t>
  </si>
  <si>
    <t>unikālu un īpaši saudzējamu krājuma priekšmetu publicēšana komerciālos nolūkos</t>
  </si>
  <si>
    <t>4.3.</t>
  </si>
  <si>
    <t>Muzeja krājuma priekšmetu izdošana (deponēšana)</t>
  </si>
  <si>
    <t>4.3.1.</t>
  </si>
  <si>
    <t>krājuma priekšmetu deponēšana akreditētiem muzejiem, zinātniskām institūcijām, augstskolām un Veselības ministrijas padotības iestādēm</t>
  </si>
  <si>
    <t>4.3.2.</t>
  </si>
  <si>
    <t xml:space="preserve">krājuma priekšmetu deponēšana neakreditētiem muzejiem un citām institūcijām kultūras un izglītības mērķiem </t>
  </si>
  <si>
    <t>4.3.3.</t>
  </si>
  <si>
    <t>krājuma priekšmetu deponēšana komerciāliem un izklaides mērķiem</t>
  </si>
  <si>
    <t>4.3.4.</t>
  </si>
  <si>
    <t>unikālu un īpaši saudzējamu krājuma priekšmetu komerciāliem un izklaides mērķiem</t>
  </si>
  <si>
    <t>4.4.</t>
  </si>
  <si>
    <t>4.4.1.</t>
  </si>
  <si>
    <t>materiālu kserokopēšana</t>
  </si>
  <si>
    <t>1 A4 formāta lapaspuse</t>
  </si>
  <si>
    <t xml:space="preserve">5. </t>
  </si>
  <si>
    <t>Muzeja telpu un teritorijas noma</t>
  </si>
  <si>
    <t>5.1.</t>
  </si>
  <si>
    <t>5.1.1.</t>
  </si>
  <si>
    <t>konferenču zāle (100 m2) muzeja darba laikā</t>
  </si>
  <si>
    <t>5.1.2.</t>
  </si>
  <si>
    <t>konferenču zāle (100 m2) ārpus muzeja darba laika</t>
  </si>
  <si>
    <t>5.1.3.</t>
  </si>
  <si>
    <t>konferenču zāle(100 m2) un izstāžu zāle (67 m2) muzeja darba laikā</t>
  </si>
  <si>
    <t>5.1.4.</t>
  </si>
  <si>
    <t>konferenču zāle(100 m2) un izstāžu zāle (67 m2) ārpus muzeja darba laika</t>
  </si>
  <si>
    <t>5.1.5.</t>
  </si>
  <si>
    <t>5.1.6.</t>
  </si>
  <si>
    <t>ekspozīciju zāles (100 m2) noma</t>
  </si>
  <si>
    <t>5.1.7.</t>
  </si>
  <si>
    <t xml:space="preserve">telpu iekārtošana pēc nomnieka individuāla pasūtījuma </t>
  </si>
  <si>
    <t>1 iekārtošanas reize</t>
  </si>
  <si>
    <t>5.2.</t>
  </si>
  <si>
    <t>5.3.</t>
  </si>
  <si>
    <t>Muzeja zinātniskās bibliotēkas materiālu kopēšana un skenēšana, ko veic muzeja speciālists uz vietas muzejā</t>
  </si>
  <si>
    <t>1 vienība 1 dienu</t>
  </si>
  <si>
    <t>Piezīmes.</t>
  </si>
  <si>
    <r>
      <t xml:space="preserve">2  </t>
    </r>
    <r>
      <rPr>
        <sz val="10"/>
        <color theme="1"/>
        <rFont val="Times New Roman"/>
        <family val="1"/>
        <charset val="186"/>
      </rPr>
      <t>Papildus maksai par nodarbības vadīšanu tiek iekasēta maksa par pastāvīgās ekspozīcijas apmeklējumu atbilstoši cenrādim</t>
    </r>
  </si>
  <si>
    <r>
      <t xml:space="preserve">3  </t>
    </r>
    <r>
      <rPr>
        <sz val="10"/>
        <color theme="1"/>
        <rFont val="Times New Roman"/>
        <family val="1"/>
        <charset val="186"/>
      </rPr>
      <t>Pakalpojumi tiek sniegti saskaņā ar Muzeju likumu un noteikumiem par Nacionālo muzeju krājumu, izvērtējot klienta iesniegumu. Muzejam ir tiesības atteikt pakalpojuma sniegšanu, ja tas apdraud priekšmeta saglabāšanu vai neatbilst muzeja darbības mērķiem un uzdevumiem</t>
    </r>
    <r>
      <rPr>
        <sz val="10"/>
        <color theme="1"/>
        <rFont val="Calibri"/>
        <family val="2"/>
        <charset val="186"/>
        <scheme val="minor"/>
      </rPr>
      <t>.</t>
    </r>
  </si>
  <si>
    <r>
      <t>4 </t>
    </r>
    <r>
      <rPr>
        <sz val="10"/>
        <color theme="1"/>
        <rFont val="Times New Roman"/>
        <family val="1"/>
        <charset val="186"/>
      </rPr>
      <t>Skenēšanu veic muzeja speciālists uz vietas muzejā. Muzeja speciālists neveic attēla digitālo apstrādi</t>
    </r>
  </si>
  <si>
    <r>
      <t>5</t>
    </r>
    <r>
      <rPr>
        <sz val="10"/>
        <color theme="1"/>
        <rFont val="Times New Roman"/>
        <family val="1"/>
        <charset val="186"/>
      </rPr>
      <t>  Pievienotās vērtības nodokli nepiemēro saskaņā ar Pievienotās vērtības nodokļa likuma 59.panta pirmo daļu.</t>
    </r>
  </si>
  <si>
    <t>aija.ezeriete@mvm.lv</t>
  </si>
  <si>
    <r>
      <t>6</t>
    </r>
    <r>
      <rPr>
        <sz val="10"/>
        <color theme="1"/>
        <rFont val="Times New Roman"/>
        <family val="1"/>
        <charset val="186"/>
      </rPr>
      <t>  Maksas pakalpojuma izcenojuma aprēķins katram maksas pakalpojuma veidam norādīts šīs tabulas attiecīgajās darblapās.</t>
    </r>
  </si>
  <si>
    <t>2.3.3.</t>
  </si>
  <si>
    <t>2.3.4.</t>
  </si>
  <si>
    <t>3.2.4.</t>
  </si>
  <si>
    <t>3.2.5.</t>
  </si>
  <si>
    <t>3.2.6.</t>
  </si>
  <si>
    <t>3.2.7.</t>
  </si>
  <si>
    <t>4.4.2.</t>
  </si>
  <si>
    <t>Darba devēja valsts sociālās apdrošināšanas obligātās iemaksas, sociāla rakstura pabalsti un kompensācijas (23.59%).</t>
  </si>
  <si>
    <t>Kārtējā remonta un iestāžu uzturēšanas materiāli. Vidējās izstādes iekārtošanas materiālu izmaksas ir 199 euro/1773*683=76.66 euro.</t>
  </si>
  <si>
    <t>Remontdarbi un iestāžu uzturēšanas pakalpojumi (izņemot kapitālo remontu) attiecināmā kopējā gada summa 20409 euro/24855 apmeklētāji*520 vienības=426.98 euro.</t>
  </si>
  <si>
    <t>Nekustamā īpašuma nodoklis: 10204 euro gadā/3221 m2*100 m2=785.53/990*520 vienības=166.39 euro.</t>
  </si>
  <si>
    <t>Administratīvie izdevumi baneru drukas vidējā cena izstādei euro 160/ 160 apm*60 vienības.</t>
  </si>
  <si>
    <t>Remontdarbi un iestāžu uzturēšanas pakalpojumi (izņemot kapitālo remontu) Gada summa 9145.92 euro/ 6600 apmeklējumi*100 vienību= 138.57 euro.</t>
  </si>
  <si>
    <t>Kārtējā remonta un iestāžu uzturēšanas materiāli. 4228 euro gada summa/3221 m2 kopplatība*100/85*50 vienības=77.21 euro.</t>
  </si>
  <si>
    <t>Nekustamā īpašuma nodoklis: 10204 euro gadā/3221 m2*100m2=785.53/85 stundas izmantošana*50 vienības=186.35 euro.</t>
  </si>
  <si>
    <t>Nekustamā īpašuma nodoklis: 10204 euro gadā/3221 m2*100 m2=785.53/85 stundas izmantošana*20 vienības=74.54 euro.</t>
  </si>
  <si>
    <t>Nekustamā īpašuma nodoklis: 10204 euro gadā/3221 m2*167 m2=785.53/85 stundas izmantošana*10 vienības=62.24 euro.</t>
  </si>
  <si>
    <t>Kārtējā remonta un iestāžu uzturēšanas materiāli. 4228 euro gada summa/3221 m2 kopplatība*30/85*1 vienības=0.46 euro.</t>
  </si>
  <si>
    <t>Nolietojums. Gada nolietojums zālē esošajiem pamatlīdzekļiem 8.93 euro.</t>
  </si>
  <si>
    <t>Elektroenerģijai 9230 euro gada patēriņš /3221 m2 kopplatība*100 m2 zāles platība/252 darba dienas/8 stundas*1 pakalpojumi=0.14 euro, apkurei 17369 euro gada izmaksas/3221 m2 kopplatība*100 m2 zāles platība/252 darba dienas/8 stundas*1 pakalpojumi=0.27 euro. Ūdenim un kanalizācijai  gada izmaksas 532/3221 m2 kopplatība*100 m2 zāles platība/252 darba dienas/8 stundas*1 pakalpojumi=0.01 euro. Kopā =0.42 euro.</t>
  </si>
  <si>
    <t>Remontdarbi un iestāžu uzturēšanas pakalpojumi (izņemot kapitālo remontu) kopsumma 39644/1299 m2*100 m2/85*1=35.90 euro.</t>
  </si>
  <si>
    <t>Kārtējā remonta un iestāžu uzturēšanas materiāli. 4228 euro gada summa/3221 m2 kopplatība*100/85*1 vienības=1.54 euro.</t>
  </si>
  <si>
    <t>Nekustamā īpašuma nodoklis: 10204 euro gadā/3221 m2*100 m2=785.53/85 stundas izmantošana*1 vienības=3.73 euro.</t>
  </si>
  <si>
    <t>Remontdarbi un iestāžu uzturēšanas pakalpojumi (izņemot kapitālo remontu) kopsumma 39644/1299 m2*100 m2/85*20=718.09 euro.</t>
  </si>
  <si>
    <t>Remontdarbi un iestāžu uzturēšanas pakalpojumi (izņemot kapitālo remontu) kopsumma 39644/1299 m2*30 m2/85*1=10.77 euro.</t>
  </si>
  <si>
    <t>Veselības ministre</t>
  </si>
  <si>
    <t>Anda Čakša</t>
  </si>
  <si>
    <t>Valsts sekretārs</t>
  </si>
  <si>
    <t>Kārlis Ketners</t>
  </si>
  <si>
    <t>Zandberga, 67876041</t>
  </si>
  <si>
    <t>lasma.zandberga@vm.gov.lv</t>
  </si>
  <si>
    <t>Ezeriete, 67334301</t>
  </si>
  <si>
    <t xml:space="preserve">Ministru kabineta noteikuma projekta  </t>
  </si>
  <si>
    <r>
      <t>Maksas pakalpojuma veids:</t>
    </r>
    <r>
      <rPr>
        <sz val="12"/>
        <color indexed="8"/>
        <rFont val="Times New Roman"/>
        <family val="1"/>
        <charset val="186"/>
      </rPr>
      <t xml:space="preserve"> 1.1.1.1. Muzeja pastāvīgo ekspozīciju un izstāžu apskate. Pastāvīgās ekspozīcijas un izstāžu apskate Paula Stradiņa Medicīnas vēstures muzejā. Pastāvīgās ekspozīcijas apskate izglītojamajiem.</t>
    </r>
  </si>
  <si>
    <r>
      <t>Maksas pakalpojuma veids:</t>
    </r>
    <r>
      <rPr>
        <sz val="12"/>
        <color indexed="8"/>
        <rFont val="Times New Roman"/>
        <family val="1"/>
        <charset val="186"/>
      </rPr>
      <t xml:space="preserve"> 1.1.1.2. Muzeja pastāvīgo ekspozīciju un izstāžu apskate. Pastāvīgās ekspozīcijas un izstāžu apskate Paula Stradiņa Medicīnas vēstures muzejā. Pastāvīgās ekspozīcijas apskate studentiem, pensionāriem.</t>
    </r>
  </si>
  <si>
    <r>
      <t xml:space="preserve">Maksas pakalpojuma veids: </t>
    </r>
    <r>
      <rPr>
        <sz val="12"/>
        <color rgb="FF000000"/>
        <rFont val="Times New Roman"/>
        <family val="1"/>
        <charset val="186"/>
      </rPr>
      <t>1.1.1.3. Muzeja pastāvīgo ekspozīciju un izstāžu apskate. Pastāvīgās ekspozīcijas un izstāžu apskate Paula Stradiņa Medicīnas vēstures muzejā. Pastāvīgās ekspozīcijas apskate pieaugušajiem.</t>
    </r>
  </si>
  <si>
    <r>
      <t>Maksas pakalpojuma veids:</t>
    </r>
    <r>
      <rPr>
        <sz val="12"/>
        <color indexed="8"/>
        <rFont val="Times New Roman"/>
        <family val="1"/>
        <charset val="186"/>
      </rPr>
      <t xml:space="preserve"> 1.1.2.1. Muzeja pastāvīgo ekspozīciju un izstāžu apskate. Pastāvīgās ekspozīcijas un izstāžu apskate Paula Stradiņa Medicīnas vēstures muzejā. Izglītojošās izstādes apskate izglītojamajiem.</t>
    </r>
  </si>
  <si>
    <r>
      <t>Maksas pakalpojuma veids:</t>
    </r>
    <r>
      <rPr>
        <sz val="12"/>
        <color indexed="8"/>
        <rFont val="Times New Roman"/>
        <family val="1"/>
        <charset val="186"/>
      </rPr>
      <t xml:space="preserve"> 1.1.2.3. Muzeja pastāvīgo ekspozīciju un izstāžu apskate. Pastāvīgās ekspozīcijas un izstāžu apskate Paula Stradiņa Medicīnas vēstures muzejā. Izglītojošās izstādes apskate pieaugušajiem.</t>
    </r>
  </si>
  <si>
    <r>
      <t>Maksas pakalpojuma veids:</t>
    </r>
    <r>
      <rPr>
        <sz val="12"/>
        <color indexed="8"/>
        <rFont val="Times New Roman"/>
        <family val="1"/>
        <charset val="186"/>
      </rPr>
      <t xml:space="preserve"> 1.1.3.1. Muzeja pastāvīgo ekspozīciju un izstāžu apskate. Pastāvīgās ekspozīcijas un izstāžu apskate Paula Stradiņa Medicīnas vēstures muzejā. Pārējo izstāžu apskate izglītojamajiem.</t>
    </r>
  </si>
  <si>
    <r>
      <t>Maksas pakalpojuma veids:</t>
    </r>
    <r>
      <rPr>
        <sz val="12"/>
        <color indexed="8"/>
        <rFont val="Times New Roman"/>
        <family val="1"/>
        <charset val="186"/>
      </rPr>
      <t xml:space="preserve"> 1.1.3.2. Muzeja pastāvīgo ekspozīciju un izstāžu apskate. Pastāvīgās ekspozīcijas un izstāžu apskate Paula Stradiņa Medicīnas vēstures muzejā. Pārējo izstāžu apskate studentiem, pensionāriem.</t>
    </r>
  </si>
  <si>
    <r>
      <t>Maksas pakalpojuma veids:</t>
    </r>
    <r>
      <rPr>
        <sz val="12"/>
        <color indexed="8"/>
        <rFont val="Times New Roman"/>
        <family val="1"/>
        <charset val="186"/>
      </rPr>
      <t xml:space="preserve"> 1.1.3.3. Muzeja pastāvīgo ekspozīciju un izstāžu apskate. Pastāvīgās ekspozīcijas un izstāžu apskate Paula Stradiņa Medicīnas vēstures muzejā. Pārējo izstāžu apskate pieaugušajiem.</t>
    </r>
  </si>
  <si>
    <r>
      <t>Maksas pakalpojuma veids:</t>
    </r>
    <r>
      <rPr>
        <sz val="12"/>
        <color indexed="8"/>
        <rFont val="Times New Roman"/>
        <family val="1"/>
        <charset val="186"/>
      </rPr>
      <t xml:space="preserve"> 1.1.4.1. Muzeja pastāvīgo ekspozīciju un izstāžu apskate. Pastāvīgās ekspozīcijas un izstāžu apskate Paula Stradiņa Medicīnas vēstures muzejā. Speciālās izstādes apskate izglītojamajiem.</t>
    </r>
  </si>
  <si>
    <r>
      <t>Maksas pakalpojuma veids:</t>
    </r>
    <r>
      <rPr>
        <sz val="12"/>
        <color indexed="8"/>
        <rFont val="Times New Roman"/>
        <family val="1"/>
        <charset val="186"/>
      </rPr>
      <t xml:space="preserve"> 1.1.4.3. Muzeja pastāvīgo ekspozīciju un izstāžu apskate. Pastāvīgās ekspozīcijas un izstāžu apskate Paula Stradiņa Medicīnas vēstures muzejā. Speciālās izstādes apskate pieaugušajiem.</t>
    </r>
  </si>
  <si>
    <r>
      <t>Maksas pakalpojuma veids:</t>
    </r>
    <r>
      <rPr>
        <sz val="12"/>
        <color indexed="8"/>
        <rFont val="Times New Roman"/>
        <family val="1"/>
        <charset val="186"/>
      </rPr>
      <t xml:space="preserve"> 1.1.5. Muzeja pastāvīgo ekspozīciju un izstāžu apskate. Pastāvīgās ekspozīcijas un izglītojošās izstādes apskate Paula Stradiņa Medicīnas vēstures muzejā. “Ģimenes biļete” (1-2 pieaugušie un 1 un vairāk skolas vecuma bērnu) pastāvīgās ekspozīcijas un izglītojošās izstādes apskate.</t>
    </r>
  </si>
  <si>
    <r>
      <t>Maksas pakalpojuma veids:</t>
    </r>
    <r>
      <rPr>
        <sz val="12"/>
        <color indexed="8"/>
        <rFont val="Times New Roman"/>
        <family val="1"/>
        <charset val="186"/>
      </rPr>
      <t xml:space="preserve"> 1.1.6.1. Muzeja pastāvīgo ekspozīciju un izstāžu apskate. Pastāvīgās ekspozīcijas un izstāžu apskate Paula Stradiņa Medicīnas vēstures muzejā. Apvienotā biļete patstāvīgās ekspozīcijas, izglītojošo un pārējo izstāžu apskatei izglītojamiem.</t>
    </r>
  </si>
  <si>
    <r>
      <t>Maksas pakalpojuma veids:</t>
    </r>
    <r>
      <rPr>
        <sz val="12"/>
        <color indexed="8"/>
        <rFont val="Times New Roman"/>
        <family val="1"/>
        <charset val="186"/>
      </rPr>
      <t xml:space="preserve"> 1.1.6.2. Muzeja pastāvīgo ekspozīciju un izstāžu apskate. Pastāvīgās ekspozīcijas un izstāžu apskate Paula Stradiņa Medicīnas vēstures muzejā. Apvienotā biļete patstāvīgās ekspozīcijas, izglītojošo un pārējo izstāžu apskatei studentiem un pensionāriem.</t>
    </r>
  </si>
  <si>
    <r>
      <t>Maksas pakalpojuma veids:</t>
    </r>
    <r>
      <rPr>
        <sz val="12"/>
        <color indexed="8"/>
        <rFont val="Times New Roman"/>
        <family val="1"/>
        <charset val="186"/>
      </rPr>
      <t xml:space="preserve"> 1.2.1. Muzeja pastāvīgo ekspozīciju un izstāžu apskate. Pastāvīgās ekspozīcijas un izstāžu apskate Paula Stradiņa Medicīnas vēstures muzeja filiālē Farmācijas muzejs. Pastāvīgās ekspozīcijas  un izstāžu apskate izglītojamajiem.</t>
    </r>
  </si>
  <si>
    <r>
      <t>Maksas pakalpojuma veids:</t>
    </r>
    <r>
      <rPr>
        <sz val="12"/>
        <color rgb="FF000000"/>
        <rFont val="Times New Roman"/>
        <family val="1"/>
        <charset val="186"/>
      </rPr>
      <t xml:space="preserve"> 1.2.2. Muzeja pastāvīgo ekspozīciju un izstāžu apskate. Pastāvīgās ekspozīcijas un izstāžu apskate Paula Stradiņa Medicīnas vēstures muzeja filiālē Farmācijas muzejs. Pastāvīgās ekspozīcijas  un izstāžu apskate studentiem, pensionāriem.</t>
    </r>
  </si>
  <si>
    <r>
      <t>Maksas pakalpojuma veids:</t>
    </r>
    <r>
      <rPr>
        <sz val="12"/>
        <color rgb="FF000000"/>
        <rFont val="Times New Roman"/>
        <family val="1"/>
        <charset val="186"/>
      </rPr>
      <t xml:space="preserve"> 1.2.3. Muzeja pastāvīgo ekspozīciju un izstāžu apskate. Pastāvīgās ekspozīcijas un izstāžu apskate Paula Stradiņa Medicīnas vēstures muzeja filiālē Farmācijas muzejs. Pastāvīgās ekspozīcijas  un izstāžu apskate pieaugušajiem.</t>
    </r>
  </si>
  <si>
    <r>
      <t>Maksas pakalpojuma veids:</t>
    </r>
    <r>
      <rPr>
        <sz val="12"/>
        <color rgb="FF000000"/>
        <rFont val="Times New Roman"/>
        <family val="1"/>
        <charset val="186"/>
      </rPr>
      <t xml:space="preserve"> 1.2.4. Muzeja pastāvīgo ekspozīciju un izstāžu apskate.P astāvīgās ekspozīcijas un izstāžu apskate Paula Stradiņa Medicīnas vēstures muzeja filiālē Farmācijas muzejs. Pastāvīgās ekspozīcijas  un izstāžu apskate “Ģimenes biļete” (1-2 pieaugušie un 1 un vairāk skolas vecuma bērnu).</t>
    </r>
  </si>
  <si>
    <r>
      <t>Maksas pakalpojuma veids:</t>
    </r>
    <r>
      <rPr>
        <sz val="12"/>
        <color rgb="FF000000"/>
        <rFont val="Times New Roman"/>
        <family val="1"/>
        <charset val="186"/>
      </rPr>
      <t xml:space="preserve"> 1.3.1. Muzeja pastāvīgo ekspozīciju un izstāžu apskate.Pastāvīgās ekspozīcijas un izstāžu apskate Paula Stradiņa Medicīnas vēstures muzeja filiālē profesora Aleksandra Bieziņa muzejs. Pastāvīgās ekspozīcijas  un izstāžu apskate izglītojamiem.</t>
    </r>
  </si>
  <si>
    <r>
      <t>Maksas pakalpojuma veids:</t>
    </r>
    <r>
      <rPr>
        <sz val="12"/>
        <color rgb="FF000000"/>
        <rFont val="Times New Roman"/>
        <family val="1"/>
        <charset val="186"/>
      </rPr>
      <t xml:space="preserve"> 1.3.2. Muzeja pastāvīgo ekspozīciju un izstāžu apskate. Pastāvīgās ekspozīcijas un izstāžu apskate Paula Stradiņa Medicīnas vēstures muzeja filiālē profesora Aleksandra Bieziņa muzejs. Pastāvīgās ekspozīcijas  un izstāžu apskate studentiem, pensionāriem.</t>
    </r>
  </si>
  <si>
    <r>
      <t>Maksas pakalpojuma veids:</t>
    </r>
    <r>
      <rPr>
        <sz val="12"/>
        <color rgb="FF000000"/>
        <rFont val="Times New Roman"/>
        <family val="1"/>
        <charset val="186"/>
      </rPr>
      <t xml:space="preserve"> 1.3.3. Muzeja pastāvīgo ekspozīciju un izstāžu apskate. Pastāvīgās ekspozīcijas un izstāžu apskate Paula Stradiņa Medicīnas vēstures muzeja filiālē profesora Aleksandra Bieziņa muzejs. Pastāvīgās ekspozīcijas  un izstāžu apskate pieaugušajiem.</t>
    </r>
  </si>
  <si>
    <r>
      <t>Maksas pakalpojuma veids:</t>
    </r>
    <r>
      <rPr>
        <sz val="12"/>
        <color rgb="FF000000"/>
        <rFont val="Times New Roman"/>
        <family val="1"/>
        <charset val="186"/>
      </rPr>
      <t xml:space="preserve"> 1.3.4. Muzeja pastāvīgo ekspozīciju un izstāžu apskate.Pastāvīgās ekspozīcijas un izstāžu apskate Paula Stradiņa Medicīnas vēstures muzeja filiālē profesora Aleksandra Bieziņa muzejs. Pastāvīgās ekspozīcijas  un izstāžu apskate “Ģimenes biļete” (1-2 pieaugušie un 1 un vairāk skolas vecuma bērnu).</t>
    </r>
  </si>
  <si>
    <r>
      <t>Maksas pakalpojuma veids:</t>
    </r>
    <r>
      <rPr>
        <sz val="12"/>
        <color rgb="FF000000"/>
        <rFont val="Times New Roman"/>
        <family val="1"/>
        <charset val="186"/>
      </rPr>
      <t xml:space="preserve"> 2.1.1. Gida pakalpojumi Paula Stradiņa Medicīnas vēstures muzejā. Latviešu valodā izglītojamajiem.</t>
    </r>
  </si>
  <si>
    <r>
      <t>Maksas pakalpojuma veids:</t>
    </r>
    <r>
      <rPr>
        <sz val="12"/>
        <color rgb="FF000000"/>
        <rFont val="Times New Roman"/>
        <family val="1"/>
        <charset val="186"/>
      </rPr>
      <t xml:space="preserve"> 2.1.2. Gida pakalpojumi Paula Stradiņa Medicīnas vēstures muzejā. Latviešu valodā studentiem, pensionāriem.</t>
    </r>
  </si>
  <si>
    <r>
      <t>Maksas pakalpojuma veids:</t>
    </r>
    <r>
      <rPr>
        <sz val="12"/>
        <color rgb="FF000000"/>
        <rFont val="Times New Roman"/>
        <family val="1"/>
        <charset val="186"/>
      </rPr>
      <t xml:space="preserve"> 2.1.3. Gida pakalpojumi Paula Stradiņa Medicīnas vēstures muzejā. Latviešu valodā pieaugušajiem.</t>
    </r>
  </si>
  <si>
    <r>
      <t>Maksas pakalpojuma veids:</t>
    </r>
    <r>
      <rPr>
        <sz val="12"/>
        <color rgb="FF000000"/>
        <rFont val="Times New Roman"/>
        <family val="1"/>
        <charset val="186"/>
      </rPr>
      <t xml:space="preserve"> 2.1.4. Gida pakalpojumi Paula Stradiņa Medicīnas vēstures muzejā. Krievu valodā izglītojamajiem.</t>
    </r>
  </si>
  <si>
    <r>
      <t>Maksas pakalpojuma veids:</t>
    </r>
    <r>
      <rPr>
        <sz val="12"/>
        <color rgb="FF000000"/>
        <rFont val="Times New Roman"/>
        <family val="1"/>
        <charset val="186"/>
      </rPr>
      <t xml:space="preserve"> 2.1.5. Gida pakalpojumi Paula Stradiņa Medicīnas vēstures muzejā. Svešvalodā (izņemot krievu valodā izglītojamajiem) visiem apmeklētājiem.</t>
    </r>
  </si>
  <si>
    <r>
      <t>Maksas pakalpojuma veids:</t>
    </r>
    <r>
      <rPr>
        <sz val="12"/>
        <color rgb="FF000000"/>
        <rFont val="Times New Roman"/>
        <family val="1"/>
        <charset val="186"/>
      </rPr>
      <t xml:space="preserve"> 2.1.6. Gida pakalpojumi Paula Stradiņa Medicīnas vēstures muzejā. Interaktīva ekskursija skolēnu grupai</t>
    </r>
  </si>
  <si>
    <r>
      <t>Maksas pakalpojuma veids:</t>
    </r>
    <r>
      <rPr>
        <sz val="12"/>
        <color rgb="FF000000"/>
        <rFont val="Times New Roman"/>
        <family val="1"/>
        <charset val="186"/>
      </rPr>
      <t xml:space="preserve"> 2.1.7. Gida pakalpojumi Paula Stradiņa Medicīnas vēstures muzejā. Interaktīva ekskursija studentiem, pensionāriem, pieaugušajiem.</t>
    </r>
  </si>
  <si>
    <r>
      <t>Maksas pakalpojuma veids:</t>
    </r>
    <r>
      <rPr>
        <sz val="12"/>
        <color rgb="FF000000"/>
        <rFont val="Times New Roman"/>
        <family val="1"/>
        <charset val="186"/>
      </rPr>
      <t xml:space="preserve"> 2.2.1. Gida pakalpojumi Paula Stradiņa Medicīnas vēstures muzeja filiālē Farmācijas muzejs. Latviešu valodā izglītojamajiem.</t>
    </r>
  </si>
  <si>
    <r>
      <t>Maksas pakalpojuma veids:</t>
    </r>
    <r>
      <rPr>
        <sz val="12"/>
        <color rgb="FF000000"/>
        <rFont val="Times New Roman"/>
        <family val="1"/>
        <charset val="186"/>
      </rPr>
      <t xml:space="preserve"> 2.2.2. Gida pakalpojumi Paula Stradiņa Medicīnas vēstures muzeja filiālē Farmācijas muzejs. Latviešu valodā studentiem, pensionāriem.</t>
    </r>
  </si>
  <si>
    <r>
      <t>Maksas pakalpojuma veids:</t>
    </r>
    <r>
      <rPr>
        <sz val="12"/>
        <color rgb="FF000000"/>
        <rFont val="Times New Roman"/>
        <family val="1"/>
        <charset val="186"/>
      </rPr>
      <t xml:space="preserve"> 2.2.3. Gida pakalpojumi Paula Stradiņa Medicīnas vēstures muzeja filiālē Farmācijas muzejs. Latviešu valodā pieaugušajiem.</t>
    </r>
  </si>
  <si>
    <r>
      <t>Maksas pakalpojuma veids:</t>
    </r>
    <r>
      <rPr>
        <sz val="12"/>
        <color rgb="FF000000"/>
        <rFont val="Times New Roman"/>
        <family val="1"/>
        <charset val="186"/>
      </rPr>
      <t xml:space="preserve"> 2.2.4. Gida pakalpojumi Paula Stradiņa Medicīnas vēstures muzeja filiālē Farmācijas muzejs. Krievu valodā izglītojamajiem.</t>
    </r>
  </si>
  <si>
    <r>
      <t>Maksas pakalpojuma veids:</t>
    </r>
    <r>
      <rPr>
        <sz val="12"/>
        <color rgb="FF000000"/>
        <rFont val="Times New Roman"/>
        <family val="1"/>
        <charset val="186"/>
      </rPr>
      <t xml:space="preserve"> 2.2.5. Gida pakalpojumi Paula Stradiņa Medicīnas vēstures muzeja filiālē Farmācijas muzejs. Svešvalodā (izņemot krievu valodā izglītojamajiem) visiem apmeklētājiem.</t>
    </r>
  </si>
  <si>
    <r>
      <t>Maksas pakalpojuma veids:</t>
    </r>
    <r>
      <rPr>
        <sz val="12"/>
        <color rgb="FF000000"/>
        <rFont val="Times New Roman"/>
        <family val="1"/>
        <charset val="186"/>
      </rPr>
      <t xml:space="preserve"> 2.3.1. Gida pakalpojumi Paula Stradiņa Medicīnas vēstures muzeja filiālē Aleksandra Bieziņa  muzejs. Latviešu valodā izglītojamajiem, studentiem, pensionāriem.</t>
    </r>
  </si>
  <si>
    <r>
      <t>Maksas pakalpojuma veids:</t>
    </r>
    <r>
      <rPr>
        <sz val="12"/>
        <color rgb="FF000000"/>
        <rFont val="Times New Roman"/>
        <family val="1"/>
        <charset val="186"/>
      </rPr>
      <t xml:space="preserve"> 2.3.2. Gida pakalpojumi Paula Stradiņa Medicīnas vēstures muzeja filiālē profesora Aleksandra Bieziņa muzejs. Latviešu valodā pieaugušajiem.</t>
    </r>
  </si>
  <si>
    <r>
      <t>Maksas pakalpojuma veids:</t>
    </r>
    <r>
      <rPr>
        <sz val="12"/>
        <color rgb="FF000000"/>
        <rFont val="Times New Roman"/>
        <family val="1"/>
        <charset val="186"/>
      </rPr>
      <t xml:space="preserve"> 2.3.3. Gida pakalpojumi Paula Stradiņa Medicīnas vēstures muzeja filiālē Aleksandra Bieziņa  muzejs. Krievu valodā izglītojamajiem.</t>
    </r>
  </si>
  <si>
    <r>
      <t>Maksas pakalpojuma veids:</t>
    </r>
    <r>
      <rPr>
        <sz val="12"/>
        <color rgb="FF000000"/>
        <rFont val="Times New Roman"/>
        <family val="1"/>
        <charset val="186"/>
      </rPr>
      <t xml:space="preserve"> 2.3.4. Gida pakalpojumi Paula Stradiņa Medicīnas vēstures muzeja filiālē profesora Aleksandra Bieziņa muzejs. Svešvalodā (izņemot krievu valodā izglītojamajiem) visiem apmeklētājiem.</t>
    </r>
  </si>
  <si>
    <r>
      <t xml:space="preserve">Maksas pakalpojuma veids: </t>
    </r>
    <r>
      <rPr>
        <sz val="12"/>
        <color indexed="8"/>
        <rFont val="Times New Roman"/>
        <family val="1"/>
        <charset val="186"/>
      </rPr>
      <t>3.1.1. Muzeja pedagoģisko un kultūrizglītojošo programmu vadīšana Paula Stradiņa Medicīnas vēstures muzejā. Izglītojamajiem (ne vairāk kā 25 skolēnu grupā) nodarbības ilgums 45-60 min.</t>
    </r>
  </si>
  <si>
    <r>
      <t xml:space="preserve">Maksas pakalpojuma veids: </t>
    </r>
    <r>
      <rPr>
        <sz val="12"/>
        <color rgb="FF000000"/>
        <rFont val="Times New Roman"/>
        <family val="1"/>
        <charset val="186"/>
      </rPr>
      <t>3.1.2. Muzeja pedagoģisko un kultūrizglītojošo programmu vadīšana Paula Stradiņa Medicīnas vēstures muzejā. Izglītojamajiem (ne vairāk kā 25 skolēnu grupā) nodarbības ilgums 45-60 min. Izmantojot īpaši sagatavotus izdales materiālus</t>
    </r>
  </si>
  <si>
    <r>
      <t xml:space="preserve">Maksas pakalpojuma veids: </t>
    </r>
    <r>
      <rPr>
        <sz val="12"/>
        <color rgb="FF000000"/>
        <rFont val="Times New Roman"/>
        <family val="1"/>
        <charset val="186"/>
      </rPr>
      <t>3.1.3. Muzeja pedagoģisko un kultūrizglītojošo programmu vadīšana Paula Stradiņa Medicīnas vēstures muzejā. Kultūrizglītojošā programma “dzimšanas diena muzejā” (grupā ne vairāk kā 20 bērnu) 3h.</t>
    </r>
  </si>
  <si>
    <r>
      <t xml:space="preserve">Maksas pakalpojuma veids: </t>
    </r>
    <r>
      <rPr>
        <sz val="12"/>
        <color rgb="FF000000"/>
        <rFont val="Times New Roman"/>
        <family val="1"/>
        <charset val="186"/>
      </rPr>
      <t>3.1.4. Muzeja pedagoģisko un kultūrizglītojošo programmu vadīšana Paula Stradiņa Medicīnas vēstures muzejā.Kultūrizglītojošā programma pieaugušajiem (grupā ne vairāk kā 20 cilvēku), nodarbības ilgums 60 min.</t>
    </r>
  </si>
  <si>
    <r>
      <t xml:space="preserve">Maksas pakalpojuma veids: </t>
    </r>
    <r>
      <rPr>
        <sz val="12"/>
        <color rgb="FF000000"/>
        <rFont val="Times New Roman"/>
        <family val="1"/>
        <charset val="186"/>
      </rPr>
      <t>3.1.5.</t>
    </r>
    <r>
      <rPr>
        <b/>
        <sz val="12"/>
        <color rgb="FF000000"/>
        <rFont val="Times New Roman"/>
        <family val="1"/>
        <charset val="186"/>
      </rPr>
      <t xml:space="preserve"> </t>
    </r>
    <r>
      <rPr>
        <sz val="12"/>
        <color rgb="FF000000"/>
        <rFont val="Times New Roman"/>
        <family val="1"/>
        <charset val="186"/>
      </rPr>
      <t>Muzeja pedagoģisko un kultūrizglītojošo programmu vadīšana Paula Stradiņa Medicīnas vēstures muzejā. Kultūrizglītojošā programma pieaugušajiem (grupā ne vairāk kā 20 cilvēku), ārpus muzeja darba laika, nodarbības ilgums 60 min.</t>
    </r>
  </si>
  <si>
    <r>
      <t>Maksas pakalpojuma veids:</t>
    </r>
    <r>
      <rPr>
        <sz val="12"/>
        <color rgb="FF000000"/>
        <rFont val="Times New Roman"/>
        <family val="1"/>
        <charset val="186"/>
      </rPr>
      <t xml:space="preserve"> 3.1.6.</t>
    </r>
    <r>
      <rPr>
        <b/>
        <sz val="12"/>
        <color rgb="FF000000"/>
        <rFont val="Times New Roman"/>
        <family val="1"/>
        <charset val="186"/>
      </rPr>
      <t xml:space="preserve"> </t>
    </r>
    <r>
      <rPr>
        <sz val="12"/>
        <color rgb="FF000000"/>
        <rFont val="Times New Roman"/>
        <family val="1"/>
        <charset val="186"/>
      </rPr>
      <t>Muzeja pedagoģisko un kultūrizglītojošo programmu vadīšana Paula Stradiņa Medicīnas vēstures muzejā. Kultūrizglītojošā programma pieaugušajiem, sagatavota pēc īpaša pieprasījuma (grupā ne vairāk kā 20 cilvēku), nodarbības ilgums 60-90 min.</t>
    </r>
  </si>
  <si>
    <r>
      <t xml:space="preserve">Maksas pakalpojuma veids: </t>
    </r>
    <r>
      <rPr>
        <sz val="12"/>
        <color indexed="8"/>
        <rFont val="Times New Roman"/>
        <family val="1"/>
        <charset val="186"/>
      </rPr>
      <t>3.1.7.</t>
    </r>
    <r>
      <rPr>
        <b/>
        <sz val="12"/>
        <color indexed="8"/>
        <rFont val="Times New Roman"/>
        <family val="1"/>
        <charset val="186"/>
      </rPr>
      <t xml:space="preserve"> </t>
    </r>
    <r>
      <rPr>
        <sz val="12"/>
        <color indexed="8"/>
        <rFont val="Times New Roman"/>
        <family val="1"/>
        <charset val="186"/>
      </rPr>
      <t xml:space="preserve">Muzeja pedagoģisko un kultūrizglītojošo programmu vadīšana Paula Stradiņa Medicīnas vēstures muzejā. Kultūrizglītojošā programma pieaugušajiem, sagatavota pēc īpaša pieprasījuma (grupā ne vairāk kā 20 cilvēku), ārpus muzeja darba laika, nodarbības ilgums 60-90 min. </t>
    </r>
  </si>
  <si>
    <r>
      <t xml:space="preserve">Maksas pakalpojuma veids: </t>
    </r>
    <r>
      <rPr>
        <sz val="12"/>
        <color indexed="8"/>
        <rFont val="Times New Roman"/>
        <family val="1"/>
        <charset val="186"/>
      </rPr>
      <t>3.2.1.</t>
    </r>
    <r>
      <rPr>
        <b/>
        <sz val="12"/>
        <color indexed="8"/>
        <rFont val="Times New Roman"/>
        <family val="1"/>
        <charset val="186"/>
      </rPr>
      <t xml:space="preserve"> </t>
    </r>
    <r>
      <rPr>
        <sz val="12"/>
        <color indexed="8"/>
        <rFont val="Times New Roman"/>
        <family val="1"/>
        <charset val="186"/>
      </rPr>
      <t>Muzeja pedagoģisko un kultūrizglītojošo programmu vadīšana Paula Stradiņa Medicīnas vēstures muzeja filiālē Farmācijas muzejs. Muzeja pedagoģiskā programma izglītojamiem (ne vairāk kā 20 skolēnu grupā) nodarbības ilgums 45-60 min.</t>
    </r>
  </si>
  <si>
    <r>
      <t xml:space="preserve">Maksas pakalpojuma veids: </t>
    </r>
    <r>
      <rPr>
        <sz val="12"/>
        <color rgb="FF000000"/>
        <rFont val="Times New Roman"/>
        <family val="1"/>
        <charset val="186"/>
      </rPr>
      <t>3.2.2. Muzeja pedagoģisko un kultūrizglītojošo programmu vadīšana Paula Stradiņa Medicīnas vēstures muzeja filiālē Farmācijas muzejs. Muzeja pedagoģiskā programma izglītojamiem (ne vairāk kā 20 skolēnu grupā) nodarbības ilgums 45-60 min., izmantojot īpaši sagatavotus izdales materiālus.</t>
    </r>
  </si>
  <si>
    <r>
      <t xml:space="preserve">Maksas pakalpojuma veids: </t>
    </r>
    <r>
      <rPr>
        <sz val="12"/>
        <color rgb="FF000000"/>
        <rFont val="Times New Roman"/>
        <family val="1"/>
        <charset val="186"/>
      </rPr>
      <t>3.2.3.</t>
    </r>
    <r>
      <rPr>
        <b/>
        <sz val="12"/>
        <color rgb="FF000000"/>
        <rFont val="Times New Roman"/>
        <family val="1"/>
        <charset val="186"/>
      </rPr>
      <t xml:space="preserve"> </t>
    </r>
    <r>
      <rPr>
        <sz val="12"/>
        <color rgb="FF000000"/>
        <rFont val="Times New Roman"/>
        <family val="1"/>
        <charset val="186"/>
      </rPr>
      <t>Muzeja pedagoģisko un kultūrizglītojošo programmu vadīšana Paula Stradiņa Medicīnas vēstures muzeja filiālē Farmācijas muzejs. Kultūrizglītojošā programma “dzimšanas diena muzejā” (grupā ne vairāk kā 20 bērnu) 3h.</t>
    </r>
  </si>
  <si>
    <r>
      <t xml:space="preserve">Maksas pakalpojuma veids: </t>
    </r>
    <r>
      <rPr>
        <sz val="12"/>
        <color rgb="FF000000"/>
        <rFont val="Times New Roman"/>
        <family val="1"/>
        <charset val="186"/>
      </rPr>
      <t>3.2.4. Muzeja pedagoģisko un kultūrizglītojošo programmu vadīšana Paula Stradiņa Medicīnas vēstures muzeja filiālē Farmācijas muzejs. Kultūrizglītojošā programma pieaugušajiem (grupā ne vairāk kā 20 cilvēku), nodarbības ilgums 60 min.</t>
    </r>
  </si>
  <si>
    <r>
      <t>Maksas pakalpojuma veids:</t>
    </r>
    <r>
      <rPr>
        <sz val="12"/>
        <color rgb="FF000000"/>
        <rFont val="Times New Roman"/>
        <family val="1"/>
        <charset val="186"/>
      </rPr>
      <t xml:space="preserve"> 3.2.5. Muzeja pedagoģisko un kultūrizglītojošo programmu vadīšana Paula Stradiņa Medicīnas vēstures muzeja filiālē Farmācijas muzejs. Kultūrizglītojošā programma pieaugušajiem (grupā ne vairāk kā 20 cilvēku), ārpus muzeja darba laika, nodarbības ilgums 60 min.</t>
    </r>
  </si>
  <si>
    <r>
      <t xml:space="preserve">Maksas pakalpojuma veids: </t>
    </r>
    <r>
      <rPr>
        <sz val="12"/>
        <color rgb="FF000000"/>
        <rFont val="Times New Roman"/>
        <family val="1"/>
        <charset val="186"/>
      </rPr>
      <t>3.2.6.</t>
    </r>
    <r>
      <rPr>
        <b/>
        <sz val="12"/>
        <color rgb="FF000000"/>
        <rFont val="Times New Roman"/>
        <family val="1"/>
        <charset val="186"/>
      </rPr>
      <t xml:space="preserve"> </t>
    </r>
    <r>
      <rPr>
        <sz val="12"/>
        <color rgb="FF000000"/>
        <rFont val="Times New Roman"/>
        <family val="1"/>
        <charset val="186"/>
      </rPr>
      <t xml:space="preserve">Muzeja pedagoģisko un kultūrizglītojošo programmu vadīšana Paula Stradiņa Medicīnas vēstures muzeja filiālē Farmācijas muzejs. Kultūrizglītojošā programma pieaugušajiem, sagatavota pēc īpaša pieprasījuma (grupā ne vairāk kā 20 cilvēku), nodarbības ilgums 60 -90 min. </t>
    </r>
  </si>
  <si>
    <r>
      <t xml:space="preserve">Maksas pakalpojuma veids: </t>
    </r>
    <r>
      <rPr>
        <sz val="12"/>
        <color rgb="FF000000"/>
        <rFont val="Times New Roman"/>
        <family val="1"/>
        <charset val="186"/>
      </rPr>
      <t>3.2.7.</t>
    </r>
    <r>
      <rPr>
        <b/>
        <sz val="12"/>
        <color rgb="FF000000"/>
        <rFont val="Times New Roman"/>
        <family val="1"/>
        <charset val="186"/>
      </rPr>
      <t xml:space="preserve"> </t>
    </r>
    <r>
      <rPr>
        <sz val="12"/>
        <color rgb="FF000000"/>
        <rFont val="Times New Roman"/>
        <family val="1"/>
        <charset val="186"/>
      </rPr>
      <t>Muzeja pedagoģisko un kultūrizglītojošo programmu vadīšana Paula Stradiņa Medicīnas vēstures muzeja filiālē Farmācijas muzejs. Kultūrizglītojošā programma pieaugušajiem, sagatavota pēc īpaša pieprasījuma (grupā ne vairāk kā 20 cilvēku), ārpus muzeja darba laika, nodarbības ilgums 60 -90 min.</t>
    </r>
  </si>
  <si>
    <r>
      <t>Maksas pakalpojuma veids:</t>
    </r>
    <r>
      <rPr>
        <sz val="12"/>
        <color rgb="FF000000"/>
        <rFont val="Times New Roman"/>
        <family val="1"/>
        <charset val="186"/>
      </rPr>
      <t xml:space="preserve"> 3.3.1.</t>
    </r>
    <r>
      <rPr>
        <b/>
        <sz val="12"/>
        <color rgb="FF000000"/>
        <rFont val="Times New Roman"/>
        <family val="1"/>
        <charset val="186"/>
      </rPr>
      <t xml:space="preserve"> </t>
    </r>
    <r>
      <rPr>
        <sz val="12"/>
        <color rgb="FF000000"/>
        <rFont val="Times New Roman"/>
        <family val="1"/>
        <charset val="186"/>
      </rPr>
      <t xml:space="preserve">Muzeja pedagoģisko un kultūrizglītojošo programmu vadīšana Paula Stradiņa Medicīnas vēstures muzeja filiālē profesora Aleksandra Bieziņa muzejs. Muzeja pedagoģiskā programma izglītojamiem (ne vairāk kā 20 skolēnu grupā) nodarbības ilgums 45-60 min. </t>
    </r>
  </si>
  <si>
    <r>
      <t xml:space="preserve">Maksas pakalpojuma veids: </t>
    </r>
    <r>
      <rPr>
        <sz val="12"/>
        <color rgb="FF000000"/>
        <rFont val="Times New Roman"/>
        <family val="1"/>
        <charset val="186"/>
      </rPr>
      <t>3.3.2.</t>
    </r>
    <r>
      <rPr>
        <b/>
        <sz val="12"/>
        <color rgb="FF000000"/>
        <rFont val="Times New Roman"/>
        <family val="1"/>
        <charset val="186"/>
      </rPr>
      <t xml:space="preserve"> </t>
    </r>
    <r>
      <rPr>
        <sz val="12"/>
        <color rgb="FF000000"/>
        <rFont val="Times New Roman"/>
        <family val="1"/>
        <charset val="186"/>
      </rPr>
      <t>Muzeja pedagoģisko un kultūrizglītojošo programmu vadīšana Paula Stradiņa Medicīnas vēstures muzeja filiālē profesora Aleksandra Bieziņa muzejs. Kultūrizglītojošā programma pieaugušajiem (grupā ne vairāk kā 20 cilvēku), nodarbības ilgums 60 min.</t>
    </r>
  </si>
  <si>
    <r>
      <t xml:space="preserve">Maksas pakalpojuma veids: </t>
    </r>
    <r>
      <rPr>
        <sz val="12"/>
        <color rgb="FF000000"/>
        <rFont val="Times New Roman"/>
        <family val="1"/>
        <charset val="186"/>
      </rPr>
      <t>4.1.2. Muzeja krājuma izmantošana. Priekšmetu fotografēšana, filmēšana un skenēšana. Krājuma priekšmetu fotografēšana un filmēšana pastāvīgajās ekspozīcijās un izstādēs komerciālos nolūkos.</t>
    </r>
  </si>
  <si>
    <r>
      <t>Maksas pakalpojuma veids:</t>
    </r>
    <r>
      <rPr>
        <sz val="12"/>
        <color rgb="FF000000"/>
        <rFont val="Times New Roman"/>
        <family val="1"/>
        <charset val="186"/>
      </rPr>
      <t xml:space="preserve"> 4.1.3.</t>
    </r>
    <r>
      <rPr>
        <b/>
        <sz val="12"/>
        <color rgb="FF000000"/>
        <rFont val="Times New Roman"/>
        <family val="1"/>
        <charset val="186"/>
      </rPr>
      <t xml:space="preserve"> </t>
    </r>
    <r>
      <rPr>
        <sz val="12"/>
        <color rgb="FF000000"/>
        <rFont val="Times New Roman"/>
        <family val="1"/>
        <charset val="186"/>
      </rPr>
      <t>Muzeja krājuma izmantošana. Priekšmetu fotografēšana, filmēšana un skenēšana. Krājuma priekšmetu fotografēšana un filmēšana krājuma glabātuvēs komerciālos nolūkos.</t>
    </r>
  </si>
  <si>
    <r>
      <t xml:space="preserve">Maksas pakalpojuma veids: </t>
    </r>
    <r>
      <rPr>
        <sz val="12"/>
        <color rgb="FF000000"/>
        <rFont val="Times New Roman"/>
        <family val="1"/>
        <charset val="186"/>
      </rPr>
      <t>4.1.4.</t>
    </r>
    <r>
      <rPr>
        <b/>
        <sz val="12"/>
        <color rgb="FF000000"/>
        <rFont val="Times New Roman"/>
        <family val="1"/>
        <charset val="186"/>
      </rPr>
      <t xml:space="preserve"> </t>
    </r>
    <r>
      <rPr>
        <sz val="12"/>
        <color rgb="FF000000"/>
        <rFont val="Times New Roman"/>
        <family val="1"/>
        <charset val="186"/>
      </rPr>
      <t>Muzeja krājuma izmantošana. Priekšmetu fotografēšana,filmēšana un skenēšana. Krājuma priekšmeta (izmērs nepārsniedz A3 formātu) skenēšana, ko veic muzeja speciālists.</t>
    </r>
  </si>
  <si>
    <r>
      <t xml:space="preserve">Maksas pakalpojuma veids: </t>
    </r>
    <r>
      <rPr>
        <sz val="12"/>
        <color rgb="FF000000"/>
        <rFont val="Times New Roman"/>
        <family val="1"/>
        <charset val="186"/>
      </rPr>
      <t>4.1.6.</t>
    </r>
    <r>
      <rPr>
        <b/>
        <sz val="12"/>
        <color rgb="FF000000"/>
        <rFont val="Times New Roman"/>
        <family val="1"/>
        <charset val="186"/>
      </rPr>
      <t xml:space="preserve"> </t>
    </r>
    <r>
      <rPr>
        <sz val="12"/>
        <color rgb="FF000000"/>
        <rFont val="Times New Roman"/>
        <family val="1"/>
        <charset val="186"/>
      </rPr>
      <t>Muzeja krājuma izmantošana. Priekšmetu fotografēšana, filmēšana un skenēšana. Ekspozīciju izmantošana profesionālai fotografēšanai un filmēšanai komerciāliem mērķiem.</t>
    </r>
  </si>
  <si>
    <r>
      <t>Maksas pakalpojuma veids:</t>
    </r>
    <r>
      <rPr>
        <sz val="12"/>
        <color rgb="FF000000"/>
        <rFont val="Times New Roman"/>
        <family val="1"/>
        <charset val="186"/>
      </rPr>
      <t xml:space="preserve"> 4.2.2. Muzeja krājuma izmantošana. Krājuma priekšmetu izmantošana publicēšanai. Ar muzeja krājumu izpēti nesaistītos mācību un zinātniskos izdevumos.</t>
    </r>
  </si>
  <si>
    <r>
      <t xml:space="preserve">Maksas pakalpojuma veids: </t>
    </r>
    <r>
      <rPr>
        <sz val="12"/>
        <color rgb="FF000000"/>
        <rFont val="Times New Roman"/>
        <family val="1"/>
        <charset val="186"/>
      </rPr>
      <t>4.2.3.</t>
    </r>
    <r>
      <rPr>
        <b/>
        <sz val="12"/>
        <color rgb="FF000000"/>
        <rFont val="Times New Roman"/>
        <family val="1"/>
        <charset val="186"/>
      </rPr>
      <t xml:space="preserve"> </t>
    </r>
    <r>
      <rPr>
        <sz val="12"/>
        <color rgb="FF000000"/>
        <rFont val="Times New Roman"/>
        <family val="1"/>
        <charset val="186"/>
      </rPr>
      <t>Muzeja krājuma izmantošana.</t>
    </r>
    <r>
      <rPr>
        <b/>
        <sz val="12"/>
        <color rgb="FF000000"/>
        <rFont val="Times New Roman"/>
        <family val="1"/>
        <charset val="186"/>
      </rPr>
      <t xml:space="preserve"> </t>
    </r>
    <r>
      <rPr>
        <sz val="12"/>
        <color rgb="FF000000"/>
        <rFont val="Times New Roman"/>
        <family val="1"/>
        <charset val="186"/>
      </rPr>
      <t>Krājuma priekšmetu izmantošana publicēšanai. Ar muzeja pamatdarbību nesaistītos komerciālos nolūkos.</t>
    </r>
  </si>
  <si>
    <r>
      <t xml:space="preserve">Maksas pakalpojuma veids: </t>
    </r>
    <r>
      <rPr>
        <sz val="12"/>
        <color rgb="FF000000"/>
        <rFont val="Times New Roman"/>
        <family val="1"/>
        <charset val="186"/>
      </rPr>
      <t>4.2.4</t>
    </r>
    <r>
      <rPr>
        <b/>
        <sz val="12"/>
        <color rgb="FF000000"/>
        <rFont val="Times New Roman"/>
        <family val="1"/>
        <charset val="186"/>
      </rPr>
      <t xml:space="preserve">. </t>
    </r>
    <r>
      <rPr>
        <sz val="12"/>
        <color rgb="FF000000"/>
        <rFont val="Times New Roman"/>
        <family val="1"/>
        <charset val="186"/>
      </rPr>
      <t>Muzeja krājuma izmantošana.</t>
    </r>
    <r>
      <rPr>
        <b/>
        <sz val="12"/>
        <color rgb="FF000000"/>
        <rFont val="Times New Roman"/>
        <family val="1"/>
        <charset val="186"/>
      </rPr>
      <t xml:space="preserve"> </t>
    </r>
    <r>
      <rPr>
        <sz val="12"/>
        <color rgb="FF000000"/>
        <rFont val="Times New Roman"/>
        <family val="1"/>
        <charset val="186"/>
      </rPr>
      <t>Krājuma priekšmetu izmantošana publicēšanai. Unikālu un īpaši saudzējamu krājuma priekšmetu publicēšana komerciālos nolūkos.</t>
    </r>
  </si>
  <si>
    <r>
      <t xml:space="preserve">Maksas pakalpojuma veids: </t>
    </r>
    <r>
      <rPr>
        <sz val="12"/>
        <color rgb="FF000000"/>
        <rFont val="Times New Roman"/>
        <family val="1"/>
        <charset val="186"/>
      </rPr>
      <t>4.3.2.</t>
    </r>
    <r>
      <rPr>
        <b/>
        <sz val="12"/>
        <color rgb="FF000000"/>
        <rFont val="Times New Roman"/>
        <family val="1"/>
        <charset val="186"/>
      </rPr>
      <t xml:space="preserve"> </t>
    </r>
    <r>
      <rPr>
        <sz val="12"/>
        <color rgb="FF000000"/>
        <rFont val="Times New Roman"/>
        <family val="1"/>
        <charset val="186"/>
      </rPr>
      <t xml:space="preserve">Muzeja krājuma izmantošana. Muzeja krājuma priekšmetu izdošana (deponēšana). Krājuma priekšmetu deponēšana neakreditētiem muzejiem un citām institūcijām kultūras un izglītības mērķiem. </t>
    </r>
  </si>
  <si>
    <r>
      <t>Maksas pakalpojuma veids:</t>
    </r>
    <r>
      <rPr>
        <sz val="12"/>
        <color rgb="FF000000"/>
        <rFont val="Times New Roman"/>
        <family val="1"/>
        <charset val="186"/>
      </rPr>
      <t xml:space="preserve"> 4.3.3.</t>
    </r>
    <r>
      <rPr>
        <b/>
        <sz val="12"/>
        <color rgb="FF000000"/>
        <rFont val="Times New Roman"/>
        <family val="1"/>
        <charset val="186"/>
      </rPr>
      <t xml:space="preserve"> </t>
    </r>
    <r>
      <rPr>
        <sz val="12"/>
        <color rgb="FF000000"/>
        <rFont val="Times New Roman"/>
        <family val="1"/>
        <charset val="186"/>
      </rPr>
      <t>Muzeja krājuma izmantošana.  Muzeja krājuma priekšmetu izdošana (deponēšana). Krājuma priekšmetu deponēšana komerciāliem un izklaides mērķiem.</t>
    </r>
  </si>
  <si>
    <r>
      <t>Maksas pakalpojuma veids:</t>
    </r>
    <r>
      <rPr>
        <sz val="12"/>
        <color rgb="FF000000"/>
        <rFont val="Times New Roman"/>
        <family val="1"/>
        <charset val="186"/>
      </rPr>
      <t xml:space="preserve"> 4.3.4.</t>
    </r>
    <r>
      <rPr>
        <b/>
        <sz val="12"/>
        <color rgb="FF000000"/>
        <rFont val="Times New Roman"/>
        <family val="1"/>
        <charset val="186"/>
      </rPr>
      <t xml:space="preserve"> </t>
    </r>
    <r>
      <rPr>
        <sz val="12"/>
        <color rgb="FF000000"/>
        <rFont val="Times New Roman"/>
        <family val="1"/>
        <charset val="186"/>
      </rPr>
      <t>Muzeja krājuma izmantošana.  Muzeja krājuma priekšmetu izdošana (deponēšana). Unikālu un īpaši saudzējamu krājuma priekšmetu komerciāliem un izklaides mērķiem.</t>
    </r>
  </si>
  <si>
    <r>
      <t xml:space="preserve">Maksas pakalpojuma veids: </t>
    </r>
    <r>
      <rPr>
        <sz val="12"/>
        <color rgb="FF000000"/>
        <rFont val="Times New Roman"/>
        <family val="1"/>
        <charset val="186"/>
      </rPr>
      <t>4.4.1.</t>
    </r>
    <r>
      <rPr>
        <b/>
        <sz val="12"/>
        <color rgb="FF000000"/>
        <rFont val="Times New Roman"/>
        <family val="1"/>
        <charset val="186"/>
      </rPr>
      <t xml:space="preserve"> </t>
    </r>
    <r>
      <rPr>
        <sz val="12"/>
        <color rgb="FF000000"/>
        <rFont val="Times New Roman"/>
        <family val="1"/>
        <charset val="186"/>
      </rPr>
      <t>Muzeja zinātniskās bibliotēkas materiālu kopēšana un skenēšana, ko veic muzeja speciālists uz vietas muzejā. Materiālu kserokopēšana.</t>
    </r>
  </si>
  <si>
    <r>
      <t xml:space="preserve">Maksas pakalpojuma veids: </t>
    </r>
    <r>
      <rPr>
        <sz val="12"/>
        <color rgb="FF000000"/>
        <rFont val="Times New Roman"/>
        <family val="1"/>
        <charset val="186"/>
      </rPr>
      <t>4.4.2.</t>
    </r>
    <r>
      <rPr>
        <b/>
        <sz val="12"/>
        <color rgb="FF000000"/>
        <rFont val="Times New Roman"/>
        <family val="1"/>
        <charset val="186"/>
      </rPr>
      <t xml:space="preserve"> </t>
    </r>
    <r>
      <rPr>
        <sz val="12"/>
        <color rgb="FF000000"/>
        <rFont val="Times New Roman"/>
        <family val="1"/>
        <charset val="186"/>
      </rPr>
      <t>Muzeja zinātniskās bibliotēkas materiālu kopēšana un skenēšana, ko veic muzeja speciālists uz vietas muzejā. Materiālu (izmērs nepārsniedz A4 formātu) skenēšana.</t>
    </r>
  </si>
  <si>
    <r>
      <t>Maksas pakalpojuma veids:</t>
    </r>
    <r>
      <rPr>
        <sz val="12"/>
        <color indexed="8"/>
        <rFont val="Times New Roman"/>
        <family val="1"/>
        <charset val="186"/>
      </rPr>
      <t xml:space="preserve"> 5.1.1. Muzeja telpu un teritorijas noma. Konferenču zāle (100 m2) muzeja darba laikā.</t>
    </r>
  </si>
  <si>
    <r>
      <t>Maksas pakalpojuma veids:</t>
    </r>
    <r>
      <rPr>
        <sz val="12"/>
        <color indexed="8"/>
        <rFont val="Times New Roman"/>
        <family val="1"/>
        <charset val="186"/>
      </rPr>
      <t xml:space="preserve"> 5.1.2. Muzeja telpu un teritorijas noma. Konferenču zāle (100 m2) ārpus muzeja darba laika.</t>
    </r>
  </si>
  <si>
    <r>
      <t>Maksas pakalpojuma veids:</t>
    </r>
    <r>
      <rPr>
        <sz val="12"/>
        <color indexed="8"/>
        <rFont val="Times New Roman"/>
        <family val="1"/>
        <charset val="186"/>
      </rPr>
      <t xml:space="preserve"> 5.1.3. Muzeja telpu un teritorijas noma. Konferenču zāle (100 m2)  un izstāžu zāle muzeja darba laikā.</t>
    </r>
  </si>
  <si>
    <r>
      <t>Maksas pakalpojuma veids:</t>
    </r>
    <r>
      <rPr>
        <sz val="12"/>
        <color indexed="8"/>
        <rFont val="Times New Roman"/>
        <family val="1"/>
        <charset val="186"/>
      </rPr>
      <t xml:space="preserve"> 5.1.4. Muzeja telpu un teritorijas noma. Konferenču zāle (100 m2) un izstāžu zāle (67 m2) ārpus muzeja darba laika.</t>
    </r>
  </si>
  <si>
    <r>
      <t>Maksas pakalpojuma veids:</t>
    </r>
    <r>
      <rPr>
        <sz val="12"/>
        <color indexed="8"/>
        <rFont val="Times New Roman"/>
        <family val="1"/>
        <charset val="186"/>
      </rPr>
      <t xml:space="preserve"> 5.1.5. Muzeja telpu un teritorijas noma. Sanāksmju telpa (30 m2).</t>
    </r>
  </si>
  <si>
    <r>
      <t>Maksas pakalpojuma veids:</t>
    </r>
    <r>
      <rPr>
        <sz val="12"/>
        <color indexed="8"/>
        <rFont val="Times New Roman"/>
        <family val="1"/>
        <charset val="186"/>
      </rPr>
      <t xml:space="preserve"> 5.1.6. Muzeja telpu un teritorijas noma. Ekspozīciju zāles (100 m2) noma. </t>
    </r>
  </si>
  <si>
    <r>
      <t>Maksas pakalpojuma veids:</t>
    </r>
    <r>
      <rPr>
        <sz val="12"/>
        <color indexed="8"/>
        <rFont val="Times New Roman"/>
        <family val="1"/>
        <charset val="186"/>
      </rPr>
      <t xml:space="preserve"> 5.1.7. Muzeja telpu un teritorijas noma. Telpu iekārtošana pēc nomnieka pasūtījuma.</t>
    </r>
  </si>
  <si>
    <r>
      <t>Maksas pakalpojuma veids:</t>
    </r>
    <r>
      <rPr>
        <sz val="12"/>
        <color indexed="8"/>
        <rFont val="Times New Roman"/>
        <family val="1"/>
        <charset val="186"/>
      </rPr>
      <t xml:space="preserve"> 5.2. Muzeja telpu un teritorijas noma. Farmācijas muzejā.</t>
    </r>
  </si>
  <si>
    <r>
      <t>Maksas pakalpojuma veids:</t>
    </r>
    <r>
      <rPr>
        <sz val="12"/>
        <color indexed="8"/>
        <rFont val="Times New Roman"/>
        <family val="1"/>
        <charset val="186"/>
      </rPr>
      <t xml:space="preserve"> 5.3. Muzeja telpu un teritorijas noma. Profesora Aleksandra Bieziņa muzejā.</t>
    </r>
  </si>
  <si>
    <r>
      <t>Maksas pakalpojuma veids:</t>
    </r>
    <r>
      <rPr>
        <sz val="12"/>
        <color rgb="FF000000"/>
        <rFont val="Times New Roman"/>
        <family val="1"/>
        <charset val="186"/>
      </rPr>
      <t xml:space="preserve">  1.1.4.2. Muzeja pastāvīgo ekspozīciju un izstāžu apskate. Pastāvīgās ekspozīcijas un izstāžu apskate Paula Stradiņa Medicīnas vēstures muzejā. Speciālās izstādes apskate studentiem, pensionāriem.</t>
    </r>
  </si>
  <si>
    <t xml:space="preserve">Elektroenerģijai 9230 euro gada patēriņš /3221 m2 kopplatība*1299 m2 ekspozīciju platība/25710 apmeklējumi=0.14 euro. 0.14*510 apmeklējumi=71.40 euro, apkurei 17369 euro gada izmaksas/3221 m2 kopplatība*1299 m2 ekspozīcijas/25710 kopējais apmeklētāju skaits=0.27 euro. 0.27*510 vienības=137.70 euro, ūdenim un kanalizācijai gada izmaksas 532/3221*1299/25710=0.01 euro. 0.01*510=5.10 euro. Kopā 71.40+137.70+5.10=214.20 euro. </t>
  </si>
  <si>
    <r>
      <t>Maksas pakalpojuma veids:</t>
    </r>
    <r>
      <rPr>
        <sz val="12"/>
        <color rgb="FF000000"/>
        <rFont val="Times New Roman"/>
        <family val="1"/>
        <charset val="186"/>
      </rPr>
      <t xml:space="preserve"> 1.1.2.2. Muzeja pastāvīgo ekspozīciju un izstāžu apskate. Pastāvīgās ekspozīcijas un izstāžu apskate Paula Stradiņa Medicīnas vēstures muzejā. Izglītojošās izstādes apskate studentiem, pensionāriem.</t>
    </r>
  </si>
  <si>
    <r>
      <t xml:space="preserve">KOPĀ: 122.94+27.32 = 150.26 </t>
    </r>
    <r>
      <rPr>
        <i/>
        <sz val="12"/>
        <color indexed="8"/>
        <rFont val="Times New Roman"/>
        <family val="1"/>
        <charset val="186"/>
      </rPr>
      <t>euro.</t>
    </r>
  </si>
  <si>
    <t>Elektroenerģijai 9230 euro gada patēriņš /3221 m2 kopplatība*1299 m2 ekspozīciju platība/25710 apmeklējumi=0.14 euro. 0.14*683 apmeklējumi=95.62 euro, apkurei 17369 euro gada izmaksas/3221 m2 kopplatība*1299 m2 ekspozīcijas/25710 kopējais apmeklētāju skaits=0.27 euro. 0.27*683 vienības=184.41 euro, ūdenim un kanalizācijai  gada izmaksas 532/3221*1299/25710=0.01 euro. 0.01*683=6.83 euro. Kopā  95.62+184.41+6.83=286.86 euro.</t>
  </si>
  <si>
    <t>Elektroenerģijai 9230 euro gada patēriņš /3221 m2 kopplatība*1299 m2 ekspozīciju platība/25710 apmeklējumi=0.14 euro. 0.14*260 apmeklējumi=36.40 euro, apkurei 17369 euro gada izmaksas/3221 m2 kopplatība*1299 m2 ekspozīcijas/25710 kopējais apmeklētāju skaits=0.27 euro. 0.27*260 vienības=70.20 euro, ūdenim un kanalizācijai gada izmaksas 532/3221*1299/25710=0.01 euro. 0.01*260=2.60 euro. Kopā 36.40+70.20+2.60= 109.20 euro.</t>
  </si>
  <si>
    <t>Kārtējā remonta un iestāžu uzturēšanas materiāli. Vidējās izstādes iekārtošanas materiālu izmaksas ir 100 euro/990*210=21.21 euro.</t>
  </si>
  <si>
    <r>
      <t xml:space="preserve">KOPĀ: 37.80+8.40 = 46.20 </t>
    </r>
    <r>
      <rPr>
        <i/>
        <sz val="12"/>
        <color indexed="8"/>
        <rFont val="Times New Roman"/>
        <family val="1"/>
        <charset val="186"/>
      </rPr>
      <t>euro.</t>
    </r>
  </si>
  <si>
    <t>Elektroenerģijai 9230 euro gada patēriņš /3221 m2 kopplatība*1299 m2 ekspozīciju platība/25710 apmeklējumi=0.14 euro. 0.14*210 apmeklējumi=29.40 euro, apkurei 17369 euro gada izmaksas/3221 m2 kopplatība*1299 m2 ekspozīcijas/25710 kopējais apmeklētāju skaits= 0.27 euro. 0.27*210 vienības=26.70 euro, ūdenim un kanalizācijai  gada izmaksas 532/3221*1299/25710=0.01 euro. 0.01*210=1.75 euro. Kopā 29.40+26.70+1.75=57.85 euro.</t>
  </si>
  <si>
    <t>Administratīvie izdevumi baneru drukas vidējā cena izstādei 74.00 euro.</t>
  </si>
  <si>
    <r>
      <t xml:space="preserve">KOPĀ: 93.60+20.80 = 114.40 </t>
    </r>
    <r>
      <rPr>
        <i/>
        <sz val="12"/>
        <color indexed="8"/>
        <rFont val="Times New Roman"/>
        <family val="1"/>
        <charset val="186"/>
      </rPr>
      <t>euro.</t>
    </r>
  </si>
  <si>
    <t>Elektroenerģijai 9230 euro gada patēriņš /3221 m2 kopplatība*1299 m2 ekspozīciju platība/25710 apmeklējumi=0.14 euro. 0.14*60 apmeklējumi=8.40 euro, apkurei 17369 euro gada izmaksas/3221 m2 kopplatība*1299 m2 ekspozīcijas/25710 kopējais apmeklētāju skaits=0.27 euro. 0.27*60 vienības=16.20 euro, ūdenim un kanalizācijai  gada izmaksas 532/3221*1299/25710=0.01 euro. 0.01*60=0.60 euro. Kopā 8.40+16.20+0.60=25.20 euro.</t>
  </si>
  <si>
    <t>Elektroenerģijai 9230 euro gada patēriņš /3221 m2 kopplatība*1299 m2 ekspozīciju platība/25710 apmeklējumi=0.14 euro. 0.14*60 apmeklējumi=8.40 euro, apkurei 17369 euro gada izmaksas/3221 m2kopplatība*1299 m2 ekspozīcijas/25710 kopējais apmeklētāju skaits=0.27 euro. 0.27*60 vienības=16.20 euro, ūdenim un kanalizācijai  gada izmaksas 532/3221*1299/25710=0.01 euro. 0.01*60=0.60 euro. Kopā 8.40+16.20+0.60= 25.20 euro.</t>
  </si>
  <si>
    <t>Kārtējā remonta un iestāžu uzturēšanas materiāli. Vidējās izstādes iekārtošanas materiālu izmaksas ir 100/330 apm * 100 vienības=30.30 euro.</t>
  </si>
  <si>
    <t>Remontdarbi un iestāžu uzturēšanas pakalpojumi (izņemot kapitālo remontu) attiecināmā kopējā gada summa 20409 euro/24855 apmeklētāji*15 vienības=12.32 euro.</t>
  </si>
  <si>
    <r>
      <t xml:space="preserve">KOPĀ: 21.00+2.00 = 23.00 </t>
    </r>
    <r>
      <rPr>
        <i/>
        <sz val="12"/>
        <color indexed="8"/>
        <rFont val="Times New Roman"/>
        <family val="1"/>
        <charset val="186"/>
      </rPr>
      <t>euro.</t>
    </r>
  </si>
  <si>
    <r>
      <t xml:space="preserve">KOPĀ: 29.40+2.80 = 32.20 </t>
    </r>
    <r>
      <rPr>
        <i/>
        <sz val="12"/>
        <color indexed="8"/>
        <rFont val="Times New Roman"/>
        <family val="1"/>
        <charset val="186"/>
      </rPr>
      <t>euro.</t>
    </r>
  </si>
  <si>
    <t>Elktroenerģijai 9230 euro gada patēriņš /3221 m2 kopplatība*1299 m2 ekspozīciju platība/25710 apmeklējumi=0.14 euro. 0.14*70 apmeklējumi=9.80 euro, apkurei 17369 euro gada izmaksas/3221 m2 kopplatība*1299 m2 ekspozīcijas/25710 kopējais apmeklētāju skaits=0.27 euro. 0.27*70 vienības=18.90 euro, ūdenim un kanalizācijai  gada izmaksas 532/3221*1299/25710=0.01 euro. 0.01*70=0.70 euro. Kopā 9.80+18.90+0.70=29.40 euro.</t>
  </si>
  <si>
    <r>
      <t>Maksas pakalpojuma veids:</t>
    </r>
    <r>
      <rPr>
        <sz val="12"/>
        <color indexed="8"/>
        <rFont val="Times New Roman"/>
        <family val="1"/>
        <charset val="186"/>
      </rPr>
      <t xml:space="preserve"> 1.1.6.3. Muzeja pastāvīgo ekspozīciju un izstāžu apskate. Pastāvīgās ekspozīcijas un izstāžu apskate Paula Stradiņa Medicīnas vēstures muzejā. Apvienotā biļete patstāvīgās ekspozīcijas, izglītojošo un pārējo izstāžu apskatei pieaugušajiem.</t>
    </r>
  </si>
  <si>
    <t>Elktroenerģijai 2850 euro gada patēriņš /652 m2 kopplatība*350 m2 ekspozīciju platība/6600 apmeklējumi=0.14 euro. 0.14*2000 apmeklējumi=280.00 euro, apkurei 5797 euro gada izmaksas/650 m2 kopplatība*350 m2 ekspozīcijas/6600 kopējais apmeklētāju skaits=0.27 euro. 0.27*2000 skolēni=540.00 euro, ūdenim un kanalizācijai gada izmaksas 368/652*350/6600=0.01 euro. 0.01*2000=20.00 euro. Kopā 280.00+540.00+20.00=840.00 euro.</t>
  </si>
  <si>
    <t>Elektroenerģijai 2850 euro gada patēriņš /652 m2 kopplatība*350 m2 ekspozīciju platība/6600 apmeklējumi=0.14 euro. 0.14*1500 apmeklējumi=210.00 euro, apkurei 5797 euro gada izmaksas/650 m2 kopplatība*350 m2 ekspozīcijas/6600 kopējais apmeklētāju skaits=0.27 euro. 0.27*1500 apmeklējumi=405.00 euro, ūdenim un kanalizācijai  gada izmaksas 368/652*350/6600=0.01 euro. 0.01*1500=15.00 euro. Kopā 210.00+405.00+15.00=630.00 euro.</t>
  </si>
  <si>
    <r>
      <t xml:space="preserve">KOPĀ: 60.00+30.00 =90.00 </t>
    </r>
    <r>
      <rPr>
        <i/>
        <sz val="12"/>
        <color theme="1"/>
        <rFont val="Times New Roman"/>
        <family val="1"/>
        <charset val="186"/>
      </rPr>
      <t>euro.</t>
    </r>
  </si>
  <si>
    <t>Elektroenerģijai 9230 euro gada patēriņš /3221 m2 kopplatība*1299 m2 ekspozīciju platība/25710 apmeklējumi=0.14 euro. 0.14*5 apmeklējumi=0.70 euro, apkurei 17369 euro gada izmaksas/3221 m2 kopplatība*1299 m2 ekspozīcijas/25710 kopējais apmeklētāju skaits=0.27 euro. 0.27*5 vienības=1.35 euro, ūdenim un kanalizācijai gada izmaksas 532/3221*1299/25710=0.01 euro. 0.01*5=0.05 euro. Kopā 0.70+1.35+0.05=2.10 euro.</t>
  </si>
  <si>
    <t>Elektroenerģijai 9230 euro gada patēriņš /3221 m2 kopplatība*1299 m2 ekspozīciju platība/25710 apmeklējumi=0.14 euro. 0.14*1 apmeklējumi=0.14 euro, apkurei 17369 euro gada izmaksas/3221 m2 kopplatība*1299 m2 ekspozīcijas/25710 kopējais apmeklētāju skaits=0.27 euro. 0.27*1 vienības=0.27 euro, ūdenim un kanalizācijai  gada izmaksas 532/3221*1299/25710=0.01 euro. 0.01*1=0.01 euro. Kopā 0.14+0.27+0.01=0.42 euro.</t>
  </si>
  <si>
    <t>Elktroenerģijai 9230 euro gada patēriņš /3221 m2 kopplatība*1299 m2 ekspozīciju platība/25710 apmeklējumi=0.14 euro. 0.14*50  apmeklējumi=7.00 euro, apkurei 17369 euro gada izmaksas/3221 m2 kopplatība*1299 m2 ekspozīcijas/25710 kopējais apmeklētāju skaits=0.27 euro. 0.27*50 vienības=13.50 euro. Ūdenim un kanalizācijai  gada izmaksas 532/3221*1299/25710=0.01 euro. 0.01*50=0.50 euro. Kopā 7.00+13.50+0.50=21.00 euro.</t>
  </si>
  <si>
    <t>Biroja preces, izmaksas izdales materiāļu komplektam vienam skolēnam ir 0.33 euro*20 skolēni=6.60 euro. 6.60*50=330.00 euro.</t>
  </si>
  <si>
    <t>Elktroenerģijai 9230 euro gada patēriņš /3221 m2 kopplatība*1299 m2 ekspozīciju platība/25710 apmeklējumi=0.14 euro. 0.14*1 apmeklējumi=0.14 euro, apkurei 17369 euro gada izmaksas/3221 m2 kopplatība*1299 m2 ekspozīcijas/25710 kopējais apmeklētāju skaits=0.27 euro. 0.27*1 vienības=0.27 euro. Ūdenim un kanalizācijai  gada izmaksas 532/3221*1299/25710=0.01 euro. 0.01*1=0.01 euro. Kopā 0.14+0.27+0.01=0.42 euro.</t>
  </si>
  <si>
    <r>
      <t xml:space="preserve">KOPĀ: 13.30+0.80+1.60=15.70 </t>
    </r>
    <r>
      <rPr>
        <i/>
        <sz val="12"/>
        <color theme="1"/>
        <rFont val="Times New Roman"/>
        <family val="1"/>
        <charset val="186"/>
      </rPr>
      <t>euro.</t>
    </r>
  </si>
  <si>
    <t>Biroja preces, izmaksas izdales materiāļu komplektam vienam skolēnam ir 0.33 euro* 20 skolēni  vidēji grupā * 50 vienības=330.00 euro.</t>
  </si>
  <si>
    <r>
      <t xml:space="preserve">Kopā 797.50+2.00+40.00=839.50 </t>
    </r>
    <r>
      <rPr>
        <i/>
        <sz val="12"/>
        <color theme="1"/>
        <rFont val="Times New Roman"/>
        <family val="1"/>
        <charset val="186"/>
      </rPr>
      <t>euro.</t>
    </r>
  </si>
  <si>
    <t>Elektroenerģijai 2850 euro gada patēriņš /652 m2 kopplatība*350 m2 ekspozīciju platība/6600 apmeklējumi=0.23 euro. 0.23*50 apmeklējumi=11.50 euro, apkurei 5797 euro gada izmaksas/650 m2 kopplatība*350 m2 ekspozīcijas/6600 kopējais apmeklētāju skaits=0.47*50 apmeklējumi=23.50 euro. Ūdenim un kanalizācijai  gada izmaksas 368/652*350/6600=0.03 euro. 0.03*50=1.50 euro. Kopā 11.50+23.50+1.50=36.50 euro.</t>
  </si>
  <si>
    <t>Remontdarbi un iestāžu uzturēšanas pakalpojumi (izņemot kapitālo remontu) gada summa 7620 euro/ 6896 apmeklējumi*3 vien=3.31 euro.</t>
  </si>
  <si>
    <t>Elektroenerģijai 2850 euro gada patēriņš /652 m2 kopplatība*350 m2 ekspozīciju platība/6600 apmeklējumi=0.23 euro. 0.23*1 apmeklējumi=0.23 euro, apkurei 5797 euro gada izmaksas/650 m2 kopplatība*350 m2 ekspozīcijas/6600 kopējais apmeklētāju skaits*1 apmeklējumi=0.47 euro. Ūdenim un kanalizācijai  gada izmaksas 368/652*350/6600*1=0.03 euro. Kopā 0.23+0.47+0.03=0.73 euro.</t>
  </si>
  <si>
    <t>Biroja preces, izmaksas izdales materiāļu komplektam vienam apmeklētājam ir 0.33 euro* 20 cilvēki  vidēji grupā 1 vienības=6.60 euro.</t>
  </si>
  <si>
    <t>Remontdarbi un iestāžu uzturēšanas pakalpojumi (izņemot kapitālo remontu) gada summa 7620 euro/ 6896 apmeklējumi*1 vien=1.10 euro.</t>
  </si>
  <si>
    <t>Elektroenerģijai 2850 euro gada patēriņš /652 m2 kopplatība*350 m2 ekspozīciju platība/6600 apmeklējumi*1 apmeklējumi=0.23 euro, apkurei 5797 euro gada izmaksas/650 m2 kopplatība*350 m2 ekspozīcijas/6600 kopējais apmeklētāju skaits*1 apmeklējumi=0.47 euro. Ūdenim un kanalizācijai  gada izmaksas 368/652*350/6600*1=0.03 euro. Kopā 0.23+0.47+0.03=0.73 euro.</t>
  </si>
  <si>
    <t>Elektroenerģijai 9230 euro gada patēriņš /3221 m2 kopplatība*1299 m2 ekspozīciju platība/25710 apmeklējumi=0.14 euro. 0.04*15 apmeklējumi=0.60 euro, apkurei 17369 euro gada izmaksas/3221 m2 kopplatība*1299 m2 ekspozīcijas/25710 kopējais apmeklētāju skaits=0.27 euro. 0.27*15 vienības=4.05 euro, ūdenim un kanalizācijai gada izmaksas 532/3221*1299/25710=0.01 euro. 0.01*15=0.15 euro. Kopā 0.60+4.05+0.15=4.80 euro.</t>
  </si>
  <si>
    <t>Elektroenerģijai 9230 euro gada patēriņš /3221 m2 kopplatība*1299 m2 ekspozīciju platība/25710 apmeklējumi=0.14 euro. 0.14*14 apmeklējumi=1.96 euro, apkurei 17369 euro gada izmaksas/3221 m2kopplatība*1299 m2 ekspozīcijas/25710 kopējais apmeklētāju skaits=0.27*14 vienības=3.78 euro, ūdenim un kanalizācijai  gada izmaksas 532/3221*1299/25710=0.01 euro. 0.01*14=0.14 euro. Kopā 1.96+3.78+0.14=5.88 euro.</t>
  </si>
  <si>
    <t>Kopā: 67.20+33.60=100.80 euro.</t>
  </si>
  <si>
    <t>Kopā: 2.40+1.20+2.40=6.00 euro.</t>
  </si>
  <si>
    <t>Kopā: 12.00+6.00=18.00 euro.</t>
  </si>
  <si>
    <t>Elektroenerģijai 9230 euro gada patēriņš /3221 m2 kopplatība*1299 m2 ekspozīciju platība/25710 apmeklējumi=0.14 euro.0.14*5 apmeklējumi=0.70 euro, apkurei 17369 euro gada izmaksas/3221 m2 kopplatība*1299 m2 ekspozīcijas/25710 kopējais apmeklētāju skaits=0.27 euro. 0.27*5 vienības=1.35 euro, ūdenim un kanalizācijai  gada izmaksas 532/3221*1299/25710=0.01 euro. 0.01*5=0.05 euro. Kopā 0.70+1.35+0.05=2.10 euro.</t>
  </si>
  <si>
    <t>Kopā: 2.40+2.40=4.80 euro.</t>
  </si>
  <si>
    <t>Elektroenerģijai 9230 euro gada patēriņš /3221 m2 kopplatība*1299 m2 ekspozīciju platība/25710 apmeklējumi=0.14 euro. 0.14*1 apmeklējumi=0.14 euro, apkurei 17369 euro gada izmaksas/3221 m2 kopplatība*1299 m2 ekspozīcijas/25710 kopējais apmeklētāju skaits=0.27 euro. 0.27*1 vienības=0.27 euro, ūdenim un kanalizācijai  gada izmaksas 532/3221*1299/ 25710=0.01 euro. 0.01*1=0.01 euro. Kopā 0.14+0.27+0.01=0.42 euro.</t>
  </si>
  <si>
    <t>Kopā: 2.40+4.80=7.20 euro.</t>
  </si>
  <si>
    <t>Biroja preces. Bezskābes kastu iegāde krājuma priekšmetu glabāšanai 140.68 euro.</t>
  </si>
  <si>
    <t>Biroja preces,  vienas A4 lapas cena 5 euro/500*15=0.15, kārtridža izmaksas 35 euro/2000 lpp*15=0.26 euro. Kopā 0.26+0.15=0.41 euro.</t>
  </si>
  <si>
    <t>Remontdarbi un iestāžu uzturēšanas pakalpojumi (izņemot kapitālo remontu) kopsumma 39644/1299 m2*100 m2/85*50=1795.23 euro.</t>
  </si>
  <si>
    <r>
      <t xml:space="preserve">KOPĀ: 135.00+5.00=140.00 </t>
    </r>
    <r>
      <rPr>
        <i/>
        <sz val="12"/>
        <color indexed="8"/>
        <rFont val="Times New Roman"/>
        <family val="1"/>
        <charset val="186"/>
      </rPr>
      <t>euro.</t>
    </r>
  </si>
  <si>
    <t>Elektroenerģijai 9230 euro gada patēriņš /3221 m2 kopplatība*100 m2 zāles platība/252 darba dienas/8 stundas*20 pakalpojumi=1.84 euro, apkurei 17369 euro gada izmaksas/3221 m2 kopplatība*100 m2 zāles platība/252 darba dienas/8 stundas*20 pakalpojumi=5.35 euro. Ūdenim un kanalizācijai  gada izmaksas 532/3221 m2 kopplatība*100 m2 zāles platība/252 darba dienas/8 stundas*20 pakalpojumi=0.16 euro. Kopā 1.84+5.35+0.16=7.35 euro.</t>
  </si>
  <si>
    <t>Kārtējā remonta un iestāžu uzturēšanas materiāli. 4228 euro gada summa/3221 m2 kopplatība*100/85*20 vienības=30.89 euro.</t>
  </si>
  <si>
    <t>Nolietojums. Gada nolietojums zālē esošajiem pamatlīdzekļiem euro 421/85*10=49.53 euro + nolietojums izstāžu zālē esošiem pamatlīdzekļiem 230/15*10=153.33  euro.</t>
  </si>
  <si>
    <t>Kārtējā remonta un iestāžu uzturēšanas materiāli. 4228 euro gada summa/3221 m2 kopplatība*100/85*5 vienības=7.72 euro.</t>
  </si>
  <si>
    <t>Remontdarbi un iestāžu uzturēšanas pakalpojumi (izņemot kapitālo remontu) kopsumma 39644/1299 m2*167 m2/85*5=299.80 euro.</t>
  </si>
  <si>
    <t>Kārtējā remonta un iestāžu uzturēšanas materiāli. Vidējās izstādes iekārtošanas materiālu izmaksas ir 50 eur/1773*510=14.38 euro.</t>
  </si>
  <si>
    <t>Nolietojums. Vidējais izstāde izmantojamo pamatlīdzekļu nolietojums 420 euro/12 mēn* 6 mēn vidējais izstādes ilgums=210 euro.</t>
  </si>
  <si>
    <r>
      <t xml:space="preserve">KOPĀ: 72+4.80 = 76.80 </t>
    </r>
    <r>
      <rPr>
        <i/>
        <sz val="12"/>
        <color indexed="8"/>
        <rFont val="Times New Roman"/>
        <family val="1"/>
        <charset val="186"/>
      </rPr>
      <t>euro.</t>
    </r>
  </si>
  <si>
    <r>
      <t xml:space="preserve">KOPĀ: 72.00+4.80= 76.80 </t>
    </r>
    <r>
      <rPr>
        <i/>
        <sz val="12"/>
        <color theme="1"/>
        <rFont val="Times New Roman"/>
        <family val="1"/>
        <charset val="186"/>
      </rPr>
      <t>euro.</t>
    </r>
  </si>
  <si>
    <t>Administratīvie izdevumi baneru drukas vidējā cena izstādei euro 160/ 160 apm*100 vienības + izstādei nepieciešamie transporta pakalpojumi vidēji 219 euro.</t>
  </si>
  <si>
    <r>
      <t xml:space="preserve">KOPĀ: 72.00+16.00 = 88.00 </t>
    </r>
    <r>
      <rPr>
        <i/>
        <sz val="12"/>
        <color indexed="8"/>
        <rFont val="Times New Roman"/>
        <family val="1"/>
        <charset val="186"/>
      </rPr>
      <t>euro.</t>
    </r>
  </si>
  <si>
    <t>Pasta, telefona un citu sakaru pakalpojumi: Vidējais iestādes veidošanā iesaistīto personu skaits neieskaitot muzeja darbiniekus (informācijas un eksponātu dāvināšana utml.) 42 personas*0.50 euro pastmarkas cena= 21.00 euro ielūgumu izstādes atklāšanai izsūtīšana.</t>
  </si>
  <si>
    <r>
      <t xml:space="preserve">KOPĀ: 26.10+2.40 = 28.50 </t>
    </r>
    <r>
      <rPr>
        <i/>
        <sz val="12"/>
        <color indexed="8"/>
        <rFont val="Times New Roman"/>
        <family val="1"/>
        <charset val="186"/>
      </rPr>
      <t>euro.</t>
    </r>
  </si>
  <si>
    <t>Elektroenerģijai 9230 euro gada patēriņš /3221 m2 kopplatība*1299 m2 ekspozīciju platība/25710 apmeklējumi=0.15 euro. 0.15*15 vienības=2.25 euro, apkurei 17369 euro gada izmaksas/3221 m2 kopplatība*1299 m2 ekspozīcijas/25710 kopējais apmeklētāju skaits=0.27 euro. 0.27*15 vienības=4.05 euro, ūdenim un kanalizācijai  gada izmaksas 532/3221*1299/25710=0.01 euro. 0.01*15=0.15 euro. Kopā 2.25+4.05+0.15=6.45 euro.</t>
  </si>
  <si>
    <t>Elektroenerģijai 9230 euro gada patēriņš /3221 m2 kopplatība*1299 m2 ekspozīciju platība/25710 apmeklējumi=0.15 euro. 0.15*50 apmeklējumi=7.50 euro, apkurei 17369 euro gada izmaksas/3221 m2 kopplatība*1299 m2 ekspozīcijas/25710 kopējais apmeklētāju skaits=0.27 euro. 0.27*50 skolēni=13.50 euro, ūdenim un kanalizācijai  gada izmaksas 532/3221*1299/25710=0.01 euro. 0.01*50=0.50 euro. Kopā 7.50+13.50+0.50=21.50 euro.</t>
  </si>
  <si>
    <t>Nekustamā īpašuma nodoklis: 10204 euro gadā/3221 m2*100 m2 pārējām izstādēm=316.80/2 izstādes gadā vienības=158.40 euro.</t>
  </si>
  <si>
    <t>Elktroenerģijai 9230 euro gada patēriņš /3221 m2 kopplatība*1299 m2 ekspozīciju platība/25710 apmeklējumi=0.15 euro. 0.15*100 apmeklējumi=15.00 euro, apkurei 17369 euro gada izmaksas/3221 m2 kopplatība*1299 m2 ekspozīcijas/25710 kopējais apmeklētāju skaits=0.27 euro. 0.27*100 vienības=27.00 euro, ūdenim un kanalizācijai  gada izmaksas 532/3221*1299/25710=0.01 euro. 0.01*100=1.00 euro. Kopā 15.00+27.00+1.00=43.00 euro.</t>
  </si>
  <si>
    <r>
      <t xml:space="preserve">KOPĀ:50.00+80.00 = 130.00 </t>
    </r>
    <r>
      <rPr>
        <i/>
        <sz val="12"/>
        <color indexed="8"/>
        <rFont val="Times New Roman"/>
        <family val="1"/>
        <charset val="186"/>
      </rPr>
      <t>euro.</t>
    </r>
  </si>
  <si>
    <r>
      <t xml:space="preserve">KOPĀ: 75.00+20.00=95.00 </t>
    </r>
    <r>
      <rPr>
        <i/>
        <sz val="12"/>
        <color theme="1"/>
        <rFont val="Times New Roman"/>
        <family val="1"/>
        <charset val="186"/>
      </rPr>
      <t>euro.</t>
    </r>
  </si>
  <si>
    <r>
      <t xml:space="preserve">KOPĀ: 48.00+20.00 =68.00 </t>
    </r>
    <r>
      <rPr>
        <i/>
        <sz val="12"/>
        <color theme="1"/>
        <rFont val="Times New Roman"/>
        <family val="1"/>
        <charset val="186"/>
      </rPr>
      <t>euro.</t>
    </r>
  </si>
  <si>
    <t xml:space="preserve">Elektroenerģijai gada vidējais izlietojums euro 155/1900*300 vienības=24.47 euro. </t>
  </si>
  <si>
    <t>EKK 2320</t>
  </si>
  <si>
    <t>EKK 2240</t>
  </si>
  <si>
    <r>
      <t xml:space="preserve">KOPĀ: 346.50+4.80+2.40=353.70 </t>
    </r>
    <r>
      <rPr>
        <i/>
        <sz val="12"/>
        <color theme="1"/>
        <rFont val="Times New Roman"/>
        <family val="1"/>
        <charset val="186"/>
      </rPr>
      <t>euro.</t>
    </r>
  </si>
  <si>
    <t>Elektroenerģijai 9230 euro gada patēriņš /3221 m2 kopplatība*1299 m2 ekspozīciju platība/25710 apmeklējumi=0.145 euro. 0.145*30 apmeklējumi=4.35 euro, apkurei 17369 euro gada izmaksas/3221 m2 kopplatība*1299 m2 ekspozīcijas/25710 kopējais apmeklētāju skaits=0.27 euro. 0.27*30 vienības=8.10 euro, ūdenim un kanalizācijai gada izmaksas 532/3221*1299/25710=0.01 euro. 0.01*30=0.30 euro. Kopā 4.35+8.10+0.30=12.75 euro.</t>
  </si>
  <si>
    <t xml:space="preserve">Elektroenerģijai gada vidējais izlietojums euro 155/1900*1 vienības=0.08 euro. </t>
  </si>
  <si>
    <r>
      <t xml:space="preserve">KOPĀ: 3.90+0.08=3.98 </t>
    </r>
    <r>
      <rPr>
        <i/>
        <sz val="12"/>
        <color theme="1"/>
        <rFont val="Times New Roman"/>
        <family val="1"/>
        <charset val="186"/>
      </rPr>
      <t>euro.</t>
    </r>
  </si>
  <si>
    <r>
      <t xml:space="preserve">KOPĀ: 7.20+0.20+0.20=7.60 </t>
    </r>
    <r>
      <rPr>
        <i/>
        <sz val="12"/>
        <color theme="1"/>
        <rFont val="Times New Roman"/>
        <family val="1"/>
        <charset val="186"/>
      </rPr>
      <t>euro.</t>
    </r>
  </si>
  <si>
    <t>EKK2510</t>
  </si>
  <si>
    <t>EKK2240</t>
  </si>
  <si>
    <t>Elektroenerģijai 9230 euro gada patēriņš /3221 m2 kopplatība*1299 m2 ekspozīciju platība/25710 apmeklējumi=0.14 euro. 0.14*3  apmeklējumi=0.42 euro, apkurei 17369 euro gada izmaksas / 3221 m2 kopplatība*1299 m2 ekspozīcijas/25710 kopējais apmeklētāju skaits=0.27 euro. 0.27*3 vienības=0.81 euro. Ūdenim un kanalizācijai  gada izmaksas 532/3221*1299/ 25710=0.01 euro. 0.01*3=0.03 euro. Kopā 0.42+0.27+0.03=0.72 euro.</t>
  </si>
  <si>
    <t>Elektroenerģijai 9230 euro gada patēriņš /3221 m2 kopplatība*1299 m2 ekspozīciju platība/25710 apmeklējumi=0.14 euro. 0.14*1  apmeklējumi=0.14 euro, apkurei 17369 euro gada izmaksas/3221 m2 kopplatība*1299 m2 ekspozīcijas/25710 kopējais apmeklētāju skaits=0.27 euro. 0.27*1 vienības=0.27 euro, ūdenim un kanalizācijai gada izmaksas 532/3221*1299/25710=0.01 euro. 0.01*1=0.01 euro. Kopā 0.14+0.27+0.01=10.70 euro.</t>
  </si>
  <si>
    <t>Elektroenerģijai 9230 euro gada patēriņš /3221 m2 kopplatība*1299 m2 ekspozīciju platība/25710 apmeklējumi=0.14 euro. 0.14*1 apmeklējumi=0.14 euro, apkurei 17369 euro gada izmaksas/3221 m2 kopplatība*1299 m2 ekspozīcijas/25710 kopējais apmeklētāju skaits=0.27 euro. 0.07*1 vienības=0.27 euro. Ūdenim un kanalizācijai  gada izmaksas 532/3221*1299/25710=0.01 euro. 0.01*1=0.01 euro. Kopā 0.14+0.27+0.01=0.39 euro.</t>
  </si>
  <si>
    <t>Izmantojamo pamatlīdzekļu nolietojums</t>
  </si>
  <si>
    <t>EEK 5200</t>
  </si>
  <si>
    <r>
      <t xml:space="preserve">KOPĀ: 1190.00+362.00+120.00=1672.00 </t>
    </r>
    <r>
      <rPr>
        <i/>
        <sz val="12"/>
        <color theme="1"/>
        <rFont val="Times New Roman"/>
        <family val="1"/>
        <charset val="186"/>
      </rPr>
      <t>euro.</t>
    </r>
  </si>
  <si>
    <t>EKK5200</t>
  </si>
  <si>
    <r>
      <t xml:space="preserve">KOPĀ: 18.22+0.12=18.34 </t>
    </r>
    <r>
      <rPr>
        <i/>
        <sz val="12"/>
        <color theme="1"/>
        <rFont val="Times New Roman"/>
        <family val="1"/>
        <charset val="186"/>
      </rPr>
      <t>euro.</t>
    </r>
  </si>
  <si>
    <t>Malkas izmaksas gadā 675/1010*1=0.67</t>
  </si>
  <si>
    <t>Apsardzes izmaksas gadā 413/1010*1=0.41</t>
  </si>
  <si>
    <t xml:space="preserve"> Kopā: 36.00+20.10=56.10 euro.</t>
  </si>
  <si>
    <t>Nolietojums. Gada nolietojums zālē esošajiem pamatlīdzekļiem 420/85*50=247.06 euro.</t>
  </si>
  <si>
    <t>.</t>
  </si>
  <si>
    <t>EEK 2260</t>
  </si>
  <si>
    <t>Elektroenerģijai 9230 euro gada patēriņš /3221 m2 kopplatība*1299 m2 ekspozīciju platība/25710 apmeklējumi*5 apmeklējumi=0.72 euro, apkurei 17369 euro gada izmaksas/3221 m2kopplatība*1299 m2 ekspozīcijas/25710 kopējais apmeklētāju skaits*5 vienības=1.36 euro, ūdenim un kanalizācijai  gada izmaksas 532/3221*1299/25710*5=0.04 euro. Kopā 2.12 euro.</t>
  </si>
  <si>
    <t>Zemes nodoklis gadā 10204/25710 apmeklējumi*50=19.84 euro.</t>
  </si>
  <si>
    <t>Nolietojums. Vidējais apmācības pamatlīdzekļu un muzejpedagoģiskajā programmā lietoto pamatlīdzekļu gada nolietojums ir 465.00 euro.  Jaunu pamatlīdzekļu iegādei 582.67 euro. Kopā: 465.00+582.67= 1047.67 euro.</t>
  </si>
  <si>
    <t>Izmantoto pamatlīdzekļu gada nolietojums 370.50 eur/50=7.41 euro.</t>
  </si>
  <si>
    <t>Kultūrizglītojošajās programmās izmantoto pamatlīdzekļu nolietojums 50 eur/5 *3=30 euro.</t>
  </si>
  <si>
    <t>Nolietojums; vidējais izstāde izmantojamo pamatlīdzekļu nolietojums 170 euro/12 mēn* 6 mēn vidējais izstādes ilgums=85.00 euro.</t>
  </si>
  <si>
    <t>Elektroenerģijai 9230 euro gada patēriņš /3221 m2 kopplatība*1299 m2 ekspozīciju platība/25710 apmeklējumi=0.14 euro. 0.14*100 apmeklējumi=14.00 euro, apkurei 17369 euro gada izmaksas/3221 m2 kopplatība*1299 m2 ekspozīcijas/25710 kopējais apmeklētāju skaits=0.27 euro. 0.27*100 vienības= 27.00 euro, ūdenim un kanalizācijai  gada izmaksas 532/3221*1299/25710=0.01 euro. 0.01*100=1.00 euro. Kopā 14.00+27.00+1.00=  42.00 euro.</t>
  </si>
  <si>
    <r>
      <t xml:space="preserve">KOPĀ: 180.00+42.00 =222.00 </t>
    </r>
    <r>
      <rPr>
        <i/>
        <sz val="12"/>
        <color theme="1"/>
        <rFont val="Times New Roman"/>
        <family val="1"/>
        <charset val="186"/>
      </rPr>
      <t>euro.</t>
    </r>
  </si>
  <si>
    <r>
      <t xml:space="preserve">KOPĀ: 7.20+4.00=11.20 </t>
    </r>
    <r>
      <rPr>
        <i/>
        <sz val="12"/>
        <color theme="1"/>
        <rFont val="Times New Roman"/>
        <family val="1"/>
        <charset val="186"/>
      </rPr>
      <t>euro.</t>
    </r>
  </si>
  <si>
    <t>Apsardzes izmaksas gadā 413/1900*10=2.17 euro.</t>
  </si>
  <si>
    <t>Malkas gada vidējais izlietojums 598 eur/1900*10=3.15 euro.</t>
  </si>
  <si>
    <r>
      <t xml:space="preserve">KOPĀ: 37.80+0.80+0.17=38.77 </t>
    </r>
    <r>
      <rPr>
        <i/>
        <sz val="12"/>
        <color theme="1"/>
        <rFont val="Times New Roman"/>
        <family val="1"/>
        <charset val="186"/>
      </rPr>
      <t>euro.</t>
    </r>
  </si>
  <si>
    <t>Apsardzes izmaksas 413/1900*1=0.22 euro.</t>
  </si>
  <si>
    <t>Malkas gada vidējais izlietojums 598 eur/1900*1=0.31 euro.</t>
  </si>
  <si>
    <t>Apsaimniekošana gadā 37645/25710*25=36.61 euro.</t>
  </si>
  <si>
    <t>Apsaimniekošana gadā 37645/25710*3=4.39 euro.</t>
  </si>
  <si>
    <t>Zemes nodoklis gadā 10204/25710 apmeklējumi*3=1.19 euro.</t>
  </si>
  <si>
    <t>Remontdarbi un iestāžu uzturēšanas pakalpojumi (izņemot kapitālo remontu) gada summa 7620 euro/ 6896 apmeklējumi*50 vienības=55.25 euro.</t>
  </si>
  <si>
    <t>Elektroenerģijai 2850 euro gada patēriņš /652 m2 kopplatība*350 m2 ekspozīciju platība/6600 apmeklējumi=0.23 euro. 0.23*3 apmeklējumi=0.69 euro, apkurei 5797 euro gada izmaksas/650 m2 kopplatība*350 m2 ekspozīcijas/6600 kopējais apmeklētāju skaits=0.47 euro. 0.47*3 apmeklējumi=1.41 euro. Ūdenim un kanalizācijai  gada izmaksas 368/652*350/6600=0.03 euro. 0.03*3=0.09 euro. Kopā 0.69+1.41+0.09=2.19 euro.</t>
  </si>
  <si>
    <t>Biroja preces, izmaksas izdales materiāļu komplektam vienam apmeklētājam ir 0.83 euro* 20 cilvēki  vidēji grupā 1 vienības=16.60 euro.</t>
  </si>
  <si>
    <t>Kultūrizglītojošajās programmās izmantoto pamatlīdzekļu nolietojums 50 eur/5 *1=10.00 euro</t>
  </si>
  <si>
    <t>Nolietojums.  Uzglabāšanas skapja gada nolietojums 9.52/14=0.68 euro.</t>
  </si>
  <si>
    <t>Kopā: 1.20+2.40=3.60 euro.</t>
  </si>
  <si>
    <t>Nolietojums. skenera gada nolietojums, skenera pielietojums gadā vidēji 3700 lapas 100/3700*15=0.41 euro.</t>
  </si>
  <si>
    <t>Nolietojums; gada nolietojums zālē esošajiem pamatlīdzekļiem eur 385/85*5=22.64 euro + nolietojums izstāžu zālē esošiem pamatlīdzekļiem 230/15*5=76.66 euro. Kopā 22.64+76.66=99.30 euro.</t>
  </si>
  <si>
    <t>Elektroenerģijai 9230 euro gada patēriņš /3221 m2 kopplatība*30 m2 zāles platība/252 darba dienas/8 stundas*1 pakalpojumi=0.04 euro, apkurei 17369 euro gada izmaksas/3221 m2 kopplatība*30 m2 zāles platība/252 darba dienas/8 stundas*1 pakalpojumi=0.08 euro. Ūdenim un kanalizācijai  gada izmaksas 532/3221 m2 kopplatība*30 m2 zāles platība/252 darba dienas/8 stundas*1 pakalpojumi=0.01 euro. Kopā 0.04+0.08+0.01= 0.13 euro.</t>
  </si>
  <si>
    <t>Nekustamā īpašuma nodoklis: 10204 euro gadā/3221 m2 *30 m2 /85 stundas izmantošana*1 vienības 1.12 euro.</t>
  </si>
  <si>
    <t>Nolietojums. Gada nolietojums zālē esošajiem pamatlīdzekļiem 421/85*1=4.95 euro. Līdzekļi eksponātu iegādei 50.00 euro. Kopā: 50.00+4.95=54.95 euro.</t>
  </si>
  <si>
    <t>Elektroenerģijai 9230 euro gada patēriņš /3221 m2 kopplatība=2.86*5 m2 apgaismotā platība telpu iekārtošanai=14.31</t>
  </si>
  <si>
    <t>elektroenerģijai 2850 eur gada patēriņš /652 m2 kopplatība*350 m2 ekspozīciju platība/6600 apmeklējumi*1 apmeklējumi=0.23 euro, apkurei 5797 euro gada izmaksas/650m2 kopplatība*350 m2 ekspozīcijas/6600 kopējais apmeklētāju skaits*1 apmeklējumi=0.47 euro, ūdenim un kanalizācijai  gada izmaksas 368/652*350/6600*1=0.03 euro. Kopā 0.23+0.47+0.03=0.73 euro.</t>
  </si>
  <si>
    <t>Remontdarbi un iestāžu uzturēšanas pakalpojumi (izņemot kapitālo remontu) Gada apdrošināšanas izmaksas sastāda 26.46 euro.</t>
  </si>
  <si>
    <r>
      <t xml:space="preserve">KOPĀ: 540.00+150.00 =690 </t>
    </r>
    <r>
      <rPr>
        <i/>
        <sz val="12"/>
        <color theme="1"/>
        <rFont val="Times New Roman"/>
        <family val="1"/>
        <charset val="186"/>
      </rPr>
      <t>euro.</t>
    </r>
  </si>
  <si>
    <t>Kopā: 36.00+20.85=56.85 euro.</t>
  </si>
  <si>
    <r>
      <t xml:space="preserve">KOPĀ: 1974.06+438.68 = 2412.74 </t>
    </r>
    <r>
      <rPr>
        <i/>
        <sz val="12"/>
        <color indexed="8"/>
        <rFont val="Times New Roman"/>
        <family val="1"/>
        <charset val="186"/>
      </rPr>
      <t>euro.</t>
    </r>
  </si>
  <si>
    <t xml:space="preserve">Elektroenerģijai 9230 euro gada patēriņš /3221 m2 kopplatība* 1299 m2 ekspozīciju platība/25710 apmeklējumi*10967 apmeklējumi=1587.84 euro, apkurei 17369 euro gada izmaksas/3221 m2 kopplatība*1299 m2 ekspozīcijas/25710 kopējais apmeklētāju skaits*10967 skolēni=2987.99, ūdenim un kanalizācijai  gada izmaksas 532/3221*1299/25710*10967=91.52 euro. Kopā 4667.35 euro. </t>
  </si>
  <si>
    <t>Remontdarbi un iestāžu uzturēšanas pakalpojumi (izņemot kapitālo remontu) attiecināmā kopējā gada summa 500 eur/24855 apmeklētāji=0.02 euro. 0.02*2230 vienības=44.60 euro.</t>
  </si>
  <si>
    <r>
      <t>Elektroenerģijai 9230 euro gada patēriņš/3221 m2 kopplatība*1299 m2 ekspozīciju platība/25710 apmeklējumi= 0.14 euro. 0.14*2230 apmeklējumi=</t>
    </r>
    <r>
      <rPr>
        <b/>
        <sz val="12"/>
        <color indexed="8"/>
        <rFont val="Times New Roman"/>
        <family val="1"/>
        <charset val="186"/>
      </rPr>
      <t>312.80 euro</t>
    </r>
    <r>
      <rPr>
        <sz val="12"/>
        <color indexed="8"/>
        <rFont val="Times New Roman"/>
        <family val="1"/>
        <charset val="186"/>
      </rPr>
      <t>, apkurei 17369 euro gada izmaksas/3221 m2 kopplatība*1299 m2 ekspozīcijas/25710 kopējais apmeklētāju skaits =0.27 euro. 0.27*2230 vienības=</t>
    </r>
    <r>
      <rPr>
        <b/>
        <sz val="12"/>
        <color indexed="8"/>
        <rFont val="Times New Roman"/>
        <family val="1"/>
        <charset val="186"/>
      </rPr>
      <t>602.10 euro</t>
    </r>
    <r>
      <rPr>
        <sz val="12"/>
        <color indexed="8"/>
        <rFont val="Times New Roman"/>
        <family val="1"/>
        <charset val="186"/>
      </rPr>
      <t>, ūdenim un kanalizācijai  gada izmaksas 532/3221*1299/ 25710=0.01 euro. 0.01*2230=</t>
    </r>
    <r>
      <rPr>
        <b/>
        <sz val="12"/>
        <color indexed="8"/>
        <rFont val="Times New Roman"/>
        <family val="1"/>
        <charset val="186"/>
      </rPr>
      <t>22.30 euro</t>
    </r>
    <r>
      <rPr>
        <sz val="12"/>
        <color indexed="8"/>
        <rFont val="Times New Roman"/>
        <family val="1"/>
        <charset val="186"/>
      </rPr>
      <t>. Kopā 312.80+602.10+22.30= 937.20 euro.</t>
    </r>
  </si>
  <si>
    <r>
      <t xml:space="preserve">KOPĀ: 1338+88.49+486.71= 1913.20 </t>
    </r>
    <r>
      <rPr>
        <i/>
        <sz val="12"/>
        <color indexed="8"/>
        <rFont val="Times New Roman"/>
        <family val="1"/>
        <charset val="186"/>
      </rPr>
      <t>euro.</t>
    </r>
  </si>
  <si>
    <t>Nolietojums. Ekspozīcijas pamatlīdzekļu gada vidējais nolietojums 0.99*6142 apmeklētāji=6080.58 euro.</t>
  </si>
  <si>
    <t>Remontdarbi un iestāžu uzturēšanas pakalpojumi (izņemot kapitālo remontu) attiecināmā kopējā gada summa 20409 eur/24855 apmeklētāji=0.82 euro. 0.82*6142 vienības=5036.44 euro.</t>
  </si>
  <si>
    <t>Elektroenerģijai 9230 euro gada patēriņš /3221 m2 kopplatība*1299 m2 ekspozīciju platība/25710 apmeklējumi=0.15 euro. 0.15*162 apmeklējumi=24.30 euro, apkurei 17369 euro gada izmaksas/3221 m2 kopplatība*1299 m2 ekspozīcijas/25710 kopējais apmeklētāju skaits=0.27 euro. 0.27*162 vienības=43.74 euro, ūdenim un kanalizācijai  gada izmaksas 532/3221*1299/25710=0.01 euro. 0.01*162=1.62 euro. Kopā 24.30+43.74+1.62=69.66 euro.</t>
  </si>
  <si>
    <r>
      <t xml:space="preserve">KOPĀ: 592.92+6.48 =599.40 </t>
    </r>
    <r>
      <rPr>
        <i/>
        <sz val="12"/>
        <color theme="1"/>
        <rFont val="Times New Roman"/>
        <family val="1"/>
        <charset val="186"/>
      </rPr>
      <t>euro.</t>
    </r>
  </si>
  <si>
    <t>Elektroenerģijai 9230 euro gada patēriņš /3221 m2 kopplatība*1299 m2 ekspozīciju platība/25710 apmeklējumi=0.145 euro. 0.145*66 apmeklējumi=9.57 euro, apkurei 17369 euro gada izmaksas/3221 m2 kopplatība*1299 m2 ekspozīcijas/25710 kopējais apmeklētāju skaits=0.27 euro. 0.27*66 vienības=17.82 euro, ūdenim un kanalizācijai  gada izmaksas 532/3221*1299/25710=0.01 euro. 0.01*66=0.66 euro. Kopā 9.57+17.82+0.66=28.05 euro.</t>
  </si>
  <si>
    <r>
      <t xml:space="preserve">KOPĀ: 344.52+2.64+3.96 =351.12 </t>
    </r>
    <r>
      <rPr>
        <i/>
        <sz val="12"/>
        <color theme="1"/>
        <rFont val="Times New Roman"/>
        <family val="1"/>
        <charset val="186"/>
      </rPr>
      <t>euro.</t>
    </r>
  </si>
  <si>
    <t>Elektroenerģijai 9230 euro gada patēriņš /3221 m2 kopplatība*1299 m2 ekspozīciju platība/25710 apmeklējumi=0.14 euro. 0.14*29 apmeklējumi=4.06 euro, apkurei 17369 euro gada izmaksas/3221 m2 kopplatība*1299 m2 ekspozīcijas/25710 kopējais apmeklētāju skaits=0.27 euro. 0.27*29 vienības=7.83euro, ūdenim un kanalizācijai  gada izmaksas 532/3221*1299/25710=0.01 euro. 0.01*29=0.29 euro. Kopā 4.06+7.83+0.29=12.18 euro.</t>
  </si>
  <si>
    <r>
      <t xml:space="preserve">KOPĀ: 217.21+4.64+2.90=224.75 </t>
    </r>
    <r>
      <rPr>
        <i/>
        <sz val="12"/>
        <color theme="1"/>
        <rFont val="Times New Roman"/>
        <family val="1"/>
        <charset val="186"/>
      </rPr>
      <t>euro.</t>
    </r>
  </si>
  <si>
    <t>Elektroenerģijai 9230 euro gada patēriņš /3221 m2 kopplatība*1299 m2 ekspozīciju platība/25710 apmeklējumi=0.145 euro. 0.145*29 apmeklējumi=4.20 euro, apkurei 17369 euro gada izmaksas/3221 m2 kopplatība*1299 m2 ekspozīcijas/25710 kopējais apmeklētāju skaits=0.24 euro. 0.27*29 vienības=7.83 euro, ūdenim un kanalizācijai  gada izmaksas 532/3221*1299/25710=0.01 euro. 0.01*29=0.29 euro. Kopā 4.20+7.83+0.29=12.32 euro.</t>
  </si>
  <si>
    <r>
      <t xml:space="preserve">KOPĀ: 102.66+2.32+2.32=107.30 </t>
    </r>
    <r>
      <rPr>
        <i/>
        <sz val="12"/>
        <color theme="1"/>
        <rFont val="Times New Roman"/>
        <family val="1"/>
        <charset val="186"/>
      </rPr>
      <t>euro.</t>
    </r>
  </si>
  <si>
    <t>Elektroenerģijai 9230 euro gada patēriņš /3221 m2 kopplatība*1299 m2 ekspozīciju platība/25710 apmeklējumi=0.14 euro. 0.14*115 apmeklējumi=16.10 euro, apkurei 17369 euro gada izmaksas/3221 m2 kopplatība*1299 m2 ekspozīcijas/25710 kopējais apmeklētāju skaits=0.27 euro. 0.27*115 vienības=31.05 euro, ūdenim un kanalizācijai  gada izmaksas 532/3221*1299/25710=0.01 euro. 0.01*115=1.15 euro. Kopā 16.10+31.05+1.15=48.30 euro.</t>
  </si>
  <si>
    <t>Biroja preces, izmaksas izdales materiāļu komplektam vienam skolēnam ir 0.33 euro* 20 skolēni  *vidēji grupā 20 vienības=132.00 euro.</t>
  </si>
  <si>
    <t>Zemes nodoklis gadā 10204/25710 apmeklējumi*20=7.94 euro.</t>
  </si>
  <si>
    <t>Apsaimniekošana gadā 37645/25710*20=29.28 euro.</t>
  </si>
  <si>
    <r>
      <t>Elektroenerģijai 9230 euro gada patēriņš/3221 m2 kopplatība*1299 m2 ekspozīciju platība/25710 apmeklējumi= 0.14 euro. 0.14*6142 apmeklējumi=</t>
    </r>
    <r>
      <rPr>
        <b/>
        <sz val="12"/>
        <color theme="1"/>
        <rFont val="Times New Roman"/>
        <family val="1"/>
        <charset val="186"/>
      </rPr>
      <t>859.88 euro</t>
    </r>
    <r>
      <rPr>
        <sz val="12"/>
        <color theme="1"/>
        <rFont val="Times New Roman"/>
        <family val="1"/>
        <charset val="186"/>
      </rPr>
      <t>, apkurei 17369 euro gada izmaksas/3221 m2 kopplatība*1299 m</t>
    </r>
    <r>
      <rPr>
        <sz val="10"/>
        <color theme="1"/>
        <rFont val="Times New Roman"/>
        <family val="1"/>
        <charset val="186"/>
      </rPr>
      <t>2</t>
    </r>
    <r>
      <rPr>
        <sz val="12"/>
        <color theme="1"/>
        <rFont val="Times New Roman"/>
        <family val="1"/>
        <charset val="186"/>
      </rPr>
      <t xml:space="preserve"> ekspozīcijas/25710 kopējais apmeklētāju skaits=0.27 euro. 0.27*6142 vienības=1658.34 euro, ūdenim un kanalizācijai  gada izmaksas 532/3221*1299/25710=0.01 euro. 0.01*6142= 61.42 euro. Kopā 859.88+1658.34+61.42=2579.64 euro.</t>
    </r>
  </si>
  <si>
    <r>
      <t xml:space="preserve">KOPĀ: 1105.56+245.68 = 1351.24 </t>
    </r>
    <r>
      <rPr>
        <i/>
        <sz val="12"/>
        <color theme="1"/>
        <rFont val="Times New Roman"/>
        <family val="1"/>
        <charset val="186"/>
      </rPr>
      <t>euro.</t>
    </r>
  </si>
  <si>
    <r>
      <t>Elektroenerģijai 9230 euro gada patēriņš /3221 m2 kopplatība*1299 m2 ekspozīciju platība/25710 apmeklējumi=0.14 euro. 0.14*580 apmeklējumi=</t>
    </r>
    <r>
      <rPr>
        <b/>
        <sz val="12"/>
        <color indexed="8"/>
        <rFont val="Times New Roman"/>
        <family val="1"/>
        <charset val="186"/>
      </rPr>
      <t>81.20 euro</t>
    </r>
    <r>
      <rPr>
        <sz val="12"/>
        <color indexed="8"/>
        <rFont val="Times New Roman"/>
        <family val="1"/>
        <charset val="186"/>
      </rPr>
      <t>, apkurei 17369 euro gada izmaksas/3221 m2 kopplatība*700 m2 ekspozīcijas platība un skolēniem paredzētās izstādes platība/25710 kopējais apmeklētāju skaits=0.27 euro. 0.15*580 vienības=</t>
    </r>
    <r>
      <rPr>
        <b/>
        <sz val="12"/>
        <color indexed="8"/>
        <rFont val="Times New Roman"/>
        <family val="1"/>
        <charset val="186"/>
      </rPr>
      <t>87.00 euro,</t>
    </r>
    <r>
      <rPr>
        <sz val="12"/>
        <color indexed="8"/>
        <rFont val="Times New Roman"/>
        <family val="1"/>
        <charset val="186"/>
      </rPr>
      <t xml:space="preserve"> ūdenim un kanalizācijai  gada izmaksas 532/3221*1299/25710=0.01 euro. 0.01*580=</t>
    </r>
    <r>
      <rPr>
        <b/>
        <sz val="12"/>
        <color indexed="8"/>
        <rFont val="Times New Roman"/>
        <family val="1"/>
        <charset val="186"/>
      </rPr>
      <t>5.80 euro</t>
    </r>
    <r>
      <rPr>
        <sz val="12"/>
        <color indexed="8"/>
        <rFont val="Times New Roman"/>
        <family val="1"/>
        <charset val="186"/>
      </rPr>
      <t>. Kopā  81.20+87+5.80=174.00 euro.</t>
    </r>
  </si>
  <si>
    <t>Elektroenerģijai 9230 euro gada patēriņš /3221 m2 kopplatība*1299 m2 ekspozīciju platība/25710 apmeklējumi=0.14 euro. 0.14*520 apmeklējumi=72.80 euro, apkurei 17369 euro gada izmaksas/3221 m2 kopplatība*1299 m2 ekspozīcijas/25710 kopējais apmeklētāju skaits=0.27 euro. 0.27*520 vienības=140.40 euro, ūdenim un kanalizācijai  gada izmaksas 532/3221*1299/25710=0.01 euro. 0.01*520=5.20 euro. Kopā  72,80+140,40+5,20=218,40 euro.</t>
  </si>
  <si>
    <t>Administratīvie izdevumi baneru drukas vidējā cena izstādei 18 euro.</t>
  </si>
  <si>
    <t xml:space="preserve">Elektroenerģijai gada vidējais izlietojums euro 155/1900*500 vienības=40.79 euro. </t>
  </si>
  <si>
    <t xml:space="preserve">Elektroenerģijai gada vidējais izlietojums euro 155/1900*200 vienības=16.32 euro. </t>
  </si>
  <si>
    <t xml:space="preserve">Elektroenerģijai gada vidējais izlietojums euro 155/1900*10 vienības=0.82 euro. </t>
  </si>
  <si>
    <r>
      <t xml:space="preserve">Elektroenerģijai gada vidējais izlietojums euro 155/1900*28 vienības=2.28 </t>
    </r>
    <r>
      <rPr>
        <i/>
        <sz val="12"/>
        <rFont val="Times New Roman"/>
        <family val="1"/>
        <charset val="186"/>
      </rPr>
      <t>euro</t>
    </r>
    <r>
      <rPr>
        <sz val="12"/>
        <rFont val="Times New Roman"/>
        <family val="1"/>
        <charset val="186"/>
      </rPr>
      <t xml:space="preserve">. </t>
    </r>
  </si>
  <si>
    <r>
      <t xml:space="preserve">KOPĀ: 104.16+4.48=108.64 </t>
    </r>
    <r>
      <rPr>
        <i/>
        <sz val="12"/>
        <color theme="1"/>
        <rFont val="Times New Roman"/>
        <family val="1"/>
        <charset val="186"/>
      </rPr>
      <t>euro.</t>
    </r>
  </si>
  <si>
    <t>Elektroenerģijai 9230 euro gada patēriņš /3221 m2 kopplatība*1299 m2 ekspozīciju platība/25710 apmeklējumi=0.14 euro. 0.14*20 apmeklējumi=2.80 euro, apkurei 17369 euro gada izmaksas/3221 m2 kopplatība*1299 m2 ekspozīcijas/25710 kopējais apmeklētāju skaits=0.27 euro. 0.27*20 vienības=5.40 euro, ūdenim un kanalizācijai  gada izmaksas 532/3221*1299/25710=0.01 euro. 0.01*20=0.20 euro. Kopā 2.80+5.40+0.20=8.40 euro.</t>
  </si>
  <si>
    <r>
      <t xml:space="preserve">KOPĀ: 1155.00+64.00+31.00=1 250.00 </t>
    </r>
    <r>
      <rPr>
        <i/>
        <sz val="12"/>
        <color theme="1"/>
        <rFont val="Times New Roman"/>
        <family val="1"/>
        <charset val="186"/>
      </rPr>
      <t>euro.</t>
    </r>
  </si>
  <si>
    <r>
      <t xml:space="preserve">KOPĀ:64.80+1.61+1.32=67.73 </t>
    </r>
    <r>
      <rPr>
        <i/>
        <sz val="12"/>
        <color theme="1"/>
        <rFont val="Times New Roman"/>
        <family val="1"/>
        <charset val="186"/>
      </rPr>
      <t>euro.</t>
    </r>
  </si>
  <si>
    <r>
      <t xml:space="preserve">KOPĀ: 63.20+11.60+7.20=80.58 </t>
    </r>
    <r>
      <rPr>
        <i/>
        <sz val="12"/>
        <color indexed="8"/>
        <rFont val="Times New Roman"/>
        <family val="1"/>
        <charset val="186"/>
      </rPr>
      <t>euro.</t>
    </r>
  </si>
  <si>
    <t>Elektroenerģijai 2850 euro gada patēriņš /652 m2 kopplatība*350 m2 ekspozīciju platība/6600 apmeklējumi=0.23 euro. 0.23*50 apmeklējumi=11.59 euro, apkurei 5797 euro gada izmaksas/650 m2 kopplatība*350 m2 ekspozīcijas/6600 kopējais apmeklētāju skaits=0.47 euro. 0.47*50 apmeklējumi=23.65 euro. Ūdenim un kanalizācijai  gada izmaksas 368/652*350/6600=0.03*50=1.50 euro. Kopā 11.59+23.65+1.50= 36.74 euro.</t>
  </si>
  <si>
    <t>Programmā izmantoto pamatlīdzekļu gada nolietojums euro 67,00/50=1.34 vienība</t>
  </si>
  <si>
    <r>
      <t xml:space="preserve">Kopā: 32.98+5.00+7.36 =45.34 </t>
    </r>
    <r>
      <rPr>
        <i/>
        <sz val="12"/>
        <color theme="1"/>
        <rFont val="Times New Roman"/>
        <family val="1"/>
        <charset val="186"/>
      </rPr>
      <t>euro.</t>
    </r>
  </si>
  <si>
    <t>Administratīvie izdevumi- neliela banera izgavošanas vidējā cena 34.25 euro.</t>
  </si>
  <si>
    <r>
      <t xml:space="preserve">KOPĀ: 23.58+4.80+7.20=35.58 </t>
    </r>
    <r>
      <rPr>
        <i/>
        <sz val="12"/>
        <color theme="1"/>
        <rFont val="Times New Roman"/>
        <family val="1"/>
        <charset val="186"/>
      </rPr>
      <t>euro.</t>
    </r>
  </si>
  <si>
    <t>Elektroenerģijai gada vidējais izlietojums 581/1010*1 vienības=0.57 euro</t>
  </si>
  <si>
    <r>
      <t xml:space="preserve">KOPĀ: 9.90+9.60+3.44=22.94 </t>
    </r>
    <r>
      <rPr>
        <i/>
        <sz val="12"/>
        <color theme="1"/>
        <rFont val="Times New Roman"/>
        <family val="1"/>
        <charset val="186"/>
      </rPr>
      <t>euro.</t>
    </r>
  </si>
  <si>
    <t>Vitrīnas gada nolietojums 0.80  euro.</t>
  </si>
  <si>
    <t>Līdzekļi jaunu eksponātu iegādei 22.16 euro.</t>
  </si>
  <si>
    <t>Līdzekļi jaunu eksponātu iegādei 72.49 euro.</t>
  </si>
  <si>
    <t>Kopā: 36.00+22.80=58.80 euro.</t>
  </si>
  <si>
    <t>Līdzekļi jaunu eksponātu iegādei 75.65 euro/5=15.13 euro vienība.</t>
  </si>
  <si>
    <t>Līdzekļi jaunu eksponātu iegādei 93.65 euro.</t>
  </si>
  <si>
    <t>Līdzekļi jaunu eksponātu iegādei 0.13 euro vienība.</t>
  </si>
  <si>
    <t>Līdzekļi jaunu eksponātu iegādei 23.65 euro vienība.</t>
  </si>
  <si>
    <t>Elektroenerģijai 9230 euro gada patēriņš /3221 m2 kopplatība*100 m2 zāles platība/252 darba dienas/8 stundas*50 pakalpojumi=7.11 euro, apkurei 17369 euro gada izmaksas/3221 m2 kopplatība*100 m2 zāles platība/252 darba dienas/8 stundas*50 pakalpojumi=13.37 euro. Ūdenim un kanalizācijai  gada izmaksas 532/3221 m2 kopplatība*100 m2 zāles platība/252 darba dienas/8 stundas*50 pakalpojumi=0.41 euro. Kopā 7.11+13.37+0.41= 20.89 euro.</t>
  </si>
  <si>
    <t>KOPĀ: 188.40+96.00+96.00=380.40 euro.</t>
  </si>
  <si>
    <r>
      <t xml:space="preserve">KOPĀ: 18.00+28.80+28.80=75.70 </t>
    </r>
    <r>
      <rPr>
        <i/>
        <sz val="12"/>
        <color indexed="8"/>
        <rFont val="Times New Roman"/>
        <family val="1"/>
        <charset val="186"/>
      </rPr>
      <t>euro.</t>
    </r>
  </si>
  <si>
    <t>Elektroenerģijai 9230 euro gada patēriņš /3221 m2 kopplatība*167 m2 zāles platība/252 darba dienas/8 stundas*10 pakalpojumi=2.37 euro, apkurei 17369 euro gada izmaksas/3221 m2 kopplatība*167 m2 zāles platība/252 darba dienas/8 stundas*10 pakalpojumi=4.51 euro. Kopā 2.37+4.51=6.88 euro.</t>
  </si>
  <si>
    <r>
      <t xml:space="preserve">KOPĀ: 36.00+32.00+5.60= 73.60 </t>
    </r>
    <r>
      <rPr>
        <i/>
        <sz val="12"/>
        <color indexed="8"/>
        <rFont val="Times New Roman"/>
        <family val="1"/>
        <charset val="186"/>
      </rPr>
      <t>euro.</t>
    </r>
  </si>
  <si>
    <r>
      <t xml:space="preserve">KOPĀ: 1.80+2.72+2.43 = 6.95 </t>
    </r>
    <r>
      <rPr>
        <i/>
        <sz val="12"/>
        <color indexed="8"/>
        <rFont val="Times New Roman"/>
        <family val="1"/>
        <charset val="186"/>
      </rPr>
      <t>euro.</t>
    </r>
  </si>
  <si>
    <r>
      <t xml:space="preserve">KOPĀ: 1.8+1.00 = 2.80 </t>
    </r>
    <r>
      <rPr>
        <i/>
        <sz val="12"/>
        <color indexed="8"/>
        <rFont val="Times New Roman"/>
        <family val="1"/>
        <charset val="186"/>
      </rPr>
      <t>euro.</t>
    </r>
  </si>
  <si>
    <t>Zemes noma gadā 46.30</t>
  </si>
  <si>
    <t>Elektroenerģijai 581 euro gada patēriņš /1010 apmeklējumi*1 apmeklējumi=0.58 euro.</t>
  </si>
  <si>
    <r>
      <t xml:space="preserve">*Speciālists (18.V III) 560.00 </t>
    </r>
    <r>
      <rPr>
        <i/>
        <sz val="12"/>
        <color indexed="8"/>
        <rFont val="Times New Roman"/>
        <family val="1"/>
        <charset val="186"/>
      </rPr>
      <t>euro</t>
    </r>
    <r>
      <rPr>
        <sz val="12"/>
        <color indexed="8"/>
        <rFont val="Times New Roman"/>
        <family val="1"/>
        <charset val="186"/>
      </rPr>
      <t xml:space="preserve"> (alga mēnesī).  Stundas tarifa likme 3.33 </t>
    </r>
    <r>
      <rPr>
        <i/>
        <sz val="12"/>
        <color indexed="8"/>
        <rFont val="Times New Roman"/>
        <family val="1"/>
        <charset val="186"/>
      </rPr>
      <t>euro</t>
    </r>
    <r>
      <rPr>
        <sz val="12"/>
        <color indexed="8"/>
        <rFont val="Times New Roman"/>
        <family val="1"/>
        <charset val="186"/>
      </rPr>
      <t xml:space="preserve"> = 560/21 (vid. darba dienu sk. mēnesī)/8 stundām/60 = 0.06 (1 minūtes izmaksas). 0.06*3 (Ekspozīcijas iekārtošana un uzturēšana 3 min) *10967 vienības = 1974.06 </t>
    </r>
    <r>
      <rPr>
        <i/>
        <sz val="12"/>
        <color indexed="8"/>
        <rFont val="Times New Roman"/>
        <family val="1"/>
        <charset val="186"/>
      </rPr>
      <t>euro.</t>
    </r>
  </si>
  <si>
    <r>
      <t>*</t>
    </r>
    <r>
      <rPr>
        <sz val="12"/>
        <color indexed="8"/>
        <rFont val="Times New Roman"/>
        <family val="1"/>
        <charset val="186"/>
      </rPr>
      <t xml:space="preserve">Kasiere (14 I) 400.00 </t>
    </r>
    <r>
      <rPr>
        <i/>
        <sz val="12"/>
        <color indexed="8"/>
        <rFont val="Times New Roman"/>
        <family val="1"/>
        <charset val="186"/>
      </rPr>
      <t>euro</t>
    </r>
    <r>
      <rPr>
        <sz val="12"/>
        <color indexed="8"/>
        <rFont val="Times New Roman"/>
        <family val="1"/>
        <charset val="186"/>
      </rPr>
      <t xml:space="preserve"> (alga mēnesī). Stundas tarifa likme 2.38 </t>
    </r>
    <r>
      <rPr>
        <i/>
        <sz val="12"/>
        <color indexed="8"/>
        <rFont val="Times New Roman"/>
        <family val="1"/>
        <charset val="186"/>
      </rPr>
      <t xml:space="preserve">euro </t>
    </r>
    <r>
      <rPr>
        <sz val="12"/>
        <color indexed="8"/>
        <rFont val="Times New Roman"/>
        <family val="1"/>
        <charset val="186"/>
      </rPr>
      <t xml:space="preserve">=400/21 (vid. darba dienu sk. mēnesī)/8 stundām/60= 0.04 euro (1 min viena apmeklētāja apkalpošana). 0.04*1*10967 vienības = 438.68 </t>
    </r>
    <r>
      <rPr>
        <i/>
        <sz val="12"/>
        <color indexed="8"/>
        <rFont val="Times New Roman"/>
        <family val="1"/>
        <charset val="186"/>
      </rPr>
      <t>euro.</t>
    </r>
  </si>
  <si>
    <r>
      <t xml:space="preserve">*Speciālists  (18 III) 560.00 </t>
    </r>
    <r>
      <rPr>
        <i/>
        <sz val="12"/>
        <color indexed="8"/>
        <rFont val="Times New Roman"/>
        <family val="1"/>
        <charset val="186"/>
      </rPr>
      <t>euro</t>
    </r>
    <r>
      <rPr>
        <sz val="12"/>
        <color indexed="8"/>
        <rFont val="Times New Roman"/>
        <family val="1"/>
        <charset val="186"/>
      </rPr>
      <t xml:space="preserve"> (alga mēnesī).  Stundas tarifa likme 3.33 </t>
    </r>
    <r>
      <rPr>
        <i/>
        <sz val="12"/>
        <color indexed="8"/>
        <rFont val="Times New Roman"/>
        <family val="1"/>
        <charset val="186"/>
      </rPr>
      <t>euro</t>
    </r>
    <r>
      <rPr>
        <sz val="12"/>
        <color indexed="8"/>
        <rFont val="Times New Roman"/>
        <family val="1"/>
        <charset val="186"/>
      </rPr>
      <t xml:space="preserve"> = 560/21 (vid. darba dienu sk. mēnesī)/8 stundām/60. 0,06*10 (Ekspozīcijas iekārtošana un uzturēšana 10 min)*2230 vienības = 1338 </t>
    </r>
    <r>
      <rPr>
        <i/>
        <sz val="12"/>
        <color indexed="8"/>
        <rFont val="Times New Roman"/>
        <family val="1"/>
        <charset val="186"/>
      </rPr>
      <t>euro.</t>
    </r>
  </si>
  <si>
    <r>
      <t>*</t>
    </r>
    <r>
      <rPr>
        <sz val="12"/>
        <color indexed="8"/>
        <rFont val="Times New Roman"/>
        <family val="1"/>
        <charset val="186"/>
      </rPr>
      <t xml:space="preserve">Eksponātu uzraugs (4 IIB) 400.00 </t>
    </r>
    <r>
      <rPr>
        <i/>
        <sz val="12"/>
        <color indexed="8"/>
        <rFont val="Times New Roman"/>
        <family val="1"/>
        <charset val="186"/>
      </rPr>
      <t>euro</t>
    </r>
    <r>
      <rPr>
        <sz val="12"/>
        <color indexed="8"/>
        <rFont val="Times New Roman"/>
        <family val="1"/>
        <charset val="186"/>
      </rPr>
      <t xml:space="preserve"> (alga mēnesī). Stundas tarifa likme 2.38 </t>
    </r>
    <r>
      <rPr>
        <i/>
        <sz val="12"/>
        <color indexed="8"/>
        <rFont val="Times New Roman"/>
        <family val="1"/>
        <charset val="186"/>
      </rPr>
      <t xml:space="preserve">euro </t>
    </r>
    <r>
      <rPr>
        <sz val="12"/>
        <color indexed="8"/>
        <rFont val="Times New Roman"/>
        <family val="1"/>
        <charset val="186"/>
      </rPr>
      <t xml:space="preserve">=400/21 (vid. darba dienu sk. mēnesī)/8 stundām/60*1 (1 minūtes apmeklētāju apkalpošanai) *2230 vienības =88.49 </t>
    </r>
    <r>
      <rPr>
        <i/>
        <sz val="12"/>
        <color indexed="8"/>
        <rFont val="Times New Roman"/>
        <family val="1"/>
        <charset val="186"/>
      </rPr>
      <t>euro.</t>
    </r>
  </si>
  <si>
    <r>
      <t>*</t>
    </r>
    <r>
      <rPr>
        <sz val="12"/>
        <color indexed="8"/>
        <rFont val="Times New Roman"/>
        <family val="1"/>
        <charset val="186"/>
      </rPr>
      <t xml:space="preserve">Kasiere (14 I) 400.00 </t>
    </r>
    <r>
      <rPr>
        <i/>
        <sz val="12"/>
        <color indexed="8"/>
        <rFont val="Times New Roman"/>
        <family val="1"/>
        <charset val="186"/>
      </rPr>
      <t>euro</t>
    </r>
    <r>
      <rPr>
        <sz val="12"/>
        <color indexed="8"/>
        <rFont val="Times New Roman"/>
        <family val="1"/>
        <charset val="186"/>
      </rPr>
      <t xml:space="preserve"> (alga mēnesī). Stundas tarifa likme 2.38 </t>
    </r>
    <r>
      <rPr>
        <i/>
        <sz val="12"/>
        <color indexed="8"/>
        <rFont val="Times New Roman"/>
        <family val="1"/>
        <charset val="186"/>
      </rPr>
      <t xml:space="preserve">euro </t>
    </r>
    <r>
      <rPr>
        <sz val="12"/>
        <color indexed="8"/>
        <rFont val="Times New Roman"/>
        <family val="1"/>
        <charset val="186"/>
      </rPr>
      <t xml:space="preserve">=400/21 (vid. darba dienu sk. mēnesī)/8 stundām/60*5.5 (5.5 minūtes apmeklētāju apkalpošanai) *2230 vienības =486.71 </t>
    </r>
    <r>
      <rPr>
        <i/>
        <sz val="12"/>
        <color indexed="8"/>
        <rFont val="Times New Roman"/>
        <family val="1"/>
        <charset val="186"/>
      </rPr>
      <t>euro.</t>
    </r>
  </si>
  <si>
    <r>
      <t xml:space="preserve">*Speciālists  (18.5 III) 560.00 </t>
    </r>
    <r>
      <rPr>
        <i/>
        <sz val="12"/>
        <color theme="1"/>
        <rFont val="Times New Roman"/>
        <family val="1"/>
        <charset val="186"/>
      </rPr>
      <t>euro</t>
    </r>
    <r>
      <rPr>
        <sz val="12"/>
        <color theme="1"/>
        <rFont val="Times New Roman"/>
        <family val="1"/>
        <charset val="186"/>
      </rPr>
      <t xml:space="preserve"> (alga mēnesī).  Stundas tarifa likme 3.33 </t>
    </r>
    <r>
      <rPr>
        <i/>
        <sz val="12"/>
        <color theme="1"/>
        <rFont val="Times New Roman"/>
        <family val="1"/>
        <charset val="186"/>
      </rPr>
      <t>euro</t>
    </r>
    <r>
      <rPr>
        <sz val="12"/>
        <color theme="1"/>
        <rFont val="Times New Roman"/>
        <family val="1"/>
        <charset val="186"/>
      </rPr>
      <t xml:space="preserve"> = 560/21 (vid. darba dienu sk. mēnesī)/8 stundām/60 = 0.06 euro. Ekspozīcijas iekārtošana un uzturēšana 3 min 0.06*3*6142 vienības = 1105.56 </t>
    </r>
    <r>
      <rPr>
        <i/>
        <sz val="12"/>
        <color theme="1"/>
        <rFont val="Times New Roman"/>
        <family val="1"/>
        <charset val="186"/>
      </rPr>
      <t>euro.</t>
    </r>
  </si>
  <si>
    <r>
      <t>*</t>
    </r>
    <r>
      <rPr>
        <sz val="12"/>
        <color theme="1"/>
        <rFont val="Times New Roman"/>
        <family val="1"/>
        <charset val="186"/>
      </rPr>
      <t xml:space="preserve">Kasiere  (14 I) 400.00 </t>
    </r>
    <r>
      <rPr>
        <i/>
        <sz val="12"/>
        <color theme="1"/>
        <rFont val="Times New Roman"/>
        <family val="1"/>
        <charset val="186"/>
      </rPr>
      <t>euro</t>
    </r>
    <r>
      <rPr>
        <sz val="12"/>
        <color theme="1"/>
        <rFont val="Times New Roman"/>
        <family val="1"/>
        <charset val="186"/>
      </rPr>
      <t xml:space="preserve"> (alga mēnesī). Stundas tarifa likme 2.38 </t>
    </r>
    <r>
      <rPr>
        <i/>
        <sz val="12"/>
        <color theme="1"/>
        <rFont val="Times New Roman"/>
        <family val="1"/>
        <charset val="186"/>
      </rPr>
      <t xml:space="preserve">euro </t>
    </r>
    <r>
      <rPr>
        <sz val="12"/>
        <color theme="1"/>
        <rFont val="Times New Roman"/>
        <family val="1"/>
        <charset val="186"/>
      </rPr>
      <t xml:space="preserve">=400/21 (vid. darba dienu sk. mēnesī)/8 stundām/60=0.04 euro (1 min viena apmeklētāja apkalpošanai) 0.04*1*6142 vienības = 245.68 </t>
    </r>
    <r>
      <rPr>
        <i/>
        <sz val="12"/>
        <color theme="1"/>
        <rFont val="Times New Roman"/>
        <family val="1"/>
        <charset val="186"/>
      </rPr>
      <t>euro.</t>
    </r>
  </si>
  <si>
    <t>*Kasiere  (14 I) 400,00 euro (alga mēnesī). Stundas tarifa likme 2.38 euro =400/21 (vid. darba dienu sk. mēnesī)/8 stundām/60=0.04 euro (1 min viena apmeklētāja apkalpošanai). 0.04*1*580 vienības = 23.20 euro.</t>
  </si>
  <si>
    <r>
      <t>*</t>
    </r>
    <r>
      <rPr>
        <sz val="12"/>
        <color indexed="8"/>
        <rFont val="Times New Roman"/>
        <family val="1"/>
        <charset val="186"/>
      </rPr>
      <t xml:space="preserve">Kasiere  (14 I) 400,00 </t>
    </r>
    <r>
      <rPr>
        <i/>
        <sz val="12"/>
        <color indexed="8"/>
        <rFont val="Times New Roman"/>
        <family val="1"/>
        <charset val="186"/>
      </rPr>
      <t>euro</t>
    </r>
    <r>
      <rPr>
        <sz val="12"/>
        <color indexed="8"/>
        <rFont val="Times New Roman"/>
        <family val="1"/>
        <charset val="186"/>
      </rPr>
      <t xml:space="preserve"> (alga mēnesī). Stundas tarifa likme 2.38 </t>
    </r>
    <r>
      <rPr>
        <i/>
        <sz val="12"/>
        <color indexed="8"/>
        <rFont val="Times New Roman"/>
        <family val="1"/>
        <charset val="186"/>
      </rPr>
      <t xml:space="preserve">euro </t>
    </r>
    <r>
      <rPr>
        <sz val="12"/>
        <color indexed="8"/>
        <rFont val="Times New Roman"/>
        <family val="1"/>
        <charset val="186"/>
      </rPr>
      <t xml:space="preserve">=400/21 (vid. darba dienu sk. mēnesī)/8 stundām. 2.38/60=0.04 euro. 1 min viena apmeklētāja apkalpošanai= 0.04*1*683 vienības = 27.32 </t>
    </r>
    <r>
      <rPr>
        <i/>
        <sz val="12"/>
        <color indexed="8"/>
        <rFont val="Times New Roman"/>
        <family val="1"/>
        <charset val="186"/>
      </rPr>
      <t>euro.</t>
    </r>
  </si>
  <si>
    <r>
      <t>*</t>
    </r>
    <r>
      <rPr>
        <sz val="12"/>
        <color indexed="8"/>
        <rFont val="Times New Roman"/>
        <family val="1"/>
        <charset val="186"/>
      </rPr>
      <t xml:space="preserve">Kasiere  (14 I) 400.00 </t>
    </r>
    <r>
      <rPr>
        <i/>
        <sz val="12"/>
        <color indexed="8"/>
        <rFont val="Times New Roman"/>
        <family val="1"/>
        <charset val="186"/>
      </rPr>
      <t>euro</t>
    </r>
    <r>
      <rPr>
        <sz val="12"/>
        <color indexed="8"/>
        <rFont val="Times New Roman"/>
        <family val="1"/>
        <charset val="186"/>
      </rPr>
      <t xml:space="preserve"> (alga mēnesī). Stundas tarifa likme 2.38 </t>
    </r>
    <r>
      <rPr>
        <i/>
        <sz val="12"/>
        <color indexed="8"/>
        <rFont val="Times New Roman"/>
        <family val="1"/>
        <charset val="186"/>
      </rPr>
      <t xml:space="preserve">euro </t>
    </r>
    <r>
      <rPr>
        <sz val="12"/>
        <color indexed="8"/>
        <rFont val="Times New Roman"/>
        <family val="1"/>
        <charset val="186"/>
      </rPr>
      <t xml:space="preserve">=400/21 (vid. darba dienu sk. mēnesī)/8 stundām. 2.38/60=0.04 euro. 0.04*1 (1 min viena apmeklētāja apkalpošanai)*260 vienības = 10.40 </t>
    </r>
    <r>
      <rPr>
        <i/>
        <sz val="12"/>
        <color indexed="8"/>
        <rFont val="Times New Roman"/>
        <family val="1"/>
        <charset val="186"/>
      </rPr>
      <t>euro.</t>
    </r>
  </si>
  <si>
    <r>
      <t xml:space="preserve">*Speciālists  (18.5 III) 560.00 </t>
    </r>
    <r>
      <rPr>
        <i/>
        <sz val="12"/>
        <color indexed="8"/>
        <rFont val="Times New Roman"/>
        <family val="1"/>
        <charset val="186"/>
      </rPr>
      <t>euro</t>
    </r>
    <r>
      <rPr>
        <sz val="12"/>
        <color indexed="8"/>
        <rFont val="Times New Roman"/>
        <family val="1"/>
        <charset val="186"/>
      </rPr>
      <t xml:space="preserve"> (alga mēnesī).  Stundas tarifa likme 3.33 </t>
    </r>
    <r>
      <rPr>
        <i/>
        <sz val="12"/>
        <color indexed="8"/>
        <rFont val="Times New Roman"/>
        <family val="1"/>
        <charset val="186"/>
      </rPr>
      <t>euro</t>
    </r>
    <r>
      <rPr>
        <sz val="12"/>
        <color indexed="8"/>
        <rFont val="Times New Roman"/>
        <family val="1"/>
        <charset val="186"/>
      </rPr>
      <t xml:space="preserve"> = 560/21 (vid. darba dienu sk. mēnesī)/8 stundām. 3.33/60=0.06 euro. 0.06*3 (Izstādes iekārtošana un uzturēšana 3 min)*683 vienības = 122.94 </t>
    </r>
    <r>
      <rPr>
        <i/>
        <sz val="12"/>
        <color indexed="8"/>
        <rFont val="Times New Roman"/>
        <family val="1"/>
        <charset val="186"/>
      </rPr>
      <t>euro.</t>
    </r>
  </si>
  <si>
    <t>EKK 1110</t>
  </si>
  <si>
    <t>Kārtējā remonta un iestāžu uzturēšanas materiāli. Vidējās izstādes iekārtošanas materiālu izmaksas ir 35 euro/990*260=9.19 euro.</t>
  </si>
  <si>
    <t>*Speciālists (18  5 III) 560.00 euro (alga mēnesī).  Stundas tarifa likme 3.33 euro = 560/21 (vid. darba dienu sk. mēnesī)/8 stundām/60 = 0.06 euro. 0.06*3 (Izstādes iekārtošana un uzturēšana 3 min)*210 vienības = 37.80 euro.</t>
  </si>
  <si>
    <r>
      <t>*</t>
    </r>
    <r>
      <rPr>
        <sz val="12"/>
        <color indexed="8"/>
        <rFont val="Times New Roman"/>
        <family val="1"/>
        <charset val="186"/>
      </rPr>
      <t xml:space="preserve">Kasiere  (14 I) 400.00 </t>
    </r>
    <r>
      <rPr>
        <i/>
        <sz val="12"/>
        <color indexed="8"/>
        <rFont val="Times New Roman"/>
        <family val="1"/>
        <charset val="186"/>
      </rPr>
      <t>euro</t>
    </r>
    <r>
      <rPr>
        <sz val="12"/>
        <color indexed="8"/>
        <rFont val="Times New Roman"/>
        <family val="1"/>
        <charset val="186"/>
      </rPr>
      <t xml:space="preserve"> (alga mēnesī). Stundas tarifa likme 2.38 </t>
    </r>
    <r>
      <rPr>
        <i/>
        <sz val="12"/>
        <color indexed="8"/>
        <rFont val="Times New Roman"/>
        <family val="1"/>
        <charset val="186"/>
      </rPr>
      <t xml:space="preserve">euro </t>
    </r>
    <r>
      <rPr>
        <sz val="12"/>
        <color indexed="8"/>
        <rFont val="Times New Roman"/>
        <family val="1"/>
        <charset val="186"/>
      </rPr>
      <t xml:space="preserve">=400/21 (vid. darba dienu sk. mēnesī)/8 stundām/60 = 0.04 euro. 0.04*1 (1 min viena apmeklētāja apkalpošanai)*210 vienības = 8.40 </t>
    </r>
    <r>
      <rPr>
        <i/>
        <sz val="12"/>
        <color indexed="8"/>
        <rFont val="Times New Roman"/>
        <family val="1"/>
        <charset val="186"/>
      </rPr>
      <t>euro.</t>
    </r>
  </si>
  <si>
    <r>
      <t>*</t>
    </r>
    <r>
      <rPr>
        <sz val="12"/>
        <color indexed="8"/>
        <rFont val="Times New Roman"/>
        <family val="1"/>
        <charset val="186"/>
      </rPr>
      <t xml:space="preserve">Kasiere  (14 I) 400.00 </t>
    </r>
    <r>
      <rPr>
        <i/>
        <sz val="12"/>
        <color indexed="8"/>
        <rFont val="Times New Roman"/>
        <family val="1"/>
        <charset val="186"/>
      </rPr>
      <t>euro</t>
    </r>
    <r>
      <rPr>
        <sz val="12"/>
        <color indexed="8"/>
        <rFont val="Times New Roman"/>
        <family val="1"/>
        <charset val="186"/>
      </rPr>
      <t xml:space="preserve"> (alga mēnesī). Stundas tarifa likme 2.38 </t>
    </r>
    <r>
      <rPr>
        <i/>
        <sz val="12"/>
        <color indexed="8"/>
        <rFont val="Times New Roman"/>
        <family val="1"/>
        <charset val="186"/>
      </rPr>
      <t xml:space="preserve">euro </t>
    </r>
    <r>
      <rPr>
        <sz val="12"/>
        <color indexed="8"/>
        <rFont val="Times New Roman"/>
        <family val="1"/>
        <charset val="186"/>
      </rPr>
      <t xml:space="preserve">=400/21 (vid. darba dienu sk. mēnesī)/8 stundām/0.04 euro. 0.04*1 (1 min viena apmeklētāja apkalpošanai)*520 vienības = 20.80 </t>
    </r>
    <r>
      <rPr>
        <i/>
        <sz val="12"/>
        <color indexed="8"/>
        <rFont val="Times New Roman"/>
        <family val="1"/>
        <charset val="186"/>
      </rPr>
      <t>euro.</t>
    </r>
  </si>
  <si>
    <t>*Speciālists  (18 5 III) 560.00 euro (alga mēnesī).  Stundas tarifa likme 3.33 euro = 560/21 (vid. darba dienu sk. mēnesī)/8 stundām/60=0.06 euro. 0.06*3 (Izstādes iekārtošana un uzturēšana 3 min)*520 vienības = 93.60 euro.</t>
  </si>
  <si>
    <t>*Speciālists (18 5 III) 560.00 euro (alga mēnesī).  Stundas tarifa likme 3.33 euro = 560/21 (vid. darba dienu sk. mēnesī)/8 stundām/60=0.06 euro. 0.06*20 (Izstādes iekārtošana un uzturēšana 20 min)*60 vienības =72.00 euro.</t>
  </si>
  <si>
    <r>
      <t>*</t>
    </r>
    <r>
      <rPr>
        <sz val="12"/>
        <color indexed="8"/>
        <rFont val="Times New Roman"/>
        <family val="1"/>
        <charset val="186"/>
      </rPr>
      <t xml:space="preserve">Kasiere (14 I) 400.00 </t>
    </r>
    <r>
      <rPr>
        <i/>
        <sz val="12"/>
        <color indexed="8"/>
        <rFont val="Times New Roman"/>
        <family val="1"/>
        <charset val="186"/>
      </rPr>
      <t>euro</t>
    </r>
    <r>
      <rPr>
        <sz val="12"/>
        <color indexed="8"/>
        <rFont val="Times New Roman"/>
        <family val="1"/>
        <charset val="186"/>
      </rPr>
      <t xml:space="preserve"> (alga mēnesī). Stundas tarifa likme 2.38 </t>
    </r>
    <r>
      <rPr>
        <i/>
        <sz val="12"/>
        <color indexed="8"/>
        <rFont val="Times New Roman"/>
        <family val="1"/>
        <charset val="186"/>
      </rPr>
      <t xml:space="preserve">euro </t>
    </r>
    <r>
      <rPr>
        <sz val="12"/>
        <color indexed="8"/>
        <rFont val="Times New Roman"/>
        <family val="1"/>
        <charset val="186"/>
      </rPr>
      <t xml:space="preserve">=400/21 (vid. darba dienu sk. mēnesī)/8 stundām/60=0.04 euro. 0.04*2 (2 min viena apmeklētāja apkalpošanai)*60 vienības = 4.80 </t>
    </r>
    <r>
      <rPr>
        <i/>
        <sz val="12"/>
        <color indexed="8"/>
        <rFont val="Times New Roman"/>
        <family val="1"/>
        <charset val="186"/>
      </rPr>
      <t>euro.</t>
    </r>
  </si>
  <si>
    <r>
      <t>*</t>
    </r>
    <r>
      <rPr>
        <sz val="12"/>
        <color theme="1"/>
        <rFont val="Times New Roman"/>
        <family val="1"/>
        <charset val="186"/>
      </rPr>
      <t xml:space="preserve">Kasiere (14 I) 400.00 </t>
    </r>
    <r>
      <rPr>
        <i/>
        <sz val="12"/>
        <color theme="1"/>
        <rFont val="Times New Roman"/>
        <family val="1"/>
        <charset val="186"/>
      </rPr>
      <t>euro</t>
    </r>
    <r>
      <rPr>
        <sz val="12"/>
        <color theme="1"/>
        <rFont val="Times New Roman"/>
        <family val="1"/>
        <charset val="186"/>
      </rPr>
      <t xml:space="preserve"> (alga mēnesī). Stundas tarifa likme 2.38 </t>
    </r>
    <r>
      <rPr>
        <i/>
        <sz val="12"/>
        <color theme="1"/>
        <rFont val="Times New Roman"/>
        <family val="1"/>
        <charset val="186"/>
      </rPr>
      <t xml:space="preserve">euro </t>
    </r>
    <r>
      <rPr>
        <sz val="12"/>
        <color theme="1"/>
        <rFont val="Times New Roman"/>
        <family val="1"/>
        <charset val="186"/>
      </rPr>
      <t>=400/21 (vid. darba dienu sk. mēnesī)/8 stundām. 0.01*8 (8 min viena apmeklētāja apkalpošanai)*60=4.80 euro.</t>
    </r>
  </si>
  <si>
    <r>
      <t>*</t>
    </r>
    <r>
      <rPr>
        <sz val="12"/>
        <color indexed="8"/>
        <rFont val="Times New Roman"/>
        <family val="1"/>
        <charset val="186"/>
      </rPr>
      <t xml:space="preserve">Kasiere (14 I) 400.00 </t>
    </r>
    <r>
      <rPr>
        <i/>
        <sz val="12"/>
        <color indexed="8"/>
        <rFont val="Times New Roman"/>
        <family val="1"/>
        <charset val="186"/>
      </rPr>
      <t>euro</t>
    </r>
    <r>
      <rPr>
        <sz val="12"/>
        <color indexed="8"/>
        <rFont val="Times New Roman"/>
        <family val="1"/>
        <charset val="186"/>
      </rPr>
      <t xml:space="preserve"> (alga mēnesī). Stundas tarifa likme 2.38 </t>
    </r>
    <r>
      <rPr>
        <i/>
        <sz val="12"/>
        <color indexed="8"/>
        <rFont val="Times New Roman"/>
        <family val="1"/>
        <charset val="186"/>
      </rPr>
      <t>euro</t>
    </r>
    <r>
      <rPr>
        <sz val="12"/>
        <color indexed="8"/>
        <rFont val="Times New Roman"/>
        <family val="1"/>
        <charset val="186"/>
      </rPr>
      <t xml:space="preserve">=400/21 (vid. darba dienu sk. mēnesī)/8 stundām/60=0.04 euro. 0.04*4 (4 min viena apmeklētāja apkalpošanai)*100 vienības =16.00 </t>
    </r>
    <r>
      <rPr>
        <i/>
        <sz val="12"/>
        <color indexed="8"/>
        <rFont val="Times New Roman"/>
        <family val="1"/>
        <charset val="186"/>
      </rPr>
      <t>euro.</t>
    </r>
  </si>
  <si>
    <t>*Speciālists (18.5 III) 560.00 euro (alga mēnesī).  Stundas tarifa likme 3.33 euro = 560/21 (vid. darba dienu sk. mēnesī)/8 stundām/60=0.06 euro. 0.06*20* (Izstādes iekārtošana un uzturēšana 20 min)*60 vienības =72.00 euro.</t>
  </si>
  <si>
    <t>*Speciālists (18.5 III) 560.00 euro (alga mēnesī).  Stundas tarifa likme 3.33 euro = 560/21 (vid. darba dienu sk. mēnesī)/8 stundām/60=0.06 euro. 0.06*12 (Izstādes iekārtošana un uzturēšana 12 min)*100 vienības = 72.00 euro.</t>
  </si>
  <si>
    <t>*Speciālists (18.5 III) 560.00 euro (alga mēnesī).  Stundas tarifa likme 3.33 euro = 560/21 (vid. darba dienu sk. mēnesī)/8 stundām/60=0.06 euro. 0.06*29 (Ekspozīcijas un izstādes iekārtošana un uzturēšana 29 min)*15 vienības = 26.10 euro.</t>
  </si>
  <si>
    <r>
      <t xml:space="preserve">*Speciālists (18.5 III) 560.00 </t>
    </r>
    <r>
      <rPr>
        <i/>
        <sz val="12"/>
        <color indexed="8"/>
        <rFont val="Times New Roman"/>
        <family val="1"/>
        <charset val="186"/>
      </rPr>
      <t>euro</t>
    </r>
    <r>
      <rPr>
        <sz val="12"/>
        <color indexed="8"/>
        <rFont val="Times New Roman"/>
        <family val="1"/>
        <charset val="186"/>
      </rPr>
      <t xml:space="preserve"> (alga mēnesī).  Stundas tarifa likme 3.33 </t>
    </r>
    <r>
      <rPr>
        <i/>
        <sz val="12"/>
        <color indexed="8"/>
        <rFont val="Times New Roman"/>
        <family val="1"/>
        <charset val="186"/>
      </rPr>
      <t>euro</t>
    </r>
    <r>
      <rPr>
        <sz val="12"/>
        <color indexed="8"/>
        <rFont val="Times New Roman"/>
        <family val="1"/>
        <charset val="186"/>
      </rPr>
      <t xml:space="preserve"> = 560/21 (vid. darba dienu sk. mēnesī)/8 stundām/60=0.06 euro. 0.06*7 (Ekspozīcijas, izstāžu iekārtošana un uzturēšana 7 min)*50 vienības = 21.00 </t>
    </r>
    <r>
      <rPr>
        <i/>
        <sz val="12"/>
        <color indexed="8"/>
        <rFont val="Times New Roman"/>
        <family val="1"/>
        <charset val="186"/>
      </rPr>
      <t>euro.</t>
    </r>
  </si>
  <si>
    <r>
      <t>*</t>
    </r>
    <r>
      <rPr>
        <sz val="12"/>
        <color indexed="8"/>
        <rFont val="Times New Roman"/>
        <family val="1"/>
        <charset val="186"/>
      </rPr>
      <t xml:space="preserve">Kasiere (14 I) 400.00 </t>
    </r>
    <r>
      <rPr>
        <i/>
        <sz val="12"/>
        <color indexed="8"/>
        <rFont val="Times New Roman"/>
        <family val="1"/>
        <charset val="186"/>
      </rPr>
      <t>euro</t>
    </r>
    <r>
      <rPr>
        <sz val="12"/>
        <color indexed="8"/>
        <rFont val="Times New Roman"/>
        <family val="1"/>
        <charset val="186"/>
      </rPr>
      <t xml:space="preserve"> (alga mēnesī). Stundas tarifa likme 2.38 </t>
    </r>
    <r>
      <rPr>
        <i/>
        <sz val="12"/>
        <color indexed="8"/>
        <rFont val="Times New Roman"/>
        <family val="1"/>
        <charset val="186"/>
      </rPr>
      <t xml:space="preserve">euro </t>
    </r>
    <r>
      <rPr>
        <sz val="12"/>
        <color indexed="8"/>
        <rFont val="Times New Roman"/>
        <family val="1"/>
        <charset val="186"/>
      </rPr>
      <t xml:space="preserve">=400/21 (vid. darba dienu sk. mēnesī)/8 stundām/60=0.04 euro. 0.04*4 (4 min viena apmeklētāja apkalpošanai)*15 vienības = 2.40 </t>
    </r>
    <r>
      <rPr>
        <i/>
        <sz val="12"/>
        <color indexed="8"/>
        <rFont val="Times New Roman"/>
        <family val="1"/>
        <charset val="186"/>
      </rPr>
      <t>euro.</t>
    </r>
  </si>
  <si>
    <r>
      <t>*</t>
    </r>
    <r>
      <rPr>
        <sz val="12"/>
        <color indexed="8"/>
        <rFont val="Times New Roman"/>
        <family val="1"/>
        <charset val="186"/>
      </rPr>
      <t xml:space="preserve">Kasiere (14 I) 400.00 </t>
    </r>
    <r>
      <rPr>
        <i/>
        <sz val="12"/>
        <color indexed="8"/>
        <rFont val="Times New Roman"/>
        <family val="1"/>
        <charset val="186"/>
      </rPr>
      <t>euro</t>
    </r>
    <r>
      <rPr>
        <sz val="12"/>
        <color indexed="8"/>
        <rFont val="Times New Roman"/>
        <family val="1"/>
        <charset val="186"/>
      </rPr>
      <t xml:space="preserve"> (alga mēnesī). Stundas tarifa likme 2.38 </t>
    </r>
    <r>
      <rPr>
        <i/>
        <sz val="12"/>
        <color indexed="8"/>
        <rFont val="Times New Roman"/>
        <family val="1"/>
        <charset val="186"/>
      </rPr>
      <t xml:space="preserve">euro </t>
    </r>
    <r>
      <rPr>
        <sz val="12"/>
        <color indexed="8"/>
        <rFont val="Times New Roman"/>
        <family val="1"/>
        <charset val="186"/>
      </rPr>
      <t xml:space="preserve">=400/21 (vid. darba dienu sk. mēnesī)/8 stundām/60=0.04 euro. 0.04*1 (1 min viena apmeklētāja apkalpošanai)*50 vienības = 2.00 </t>
    </r>
    <r>
      <rPr>
        <i/>
        <sz val="12"/>
        <color indexed="8"/>
        <rFont val="Times New Roman"/>
        <family val="1"/>
        <charset val="186"/>
      </rPr>
      <t>euro.</t>
    </r>
  </si>
  <si>
    <r>
      <t>*</t>
    </r>
    <r>
      <rPr>
        <sz val="12"/>
        <color indexed="8"/>
        <rFont val="Times New Roman"/>
        <family val="1"/>
        <charset val="186"/>
      </rPr>
      <t xml:space="preserve">Kasiere (14 I) 400.00 </t>
    </r>
    <r>
      <rPr>
        <i/>
        <sz val="12"/>
        <color indexed="8"/>
        <rFont val="Times New Roman"/>
        <family val="1"/>
        <charset val="186"/>
      </rPr>
      <t>euro</t>
    </r>
    <r>
      <rPr>
        <sz val="12"/>
        <color indexed="8"/>
        <rFont val="Times New Roman"/>
        <family val="1"/>
        <charset val="186"/>
      </rPr>
      <t xml:space="preserve"> (alga mēnesī). Stundas tarifa likme 2.38 </t>
    </r>
    <r>
      <rPr>
        <i/>
        <sz val="12"/>
        <color indexed="8"/>
        <rFont val="Times New Roman"/>
        <family val="1"/>
        <charset val="186"/>
      </rPr>
      <t xml:space="preserve">euro </t>
    </r>
    <r>
      <rPr>
        <sz val="12"/>
        <color indexed="8"/>
        <rFont val="Times New Roman"/>
        <family val="1"/>
        <charset val="186"/>
      </rPr>
      <t xml:space="preserve">=400/21 (vid. darba dienu sk. mēnesī)/8 stundām/60=0.04 euro. 0.04*1(1 min viena apmeklētāja apkalpošanai)*70 vienības = 2.80 </t>
    </r>
    <r>
      <rPr>
        <i/>
        <sz val="12"/>
        <color indexed="8"/>
        <rFont val="Times New Roman"/>
        <family val="1"/>
        <charset val="186"/>
      </rPr>
      <t>euro.</t>
    </r>
  </si>
  <si>
    <r>
      <t xml:space="preserve">*Speciālists (18.5 III) 560.00 </t>
    </r>
    <r>
      <rPr>
        <i/>
        <sz val="12"/>
        <color indexed="8"/>
        <rFont val="Times New Roman"/>
        <family val="1"/>
        <charset val="186"/>
      </rPr>
      <t>euro</t>
    </r>
    <r>
      <rPr>
        <sz val="12"/>
        <color indexed="8"/>
        <rFont val="Times New Roman"/>
        <family val="1"/>
        <charset val="186"/>
      </rPr>
      <t xml:space="preserve"> (alga mēnesī).  Stundas tarifa likme 3.33 </t>
    </r>
    <r>
      <rPr>
        <i/>
        <sz val="12"/>
        <color indexed="8"/>
        <rFont val="Times New Roman"/>
        <family val="1"/>
        <charset val="186"/>
      </rPr>
      <t>euro</t>
    </r>
    <r>
      <rPr>
        <sz val="12"/>
        <color indexed="8"/>
        <rFont val="Times New Roman"/>
        <family val="1"/>
        <charset val="186"/>
      </rPr>
      <t xml:space="preserve"> = 560/21 (vid. darba dienu sk. mēnesī)/8 stundām/60=0.06 euro. 0.06*7 (Ekspozīcijas, izstāžu iekārtošana un uzturēšana 7 min) *70 vienības = 29.40 </t>
    </r>
    <r>
      <rPr>
        <i/>
        <sz val="12"/>
        <color indexed="8"/>
        <rFont val="Times New Roman"/>
        <family val="1"/>
        <charset val="186"/>
      </rPr>
      <t>euro.</t>
    </r>
  </si>
  <si>
    <r>
      <t xml:space="preserve">*Speciālists (18.5 III) 560.00 </t>
    </r>
    <r>
      <rPr>
        <i/>
        <sz val="12"/>
        <color indexed="8"/>
        <rFont val="Times New Roman"/>
        <family val="1"/>
        <charset val="186"/>
      </rPr>
      <t>euro</t>
    </r>
    <r>
      <rPr>
        <sz val="12"/>
        <color indexed="8"/>
        <rFont val="Times New Roman"/>
        <family val="1"/>
        <charset val="186"/>
      </rPr>
      <t xml:space="preserve"> (alga mēnesī).  Stundas tarifa likme 3.33 </t>
    </r>
    <r>
      <rPr>
        <i/>
        <sz val="12"/>
        <color indexed="8"/>
        <rFont val="Times New Roman"/>
        <family val="1"/>
        <charset val="186"/>
      </rPr>
      <t>euro</t>
    </r>
    <r>
      <rPr>
        <sz val="12"/>
        <color indexed="8"/>
        <rFont val="Times New Roman"/>
        <family val="1"/>
        <charset val="186"/>
      </rPr>
      <t xml:space="preserve"> = 560/21 (vid. darba dienu sk. mēnesī)/8 stundām=0.06 euro. 0.06*16 (Ekspozīcijas, izstāžu iekārtošana un uzturēšana 16 min)*100 vienības = 96.00 </t>
    </r>
    <r>
      <rPr>
        <i/>
        <sz val="12"/>
        <color indexed="8"/>
        <rFont val="Times New Roman"/>
        <family val="1"/>
        <charset val="186"/>
      </rPr>
      <t>euro.</t>
    </r>
  </si>
  <si>
    <r>
      <t>*</t>
    </r>
    <r>
      <rPr>
        <sz val="12"/>
        <color indexed="8"/>
        <rFont val="Times New Roman"/>
        <family val="1"/>
        <charset val="186"/>
      </rPr>
      <t xml:space="preserve">Eksponātu uzraugs (4IIB) 400.00 </t>
    </r>
    <r>
      <rPr>
        <i/>
        <sz val="12"/>
        <color indexed="8"/>
        <rFont val="Times New Roman"/>
        <family val="1"/>
        <charset val="186"/>
      </rPr>
      <t>euro</t>
    </r>
    <r>
      <rPr>
        <sz val="12"/>
        <color indexed="8"/>
        <rFont val="Times New Roman"/>
        <family val="1"/>
        <charset val="186"/>
      </rPr>
      <t xml:space="preserve"> (alga mēnesī). Stundas tarifa likme 2.38 </t>
    </r>
    <r>
      <rPr>
        <i/>
        <sz val="12"/>
        <color indexed="8"/>
        <rFont val="Times New Roman"/>
        <family val="1"/>
        <charset val="186"/>
      </rPr>
      <t xml:space="preserve">euro </t>
    </r>
    <r>
      <rPr>
        <sz val="12"/>
        <color indexed="8"/>
        <rFont val="Times New Roman"/>
        <family val="1"/>
        <charset val="186"/>
      </rPr>
      <t xml:space="preserve">=400/21 (vid. darba dienu sk. mēnesī)/8 stundām=0.04 euro. 0.04*12 (12 min viena apmeklētāja apkalpošanai)*100 vienības = 48.00 </t>
    </r>
    <r>
      <rPr>
        <i/>
        <sz val="12"/>
        <color indexed="8"/>
        <rFont val="Times New Roman"/>
        <family val="1"/>
        <charset val="186"/>
      </rPr>
      <t>euro.</t>
    </r>
  </si>
  <si>
    <r>
      <t xml:space="preserve">*Speciālists (18 5 III) 500.00 </t>
    </r>
    <r>
      <rPr>
        <i/>
        <sz val="12"/>
        <color indexed="8"/>
        <rFont val="Times New Roman"/>
        <family val="1"/>
        <charset val="186"/>
      </rPr>
      <t>euro</t>
    </r>
    <r>
      <rPr>
        <sz val="12"/>
        <color indexed="8"/>
        <rFont val="Times New Roman"/>
        <family val="1"/>
        <charset val="186"/>
      </rPr>
      <t xml:space="preserve"> (alga mēnesī).  Stundas tarifa likme 2.98 </t>
    </r>
    <r>
      <rPr>
        <i/>
        <sz val="12"/>
        <color indexed="8"/>
        <rFont val="Times New Roman"/>
        <family val="1"/>
        <charset val="186"/>
      </rPr>
      <t>euro</t>
    </r>
    <r>
      <rPr>
        <sz val="12"/>
        <color indexed="8"/>
        <rFont val="Times New Roman"/>
        <family val="1"/>
        <charset val="186"/>
      </rPr>
      <t xml:space="preserve"> = 500/21 (vid. darba dienu sk. mēnesī)/8 stundām=0.05 euro. 0.05*0.5 (Ekspozīcijas un izstāžu iekārtošana un uzturēšana 0.5 min)*2000 vienības = 50.00 </t>
    </r>
    <r>
      <rPr>
        <i/>
        <sz val="12"/>
        <color indexed="8"/>
        <rFont val="Times New Roman"/>
        <family val="1"/>
        <charset val="186"/>
      </rPr>
      <t>euro.</t>
    </r>
  </si>
  <si>
    <r>
      <t>*</t>
    </r>
    <r>
      <rPr>
        <sz val="12"/>
        <color indexed="8"/>
        <rFont val="Times New Roman"/>
        <family val="1"/>
        <charset val="186"/>
      </rPr>
      <t xml:space="preserve">Kasiere (14 I) 383.00 </t>
    </r>
    <r>
      <rPr>
        <i/>
        <sz val="12"/>
        <color indexed="8"/>
        <rFont val="Times New Roman"/>
        <family val="1"/>
        <charset val="186"/>
      </rPr>
      <t>euro</t>
    </r>
    <r>
      <rPr>
        <sz val="12"/>
        <color indexed="8"/>
        <rFont val="Times New Roman"/>
        <family val="1"/>
        <charset val="186"/>
      </rPr>
      <t xml:space="preserve"> (alga mēnesī). Stundas tarifa likme 2.28 </t>
    </r>
    <r>
      <rPr>
        <i/>
        <sz val="12"/>
        <color indexed="8"/>
        <rFont val="Times New Roman"/>
        <family val="1"/>
        <charset val="186"/>
      </rPr>
      <t xml:space="preserve">euro </t>
    </r>
    <r>
      <rPr>
        <sz val="12"/>
        <color indexed="8"/>
        <rFont val="Times New Roman"/>
        <family val="1"/>
        <charset val="186"/>
      </rPr>
      <t xml:space="preserve">=383/21 (vid. darba dienu sk. mēnesī)/8 stundām=0.04 euro. 0.04*1 (1 min viena apmeklētāja apkalpošanai (kasieris veic arī garderobista pienākumus)*2000 vienības = 80.00 </t>
    </r>
    <r>
      <rPr>
        <i/>
        <sz val="12"/>
        <color indexed="8"/>
        <rFont val="Times New Roman"/>
        <family val="1"/>
        <charset val="186"/>
      </rPr>
      <t>euro.</t>
    </r>
  </si>
  <si>
    <r>
      <t>*</t>
    </r>
    <r>
      <rPr>
        <sz val="12"/>
        <color theme="1"/>
        <rFont val="Times New Roman"/>
        <family val="1"/>
        <charset val="186"/>
      </rPr>
      <t xml:space="preserve">Kasiere (14 I) 383.00 </t>
    </r>
    <r>
      <rPr>
        <i/>
        <sz val="12"/>
        <color theme="1"/>
        <rFont val="Times New Roman"/>
        <family val="1"/>
        <charset val="186"/>
      </rPr>
      <t>euro</t>
    </r>
    <r>
      <rPr>
        <sz val="12"/>
        <color theme="1"/>
        <rFont val="Times New Roman"/>
        <family val="1"/>
        <charset val="186"/>
      </rPr>
      <t xml:space="preserve"> (alga mēnesī). Stundas tarifa likme 2.28 </t>
    </r>
    <r>
      <rPr>
        <i/>
        <sz val="12"/>
        <color theme="1"/>
        <rFont val="Times New Roman"/>
        <family val="1"/>
        <charset val="186"/>
      </rPr>
      <t xml:space="preserve">euro </t>
    </r>
    <r>
      <rPr>
        <sz val="12"/>
        <color theme="1"/>
        <rFont val="Times New Roman"/>
        <family val="1"/>
        <charset val="186"/>
      </rPr>
      <t xml:space="preserve">=383/21 (vid. darba dienu sk. mēnesī)/8 stundām=0.04 euro. 0.04*2.5 (2.5 min viena apmeklētāja apkalpošanai (kasieris veic arī garderobista pienākumus))*1500 vienības = 150.00 </t>
    </r>
    <r>
      <rPr>
        <i/>
        <sz val="12"/>
        <color theme="1"/>
        <rFont val="Times New Roman"/>
        <family val="1"/>
        <charset val="186"/>
      </rPr>
      <t>euro.</t>
    </r>
  </si>
  <si>
    <r>
      <t xml:space="preserve">*Speciālists (18 5 III) 540.00 </t>
    </r>
    <r>
      <rPr>
        <i/>
        <sz val="12"/>
        <color theme="1"/>
        <rFont val="Times New Roman"/>
        <family val="1"/>
        <charset val="186"/>
      </rPr>
      <t>euro</t>
    </r>
    <r>
      <rPr>
        <sz val="12"/>
        <color theme="1"/>
        <rFont val="Times New Roman"/>
        <family val="1"/>
        <charset val="186"/>
      </rPr>
      <t xml:space="preserve"> (alga mēnesī).  Stundas tarifa likme 3.21 </t>
    </r>
    <r>
      <rPr>
        <i/>
        <sz val="12"/>
        <color theme="1"/>
        <rFont val="Times New Roman"/>
        <family val="1"/>
        <charset val="186"/>
      </rPr>
      <t>euro</t>
    </r>
    <r>
      <rPr>
        <sz val="12"/>
        <color theme="1"/>
        <rFont val="Times New Roman"/>
        <family val="1"/>
        <charset val="186"/>
      </rPr>
      <t xml:space="preserve"> = 540/21 (vid. darba dienu sk. mēnesī)/8 stundām/60=0.06 euro. 0.06*6 (Ekspozīcijas un izstāžu iekārtošana un uzturēšana 6 min)*1500 vienības = 540.00 </t>
    </r>
    <r>
      <rPr>
        <i/>
        <sz val="12"/>
        <color theme="1"/>
        <rFont val="Times New Roman"/>
        <family val="1"/>
        <charset val="186"/>
      </rPr>
      <t>euro.</t>
    </r>
  </si>
  <si>
    <r>
      <t>*</t>
    </r>
    <r>
      <rPr>
        <sz val="12"/>
        <color theme="1"/>
        <rFont val="Times New Roman"/>
        <family val="1"/>
        <charset val="186"/>
      </rPr>
      <t xml:space="preserve">Kasiere  (14 I) 383.00 </t>
    </r>
    <r>
      <rPr>
        <i/>
        <sz val="12"/>
        <color theme="1"/>
        <rFont val="Times New Roman"/>
        <family val="1"/>
        <charset val="186"/>
      </rPr>
      <t>euro</t>
    </r>
    <r>
      <rPr>
        <sz val="12"/>
        <color theme="1"/>
        <rFont val="Times New Roman"/>
        <family val="1"/>
        <charset val="186"/>
      </rPr>
      <t xml:space="preserve"> (alga mēnesī). Stundas tarifa likme 2.28 </t>
    </r>
    <r>
      <rPr>
        <i/>
        <sz val="12"/>
        <color theme="1"/>
        <rFont val="Times New Roman"/>
        <family val="1"/>
        <charset val="186"/>
      </rPr>
      <t xml:space="preserve">euro </t>
    </r>
    <r>
      <rPr>
        <sz val="12"/>
        <color theme="1"/>
        <rFont val="Times New Roman"/>
        <family val="1"/>
        <charset val="186"/>
      </rPr>
      <t xml:space="preserve">=383/21 (vid. darba dienu sk. mēnesī)/8 stundām/60=0.04 euro. 0.04*5 ((5 min viena apmeklētāja apkalpošanai (kasieris veic arī garderobista pienākumus)*100 vienības = 20.00 </t>
    </r>
    <r>
      <rPr>
        <i/>
        <sz val="12"/>
        <color theme="1"/>
        <rFont val="Times New Roman"/>
        <family val="1"/>
        <charset val="186"/>
      </rPr>
      <t>euro.</t>
    </r>
  </si>
  <si>
    <t>Ekspozīcijā un izstādēs esošo pamatlīdzekļu gada nolietojums 102 euro/ 100 vienības= 1.02 euro apmeklējums.</t>
  </si>
  <si>
    <r>
      <t xml:space="preserve">*Speciālists  (18 5 III) 640.00 </t>
    </r>
    <r>
      <rPr>
        <i/>
        <sz val="12"/>
        <color theme="1"/>
        <rFont val="Times New Roman"/>
        <family val="1"/>
        <charset val="186"/>
      </rPr>
      <t>euro</t>
    </r>
    <r>
      <rPr>
        <sz val="12"/>
        <color theme="1"/>
        <rFont val="Times New Roman"/>
        <family val="1"/>
        <charset val="186"/>
      </rPr>
      <t xml:space="preserve"> (alga mēnesī).  Stundas tarifa likme 3.82 </t>
    </r>
    <r>
      <rPr>
        <i/>
        <sz val="12"/>
        <color theme="1"/>
        <rFont val="Times New Roman"/>
        <family val="1"/>
        <charset val="186"/>
      </rPr>
      <t>euro</t>
    </r>
    <r>
      <rPr>
        <sz val="12"/>
        <color theme="1"/>
        <rFont val="Times New Roman"/>
        <family val="1"/>
        <charset val="186"/>
      </rPr>
      <t xml:space="preserve"> = 640/21 (vid. darba dienu sk. mēnesī)/8 stundām/60=0.06 euro. 0.06*2 (Ekspozīcijas un izstāžu iekārtošana un uzturēšana 2 min)*500 vienības = 60.00 </t>
    </r>
    <r>
      <rPr>
        <i/>
        <sz val="12"/>
        <color theme="1"/>
        <rFont val="Times New Roman"/>
        <family val="1"/>
        <charset val="186"/>
      </rPr>
      <t>euro.</t>
    </r>
  </si>
  <si>
    <r>
      <t>*</t>
    </r>
    <r>
      <rPr>
        <sz val="12"/>
        <color theme="1"/>
        <rFont val="Times New Roman"/>
        <family val="1"/>
        <charset val="186"/>
      </rPr>
      <t xml:space="preserve">Eksponātu uzraugs (4IIB) (0.5 slodze) kurinātājs (0.5 slodze) 373.00 </t>
    </r>
    <r>
      <rPr>
        <i/>
        <sz val="12"/>
        <color theme="1"/>
        <rFont val="Times New Roman"/>
        <family val="1"/>
        <charset val="186"/>
      </rPr>
      <t>euro</t>
    </r>
    <r>
      <rPr>
        <sz val="12"/>
        <color theme="1"/>
        <rFont val="Times New Roman"/>
        <family val="1"/>
        <charset val="186"/>
      </rPr>
      <t xml:space="preserve"> (alga mēnesī). Stundas tarifa likme 2.23 </t>
    </r>
    <r>
      <rPr>
        <i/>
        <sz val="12"/>
        <color theme="1"/>
        <rFont val="Times New Roman"/>
        <family val="1"/>
        <charset val="186"/>
      </rPr>
      <t xml:space="preserve">euro </t>
    </r>
    <r>
      <rPr>
        <sz val="12"/>
        <color theme="1"/>
        <rFont val="Times New Roman"/>
        <family val="1"/>
        <charset val="186"/>
      </rPr>
      <t xml:space="preserve">=373/21 (vid. darba dienu sk. mēnesī)/8 stundām/60=0.04 euro. 0.04*1.5 (1.5 min viena apmeklētāja apkalpošanai)*500 vienības = 30.00 </t>
    </r>
    <r>
      <rPr>
        <i/>
        <sz val="12"/>
        <color theme="1"/>
        <rFont val="Times New Roman"/>
        <family val="1"/>
        <charset val="186"/>
      </rPr>
      <t>euro.</t>
    </r>
  </si>
  <si>
    <r>
      <t>*</t>
    </r>
    <r>
      <rPr>
        <sz val="12"/>
        <color theme="1"/>
        <rFont val="Times New Roman"/>
        <family val="1"/>
        <charset val="186"/>
      </rPr>
      <t xml:space="preserve">Eksponātu uzraugs (4IIB) (0.5 slodze) kurinātājs (0.5 slodze) 373.00 </t>
    </r>
    <r>
      <rPr>
        <i/>
        <sz val="12"/>
        <color theme="1"/>
        <rFont val="Times New Roman"/>
        <family val="1"/>
        <charset val="186"/>
      </rPr>
      <t>euro</t>
    </r>
    <r>
      <rPr>
        <sz val="12"/>
        <color theme="1"/>
        <rFont val="Times New Roman"/>
        <family val="1"/>
        <charset val="186"/>
      </rPr>
      <t xml:space="preserve"> (alga mēnesī). Stundas tarifa likme 2.23 </t>
    </r>
    <r>
      <rPr>
        <i/>
        <sz val="12"/>
        <color theme="1"/>
        <rFont val="Times New Roman"/>
        <family val="1"/>
        <charset val="186"/>
      </rPr>
      <t xml:space="preserve">euro </t>
    </r>
    <r>
      <rPr>
        <sz val="12"/>
        <color theme="1"/>
        <rFont val="Times New Roman"/>
        <family val="1"/>
        <charset val="186"/>
      </rPr>
      <t xml:space="preserve">=373/21 (vid. darba dienu sk. mēnesī)/8 stundām/60=0.04 euro. 0.04*2.5 (2.5min viena apmeklētāja apkalpošanai)*200 vienības = 20.00 </t>
    </r>
    <r>
      <rPr>
        <i/>
        <sz val="12"/>
        <color theme="1"/>
        <rFont val="Times New Roman"/>
        <family val="1"/>
        <charset val="186"/>
      </rPr>
      <t>euro.</t>
    </r>
  </si>
  <si>
    <r>
      <t>*</t>
    </r>
    <r>
      <rPr>
        <sz val="12"/>
        <color theme="1"/>
        <rFont val="Times New Roman"/>
        <family val="1"/>
        <charset val="186"/>
      </rPr>
      <t xml:space="preserve">Eksponātu uzraugs (4IIB) (0.5 slodze) kurinātājs (0.5 slodze) 373.00 </t>
    </r>
    <r>
      <rPr>
        <i/>
        <sz val="12"/>
        <color theme="1"/>
        <rFont val="Times New Roman"/>
        <family val="1"/>
        <charset val="186"/>
      </rPr>
      <t>euro</t>
    </r>
    <r>
      <rPr>
        <sz val="12"/>
        <color theme="1"/>
        <rFont val="Times New Roman"/>
        <family val="1"/>
        <charset val="186"/>
      </rPr>
      <t xml:space="preserve"> (alga mēnesī). Stundas tarifa likme 2.23 </t>
    </r>
    <r>
      <rPr>
        <i/>
        <sz val="12"/>
        <color theme="1"/>
        <rFont val="Times New Roman"/>
        <family val="1"/>
        <charset val="186"/>
      </rPr>
      <t xml:space="preserve">euro </t>
    </r>
    <r>
      <rPr>
        <sz val="12"/>
        <color theme="1"/>
        <rFont val="Times New Roman"/>
        <family val="1"/>
        <charset val="186"/>
      </rPr>
      <t xml:space="preserve">=373/21 (vid. darba dienu sk. mēnesī)/8 stundām/60=0.04 euro. 0.04*3.5 (3.5 min viena apmeklētāja apkalpošanai)*300 vienības = 42.00 </t>
    </r>
    <r>
      <rPr>
        <i/>
        <sz val="12"/>
        <color theme="1"/>
        <rFont val="Times New Roman"/>
        <family val="1"/>
        <charset val="186"/>
      </rPr>
      <t>euro.</t>
    </r>
  </si>
  <si>
    <r>
      <t>*</t>
    </r>
    <r>
      <rPr>
        <sz val="12"/>
        <color theme="1"/>
        <rFont val="Times New Roman"/>
        <family val="1"/>
        <charset val="186"/>
      </rPr>
      <t xml:space="preserve">Eksponātu uzraugs (4IIB) (0.5 slodze) kurinātājs (0.5 slodze) 373.00 </t>
    </r>
    <r>
      <rPr>
        <i/>
        <sz val="12"/>
        <color theme="1"/>
        <rFont val="Times New Roman"/>
        <family val="1"/>
        <charset val="186"/>
      </rPr>
      <t>euro</t>
    </r>
    <r>
      <rPr>
        <sz val="12"/>
        <color theme="1"/>
        <rFont val="Times New Roman"/>
        <family val="1"/>
        <charset val="186"/>
      </rPr>
      <t xml:space="preserve"> (alga mēnesī). Stundas tarifa likme 2.23 </t>
    </r>
    <r>
      <rPr>
        <i/>
        <sz val="12"/>
        <color theme="1"/>
        <rFont val="Times New Roman"/>
        <family val="1"/>
        <charset val="186"/>
      </rPr>
      <t xml:space="preserve">euro </t>
    </r>
    <r>
      <rPr>
        <sz val="12"/>
        <color theme="1"/>
        <rFont val="Times New Roman"/>
        <family val="1"/>
        <charset val="186"/>
      </rPr>
      <t xml:space="preserve">=373/21 (vid. darba dienu sk. mēnesī)/8 stundām/60=0.04 euro. 0.04*10 (10 min viena apmeklētāja apkalpošanai)*10 vienības = 4.00 </t>
    </r>
    <r>
      <rPr>
        <i/>
        <sz val="12"/>
        <color theme="1"/>
        <rFont val="Times New Roman"/>
        <family val="1"/>
        <charset val="186"/>
      </rPr>
      <t>euro.</t>
    </r>
  </si>
  <si>
    <r>
      <t xml:space="preserve">*Speciālists (18.5III) 640.00 </t>
    </r>
    <r>
      <rPr>
        <i/>
        <sz val="12"/>
        <color theme="1"/>
        <rFont val="Times New Roman"/>
        <family val="1"/>
        <charset val="186"/>
      </rPr>
      <t>euro</t>
    </r>
    <r>
      <rPr>
        <sz val="12"/>
        <color theme="1"/>
        <rFont val="Times New Roman"/>
        <family val="1"/>
        <charset val="186"/>
      </rPr>
      <t xml:space="preserve"> (alga mēnesī).  Stundas tarifa likme 3.82 </t>
    </r>
    <r>
      <rPr>
        <i/>
        <sz val="12"/>
        <color theme="1"/>
        <rFont val="Times New Roman"/>
        <family val="1"/>
        <charset val="186"/>
      </rPr>
      <t>euro</t>
    </r>
    <r>
      <rPr>
        <sz val="12"/>
        <color theme="1"/>
        <rFont val="Times New Roman"/>
        <family val="1"/>
        <charset val="186"/>
      </rPr>
      <t xml:space="preserve"> = 640/21 (vid. darba dienu sk. mēnesī)/8 stundām/60=0.06 euro. 0.06*4 (Ekspozīcijas un izstāžu iekārtošana un uzturēšana 4 min)*200 vienības = 48.00 </t>
    </r>
    <r>
      <rPr>
        <i/>
        <sz val="12"/>
        <color theme="1"/>
        <rFont val="Times New Roman"/>
        <family val="1"/>
        <charset val="186"/>
      </rPr>
      <t>euro.</t>
    </r>
  </si>
  <si>
    <r>
      <t xml:space="preserve">*Speciālists (18.5III) 640.00 </t>
    </r>
    <r>
      <rPr>
        <i/>
        <sz val="12"/>
        <color theme="1"/>
        <rFont val="Times New Roman"/>
        <family val="1"/>
        <charset val="186"/>
      </rPr>
      <t>euro</t>
    </r>
    <r>
      <rPr>
        <sz val="12"/>
        <color theme="1"/>
        <rFont val="Times New Roman"/>
        <family val="1"/>
        <charset val="186"/>
      </rPr>
      <t xml:space="preserve"> (alga mēnesī).  Stundas tarifa likme 3.82 </t>
    </r>
    <r>
      <rPr>
        <i/>
        <sz val="12"/>
        <color theme="1"/>
        <rFont val="Times New Roman"/>
        <family val="1"/>
        <charset val="186"/>
      </rPr>
      <t>euro</t>
    </r>
    <r>
      <rPr>
        <sz val="12"/>
        <color theme="1"/>
        <rFont val="Times New Roman"/>
        <family val="1"/>
        <charset val="186"/>
      </rPr>
      <t xml:space="preserve"> = 640/21 (vid. darba dienu sk. mēnesī)/8 stundām/60=0.06 euro. 0.06*10 (Ekspozīcijas un izstāžu iekārtošana un uzturēšana 10 min)*300 vienības = 180.00 </t>
    </r>
    <r>
      <rPr>
        <i/>
        <sz val="12"/>
        <color theme="1"/>
        <rFont val="Times New Roman"/>
        <family val="1"/>
        <charset val="186"/>
      </rPr>
      <t>euro.</t>
    </r>
  </si>
  <si>
    <r>
      <t xml:space="preserve">*Speciālists (18.5III) 640.00 </t>
    </r>
    <r>
      <rPr>
        <i/>
        <sz val="12"/>
        <color theme="1"/>
        <rFont val="Times New Roman"/>
        <family val="1"/>
        <charset val="186"/>
      </rPr>
      <t>euro</t>
    </r>
    <r>
      <rPr>
        <sz val="12"/>
        <color theme="1"/>
        <rFont val="Times New Roman"/>
        <family val="1"/>
        <charset val="186"/>
      </rPr>
      <t xml:space="preserve"> (alga mēnesī).  Stundas tarifa likme 3.82 </t>
    </r>
    <r>
      <rPr>
        <i/>
        <sz val="12"/>
        <color theme="1"/>
        <rFont val="Times New Roman"/>
        <family val="1"/>
        <charset val="186"/>
      </rPr>
      <t>euro</t>
    </r>
    <r>
      <rPr>
        <sz val="12"/>
        <color theme="1"/>
        <rFont val="Times New Roman"/>
        <family val="1"/>
        <charset val="186"/>
      </rPr>
      <t xml:space="preserve"> = 640/21 (vid. darba dienu sk. mēnesī)/8 stundām/60=0.06 euro. 0.06*12 (Ekspozīcijas un izstāžu iekārtošana un uzturēšana 12 min)*10 vienības = 7.20 </t>
    </r>
    <r>
      <rPr>
        <i/>
        <sz val="12"/>
        <color theme="1"/>
        <rFont val="Times New Roman"/>
        <family val="1"/>
        <charset val="186"/>
      </rPr>
      <t>euro.</t>
    </r>
  </si>
  <si>
    <r>
      <t xml:space="preserve">*Speciālists (18.5III) 560.00 </t>
    </r>
    <r>
      <rPr>
        <i/>
        <sz val="12"/>
        <color theme="1"/>
        <rFont val="Times New Roman"/>
        <family val="1"/>
        <charset val="186"/>
      </rPr>
      <t>euro</t>
    </r>
    <r>
      <rPr>
        <sz val="12"/>
        <color theme="1"/>
        <rFont val="Times New Roman"/>
        <family val="1"/>
        <charset val="186"/>
      </rPr>
      <t xml:space="preserve"> (alga mēnesī).  Stundas tarifa likme 3.33 </t>
    </r>
    <r>
      <rPr>
        <i/>
        <sz val="12"/>
        <color theme="1"/>
        <rFont val="Times New Roman"/>
        <family val="1"/>
        <charset val="186"/>
      </rPr>
      <t>euro</t>
    </r>
    <r>
      <rPr>
        <sz val="12"/>
        <color theme="1"/>
        <rFont val="Times New Roman"/>
        <family val="1"/>
        <charset val="186"/>
      </rPr>
      <t xml:space="preserve"> = 560/21 (vid. darba dienu sk. mēnesī)/8 stundām/60=0.06 euro. 0.06*61 (Ekskursijas vadīšana un sagatavošana 61 min)*162 vienības = 592.92 </t>
    </r>
    <r>
      <rPr>
        <i/>
        <sz val="12"/>
        <color theme="1"/>
        <rFont val="Times New Roman"/>
        <family val="1"/>
        <charset val="186"/>
      </rPr>
      <t>euro.</t>
    </r>
  </si>
  <si>
    <r>
      <t>*</t>
    </r>
    <r>
      <rPr>
        <sz val="12"/>
        <color theme="1"/>
        <rFont val="Times New Roman"/>
        <family val="1"/>
        <charset val="186"/>
      </rPr>
      <t xml:space="preserve">Kasiere (14I) 400.00 </t>
    </r>
    <r>
      <rPr>
        <i/>
        <sz val="12"/>
        <color theme="1"/>
        <rFont val="Times New Roman"/>
        <family val="1"/>
        <charset val="186"/>
      </rPr>
      <t>euro</t>
    </r>
    <r>
      <rPr>
        <sz val="12"/>
        <color theme="1"/>
        <rFont val="Times New Roman"/>
        <family val="1"/>
        <charset val="186"/>
      </rPr>
      <t xml:space="preserve"> (alga mēnesī). Stundas tarifa likme 2.38 </t>
    </r>
    <r>
      <rPr>
        <i/>
        <sz val="12"/>
        <color theme="1"/>
        <rFont val="Times New Roman"/>
        <family val="1"/>
        <charset val="186"/>
      </rPr>
      <t xml:space="preserve">euro </t>
    </r>
    <r>
      <rPr>
        <sz val="12"/>
        <color theme="1"/>
        <rFont val="Times New Roman"/>
        <family val="1"/>
        <charset val="186"/>
      </rPr>
      <t xml:space="preserve">=400/21 (vid. darba dienu sk. mēnesī)/8 stundām/60=0.04 euro. 0.04*1 (1 min viena apmeklētāja apkalpošanai)*162 vienības = 6.48  </t>
    </r>
    <r>
      <rPr>
        <i/>
        <sz val="12"/>
        <color theme="1"/>
        <rFont val="Times New Roman"/>
        <family val="1"/>
        <charset val="186"/>
      </rPr>
      <t>euro.</t>
    </r>
  </si>
  <si>
    <r>
      <t>*</t>
    </r>
    <r>
      <rPr>
        <sz val="12"/>
        <color theme="1"/>
        <rFont val="Times New Roman"/>
        <family val="1"/>
        <charset val="186"/>
      </rPr>
      <t xml:space="preserve">Kasiere (14I) 400.00 </t>
    </r>
    <r>
      <rPr>
        <i/>
        <sz val="12"/>
        <color theme="1"/>
        <rFont val="Times New Roman"/>
        <family val="1"/>
        <charset val="186"/>
      </rPr>
      <t>euro</t>
    </r>
    <r>
      <rPr>
        <sz val="12"/>
        <color theme="1"/>
        <rFont val="Times New Roman"/>
        <family val="1"/>
        <charset val="186"/>
      </rPr>
      <t xml:space="preserve"> (alga mēnesī). Stundas tarifa likme 2.38 </t>
    </r>
    <r>
      <rPr>
        <i/>
        <sz val="12"/>
        <color theme="1"/>
        <rFont val="Times New Roman"/>
        <family val="1"/>
        <charset val="186"/>
      </rPr>
      <t xml:space="preserve">euro </t>
    </r>
    <r>
      <rPr>
        <sz val="12"/>
        <color theme="1"/>
        <rFont val="Times New Roman"/>
        <family val="1"/>
        <charset val="186"/>
      </rPr>
      <t xml:space="preserve">=400/21 (vid. darba dienu sk. mēnesī)/8 stundām/60=0.04 euro. 0.04*1 (1 min viena apmeklētāja apkalpošanai)*66 vienības = 2.64  </t>
    </r>
    <r>
      <rPr>
        <i/>
        <sz val="12"/>
        <color theme="1"/>
        <rFont val="Times New Roman"/>
        <family val="1"/>
        <charset val="186"/>
      </rPr>
      <t>euro.</t>
    </r>
  </si>
  <si>
    <r>
      <t>*</t>
    </r>
    <r>
      <rPr>
        <sz val="12"/>
        <color theme="1"/>
        <rFont val="Times New Roman"/>
        <family val="1"/>
        <charset val="186"/>
      </rPr>
      <t xml:space="preserve">Kasiere (14I) 400.00 </t>
    </r>
    <r>
      <rPr>
        <i/>
        <sz val="12"/>
        <color theme="1"/>
        <rFont val="Times New Roman"/>
        <family val="1"/>
        <charset val="186"/>
      </rPr>
      <t>euro</t>
    </r>
    <r>
      <rPr>
        <sz val="12"/>
        <color theme="1"/>
        <rFont val="Times New Roman"/>
        <family val="1"/>
        <charset val="186"/>
      </rPr>
      <t xml:space="preserve"> (alga mēnesī). Stundas tarifa likme 2.38 </t>
    </r>
    <r>
      <rPr>
        <i/>
        <sz val="12"/>
        <color theme="1"/>
        <rFont val="Times New Roman"/>
        <family val="1"/>
        <charset val="186"/>
      </rPr>
      <t xml:space="preserve">euro </t>
    </r>
    <r>
      <rPr>
        <sz val="12"/>
        <color theme="1"/>
        <rFont val="Times New Roman"/>
        <family val="1"/>
        <charset val="186"/>
      </rPr>
      <t xml:space="preserve">=400/21 (vid. darba dienu sk. mēnesī)/8 stundām=0.04 euro. 0.04*2 (2 min viena apmeklētāja apkalpošanai)*2 vienības =0.16  </t>
    </r>
    <r>
      <rPr>
        <i/>
        <sz val="12"/>
        <color theme="1"/>
        <rFont val="Times New Roman"/>
        <family val="1"/>
        <charset val="186"/>
      </rPr>
      <t>euro.</t>
    </r>
  </si>
  <si>
    <r>
      <t>*</t>
    </r>
    <r>
      <rPr>
        <sz val="12"/>
        <color theme="1"/>
        <rFont val="Times New Roman"/>
        <family val="1"/>
        <charset val="186"/>
      </rPr>
      <t xml:space="preserve">Kasiere (14I) 400.00 </t>
    </r>
    <r>
      <rPr>
        <i/>
        <sz val="12"/>
        <color theme="1"/>
        <rFont val="Times New Roman"/>
        <family val="1"/>
        <charset val="186"/>
      </rPr>
      <t>euro</t>
    </r>
    <r>
      <rPr>
        <sz val="12"/>
        <color theme="1"/>
        <rFont val="Times New Roman"/>
        <family val="1"/>
        <charset val="186"/>
      </rPr>
      <t xml:space="preserve"> (alga mēnesī). Stundas tarifa likme 2.38 </t>
    </r>
    <r>
      <rPr>
        <i/>
        <sz val="12"/>
        <color theme="1"/>
        <rFont val="Times New Roman"/>
        <family val="1"/>
        <charset val="186"/>
      </rPr>
      <t xml:space="preserve">euro </t>
    </r>
    <r>
      <rPr>
        <sz val="12"/>
        <color theme="1"/>
        <rFont val="Times New Roman"/>
        <family val="1"/>
        <charset val="186"/>
      </rPr>
      <t xml:space="preserve">=400/21 (vid. darba dienu sk. mēnesī)/8 stundām/60=0.04 euro. 0.04*1 (1 min viena apmeklētāja apkalpošanai)*30 vienības = 1.20  </t>
    </r>
    <r>
      <rPr>
        <i/>
        <sz val="12"/>
        <color theme="1"/>
        <rFont val="Times New Roman"/>
        <family val="1"/>
        <charset val="186"/>
      </rPr>
      <t>euro.</t>
    </r>
  </si>
  <si>
    <r>
      <t xml:space="preserve">*Speciālists (18.5. III) 560.00 </t>
    </r>
    <r>
      <rPr>
        <i/>
        <sz val="12"/>
        <color theme="1"/>
        <rFont val="Times New Roman"/>
        <family val="1"/>
        <charset val="186"/>
      </rPr>
      <t>euro</t>
    </r>
    <r>
      <rPr>
        <sz val="12"/>
        <color theme="1"/>
        <rFont val="Times New Roman"/>
        <family val="1"/>
        <charset val="186"/>
      </rPr>
      <t xml:space="preserve"> (alga mēnesī).  Stundas tarifa likme 3.33 </t>
    </r>
    <r>
      <rPr>
        <i/>
        <sz val="12"/>
        <color theme="1"/>
        <rFont val="Times New Roman"/>
        <family val="1"/>
        <charset val="186"/>
      </rPr>
      <t>euro</t>
    </r>
    <r>
      <rPr>
        <sz val="12"/>
        <color theme="1"/>
        <rFont val="Times New Roman"/>
        <family val="1"/>
        <charset val="186"/>
      </rPr>
      <t xml:space="preserve"> = 560/21 (vid. darba dienu sk. mēnesī)/8 stundām/60=0.06 euro. 0.06*87 (Ekskursijas vadīšana un sagatavošana 87min)*66 vienības = 344.52 </t>
    </r>
    <r>
      <rPr>
        <i/>
        <sz val="12"/>
        <color theme="1"/>
        <rFont val="Times New Roman"/>
        <family val="1"/>
        <charset val="186"/>
      </rPr>
      <t>euro.</t>
    </r>
  </si>
  <si>
    <r>
      <t>*</t>
    </r>
    <r>
      <rPr>
        <sz val="12"/>
        <color theme="1"/>
        <rFont val="Times New Roman"/>
        <family val="1"/>
        <charset val="186"/>
      </rPr>
      <t xml:space="preserve">Garderobists (13IA) 380.00 </t>
    </r>
    <r>
      <rPr>
        <i/>
        <sz val="12"/>
        <color theme="1"/>
        <rFont val="Times New Roman"/>
        <family val="1"/>
        <charset val="186"/>
      </rPr>
      <t>euro</t>
    </r>
    <r>
      <rPr>
        <sz val="12"/>
        <color theme="1"/>
        <rFont val="Times New Roman"/>
        <family val="1"/>
        <charset val="186"/>
      </rPr>
      <t xml:space="preserve"> (alga mēnesī). Stundas tarifa likme 2.26 </t>
    </r>
    <r>
      <rPr>
        <i/>
        <sz val="12"/>
        <color theme="1"/>
        <rFont val="Times New Roman"/>
        <family val="1"/>
        <charset val="186"/>
      </rPr>
      <t xml:space="preserve">euro </t>
    </r>
    <r>
      <rPr>
        <sz val="12"/>
        <color theme="1"/>
        <rFont val="Times New Roman"/>
        <family val="1"/>
        <charset val="186"/>
      </rPr>
      <t xml:space="preserve">=380/21 (vid. darba dienu sk. mēnesī)/8 stundām/60=0.04 euro. 0.04*1.5 (1.5 min viena apmeklētāja apkalpošanai)*66 vienības = 3.96  </t>
    </r>
    <r>
      <rPr>
        <i/>
        <sz val="12"/>
        <color theme="1"/>
        <rFont val="Times New Roman"/>
        <family val="1"/>
        <charset val="186"/>
      </rPr>
      <t>euro.</t>
    </r>
  </si>
  <si>
    <r>
      <t>*</t>
    </r>
    <r>
      <rPr>
        <sz val="12"/>
        <color theme="1"/>
        <rFont val="Times New Roman"/>
        <family val="1"/>
        <charset val="186"/>
      </rPr>
      <t xml:space="preserve">Garderobists (13IA) 380.00 </t>
    </r>
    <r>
      <rPr>
        <i/>
        <sz val="12"/>
        <color theme="1"/>
        <rFont val="Times New Roman"/>
        <family val="1"/>
        <charset val="186"/>
      </rPr>
      <t>euro</t>
    </r>
    <r>
      <rPr>
        <sz val="12"/>
        <color theme="1"/>
        <rFont val="Times New Roman"/>
        <family val="1"/>
        <charset val="186"/>
      </rPr>
      <t xml:space="preserve"> (alga mēnesī). Stundas tarifa likme 2.26 </t>
    </r>
    <r>
      <rPr>
        <i/>
        <sz val="12"/>
        <color theme="1"/>
        <rFont val="Times New Roman"/>
        <family val="1"/>
        <charset val="186"/>
      </rPr>
      <t xml:space="preserve">euro </t>
    </r>
    <r>
      <rPr>
        <sz val="12"/>
        <color theme="1"/>
        <rFont val="Times New Roman"/>
        <family val="1"/>
        <charset val="186"/>
      </rPr>
      <t xml:space="preserve">=380/21 (vid. darba dienu sk. mēnesī)/8 stundām/60=0.04 euro. 0.04*2 (2 min viena apmeklētāja apkalpošanai)*29 vienības = 2.32  </t>
    </r>
    <r>
      <rPr>
        <i/>
        <sz val="12"/>
        <color theme="1"/>
        <rFont val="Times New Roman"/>
        <family val="1"/>
        <charset val="186"/>
      </rPr>
      <t>euro.</t>
    </r>
  </si>
  <si>
    <r>
      <t>*</t>
    </r>
    <r>
      <rPr>
        <sz val="12"/>
        <color theme="1"/>
        <rFont val="Times New Roman"/>
        <family val="1"/>
        <charset val="186"/>
      </rPr>
      <t xml:space="preserve">Garderobists (13IA) 380.00 </t>
    </r>
    <r>
      <rPr>
        <i/>
        <sz val="12"/>
        <color theme="1"/>
        <rFont val="Times New Roman"/>
        <family val="1"/>
        <charset val="186"/>
      </rPr>
      <t>euro</t>
    </r>
    <r>
      <rPr>
        <sz val="12"/>
        <color theme="1"/>
        <rFont val="Times New Roman"/>
        <family val="1"/>
        <charset val="186"/>
      </rPr>
      <t xml:space="preserve"> (alga mēnesī). Stundas tarifa likme 2.26 </t>
    </r>
    <r>
      <rPr>
        <i/>
        <sz val="12"/>
        <color theme="1"/>
        <rFont val="Times New Roman"/>
        <family val="1"/>
        <charset val="186"/>
      </rPr>
      <t xml:space="preserve">euro </t>
    </r>
    <r>
      <rPr>
        <sz val="12"/>
        <color theme="1"/>
        <rFont val="Times New Roman"/>
        <family val="1"/>
        <charset val="186"/>
      </rPr>
      <t xml:space="preserve">=380/21 (vid. darba dienu sk. mēnesī)/8 stundām/60=0.04 euro. 0.04*2 (2 min viena apmeklētāja apkalpošanai)*30 vienības = 2.40  </t>
    </r>
    <r>
      <rPr>
        <i/>
        <sz val="12"/>
        <color theme="1"/>
        <rFont val="Times New Roman"/>
        <family val="1"/>
        <charset val="186"/>
      </rPr>
      <t>euro.</t>
    </r>
  </si>
  <si>
    <r>
      <t>*</t>
    </r>
    <r>
      <rPr>
        <sz val="12"/>
        <color theme="1"/>
        <rFont val="Times New Roman"/>
        <family val="1"/>
        <charset val="186"/>
      </rPr>
      <t xml:space="preserve">Garderobists (13IA) 380.00 </t>
    </r>
    <r>
      <rPr>
        <i/>
        <sz val="12"/>
        <color theme="1"/>
        <rFont val="Times New Roman"/>
        <family val="1"/>
        <charset val="186"/>
      </rPr>
      <t>euro</t>
    </r>
    <r>
      <rPr>
        <sz val="12"/>
        <color theme="1"/>
        <rFont val="Times New Roman"/>
        <family val="1"/>
        <charset val="186"/>
      </rPr>
      <t xml:space="preserve"> (alga mēnesī). Stundas tarifa likme 2.26 </t>
    </r>
    <r>
      <rPr>
        <i/>
        <sz val="12"/>
        <color theme="1"/>
        <rFont val="Times New Roman"/>
        <family val="1"/>
        <charset val="186"/>
      </rPr>
      <t xml:space="preserve">euro </t>
    </r>
    <r>
      <rPr>
        <sz val="12"/>
        <color theme="1"/>
        <rFont val="Times New Roman"/>
        <family val="1"/>
        <charset val="186"/>
      </rPr>
      <t xml:space="preserve">=380/21 (vid. darba dienu sk. mēnesī)/8 stundām=0.035 euro. 0.035*1 (1 min viena apmeklētāja apkalpošanai)*5 vienības = 0.17  </t>
    </r>
    <r>
      <rPr>
        <i/>
        <sz val="12"/>
        <color theme="1"/>
        <rFont val="Times New Roman"/>
        <family val="1"/>
        <charset val="186"/>
      </rPr>
      <t>euro.</t>
    </r>
  </si>
  <si>
    <r>
      <t xml:space="preserve">*Speciālists  (18 5II) 712.00 </t>
    </r>
    <r>
      <rPr>
        <i/>
        <sz val="12"/>
        <color theme="1"/>
        <rFont val="Times New Roman"/>
        <family val="1"/>
        <charset val="186"/>
      </rPr>
      <t>euro</t>
    </r>
    <r>
      <rPr>
        <sz val="12"/>
        <color theme="1"/>
        <rFont val="Times New Roman"/>
        <family val="1"/>
        <charset val="186"/>
      </rPr>
      <t xml:space="preserve"> (alga mēnesī).  Stundas tarifa likme 4.24 </t>
    </r>
    <r>
      <rPr>
        <i/>
        <sz val="12"/>
        <color theme="1"/>
        <rFont val="Times New Roman"/>
        <family val="1"/>
        <charset val="186"/>
      </rPr>
      <t>euro</t>
    </r>
    <r>
      <rPr>
        <sz val="12"/>
        <color theme="1"/>
        <rFont val="Times New Roman"/>
        <family val="1"/>
        <charset val="186"/>
      </rPr>
      <t xml:space="preserve"> = 712/21 (vid. darba dienu sk. mēnesī)/8 stundām/60=0.07 euro. 0.07*107 (Ekskursijas vadīšana un sagatavošana 107 min)*29 vienības = 217.21 </t>
    </r>
    <r>
      <rPr>
        <i/>
        <sz val="12"/>
        <color theme="1"/>
        <rFont val="Times New Roman"/>
        <family val="1"/>
        <charset val="186"/>
      </rPr>
      <t>euro.</t>
    </r>
  </si>
  <si>
    <r>
      <t>*</t>
    </r>
    <r>
      <rPr>
        <sz val="12"/>
        <color theme="1"/>
        <rFont val="Times New Roman"/>
        <family val="1"/>
        <charset val="186"/>
      </rPr>
      <t xml:space="preserve">Kasiere (14 I) 400.00 </t>
    </r>
    <r>
      <rPr>
        <i/>
        <sz val="12"/>
        <color theme="1"/>
        <rFont val="Times New Roman"/>
        <family val="1"/>
        <charset val="186"/>
      </rPr>
      <t>euro</t>
    </r>
    <r>
      <rPr>
        <sz val="12"/>
        <color theme="1"/>
        <rFont val="Times New Roman"/>
        <family val="1"/>
        <charset val="186"/>
      </rPr>
      <t xml:space="preserve"> (alga mēnesī). Stundas tarifa likme 2.38 </t>
    </r>
    <r>
      <rPr>
        <i/>
        <sz val="12"/>
        <color theme="1"/>
        <rFont val="Times New Roman"/>
        <family val="1"/>
        <charset val="186"/>
      </rPr>
      <t xml:space="preserve">euro </t>
    </r>
    <r>
      <rPr>
        <sz val="12"/>
        <color theme="1"/>
        <rFont val="Times New Roman"/>
        <family val="1"/>
        <charset val="186"/>
      </rPr>
      <t xml:space="preserve">=400/21 (vid. darba dienu sk. mēnesī)/8 stundām/60=0.04 euro. 0.04*4 (4 min viena apmeklētāja apkalpošanai)*29 vienības = 4.64  </t>
    </r>
    <r>
      <rPr>
        <i/>
        <sz val="12"/>
        <color theme="1"/>
        <rFont val="Times New Roman"/>
        <family val="1"/>
        <charset val="186"/>
      </rPr>
      <t>euro.</t>
    </r>
  </si>
  <si>
    <r>
      <t>*</t>
    </r>
    <r>
      <rPr>
        <sz val="12"/>
        <color theme="1"/>
        <rFont val="Times New Roman"/>
        <family val="1"/>
        <charset val="186"/>
      </rPr>
      <t xml:space="preserve">Garderobists (13 IA) 380.00 </t>
    </r>
    <r>
      <rPr>
        <i/>
        <sz val="12"/>
        <color theme="1"/>
        <rFont val="Times New Roman"/>
        <family val="1"/>
        <charset val="186"/>
      </rPr>
      <t>euro</t>
    </r>
    <r>
      <rPr>
        <sz val="12"/>
        <color theme="1"/>
        <rFont val="Times New Roman"/>
        <family val="1"/>
        <charset val="186"/>
      </rPr>
      <t xml:space="preserve"> (alga mēnesī). Stundas tarifa likme 2.26 </t>
    </r>
    <r>
      <rPr>
        <i/>
        <sz val="12"/>
        <color theme="1"/>
        <rFont val="Times New Roman"/>
        <family val="1"/>
        <charset val="186"/>
      </rPr>
      <t xml:space="preserve">euro </t>
    </r>
    <r>
      <rPr>
        <sz val="12"/>
        <color theme="1"/>
        <rFont val="Times New Roman"/>
        <family val="1"/>
        <charset val="186"/>
      </rPr>
      <t xml:space="preserve">=380/21 (vid. darba dienu sk. mēnesī)/8 stundām/60=0.04 euro. 0.04*2.5 (2.5 min viena apmeklētāja apkalpošanai)*29 vienības = 2.90 </t>
    </r>
    <r>
      <rPr>
        <i/>
        <sz val="12"/>
        <color theme="1"/>
        <rFont val="Times New Roman"/>
        <family val="1"/>
        <charset val="186"/>
      </rPr>
      <t>euro.</t>
    </r>
  </si>
  <si>
    <r>
      <t xml:space="preserve">*Speciālists (18.5.III) 560.00 </t>
    </r>
    <r>
      <rPr>
        <i/>
        <sz val="12"/>
        <color theme="1"/>
        <rFont val="Times New Roman"/>
        <family val="1"/>
        <charset val="186"/>
      </rPr>
      <t>euro</t>
    </r>
    <r>
      <rPr>
        <sz val="12"/>
        <color theme="1"/>
        <rFont val="Times New Roman"/>
        <family val="1"/>
        <charset val="186"/>
      </rPr>
      <t xml:space="preserve"> (alga mēnesī).  Stundas tarifa likme 3.33 </t>
    </r>
    <r>
      <rPr>
        <i/>
        <sz val="12"/>
        <color theme="1"/>
        <rFont val="Times New Roman"/>
        <family val="1"/>
        <charset val="186"/>
      </rPr>
      <t>euro</t>
    </r>
    <r>
      <rPr>
        <sz val="12"/>
        <color theme="1"/>
        <rFont val="Times New Roman"/>
        <family val="1"/>
        <charset val="186"/>
      </rPr>
      <t xml:space="preserve"> = 560/21 (vid. darba dienu sk. mēnesī)/8 stundām/60=0.06 euro. 0.06*59 (Ekskursijas vadīšana un sagatavošana 59 min)*29 vienības = 102.66 e</t>
    </r>
    <r>
      <rPr>
        <i/>
        <sz val="12"/>
        <color theme="1"/>
        <rFont val="Times New Roman"/>
        <family val="1"/>
        <charset val="186"/>
      </rPr>
      <t>uro.</t>
    </r>
  </si>
  <si>
    <r>
      <t>*</t>
    </r>
    <r>
      <rPr>
        <sz val="12"/>
        <color theme="1"/>
        <rFont val="Times New Roman"/>
        <family val="1"/>
        <charset val="186"/>
      </rPr>
      <t xml:space="preserve">Kasiere (14IA) 400.00 </t>
    </r>
    <r>
      <rPr>
        <i/>
        <sz val="12"/>
        <color theme="1"/>
        <rFont val="Times New Roman"/>
        <family val="1"/>
        <charset val="186"/>
      </rPr>
      <t>euro</t>
    </r>
    <r>
      <rPr>
        <sz val="12"/>
        <color theme="1"/>
        <rFont val="Times New Roman"/>
        <family val="1"/>
        <charset val="186"/>
      </rPr>
      <t xml:space="preserve"> (alga mēnesī). Stundas tarifa likme 2.38 </t>
    </r>
    <r>
      <rPr>
        <i/>
        <sz val="12"/>
        <color theme="1"/>
        <rFont val="Times New Roman"/>
        <family val="1"/>
        <charset val="186"/>
      </rPr>
      <t xml:space="preserve">euro </t>
    </r>
    <r>
      <rPr>
        <sz val="12"/>
        <color theme="1"/>
        <rFont val="Times New Roman"/>
        <family val="1"/>
        <charset val="186"/>
      </rPr>
      <t xml:space="preserve">=400/21 (vid. darba dienu sk. mēnesī)/8 stundām/60=0.04 euro. 0.04*2 (2 min viena apmeklētāja apkalpošanai)*29 vienības = 2.32 </t>
    </r>
    <r>
      <rPr>
        <i/>
        <sz val="12"/>
        <color theme="1"/>
        <rFont val="Times New Roman"/>
        <family val="1"/>
        <charset val="186"/>
      </rPr>
      <t>euro.</t>
    </r>
  </si>
  <si>
    <r>
      <t xml:space="preserve">*Speciālists (18.5 II) 712.00 </t>
    </r>
    <r>
      <rPr>
        <i/>
        <sz val="12"/>
        <color theme="1"/>
        <rFont val="Times New Roman"/>
        <family val="1"/>
        <charset val="186"/>
      </rPr>
      <t>euro</t>
    </r>
    <r>
      <rPr>
        <sz val="12"/>
        <color theme="1"/>
        <rFont val="Times New Roman"/>
        <family val="1"/>
        <charset val="186"/>
      </rPr>
      <t xml:space="preserve"> (alga mēnesī).  Stundas tarifa likme 4.24 </t>
    </r>
    <r>
      <rPr>
        <i/>
        <sz val="12"/>
        <color theme="1"/>
        <rFont val="Times New Roman"/>
        <family val="1"/>
        <charset val="186"/>
      </rPr>
      <t>euro</t>
    </r>
    <r>
      <rPr>
        <sz val="12"/>
        <color theme="1"/>
        <rFont val="Times New Roman"/>
        <family val="1"/>
        <charset val="186"/>
      </rPr>
      <t xml:space="preserve"> = 712/21 (vid. darba dienu sk. mēnesī)/8 stundām/60=0.07 euro. 0.07*165 (Ekskursijas vadīšana un sagatavošana 165 min)*30 vienības = 346.50 </t>
    </r>
    <r>
      <rPr>
        <i/>
        <sz val="12"/>
        <color theme="1"/>
        <rFont val="Times New Roman"/>
        <family val="1"/>
        <charset val="186"/>
      </rPr>
      <t>euro.</t>
    </r>
  </si>
  <si>
    <r>
      <t>*</t>
    </r>
    <r>
      <rPr>
        <sz val="12"/>
        <color theme="1"/>
        <rFont val="Times New Roman"/>
        <family val="1"/>
        <charset val="186"/>
      </rPr>
      <t xml:space="preserve">Kasiere (14IA) 400.00 </t>
    </r>
    <r>
      <rPr>
        <i/>
        <sz val="12"/>
        <color theme="1"/>
        <rFont val="Times New Roman"/>
        <family val="1"/>
        <charset val="186"/>
      </rPr>
      <t>euro</t>
    </r>
    <r>
      <rPr>
        <sz val="12"/>
        <color theme="1"/>
        <rFont val="Times New Roman"/>
        <family val="1"/>
        <charset val="186"/>
      </rPr>
      <t xml:space="preserve"> (alga mēnesī). Stundas tarifa likme 2.38 </t>
    </r>
    <r>
      <rPr>
        <i/>
        <sz val="12"/>
        <color theme="1"/>
        <rFont val="Times New Roman"/>
        <family val="1"/>
        <charset val="186"/>
      </rPr>
      <t xml:space="preserve">euro </t>
    </r>
    <r>
      <rPr>
        <sz val="12"/>
        <color theme="1"/>
        <rFont val="Times New Roman"/>
        <family val="1"/>
        <charset val="186"/>
      </rPr>
      <t xml:space="preserve">=400/21 (vid. darba dienu sk. mēnesī)/8 stundām/60=0.04 euro. 0.04*4(4 min viena apmeklētāja apkalpošanai)*30 vienības =4.80  </t>
    </r>
    <r>
      <rPr>
        <i/>
        <sz val="12"/>
        <color theme="1"/>
        <rFont val="Times New Roman"/>
        <family val="1"/>
        <charset val="186"/>
      </rPr>
      <t>euro.</t>
    </r>
  </si>
  <si>
    <r>
      <t xml:space="preserve">*Speciālists (18.5 II) 712.00 </t>
    </r>
    <r>
      <rPr>
        <i/>
        <sz val="12"/>
        <color theme="1"/>
        <rFont val="Times New Roman"/>
        <family val="1"/>
        <charset val="186"/>
      </rPr>
      <t>euro</t>
    </r>
    <r>
      <rPr>
        <sz val="12"/>
        <color theme="1"/>
        <rFont val="Times New Roman"/>
        <family val="1"/>
        <charset val="186"/>
      </rPr>
      <t xml:space="preserve"> (alga mēnesī).  Stundas tarifa likme 4.24 </t>
    </r>
    <r>
      <rPr>
        <i/>
        <sz val="12"/>
        <color theme="1"/>
        <rFont val="Times New Roman"/>
        <family val="1"/>
        <charset val="186"/>
      </rPr>
      <t>euro</t>
    </r>
    <r>
      <rPr>
        <sz val="12"/>
        <color theme="1"/>
        <rFont val="Times New Roman"/>
        <family val="1"/>
        <charset val="186"/>
      </rPr>
      <t xml:space="preserve"> = 712/21 (vid. darba dienu sk. mēnesī)/8 stundām/60=0.07 euro. 0.07*108 (Ekskursijas vadīšana un sagatavošana 108 min)*5 vienības = 37.80 </t>
    </r>
    <r>
      <rPr>
        <i/>
        <sz val="12"/>
        <color theme="1"/>
        <rFont val="Times New Roman"/>
        <family val="1"/>
        <charset val="186"/>
      </rPr>
      <t>euro.</t>
    </r>
  </si>
  <si>
    <r>
      <t>*</t>
    </r>
    <r>
      <rPr>
        <sz val="12"/>
        <color theme="1"/>
        <rFont val="Times New Roman"/>
        <family val="1"/>
        <charset val="186"/>
      </rPr>
      <t xml:space="preserve">Kasiere (14IA) 400.00 </t>
    </r>
    <r>
      <rPr>
        <i/>
        <sz val="12"/>
        <color theme="1"/>
        <rFont val="Times New Roman"/>
        <family val="1"/>
        <charset val="186"/>
      </rPr>
      <t>euro</t>
    </r>
    <r>
      <rPr>
        <sz val="12"/>
        <color theme="1"/>
        <rFont val="Times New Roman"/>
        <family val="1"/>
        <charset val="186"/>
      </rPr>
      <t xml:space="preserve"> (alga mēnesī). Stundas tarifa likme 2.38 </t>
    </r>
    <r>
      <rPr>
        <i/>
        <sz val="12"/>
        <color theme="1"/>
        <rFont val="Times New Roman"/>
        <family val="1"/>
        <charset val="186"/>
      </rPr>
      <t xml:space="preserve">euro </t>
    </r>
    <r>
      <rPr>
        <sz val="12"/>
        <color theme="1"/>
        <rFont val="Times New Roman"/>
        <family val="1"/>
        <charset val="186"/>
      </rPr>
      <t xml:space="preserve">=400/21 (vid. darba dienu sk. mēnesī)/8 stundām/60=0.04 euro. 0.04*4 (4 min viena apmeklētāja apkalpošanai)*5 vienības = 0.80  </t>
    </r>
    <r>
      <rPr>
        <i/>
        <sz val="12"/>
        <color theme="1"/>
        <rFont val="Times New Roman"/>
        <family val="1"/>
        <charset val="186"/>
      </rPr>
      <t>euro.</t>
    </r>
  </si>
  <si>
    <r>
      <t xml:space="preserve">*Speciālists (18.5 II) 712.00 </t>
    </r>
    <r>
      <rPr>
        <i/>
        <sz val="12"/>
        <color theme="1"/>
        <rFont val="Times New Roman"/>
        <family val="1"/>
        <charset val="186"/>
      </rPr>
      <t>euro</t>
    </r>
    <r>
      <rPr>
        <sz val="12"/>
        <color theme="1"/>
        <rFont val="Times New Roman"/>
        <family val="1"/>
        <charset val="186"/>
      </rPr>
      <t xml:space="preserve"> (alga mēnesī).  Stundas tarifa likme 4.24 </t>
    </r>
    <r>
      <rPr>
        <i/>
        <sz val="12"/>
        <color theme="1"/>
        <rFont val="Times New Roman"/>
        <family val="1"/>
        <charset val="186"/>
      </rPr>
      <t>euro</t>
    </r>
    <r>
      <rPr>
        <sz val="12"/>
        <color theme="1"/>
        <rFont val="Times New Roman"/>
        <family val="1"/>
        <charset val="186"/>
      </rPr>
      <t xml:space="preserve"> = 712/21 (vid. darba dienu sk. mēnesī)/8 stundām/60=0.07 euro. 0.07*165 (Ekskursijas vadīšana un sagatavošana 165 min)*1 vienības = 11.55 </t>
    </r>
    <r>
      <rPr>
        <i/>
        <sz val="12"/>
        <color theme="1"/>
        <rFont val="Times New Roman"/>
        <family val="1"/>
        <charset val="186"/>
      </rPr>
      <t>euro.</t>
    </r>
  </si>
  <si>
    <r>
      <t>*</t>
    </r>
    <r>
      <rPr>
        <sz val="12"/>
        <color theme="1"/>
        <rFont val="Times New Roman"/>
        <family val="1"/>
        <charset val="186"/>
      </rPr>
      <t xml:space="preserve">Garderobists (13IA) 380.00 </t>
    </r>
    <r>
      <rPr>
        <i/>
        <sz val="12"/>
        <color theme="1"/>
        <rFont val="Times New Roman"/>
        <family val="1"/>
        <charset val="186"/>
      </rPr>
      <t>euro</t>
    </r>
    <r>
      <rPr>
        <sz val="12"/>
        <color theme="1"/>
        <rFont val="Times New Roman"/>
        <family val="1"/>
        <charset val="186"/>
      </rPr>
      <t xml:space="preserve"> (alga mēnesī). Stundas tarifa likme 2.26 </t>
    </r>
    <r>
      <rPr>
        <i/>
        <sz val="12"/>
        <color theme="1"/>
        <rFont val="Times New Roman"/>
        <family val="1"/>
        <charset val="186"/>
      </rPr>
      <t xml:space="preserve">euro </t>
    </r>
    <r>
      <rPr>
        <sz val="12"/>
        <color theme="1"/>
        <rFont val="Times New Roman"/>
        <family val="1"/>
        <charset val="186"/>
      </rPr>
      <t xml:space="preserve">=380/21 (vid. darba dienu sk. mēnesī)/8 stundām/60=0.04 euro. 0.04*2.3 (2.3 min viena apmeklētāja apkalpošanai)*1 vienības = 0.09  </t>
    </r>
    <r>
      <rPr>
        <i/>
        <sz val="12"/>
        <color theme="1"/>
        <rFont val="Times New Roman"/>
        <family val="1"/>
        <charset val="186"/>
      </rPr>
      <t>euro.</t>
    </r>
  </si>
  <si>
    <r>
      <t xml:space="preserve">KOPĀ: 11.55+0.16+0.09=11.80 </t>
    </r>
    <r>
      <rPr>
        <i/>
        <sz val="12"/>
        <color theme="1"/>
        <rFont val="Times New Roman"/>
        <family val="1"/>
        <charset val="186"/>
      </rPr>
      <t>euro.</t>
    </r>
  </si>
  <si>
    <r>
      <t xml:space="preserve">*Speciālists  (18.5II) 712.00 </t>
    </r>
    <r>
      <rPr>
        <i/>
        <sz val="12"/>
        <color theme="1"/>
        <rFont val="Times New Roman"/>
        <family val="1"/>
        <charset val="186"/>
      </rPr>
      <t>euro</t>
    </r>
    <r>
      <rPr>
        <sz val="12"/>
        <color theme="1"/>
        <rFont val="Times New Roman"/>
        <family val="1"/>
        <charset val="186"/>
      </rPr>
      <t xml:space="preserve"> (alga mēnesī).  Stundas tarifa likme 4.24 </t>
    </r>
    <r>
      <rPr>
        <i/>
        <sz val="12"/>
        <color theme="1"/>
        <rFont val="Times New Roman"/>
        <family val="1"/>
        <charset val="186"/>
      </rPr>
      <t>euro</t>
    </r>
    <r>
      <rPr>
        <sz val="12"/>
        <color theme="1"/>
        <rFont val="Times New Roman"/>
        <family val="1"/>
        <charset val="186"/>
      </rPr>
      <t xml:space="preserve"> = 712/21 (vid. darba dienu sk. mēnesī)/8 stundām/60=0.07 euro. 0.07*165 (Ekskursijas vadīšana un sagatavošana 165 min)*10 vienības =115.50 </t>
    </r>
    <r>
      <rPr>
        <i/>
        <sz val="12"/>
        <color theme="1"/>
        <rFont val="Times New Roman"/>
        <family val="1"/>
        <charset val="186"/>
      </rPr>
      <t>euro.</t>
    </r>
  </si>
  <si>
    <r>
      <t xml:space="preserve">*Speciālists  (18 5 III) 640.00 </t>
    </r>
    <r>
      <rPr>
        <i/>
        <sz val="12"/>
        <color theme="1"/>
        <rFont val="Times New Roman"/>
        <family val="1"/>
        <charset val="186"/>
      </rPr>
      <t>euro</t>
    </r>
    <r>
      <rPr>
        <sz val="12"/>
        <color theme="1"/>
        <rFont val="Times New Roman"/>
        <family val="1"/>
        <charset val="186"/>
      </rPr>
      <t xml:space="preserve"> (alga mēnesī).  Stundas tarifa likme 3.81 </t>
    </r>
    <r>
      <rPr>
        <i/>
        <sz val="12"/>
        <color theme="1"/>
        <rFont val="Times New Roman"/>
        <family val="1"/>
        <charset val="186"/>
      </rPr>
      <t>euro</t>
    </r>
    <r>
      <rPr>
        <sz val="12"/>
        <color theme="1"/>
        <rFont val="Times New Roman"/>
        <family val="1"/>
        <charset val="186"/>
      </rPr>
      <t xml:space="preserve"> = 640/21 (vid. darba dienu sk. mēnesī)/8 stundām/60=0.06 euro. 0.06*62 (Ekskursijas vadīšana un sagatavošana 62 min)*28 vienības = 104.16 </t>
    </r>
    <r>
      <rPr>
        <i/>
        <sz val="12"/>
        <color theme="1"/>
        <rFont val="Times New Roman"/>
        <family val="1"/>
        <charset val="186"/>
      </rPr>
      <t>euro.</t>
    </r>
  </si>
  <si>
    <r>
      <t>*</t>
    </r>
    <r>
      <rPr>
        <sz val="12"/>
        <rFont val="Times New Roman"/>
        <family val="1"/>
        <charset val="186"/>
      </rPr>
      <t xml:space="preserve">Dārznieks  (13 III) 380.00 </t>
    </r>
    <r>
      <rPr>
        <i/>
        <sz val="12"/>
        <rFont val="Times New Roman"/>
        <family val="1"/>
        <charset val="186"/>
      </rPr>
      <t>euro</t>
    </r>
    <r>
      <rPr>
        <sz val="12"/>
        <rFont val="Times New Roman"/>
        <family val="1"/>
        <charset val="186"/>
      </rPr>
      <t xml:space="preserve"> (alga mēnesī). Stundas tarifa likme 2.26 </t>
    </r>
    <r>
      <rPr>
        <i/>
        <sz val="12"/>
        <rFont val="Times New Roman"/>
        <family val="1"/>
        <charset val="186"/>
      </rPr>
      <t xml:space="preserve">euro </t>
    </r>
    <r>
      <rPr>
        <sz val="12"/>
        <rFont val="Times New Roman"/>
        <family val="1"/>
        <charset val="186"/>
      </rPr>
      <t xml:space="preserve">=380/21 (vid. darba dienu sk. mēnesī)/8 stundām/60=0.04 euro. 0.04*4 (4 min viena apmeklētāja apkalpošanai)*28 vienības =  4.48 </t>
    </r>
    <r>
      <rPr>
        <i/>
        <sz val="12"/>
        <rFont val="Times New Roman"/>
        <family val="1"/>
        <charset val="186"/>
      </rPr>
      <t>euro.</t>
    </r>
  </si>
  <si>
    <r>
      <t xml:space="preserve">Malkas gada vidējais izlietojums 655 euro/1900*10=3.45 </t>
    </r>
    <r>
      <rPr>
        <i/>
        <sz val="12"/>
        <rFont val="Times New Roman"/>
        <family val="1"/>
        <charset val="186"/>
      </rPr>
      <t>euro</t>
    </r>
    <r>
      <rPr>
        <sz val="12"/>
        <rFont val="Times New Roman"/>
        <family val="1"/>
        <charset val="186"/>
      </rPr>
      <t>.</t>
    </r>
  </si>
  <si>
    <t xml:space="preserve">Elektroenerģijai gada vidējais izlietojums euro 111/1900*28 vienības=1.64 euro. </t>
  </si>
  <si>
    <r>
      <t>*</t>
    </r>
    <r>
      <rPr>
        <sz val="12"/>
        <color theme="1"/>
        <rFont val="Times New Roman"/>
        <family val="1"/>
        <charset val="186"/>
      </rPr>
      <t xml:space="preserve">Dārznieks (13III) 380.00 </t>
    </r>
    <r>
      <rPr>
        <i/>
        <sz val="12"/>
        <color theme="1"/>
        <rFont val="Times New Roman"/>
        <family val="1"/>
        <charset val="186"/>
      </rPr>
      <t>euro</t>
    </r>
    <r>
      <rPr>
        <sz val="12"/>
        <color theme="1"/>
        <rFont val="Times New Roman"/>
        <family val="1"/>
        <charset val="186"/>
      </rPr>
      <t xml:space="preserve"> (alga mēnesī). Stundas tarifa likme 2.26 </t>
    </r>
    <r>
      <rPr>
        <i/>
        <sz val="12"/>
        <color theme="1"/>
        <rFont val="Times New Roman"/>
        <family val="1"/>
        <charset val="186"/>
      </rPr>
      <t xml:space="preserve">euro </t>
    </r>
    <r>
      <rPr>
        <sz val="12"/>
        <color theme="1"/>
        <rFont val="Times New Roman"/>
        <family val="1"/>
        <charset val="186"/>
      </rPr>
      <t xml:space="preserve">=380/21 (vid. darba dienu sk. mēnesī)/8 stundām/60=0.04 euro. 0.04*2 (2 min viena apmeklētāja apkalpošanai)*1 vienības =0.08 </t>
    </r>
    <r>
      <rPr>
        <i/>
        <sz val="12"/>
        <color theme="1"/>
        <rFont val="Times New Roman"/>
        <family val="1"/>
        <charset val="186"/>
      </rPr>
      <t>euro.</t>
    </r>
  </si>
  <si>
    <r>
      <t xml:space="preserve">*Speciālists  (18.5.III) 640.00 </t>
    </r>
    <r>
      <rPr>
        <i/>
        <sz val="12"/>
        <color theme="1"/>
        <rFont val="Times New Roman"/>
        <family val="1"/>
        <charset val="186"/>
      </rPr>
      <t>euro</t>
    </r>
    <r>
      <rPr>
        <sz val="12"/>
        <color theme="1"/>
        <rFont val="Times New Roman"/>
        <family val="1"/>
        <charset val="186"/>
      </rPr>
      <t xml:space="preserve"> (alga mēnesī).  Stundas tarifa likme 3.81 </t>
    </r>
    <r>
      <rPr>
        <i/>
        <sz val="12"/>
        <color theme="1"/>
        <rFont val="Times New Roman"/>
        <family val="1"/>
        <charset val="186"/>
      </rPr>
      <t>euro</t>
    </r>
    <r>
      <rPr>
        <sz val="12"/>
        <color theme="1"/>
        <rFont val="Times New Roman"/>
        <family val="1"/>
        <charset val="186"/>
      </rPr>
      <t xml:space="preserve"> = 640/21 (vid. darba dienu sk. mēnesī)/8 stundām/60=0.06 euro. 0.06*65 (Ekskursijas vadīšana un sagatavošana 65 min) *1 vienības = 3.90 </t>
    </r>
    <r>
      <rPr>
        <i/>
        <sz val="12"/>
        <color theme="1"/>
        <rFont val="Times New Roman"/>
        <family val="1"/>
        <charset val="186"/>
      </rPr>
      <t>euro.</t>
    </r>
  </si>
  <si>
    <r>
      <t xml:space="preserve">*Speciālists  (18.5.III) 640.00 </t>
    </r>
    <r>
      <rPr>
        <i/>
        <sz val="12"/>
        <color theme="1"/>
        <rFont val="Times New Roman"/>
        <family val="1"/>
        <charset val="186"/>
      </rPr>
      <t>euro</t>
    </r>
    <r>
      <rPr>
        <sz val="12"/>
        <color theme="1"/>
        <rFont val="Times New Roman"/>
        <family val="1"/>
        <charset val="186"/>
      </rPr>
      <t xml:space="preserve"> (alga mēnesī).  Stundas tarifa likme 3.81 </t>
    </r>
    <r>
      <rPr>
        <i/>
        <sz val="12"/>
        <color theme="1"/>
        <rFont val="Times New Roman"/>
        <family val="1"/>
        <charset val="186"/>
      </rPr>
      <t>euro</t>
    </r>
    <r>
      <rPr>
        <sz val="12"/>
        <color theme="1"/>
        <rFont val="Times New Roman"/>
        <family val="1"/>
        <charset val="186"/>
      </rPr>
      <t xml:space="preserve"> = 640/21 (vid. darba dienu sk. mēnesī)/8 stundām/60=0.06 euro. 0.06*120 (Ekskursijas vadīšana un sagatavošana 120 min)*1 vienības = 7.20 </t>
    </r>
    <r>
      <rPr>
        <i/>
        <sz val="12"/>
        <color theme="1"/>
        <rFont val="Times New Roman"/>
        <family val="1"/>
        <charset val="186"/>
      </rPr>
      <t>euro.</t>
    </r>
  </si>
  <si>
    <r>
      <t>*</t>
    </r>
    <r>
      <rPr>
        <sz val="12"/>
        <color theme="1"/>
        <rFont val="Times New Roman"/>
        <family val="1"/>
        <charset val="186"/>
      </rPr>
      <t xml:space="preserve">Dārznieks (13 III) 380.00 </t>
    </r>
    <r>
      <rPr>
        <i/>
        <sz val="12"/>
        <color theme="1"/>
        <rFont val="Times New Roman"/>
        <family val="1"/>
        <charset val="186"/>
      </rPr>
      <t>euro</t>
    </r>
    <r>
      <rPr>
        <sz val="12"/>
        <color theme="1"/>
        <rFont val="Times New Roman"/>
        <family val="1"/>
        <charset val="186"/>
      </rPr>
      <t xml:space="preserve"> (alga mēnesī). Stundas tarifa likme 2.26 </t>
    </r>
    <r>
      <rPr>
        <i/>
        <sz val="12"/>
        <color theme="1"/>
        <rFont val="Times New Roman"/>
        <family val="1"/>
        <charset val="186"/>
      </rPr>
      <t xml:space="preserve">euro </t>
    </r>
    <r>
      <rPr>
        <sz val="12"/>
        <color theme="1"/>
        <rFont val="Times New Roman"/>
        <family val="1"/>
        <charset val="186"/>
      </rPr>
      <t xml:space="preserve">=380/21 (vid. darba dienu sk. mēnesī)/8 stundām/60=0.04 euro. 0.04*5 (5 min viena apmeklētāja apkalpošanai)*1 vienības =0.20 </t>
    </r>
    <r>
      <rPr>
        <i/>
        <sz val="12"/>
        <color theme="1"/>
        <rFont val="Times New Roman"/>
        <family val="1"/>
        <charset val="186"/>
      </rPr>
      <t>euro.</t>
    </r>
  </si>
  <si>
    <t>*Eksponātu uzraugs (4IIB), kurinātājs (13IA) 373.00 euro (alga mēnesī). Stundas tarifa likme 2.22 euro =373/21 (vid. darba dienu sk. mēnesī)/8 stundām/60=0.04 euro. 0.04*5 (5 min viena apmeklētāja apkalpošanai)*1 vienības = 0.20  euro.</t>
  </si>
  <si>
    <r>
      <t xml:space="preserve">KOPĀ: 1328.25+14.26+13.80=1356.31 </t>
    </r>
    <r>
      <rPr>
        <i/>
        <sz val="12"/>
        <color indexed="8"/>
        <rFont val="Times New Roman"/>
        <family val="1"/>
        <charset val="186"/>
      </rPr>
      <t>euro.</t>
    </r>
  </si>
  <si>
    <r>
      <t xml:space="preserve">*Speciālists  (18.5.II) 712.00 </t>
    </r>
    <r>
      <rPr>
        <i/>
        <sz val="12"/>
        <color indexed="8"/>
        <rFont val="Times New Roman"/>
        <family val="1"/>
        <charset val="186"/>
      </rPr>
      <t>euro</t>
    </r>
    <r>
      <rPr>
        <sz val="12"/>
        <color indexed="8"/>
        <rFont val="Times New Roman"/>
        <family val="1"/>
        <charset val="186"/>
      </rPr>
      <t xml:space="preserve"> (alga mēnesī).  Stundas tarifa likme 4.24 </t>
    </r>
    <r>
      <rPr>
        <i/>
        <sz val="12"/>
        <color indexed="8"/>
        <rFont val="Times New Roman"/>
        <family val="1"/>
        <charset val="186"/>
      </rPr>
      <t>euro</t>
    </r>
    <r>
      <rPr>
        <sz val="12"/>
        <color indexed="8"/>
        <rFont val="Times New Roman"/>
        <family val="1"/>
        <charset val="186"/>
      </rPr>
      <t xml:space="preserve"> = 712/21 (vid. darba dienu sk. mēnesī)/8 stundām/60=0.071 euro. 0.07*165 (Muzejpedagoģiskās programmas vadīšana un sagatavošana 165 min)*115 vienības = 1328.25 </t>
    </r>
    <r>
      <rPr>
        <i/>
        <sz val="12"/>
        <color indexed="8"/>
        <rFont val="Times New Roman"/>
        <family val="1"/>
        <charset val="186"/>
      </rPr>
      <t>euro.</t>
    </r>
  </si>
  <si>
    <r>
      <t>*</t>
    </r>
    <r>
      <rPr>
        <sz val="12"/>
        <color indexed="8"/>
        <rFont val="Times New Roman"/>
        <family val="1"/>
        <charset val="186"/>
      </rPr>
      <t xml:space="preserve">Kasiere  (14I) 400.00 </t>
    </r>
    <r>
      <rPr>
        <i/>
        <sz val="12"/>
        <color indexed="8"/>
        <rFont val="Times New Roman"/>
        <family val="1"/>
        <charset val="186"/>
      </rPr>
      <t>euro</t>
    </r>
    <r>
      <rPr>
        <sz val="12"/>
        <color indexed="8"/>
        <rFont val="Times New Roman"/>
        <family val="1"/>
        <charset val="186"/>
      </rPr>
      <t xml:space="preserve"> (alga mēnesī). Stundas tarifa likme 2.38 </t>
    </r>
    <r>
      <rPr>
        <i/>
        <sz val="12"/>
        <color indexed="8"/>
        <rFont val="Times New Roman"/>
        <family val="1"/>
        <charset val="186"/>
      </rPr>
      <t xml:space="preserve">euro </t>
    </r>
    <r>
      <rPr>
        <sz val="12"/>
        <color indexed="8"/>
        <rFont val="Times New Roman"/>
        <family val="1"/>
        <charset val="186"/>
      </rPr>
      <t xml:space="preserve">=400/21 (vid. darba dienu sk. mēnesī)/8 stundām/60=0.04 euro. 0.04*3.1 (3.1 min viena apmeklētāja apkalpošanai)*115 vienības = 14.26  </t>
    </r>
    <r>
      <rPr>
        <i/>
        <sz val="12"/>
        <color indexed="8"/>
        <rFont val="Times New Roman"/>
        <family val="1"/>
        <charset val="186"/>
      </rPr>
      <t>euro.</t>
    </r>
  </si>
  <si>
    <r>
      <t>*</t>
    </r>
    <r>
      <rPr>
        <sz val="12"/>
        <color indexed="8"/>
        <rFont val="Times New Roman"/>
        <family val="1"/>
        <charset val="186"/>
      </rPr>
      <t xml:space="preserve">Garderobists (13IA) 380.00 </t>
    </r>
    <r>
      <rPr>
        <i/>
        <sz val="12"/>
        <color indexed="8"/>
        <rFont val="Times New Roman"/>
        <family val="1"/>
        <charset val="186"/>
      </rPr>
      <t>euro</t>
    </r>
    <r>
      <rPr>
        <sz val="12"/>
        <color indexed="8"/>
        <rFont val="Times New Roman"/>
        <family val="1"/>
        <charset val="186"/>
      </rPr>
      <t xml:space="preserve"> (alga mēnesī). Stundas tarifa likme 2.26 </t>
    </r>
    <r>
      <rPr>
        <i/>
        <sz val="12"/>
        <color indexed="8"/>
        <rFont val="Times New Roman"/>
        <family val="1"/>
        <charset val="186"/>
      </rPr>
      <t xml:space="preserve">euro </t>
    </r>
    <r>
      <rPr>
        <sz val="12"/>
        <color indexed="8"/>
        <rFont val="Times New Roman"/>
        <family val="1"/>
        <charset val="186"/>
      </rPr>
      <t xml:space="preserve">=380/21 (vid. darba dienu sk. mēnesī)/8 stundām/60=0.04 euro. 0.04*3 (3 min viena apmeklētāja apkalpošanai)*115 vienības = 13.80  </t>
    </r>
    <r>
      <rPr>
        <i/>
        <sz val="12"/>
        <color indexed="8"/>
        <rFont val="Times New Roman"/>
        <family val="1"/>
        <charset val="186"/>
      </rPr>
      <t>euro.</t>
    </r>
  </si>
  <si>
    <t>*Speciālists (18.5.II) 712.00 euro (alga mēnesī).  Stundas tarifa likme 4.24 euro = 712/21 (vid. darba dienu sk. mēnesī)/8 stundām/60=0.07 euro. 0.07*152 (Muzejpedagoģiskās programmas vadīšana un sagatavošana, izdales materiālu sagatavošana 152 min)*20 vienības = 212.80 euro. *Speciālists 500 euro (alga mēnesī) Stundas tarifa likme 2.98 euro = 450/21 (vid. darba dienu sk. mēnesī)/8 stundām/60=0.05 euro. 0.05*30 (Muzejpedagoģiskās programmas vadīšana un sagatavošana, izdales materiālu sagatavošana30)*20 vienības =30.00 euro. Kopā 212.80+30.00=242.80 euro.</t>
  </si>
  <si>
    <r>
      <t>*</t>
    </r>
    <r>
      <rPr>
        <sz val="12"/>
        <color theme="1"/>
        <rFont val="Times New Roman"/>
        <family val="1"/>
        <charset val="186"/>
      </rPr>
      <t xml:space="preserve">Kasiere  (14I) 400.00 </t>
    </r>
    <r>
      <rPr>
        <i/>
        <sz val="12"/>
        <color theme="1"/>
        <rFont val="Times New Roman"/>
        <family val="1"/>
        <charset val="186"/>
      </rPr>
      <t>euro</t>
    </r>
    <r>
      <rPr>
        <sz val="12"/>
        <color theme="1"/>
        <rFont val="Times New Roman"/>
        <family val="1"/>
        <charset val="186"/>
      </rPr>
      <t xml:space="preserve"> (alga mēnesī). Stundas tarifa likme 2.38 </t>
    </r>
    <r>
      <rPr>
        <i/>
        <sz val="12"/>
        <color theme="1"/>
        <rFont val="Times New Roman"/>
        <family val="1"/>
        <charset val="186"/>
      </rPr>
      <t xml:space="preserve">euro </t>
    </r>
    <r>
      <rPr>
        <sz val="12"/>
        <color theme="1"/>
        <rFont val="Times New Roman"/>
        <family val="1"/>
        <charset val="186"/>
      </rPr>
      <t xml:space="preserve">=400/21 (vid. darba dienu sk. mēnesī)/8 stundām/60=0.04 euro. 0.04*8 (8 min viena apmeklētāja apkalpošanai)*20 vienības=6.40  </t>
    </r>
    <r>
      <rPr>
        <i/>
        <sz val="12"/>
        <color theme="1"/>
        <rFont val="Times New Roman"/>
        <family val="1"/>
        <charset val="186"/>
      </rPr>
      <t>euro.</t>
    </r>
  </si>
  <si>
    <r>
      <t>*</t>
    </r>
    <r>
      <rPr>
        <sz val="12"/>
        <color theme="1"/>
        <rFont val="Times New Roman"/>
        <family val="1"/>
        <charset val="186"/>
      </rPr>
      <t xml:space="preserve">Garderobists (13IA) 380.00 </t>
    </r>
    <r>
      <rPr>
        <i/>
        <sz val="12"/>
        <color theme="1"/>
        <rFont val="Times New Roman"/>
        <family val="1"/>
        <charset val="186"/>
      </rPr>
      <t>euro</t>
    </r>
    <r>
      <rPr>
        <sz val="12"/>
        <color theme="1"/>
        <rFont val="Times New Roman"/>
        <family val="1"/>
        <charset val="186"/>
      </rPr>
      <t xml:space="preserve"> (alga mēnesī). Stundas tarifa likme 2.26 </t>
    </r>
    <r>
      <rPr>
        <i/>
        <sz val="12"/>
        <color theme="1"/>
        <rFont val="Times New Roman"/>
        <family val="1"/>
        <charset val="186"/>
      </rPr>
      <t xml:space="preserve">euro </t>
    </r>
    <r>
      <rPr>
        <sz val="12"/>
        <color theme="1"/>
        <rFont val="Times New Roman"/>
        <family val="1"/>
        <charset val="186"/>
      </rPr>
      <t xml:space="preserve">=380/21 (vid. darba dienu sk. mēnesī)/8 stundām/60=0.04 euro. 0.04*14.5 (14.5 min viena apmeklētāja apkalpošanai) *20 vienības = 11.60 </t>
    </r>
    <r>
      <rPr>
        <i/>
        <sz val="12"/>
        <color theme="1"/>
        <rFont val="Times New Roman"/>
        <family val="1"/>
        <charset val="186"/>
      </rPr>
      <t>euro.</t>
    </r>
  </si>
  <si>
    <r>
      <t xml:space="preserve">KOPĀ: 242.80+6.40+11.60=260.80 </t>
    </r>
    <r>
      <rPr>
        <i/>
        <sz val="12"/>
        <color theme="1"/>
        <rFont val="Times New Roman"/>
        <family val="1"/>
        <charset val="186"/>
      </rPr>
      <t>euro.</t>
    </r>
  </si>
  <si>
    <t>*Garderobists (13IA) 380.00 euro (alga mēnesī). Stundas tarifa likme 2.26 euro =380/21 (vid. darba dienu sk. mēnesī)/8 stundām/60=0.04 euro. 0.04*15.5 (15.5 min grupas apmeklētāju apkalpošanai)*50 vienības = 31.00  euro.</t>
  </si>
  <si>
    <t>*Speciālists  (18.5II) 712.00 euro (alga mēnesī).  Stundas tarifa likme 4.24 euro = 712/21 (vid. darba dienu sk. mēnesī)/8 stundām/60=0.07 euro. 0.07*210 (Muzejpedagoģiskās programmas vadīšana un sagatavošana, izdales materiālu sagatavošana 210 min)*50 vienības = 735.00 euro. *Speciālists 500 euro (alga mēnesī) Stundas tarifa likme 2.98 euro = 450/21 (vid. darba dienu sk. mēnesī)/8 stundām/60=0.04 euro. 0.04*210 (Muzejpedagoģiskās programmas vadīšana un sagatavošana, izdales materiālu sagatavošana 210)*50 vienības = 420.00 euro. Kopā 735.00+420.00=1155.00 euro.</t>
  </si>
  <si>
    <t>*Kasiere  (14I) 400.00 euro (alga mēnesī). Stundas tarifa likme 2.38 euro =400/21 (vid. darba dienu sk. mēnesī)/8 stundām/60=0.04 euro. 0.04*16 (16 min grupas apmeklētāju apkalpošanai)*50 vienības =32.00  euro. *Dežurants 380.00 euro (alga mēnesī). Stundas tarifa likme 2.26 euro =380/21 (vid. darba dienu sk. mēnesī)/8 stundām/60=0.04 euro. 0.04*16 (16 min grupas apmeklētāju apkalpošanai)*50 vienības =24.00  euro. Kopā 32.00+32.00=64.00 euro.</t>
  </si>
  <si>
    <t>*Speciālists (18.5II) 712.00 euro (alga mēnesī).  Stundas tarifa likme 4.24 euro = 712/21 (vid. darba dienu sk. mēnesī)/8 stundām/60=0.07 euro. 0.07*180 (Muzejpedagoģiskās programmas vadīšana un sagatavošana 180 min)*3 vienības = 37.80 euro. *Speciālists 500 euro (alga mēnesī) Stundas tarifa likme 2.98 euro = 500/21 (vid. darba dienu sk. mēnesī)/8 stundām/60=0.05 euro. 0.05*180 (Muzejpedagoģiskās programmas vadīšana un sagatavošana, izdales materiālu sagatavošana 180 min)*3 vienības = 27.00 euro. Kopā 37.80+27=64.80 euro.</t>
  </si>
  <si>
    <t>*Kasiere  (14I) 400.00 euro (alga mēnesī). Stundas tarifa likme 2.38 euro =400/21 (vid. darba dienu sk. mēnesī)/8 stundām/60=0.04 euro. 0.04*13.5 (13.5 min viena apmeklētāja apkalpošanai)*3 vienības =1.61 euro.</t>
  </si>
  <si>
    <t>*Garderobists  (13IA) 380.00 euro (alga mēnesī). Stundas tarifa likme 2.26 euro =380/21 (vid. darba dienu sk. mēnesī)/8 stundām/60=0.04 euro. 0.04*11 (11 min viena apmeklētāja apkalpošanai)*3 vienības = 1.32  euro.</t>
  </si>
  <si>
    <t>*Speciālists  (18.5II) 712.00 euro (alga mēnesī).  Stundas tarifa likme 4.24 euro = 712/21 (vid. darba dienu sk. mēnesī)/8 stundām/60=0.07 euro. 0.07*230 (Muzejpedagoģiskās programmas vadīšana un sagatavošana, izdales materiālu sagatavošana 230 min)*1 vienības = 16.10 euro. + 60 min virsstundu darbs 0.07*60*2=8.40 euro. *Speciālists 500 euro (alga mēnesī) Stundas tarifa likme 2.98 euro = 450/21 (vid. darba dienu sk. mēnesī)/8 stundām/60=0.05 euro. 0.05*210 (Muzejpedagoģiskās programmas vadīšana un sagatavošana, izdales materiālu sagatavošana 210 min)*1 vienības = 10.50 euro. + Virsstundu darbs 0.05*60 min*2=6.00 euro. Kopā 16.10+8.40+10.50+6.00=41.00 euro.</t>
  </si>
  <si>
    <t>*Garderobists  (13IA) 380.00 euro (alga mēnesī). Stundas tarifa likme 2.26 euro =380/21 (vid. darba dienu sk. mēnesī)/8 stundām/60=0.04 euro. 0.04*20 (20 min grupas apmeklētāju apkalpošanai)*1 vienības = 0.80  euro + 60 min virsstundu darbs 0.04*60*2=4.80 euro. Kopā: 0.80+4.80=5.60 euro.</t>
  </si>
  <si>
    <t>*Kasiere (14I) 400.00 euro (alga mēnesī). Stundas tarifa likme 2.38 euro =400/21 (vid. darba dienu sk. mēnesī)/8 stundām/60=0.04 euro. 0.04*20 (20 min grupas apmeklētāju apkalpošanai)*1 vienības =0.80  euro. *Dežurants 380.00 euro (alga mēnesī). Stundas tarifa likme 2.26 euro =380/21 (vid. darba dienu sk. mēnesī)/ 8 stundām/0.04 euro. 0.04*20.1 (20.1 min grupas apmeklētāju apkalpošanai)*1 vienības =0.81  euro. Kopā 0.80+0.81=1.61 euro.</t>
  </si>
  <si>
    <r>
      <t xml:space="preserve">KOPĀ: 41.00+1.61+5.60=48.21 </t>
    </r>
    <r>
      <rPr>
        <i/>
        <sz val="12"/>
        <color theme="1"/>
        <rFont val="Times New Roman"/>
        <family val="1"/>
        <charset val="186"/>
      </rPr>
      <t>euro.</t>
    </r>
  </si>
  <si>
    <t>*Speciālists  (18.5II) 712.00 euro (alga mēnesī).  Stundas tarifa likme 4.24 euro = 712/21 (vid. darba dienu sk. mēnesī)/8 stundām/60=0.07 euro. 0.07*250 (Muzejpedagoģiskās programmas vadīšana un sagatavošana, izdales materiālu sagatavošana 250 min)*1 vienības = 17.50 euro. *Speciālists 500 euro (alga mēnesī) Stundas tarifa likme 2.98 euro = 500/21 (vid. darba dienu sk. mēnesī)/8 stundām/60=0.05 euro. 0.05*270 (Muzejpedagoģiskās programmas vadīšana un sagatavošana, izdales materiālu sagatavošana 270 min)*1 vienības =13.50 euro. Kopā 17.50+13.50=31.00 euro.</t>
  </si>
  <si>
    <t>*Kasiere  (14I) 400.00 euro (alga mēnesī). Stundas tarifa likme 2.38 euro =400/21 (vid. darba dienu sk. mēnesī)/8 stundām/60=0.04 euro. 0.04*10 (10 min viena apmeklētāja apkalpošanai)*1 vienības =0.04  euro. *Dežurants 380.00 euro (alga mēnesī). Stundas tarifa likme 2.26 euro =380/21 (vid. darba dienu sk. mēnesī)/8 stundām/60=0.4 euro. 0.04*10 (10 min viena apmeklētāja apkalpošanai)*1 vienības =0.4 euro. Kopā 0.4+0.4=0.80 euro.</t>
  </si>
  <si>
    <t>Remontdarbi un iestāžu uzturēšanas pakalpojumi (izņemot kapitālo remontu) attiecināmā kopējā gada summa 20409 euro/ 24855 apmeklētāji*1 vienības=0.82 euro.</t>
  </si>
  <si>
    <r>
      <t xml:space="preserve">KOPĀ:31.00+0.80+0.395=32.20 </t>
    </r>
    <r>
      <rPr>
        <i/>
        <sz val="12"/>
        <color theme="1"/>
        <rFont val="Times New Roman"/>
        <family val="1"/>
        <charset val="186"/>
      </rPr>
      <t>euro.</t>
    </r>
  </si>
  <si>
    <t>*Garderobists (13IA) 380.00 euro (alga mēnesī). Stundas tarifa likme 2.26 euro =380/21 (vid. darba dienu sk. mēnesī)/8 stundām/60=0.04 euro. 0.04*10 (10 min viena apmeklētāja apkalpošanai)*1 vienības = 0.395  euro.</t>
  </si>
  <si>
    <t>*Speciālists  (18.5II) 712.00 euro (alga mēnesī).  Stundas tarifa likme 4.24 euro = 712/21 (vid. darba dienu sk. mēnesī)/8 stundām/60=0.07 euro. 0.07*380 (Muzejpedagoģiskās programmas vadīšana un sagatavošana, izdales materiālu sagatavošana 380 min)*1 vienības = 26.60 euro + 90 min virsstundu darbs 0.07*90*2= 12.60 euro. *Speciālists 450 euro (alga mēnesī) Stundas tarifa likme 2.67 euro = 450/21 (vid. darba dienu sk. mēnesī)/8 stundām/60=0.04 euro. 0.04*385 (Muzejpedagoģiskās programmas vadīšana un sagatavošana, izdales materiālu sagatavošana 385 min)*1 vienības = 15.40 euro. 0.04*90*2=7.20 euro (90 min virsstundu darbs). Kopā 26.60+12.60+15.40+7.20=61.80 euro.</t>
  </si>
  <si>
    <t>*Garderobists (13IA) 380.00 euro (alga mēnesī). Stundas tarifa likme 2.26 euro =380/21 (vid. darba dienu sk. mēnesī)/8 stundām/60=0.04 euro. 0.04*90 (90 min apmeklētāju apkalpošanai)*1 vienības*2 = 7.20  euro. Virsstundu darbs 0.04825 min=1.00eur kopā 4,60 eur</t>
  </si>
  <si>
    <r>
      <t xml:space="preserve">*Kasiere (14I) 400.00 euro (alga mēnesī). Stundas tarifa likme 2.38 euro =400/21 (vid. darba dienu sk. mēnesī)/8 stundām/60=0.04 euro. 0.04*19.4 (19.4 min grupas apmeklētāju apkalpošanai)*1 vienības=0.77  euro </t>
    </r>
    <r>
      <rPr>
        <sz val="12"/>
        <rFont val="Times New Roman"/>
        <family val="1"/>
        <charset val="186"/>
      </rPr>
      <t>+ 0.04*90*2=7.20 euro virsstundu darbs.</t>
    </r>
    <r>
      <rPr>
        <sz val="12"/>
        <color rgb="FFFF0000"/>
        <rFont val="Times New Roman"/>
        <family val="1"/>
        <charset val="186"/>
      </rPr>
      <t xml:space="preserve"> </t>
    </r>
    <r>
      <rPr>
        <sz val="12"/>
        <color indexed="8"/>
        <rFont val="Times New Roman"/>
        <family val="1"/>
        <charset val="186"/>
      </rPr>
      <t>*Dežurants 380.00 euro (alga mēnesī). Stundas tarifa likme 2.26 euro =380/21 (vid. darba dienu sk. mēnesī)/8 stundām/60=0.04 euro. 0.04*90 (90 min virsstundu darba laiks)*1 vienības=3.60 euro. Kopā  0.80+7.20+3.60=11.60 euro.</t>
    </r>
  </si>
  <si>
    <r>
      <t>*</t>
    </r>
    <r>
      <rPr>
        <sz val="12"/>
        <color indexed="8"/>
        <rFont val="Times New Roman"/>
        <family val="1"/>
        <charset val="186"/>
      </rPr>
      <t xml:space="preserve">Kasiere (14I) 400,00 </t>
    </r>
    <r>
      <rPr>
        <i/>
        <sz val="12"/>
        <color indexed="8"/>
        <rFont val="Times New Roman"/>
        <family val="1"/>
        <charset val="186"/>
      </rPr>
      <t>euro</t>
    </r>
    <r>
      <rPr>
        <sz val="12"/>
        <color indexed="8"/>
        <rFont val="Times New Roman"/>
        <family val="1"/>
        <charset val="186"/>
      </rPr>
      <t xml:space="preserve"> (alga mēnesī). Stundas tarifa likme 2.38 </t>
    </r>
    <r>
      <rPr>
        <i/>
        <sz val="12"/>
        <color indexed="8"/>
        <rFont val="Times New Roman"/>
        <family val="1"/>
        <charset val="186"/>
      </rPr>
      <t>euro</t>
    </r>
    <r>
      <rPr>
        <sz val="12"/>
        <color indexed="8"/>
        <rFont val="Times New Roman"/>
        <family val="1"/>
        <charset val="186"/>
      </rPr>
      <t xml:space="preserve">=400/21 (vid. darba dienu sk. mēnesī)/8 stundām/60=0.04 euro. 0.04*3 (3 min viena apmeklētāja apkalpošanai)*70 vienības =8.40  </t>
    </r>
    <r>
      <rPr>
        <i/>
        <sz val="12"/>
        <color indexed="8"/>
        <rFont val="Times New Roman"/>
        <family val="1"/>
        <charset val="186"/>
      </rPr>
      <t>euro.</t>
    </r>
  </si>
  <si>
    <r>
      <t xml:space="preserve">*Speciālists  (18.5.III) 712.00 </t>
    </r>
    <r>
      <rPr>
        <i/>
        <sz val="12"/>
        <color theme="1"/>
        <rFont val="Times New Roman"/>
        <family val="1"/>
        <charset val="186"/>
      </rPr>
      <t>euro</t>
    </r>
    <r>
      <rPr>
        <sz val="12"/>
        <color theme="1"/>
        <rFont val="Times New Roman"/>
        <family val="1"/>
        <charset val="186"/>
      </rPr>
      <t xml:space="preserve"> (alga mēnesī).  Stundas tarifa likme 4.24 </t>
    </r>
    <r>
      <rPr>
        <i/>
        <sz val="12"/>
        <color theme="1"/>
        <rFont val="Times New Roman"/>
        <family val="1"/>
        <charset val="186"/>
      </rPr>
      <t>euro</t>
    </r>
    <r>
      <rPr>
        <sz val="12"/>
        <color theme="1"/>
        <rFont val="Times New Roman"/>
        <family val="1"/>
        <charset val="186"/>
      </rPr>
      <t xml:space="preserve"> = 712/21 (vid. darba dienu sk. mēnesī)/8 stundām/60=0.07 euro. 0.07*190 (Muzejpedagoģiskās programmas vadīšana un sagatavošana, izdales materiālu sagatavošana 190 min)*1 vienības = 13.30 </t>
    </r>
    <r>
      <rPr>
        <i/>
        <sz val="12"/>
        <color theme="1"/>
        <rFont val="Times New Roman"/>
        <family val="1"/>
        <charset val="186"/>
      </rPr>
      <t>euro.</t>
    </r>
  </si>
  <si>
    <r>
      <t>*</t>
    </r>
    <r>
      <rPr>
        <sz val="12"/>
        <rFont val="Times New Roman"/>
        <family val="1"/>
        <charset val="186"/>
      </rPr>
      <t xml:space="preserve">Kasiere (14I)  400.00 </t>
    </r>
    <r>
      <rPr>
        <i/>
        <sz val="12"/>
        <rFont val="Times New Roman"/>
        <family val="1"/>
        <charset val="186"/>
      </rPr>
      <t>euro</t>
    </r>
    <r>
      <rPr>
        <sz val="12"/>
        <rFont val="Times New Roman"/>
        <family val="1"/>
        <charset val="186"/>
      </rPr>
      <t xml:space="preserve"> (alga mēnesī). Stundas tarifa likme 2.38 </t>
    </r>
    <r>
      <rPr>
        <i/>
        <sz val="12"/>
        <rFont val="Times New Roman"/>
        <family val="1"/>
        <charset val="186"/>
      </rPr>
      <t xml:space="preserve">euro </t>
    </r>
    <r>
      <rPr>
        <sz val="12"/>
        <rFont val="Times New Roman"/>
        <family val="1"/>
        <charset val="186"/>
      </rPr>
      <t xml:space="preserve">=400/21 (vid. darba dienu sk. mēnesī)/8 stundām/60=0.04 euro. 0.04*1 (min viena apmeklētāja apkalpošanai)*1 vienības*20 apmeklētāji =0.80  </t>
    </r>
    <r>
      <rPr>
        <i/>
        <sz val="12"/>
        <rFont val="Times New Roman"/>
        <family val="1"/>
        <charset val="186"/>
      </rPr>
      <t>euro.</t>
    </r>
  </si>
  <si>
    <r>
      <t>*</t>
    </r>
    <r>
      <rPr>
        <sz val="12"/>
        <rFont val="Times New Roman"/>
        <family val="1"/>
        <charset val="186"/>
      </rPr>
      <t xml:space="preserve">Dežurants  (4IA) 380.00 </t>
    </r>
    <r>
      <rPr>
        <i/>
        <sz val="12"/>
        <rFont val="Times New Roman"/>
        <family val="1"/>
        <charset val="186"/>
      </rPr>
      <t>euro</t>
    </r>
    <r>
      <rPr>
        <sz val="12"/>
        <rFont val="Times New Roman"/>
        <family val="1"/>
        <charset val="186"/>
      </rPr>
      <t xml:space="preserve"> (alga mēnesī). Stundas tarifa likme 2.26 </t>
    </r>
    <r>
      <rPr>
        <i/>
        <sz val="12"/>
        <rFont val="Times New Roman"/>
        <family val="1"/>
        <charset val="186"/>
      </rPr>
      <t xml:space="preserve">euro </t>
    </r>
    <r>
      <rPr>
        <sz val="12"/>
        <rFont val="Times New Roman"/>
        <family val="1"/>
        <charset val="186"/>
      </rPr>
      <t xml:space="preserve">=380/21 (vid. darba dienu sk. mēnesī)/8 stundām/60=0.04 euro. 0.04*2 (2 min viena apmeklētāja apkalpošanai)*1 vienības *20 apmeklētāji= 1.60  </t>
    </r>
    <r>
      <rPr>
        <i/>
        <sz val="12"/>
        <rFont val="Times New Roman"/>
        <family val="1"/>
        <charset val="186"/>
      </rPr>
      <t>euro.</t>
    </r>
  </si>
  <si>
    <t>*Speciālists  (18.5II) 712.00 euro (alga mēnesī).  Stundas tarifa likme 4.24 euro = 712/21 (vid. darba dienu sk. mēnesī)/8 stundām/60=0.07 euro. 0.07*190 (Muzejpedagoģiskās programmas vadīšana un sagatavošana, izdales materiālu sagatavošana 190 min)*50 vienības = 665.00 euro. *Speciālists 500 euro (alga mēnesī) Stundas tarifa likme 2.98 euro = 500/21 (vid. darba dienu sk. mēnesī)/8 stundām/60=0.05 euro. 0.05*210 (Muzejpedagoģiskās programmas vadīšana un sagatavošana, izdales materiālu sagatavošana 210 min)*50 vienības = 525.00 euro. Kopā 665.00+525.00=1190.00 euro.</t>
  </si>
  <si>
    <t>*Kasiere (14I) 400.00 euro (alga mēnesī). Stundas tarifa likme 2.38 euro =400/21 (vid. darba dienu sk. mēnesī)/8 stundām/60=0.04 euro. 0.04*1 (1 min viena apmeklētāja apkalpošanai)*50 vienības* =2.00  euro. *Dežurants 380.00 euro (alga mēnesī). Stundas tarifa likme 2.26 euro =380/21 (vid. darba dienu sk. mēnesī)/8 stundām/60=0.04 euro. 0.04*180 (180 min apmeklētāja apkalpošanai)*50 vienības =  360.00 euro. Kopā 2.00+360.00=362.00 euro.</t>
  </si>
  <si>
    <t>*Eksponātu uzraugs (4IIB) 430.00 euro (alga mēnesī). Stundas tarifa likme 2.56 euro =430/21 (vid. darba dienu sk. mēnesī)/8 stundām/60=0.04 euro. 0.04*60 (60 min viena apmeklētāja apkalpošanai)*50 vienības = 120.00  euro.</t>
  </si>
  <si>
    <t>*Speciālists (18.5II) 712.00 euro (alga mēnesī).  Stundas tarifa likme 4.24 euro = 712/21 (vid. darba dienu sk. mēnesī)/8 stundām/60=0.07 euro. 0.07*165 (Muzejpedagoģiskās programmas vadīšana un sagatavošana 165 min)*50 vienības = 577.50 euro. *Speciālists 450 euro (alga mēnesī). Stundas tarifa likme 2.67 euro = 450/21 (vid. darba dienu sk. mēnesī)/8 stundām/60=0.04 euro. 0.04*110 (Muzejpedagoģiskās programmas vadīšana un sagatavošana, izdales materiālu sagatavošana 110 min)*50 vienības=220.00 euro. Kopā 577.50+220.00=797.50 euro.</t>
  </si>
  <si>
    <t>*Kasiere  (14I) 400.00 euro (alga mēnesī). Stundas tarifa likme 2.38 euro =400/21 (vid. darba dienu sk. mēnesī)/8 stundām/0.04 euro. 0.04*1 (1 min viena apmeklētāja apkalpošanai)*50 vienības =2.00  euro.</t>
  </si>
  <si>
    <t>*Dežurants  (4IA) 380.00 euro (alga mēnesī). Stundas tarifa likme 2.26 euro =380/21 (vid. darba dienu sk. mēnesī)/8 stundām/60=0.04 euro. 0.04*20 min (20 min grupas apmeklētāju apkalpošanai)*50 vienības *20 apmeklētāju = 40.00 euro.</t>
  </si>
  <si>
    <t>*Speciālists (18.5II) 712.00 euro (alga mēnesī).  Stundas tarifa likme 4.24 euro = 712/21 (vid. darba dienu sk. mēnesī)/8 stundām/60=0.07 euro. 0.07*190 (Muzejpedagoģiskās programmas vadīšana un sagatavošana, izdales materiālu sagatavošana 190 min)*1 vienības = 13.30 euro. *Speciālists 450 euro (alga mēnesī) Stundas tarifa likme 2.67 euro = 450/21 (vid. darba dienu sk. mēnesī)/8 stundām/60=0.04 euro. 0.04*123 (Muzejpedagoģiskās programmas vadīšana un sagatavošana, izdales materiālu sagatavošana 123 min)*1 vienības = 4.92 euro. Kopā 13.30+4.92=18.22 euro.</t>
  </si>
  <si>
    <t>*Kasiere  (14I) 400.00 euro (alga mēnesī). Stundas tarifa likme 2.38 euro =400/21 (vid. darba dienu sk. mēnesī)/8 stundām/60=0.04 euro. 0.04*1 (1 min viena apmeklētāja apkalpošanai)*1 vienības =0.04  euro. *Dežurants 380.00 euro (alga mēnesī). Stundas tarifa likme 2.26 euro =380/21 (vid. darba dienu sk. mēnesī)/8 stundām/0.04 euro. 0.04*2 (2 min viena apmeklētāja apkalpošanai)*1vienības =0.08  euro. Kopā 0.04+0.08=0.12 euro.</t>
  </si>
  <si>
    <t>*Speciālists  (18.5II) 712.00 euro (alga mēnesī).  Stundas tarifa likme 4.24 euro = 712/21 (vid. darba dienu sk. mēnesī)/8 stundām/60=0.07 euro. 0.07*210 (Muzejpedagoģiskās programmas vadīšana un sagatavošana 210 min)*1 vienības = 14.70 euro + virstundu darbs 0.07*2=0.14 euro. Kopā 14.84 euro. *Speciālists 450 euro (alga mēnesī) Stundas tarifa likme 2.67 euro = 450/21 (vid. darba dienu sk. mēnesī)/8 stundām. (Muzejpedagoģiskās programmas vadīšana un sagatavošana, izdales materiālu sagatavošana 210 min.) 0.04*210*1 vienības =8.40 euro. Virsstundas 2.67*2=5.34 euro. Kopā 13.74 euro. Pavisam kopā 14.70+13.74 = 32.98 euro.</t>
  </si>
  <si>
    <t>*Kasiere  (14I) 400.00 euro (alga mēnesī). Stundas tarifa likme 2.38 euro =400/21 (vid. darba dienu sk. mēnesī)/8 stundām/60=0.04 euro. 0.04*5 (5min grupas apmeklētāju apkalpošanai)*1 vienības =0.20  euro + virsstundu darbs 0.04*60 min*2=4.80 euro. Kopā 0.2+4.80= 5.00 euro.</t>
  </si>
  <si>
    <t>*Dežurants (4IA) 380.00 euro (alga mēnesī). Stundas tarifa likme 2.26 euro =380/21 (vid. darba dienu sk. mēnesī)/8 stundām/60 = 0.04 euro. 0.04 *30 (30 min grupas apmeklētāju apkalpošanai)*1 vienības = 1.20  euro. Virstundu darbs 0.04*60*2=4.80 euro. Kopā 5.22 euro. *Eksponātu uzraugs 2 gab virsstundu darbs (mēnešalga 430.00 euro) 0.04*2*2=0.16 euro. Kopā 7.36 euro.</t>
  </si>
  <si>
    <t>Elektroenerģijai gada vidējais izlietojums euro 568/1010*3 vienības=1.69 euro.</t>
  </si>
  <si>
    <r>
      <t xml:space="preserve">*Speciālists (18.5III) 640.00 </t>
    </r>
    <r>
      <rPr>
        <i/>
        <sz val="12"/>
        <color theme="1"/>
        <rFont val="Times New Roman"/>
        <family val="1"/>
        <charset val="186"/>
      </rPr>
      <t>euro</t>
    </r>
    <r>
      <rPr>
        <sz val="12"/>
        <color theme="1"/>
        <rFont val="Times New Roman"/>
        <family val="1"/>
        <charset val="186"/>
      </rPr>
      <t xml:space="preserve"> (alga mēnesī).  Stundas tarifa likme 3.81 </t>
    </r>
    <r>
      <rPr>
        <i/>
        <sz val="12"/>
        <color theme="1"/>
        <rFont val="Times New Roman"/>
        <family val="1"/>
        <charset val="186"/>
      </rPr>
      <t>euro</t>
    </r>
    <r>
      <rPr>
        <sz val="12"/>
        <color theme="1"/>
        <rFont val="Times New Roman"/>
        <family val="1"/>
        <charset val="186"/>
      </rPr>
      <t xml:space="preserve"> = 640/21 (vid. darba dienu sk. mēnesī)/8 stundām/60=0.06 euro. 0.06*128 (Muzejpedagoģiskās programmas vadīšana un sagatavošana 128 min)*3 vienības = 23.04 </t>
    </r>
    <r>
      <rPr>
        <i/>
        <sz val="12"/>
        <color theme="1"/>
        <rFont val="Times New Roman"/>
        <family val="1"/>
        <charset val="186"/>
      </rPr>
      <t>euro.</t>
    </r>
  </si>
  <si>
    <r>
      <t>*</t>
    </r>
    <r>
      <rPr>
        <sz val="12"/>
        <color theme="1"/>
        <rFont val="Times New Roman"/>
        <family val="1"/>
        <charset val="186"/>
      </rPr>
      <t xml:space="preserve">Filiāles vadītāja  (18.5.IV) 785.00 </t>
    </r>
    <r>
      <rPr>
        <i/>
        <sz val="12"/>
        <color theme="1"/>
        <rFont val="Times New Roman"/>
        <family val="1"/>
        <charset val="186"/>
      </rPr>
      <t>euro</t>
    </r>
    <r>
      <rPr>
        <sz val="12"/>
        <color theme="1"/>
        <rFont val="Times New Roman"/>
        <family val="1"/>
        <charset val="186"/>
      </rPr>
      <t xml:space="preserve"> (alga mēnesī). Stundas tarifa likme 4.67 </t>
    </r>
    <r>
      <rPr>
        <i/>
        <sz val="12"/>
        <color theme="1"/>
        <rFont val="Times New Roman"/>
        <family val="1"/>
        <charset val="186"/>
      </rPr>
      <t xml:space="preserve">euro </t>
    </r>
    <r>
      <rPr>
        <sz val="12"/>
        <color theme="1"/>
        <rFont val="Times New Roman"/>
        <family val="1"/>
        <charset val="186"/>
      </rPr>
      <t xml:space="preserve">=785/21 (vid. darba dienu sk. mēnesī)/8 stundām/60=0.08 euro. 0.08*20 (1 min viena apmeklētāja apkalpošanai)*3 vienības =4.80  </t>
    </r>
    <r>
      <rPr>
        <i/>
        <sz val="12"/>
        <color theme="1"/>
        <rFont val="Times New Roman"/>
        <family val="1"/>
        <charset val="186"/>
      </rPr>
      <t>euro.</t>
    </r>
  </si>
  <si>
    <r>
      <t>*</t>
    </r>
    <r>
      <rPr>
        <sz val="12"/>
        <color theme="1"/>
        <rFont val="Times New Roman"/>
        <family val="1"/>
        <charset val="186"/>
      </rPr>
      <t xml:space="preserve">Eksponātu uzraugs  (4IIB) 386.00 </t>
    </r>
    <r>
      <rPr>
        <i/>
        <sz val="12"/>
        <color theme="1"/>
        <rFont val="Times New Roman"/>
        <family val="1"/>
        <charset val="186"/>
      </rPr>
      <t>euro</t>
    </r>
    <r>
      <rPr>
        <sz val="12"/>
        <color theme="1"/>
        <rFont val="Times New Roman"/>
        <family val="1"/>
        <charset val="186"/>
      </rPr>
      <t xml:space="preserve"> (alga mēnesī). Stundas tarifa likme 2.30 </t>
    </r>
    <r>
      <rPr>
        <i/>
        <sz val="12"/>
        <color theme="1"/>
        <rFont val="Times New Roman"/>
        <family val="1"/>
        <charset val="186"/>
      </rPr>
      <t xml:space="preserve">euro </t>
    </r>
    <r>
      <rPr>
        <sz val="12"/>
        <color theme="1"/>
        <rFont val="Times New Roman"/>
        <family val="1"/>
        <charset val="186"/>
      </rPr>
      <t xml:space="preserve">= 386/21 (vid. darba dienu sk. mēnesī)/8 stundām/60=0.04 euro. 0.04*60 (60 min apmeklētāju apkalpošanai)*3 vienības = 7.20  </t>
    </r>
    <r>
      <rPr>
        <i/>
        <sz val="12"/>
        <color theme="1"/>
        <rFont val="Times New Roman"/>
        <family val="1"/>
        <charset val="186"/>
      </rPr>
      <t>euro.</t>
    </r>
  </si>
  <si>
    <r>
      <t xml:space="preserve">*Speciālists (18.5.III) 640.00 </t>
    </r>
    <r>
      <rPr>
        <i/>
        <sz val="12"/>
        <color theme="1"/>
        <rFont val="Times New Roman"/>
        <family val="1"/>
        <charset val="186"/>
      </rPr>
      <t>euro</t>
    </r>
    <r>
      <rPr>
        <sz val="12"/>
        <color theme="1"/>
        <rFont val="Times New Roman"/>
        <family val="1"/>
        <charset val="186"/>
      </rPr>
      <t xml:space="preserve"> (alga mēnesī).  Stundas tarifa likme 3.81 </t>
    </r>
    <r>
      <rPr>
        <i/>
        <sz val="12"/>
        <color theme="1"/>
        <rFont val="Times New Roman"/>
        <family val="1"/>
        <charset val="186"/>
      </rPr>
      <t>euro</t>
    </r>
    <r>
      <rPr>
        <sz val="12"/>
        <color theme="1"/>
        <rFont val="Times New Roman"/>
        <family val="1"/>
        <charset val="186"/>
      </rPr>
      <t xml:space="preserve"> = 640/21 (vid. darba dienu sk. mēnesī)/8 stundām/60=0.06 euro. 0.06*165 (Muzejpedagoģiskās programmas vadīšana un sagatavošana 165 min)*1 vienības = 9.90 </t>
    </r>
    <r>
      <rPr>
        <i/>
        <sz val="12"/>
        <color theme="1"/>
        <rFont val="Times New Roman"/>
        <family val="1"/>
        <charset val="186"/>
      </rPr>
      <t>euro.</t>
    </r>
  </si>
  <si>
    <r>
      <t>*</t>
    </r>
    <r>
      <rPr>
        <sz val="12"/>
        <rFont val="Times New Roman"/>
        <family val="1"/>
        <charset val="186"/>
      </rPr>
      <t xml:space="preserve">Filiāles vadītāja (18.5IV) 785.00 </t>
    </r>
    <r>
      <rPr>
        <i/>
        <sz val="12"/>
        <rFont val="Times New Roman"/>
        <family val="1"/>
        <charset val="186"/>
      </rPr>
      <t>euro</t>
    </r>
    <r>
      <rPr>
        <sz val="12"/>
        <rFont val="Times New Roman"/>
        <family val="1"/>
        <charset val="186"/>
      </rPr>
      <t xml:space="preserve"> (alga mēnesī). Stundas tarifa likme 4.67 </t>
    </r>
    <r>
      <rPr>
        <i/>
        <sz val="12"/>
        <rFont val="Times New Roman"/>
        <family val="1"/>
        <charset val="186"/>
      </rPr>
      <t xml:space="preserve">euro </t>
    </r>
    <r>
      <rPr>
        <sz val="12"/>
        <rFont val="Times New Roman"/>
        <family val="1"/>
        <charset val="186"/>
      </rPr>
      <t xml:space="preserve">=785/21 (vid. darba dienu sk. mēnesī)/8 stundām/60=0.08 euro. 0.08*120 (120 min apmeklētāja apkalpošanai)*1 vienības =9.60  </t>
    </r>
    <r>
      <rPr>
        <i/>
        <sz val="12"/>
        <rFont val="Times New Roman"/>
        <family val="1"/>
        <charset val="186"/>
      </rPr>
      <t>euro.</t>
    </r>
  </si>
  <si>
    <r>
      <t>*</t>
    </r>
    <r>
      <rPr>
        <sz val="12"/>
        <color theme="1"/>
        <rFont val="Times New Roman"/>
        <family val="1"/>
        <charset val="186"/>
      </rPr>
      <t xml:space="preserve">Eksponātu uzraugs (4IIB) 386.00 </t>
    </r>
    <r>
      <rPr>
        <i/>
        <sz val="12"/>
        <color theme="1"/>
        <rFont val="Times New Roman"/>
        <family val="1"/>
        <charset val="186"/>
      </rPr>
      <t>euro</t>
    </r>
    <r>
      <rPr>
        <sz val="12"/>
        <color theme="1"/>
        <rFont val="Times New Roman"/>
        <family val="1"/>
        <charset val="186"/>
      </rPr>
      <t xml:space="preserve"> (alga mēnesī). Stundas tarifa likme 2.30 </t>
    </r>
    <r>
      <rPr>
        <i/>
        <sz val="12"/>
        <color theme="1"/>
        <rFont val="Times New Roman"/>
        <family val="1"/>
        <charset val="186"/>
      </rPr>
      <t xml:space="preserve">euro </t>
    </r>
    <r>
      <rPr>
        <sz val="12"/>
        <color theme="1"/>
        <rFont val="Times New Roman"/>
        <family val="1"/>
        <charset val="186"/>
      </rPr>
      <t xml:space="preserve">=386/21 (vid. darba dienu sk. mēnesī)/8 stundām/60=0.04 euro. 0.04*86 (86 min grupas apmeklētāju apkalpošanai)*1 vienības =3.44  </t>
    </r>
    <r>
      <rPr>
        <i/>
        <sz val="12"/>
        <color theme="1"/>
        <rFont val="Times New Roman"/>
        <family val="1"/>
        <charset val="186"/>
      </rPr>
      <t>euro.</t>
    </r>
  </si>
  <si>
    <r>
      <t xml:space="preserve">*Nodaļas vadītājs  (18.5IV) 785.00 </t>
    </r>
    <r>
      <rPr>
        <i/>
        <sz val="12"/>
        <color theme="1"/>
        <rFont val="Times New Roman"/>
        <family val="1"/>
        <charset val="186"/>
      </rPr>
      <t>euro</t>
    </r>
    <r>
      <rPr>
        <sz val="12"/>
        <color theme="1"/>
        <rFont val="Times New Roman"/>
        <family val="1"/>
        <charset val="186"/>
      </rPr>
      <t xml:space="preserve"> (alga mēnesī).  Stundas tarifa likme 4.67 </t>
    </r>
    <r>
      <rPr>
        <i/>
        <sz val="12"/>
        <color theme="1"/>
        <rFont val="Times New Roman"/>
        <family val="1"/>
        <charset val="186"/>
      </rPr>
      <t>euro</t>
    </r>
    <r>
      <rPr>
        <sz val="12"/>
        <color theme="1"/>
        <rFont val="Times New Roman"/>
        <family val="1"/>
        <charset val="186"/>
      </rPr>
      <t xml:space="preserve"> = 785/21 (vid. darba dienu sk. mēnesī)/8 stundām/60=0.08 euro. 0.08*30 (Krājuma priekšmetu apstrāde 30 min)*15 vienības=36.00 euro.</t>
    </r>
  </si>
  <si>
    <t>*Speciālists restaurators (34III) 380 (alga mēnesī). Stundas tarifa likme 380/21/8=2.26 euro/60=0.04 euro. 0.04*33.5 (Eksponātu restaurācija utml darbi - 33.5 min)*15 vienības=20.10 euro.</t>
  </si>
  <si>
    <t>*Speciālists restaurators (34III) 380 (alga mēnesī). Stundas tarifa likme 380/21/8=2.26/60=0.04 euro. 0.04*60 (Eksponātu restaurācija utml darbi 60 min)*14 vienības=33.60 euro.</t>
  </si>
  <si>
    <r>
      <t xml:space="preserve">*Nodaļas vadītājs  (18.5IV) 785.00 </t>
    </r>
    <r>
      <rPr>
        <i/>
        <sz val="12"/>
        <color theme="1"/>
        <rFont val="Times New Roman"/>
        <family val="1"/>
        <charset val="186"/>
      </rPr>
      <t>euro</t>
    </r>
    <r>
      <rPr>
        <sz val="12"/>
        <color theme="1"/>
        <rFont val="Times New Roman"/>
        <family val="1"/>
        <charset val="186"/>
      </rPr>
      <t xml:space="preserve"> (alga mēnesī).  Stundas tarifa likme 4.67 </t>
    </r>
    <r>
      <rPr>
        <i/>
        <sz val="12"/>
        <color theme="1"/>
        <rFont val="Times New Roman"/>
        <family val="1"/>
        <charset val="186"/>
      </rPr>
      <t>euro</t>
    </r>
    <r>
      <rPr>
        <sz val="12"/>
        <color theme="1"/>
        <rFont val="Times New Roman"/>
        <family val="1"/>
        <charset val="186"/>
      </rPr>
      <t xml:space="preserve"> = 785/21 (vid. darba dienu sk. mēnesī)/8 stundām/60=0.08 euro. 0.08*60 (Krājuma priekšmetu apstrāde 30 min)*14 vienības=67.20 euro.</t>
    </r>
  </si>
  <si>
    <t>*Speciālists restaurators (34III) 380 (alga mēnesī). Stundas tarifa likme 380/21/8=2.26 euro/60=0.04 euro. 0.04*34.75 (Eksponātu restaurācija utml darbi - 34.75 min)*15 vienības=20.85 euro.</t>
  </si>
  <si>
    <r>
      <t xml:space="preserve">*Nodaļas vadītājs (18.5IV) 785.00 </t>
    </r>
    <r>
      <rPr>
        <i/>
        <sz val="12"/>
        <color theme="1"/>
        <rFont val="Times New Roman"/>
        <family val="1"/>
        <charset val="186"/>
      </rPr>
      <t>euro</t>
    </r>
    <r>
      <rPr>
        <sz val="12"/>
        <color theme="1"/>
        <rFont val="Times New Roman"/>
        <family val="1"/>
        <charset val="186"/>
      </rPr>
      <t xml:space="preserve"> (alga mēnesī).  Stundas tarifa likme 4.67 </t>
    </r>
    <r>
      <rPr>
        <i/>
        <sz val="12"/>
        <color theme="1"/>
        <rFont val="Times New Roman"/>
        <family val="1"/>
        <charset val="186"/>
      </rPr>
      <t>euro</t>
    </r>
    <r>
      <rPr>
        <sz val="12"/>
        <color theme="1"/>
        <rFont val="Times New Roman"/>
        <family val="1"/>
        <charset val="186"/>
      </rPr>
      <t xml:space="preserve"> = 785/21 (vid. darba dienu sk. mēnesī)/8 stundām/60=0.08 euro. 0.08*30 (Krājuma priekšmetu apstrāde 30 min)*1 vienības=2.40 euro.</t>
    </r>
  </si>
  <si>
    <t>*Speciālists restaurators (34III) 380 (alga mēnesī). Stundas tarifa likme 380/21/8=2.26 euro/60=0.04 euro. 0.04*30 (Eksponātu restaurācija utml darbi 30 min)*1 vienības=1.20 euro.</t>
  </si>
  <si>
    <t>*Eksponātu uzraugs (4IIB) 400.00 euro (alga mēnesī).  Stundas tarifa likme 2.38 euro = 400/21 (vid. darba dienu sk. mēnesī)/8 stundām/0.04 euro. 0.04*60 (Krājuma priekšmetu apstrāde 60 min)*1 vienības=2.40 euro.</t>
  </si>
  <si>
    <r>
      <t xml:space="preserve">*Nodaļas vadītājs (18.5IV) 785.00 </t>
    </r>
    <r>
      <rPr>
        <i/>
        <sz val="12"/>
        <color theme="1"/>
        <rFont val="Times New Roman"/>
        <family val="1"/>
        <charset val="186"/>
      </rPr>
      <t>euro</t>
    </r>
    <r>
      <rPr>
        <sz val="12"/>
        <color theme="1"/>
        <rFont val="Times New Roman"/>
        <family val="1"/>
        <charset val="186"/>
      </rPr>
      <t xml:space="preserve"> (alga mēnesī).  Stundas tarifa likme 4.67 </t>
    </r>
    <r>
      <rPr>
        <i/>
        <sz val="12"/>
        <color theme="1"/>
        <rFont val="Times New Roman"/>
        <family val="1"/>
        <charset val="186"/>
      </rPr>
      <t>euro</t>
    </r>
    <r>
      <rPr>
        <sz val="12"/>
        <color theme="1"/>
        <rFont val="Times New Roman"/>
        <family val="1"/>
        <charset val="186"/>
      </rPr>
      <t xml:space="preserve"> = 785/21 (vid. darba dienu sk. mēnesī)/8 stundām/60=0.08 euro. 0.08*30 (Krājuma priekšmetu apstrāde 30min)*15 vienības=36.00 euro.</t>
    </r>
  </si>
  <si>
    <t>*Speciālists restaurators  (34III) 380 (alga mēnesī). Stundas tarifa likme 380/21/8=2.26 euro/60=0.04 euro. 0.04*38 (Eksponātu restaurācija utml darbi - 38 min)*15 vienības=22.80 euro.</t>
  </si>
  <si>
    <t>*Speciālists restaurators   (34III) 380 (alga mēnesī). Stundas tarifa likme 380/21/8=2.26 euro/60=0.04 euro. 0.04*30 (Eksponātu restaurācija utml darbi 30 min)*5 vienības=6.00 euro.</t>
  </si>
  <si>
    <r>
      <t xml:space="preserve">*Nodaļas vadītājs   (18.5.IV) 785.00 </t>
    </r>
    <r>
      <rPr>
        <i/>
        <sz val="12"/>
        <color theme="1"/>
        <rFont val="Times New Roman"/>
        <family val="1"/>
        <charset val="186"/>
      </rPr>
      <t>euro</t>
    </r>
    <r>
      <rPr>
        <sz val="12"/>
        <color theme="1"/>
        <rFont val="Times New Roman"/>
        <family val="1"/>
        <charset val="186"/>
      </rPr>
      <t xml:space="preserve"> (alga mēnesī).  Stundas tarifa likme 4.67 </t>
    </r>
    <r>
      <rPr>
        <i/>
        <sz val="12"/>
        <color theme="1"/>
        <rFont val="Times New Roman"/>
        <family val="1"/>
        <charset val="186"/>
      </rPr>
      <t>euro</t>
    </r>
    <r>
      <rPr>
        <sz val="12"/>
        <color theme="1"/>
        <rFont val="Times New Roman"/>
        <family val="1"/>
        <charset val="186"/>
      </rPr>
      <t xml:space="preserve"> = 785/21 (vid. darba dienu sk. mēnesī)/8 stundām/60=0.08 euro. 0.08*30 (Krājuma priekšmetu apstrāde 30 min)*5 vienības=12.00 euro.</t>
    </r>
  </si>
  <si>
    <t>*Nodaļas vadītājs  (18.5.IV) 785.00 euro (alga mēnesī).  Stundas tarifa likme 4.67 euro = 785/21 (vid. darba dienu sk. mēnesī)/8 stundām/60=0.08 euro. Krājuma priekšmetu apstrāde 0.08*30min*1 vienības=2.40 euro.</t>
  </si>
  <si>
    <t>*Speciālists restaurators (34III) 380 (alga mēnesī). Stundas tarifa likme 380/21/8/60=0.04 euro. 0.04*60 (Eksponātu restaurācija utml darbi 60 min)*1 vienības=2.40 euro.</t>
  </si>
  <si>
    <r>
      <t xml:space="preserve">*Nodaļas vadītājs (18.5III) 785.00 </t>
    </r>
    <r>
      <rPr>
        <i/>
        <sz val="12"/>
        <color theme="1"/>
        <rFont val="Times New Roman"/>
        <family val="1"/>
        <charset val="186"/>
      </rPr>
      <t>euro</t>
    </r>
    <r>
      <rPr>
        <sz val="12"/>
        <color theme="1"/>
        <rFont val="Times New Roman"/>
        <family val="1"/>
        <charset val="186"/>
      </rPr>
      <t xml:space="preserve"> (alga mēnesī).  Stundas tarifa likme 4.67 </t>
    </r>
    <r>
      <rPr>
        <i/>
        <sz val="12"/>
        <color theme="1"/>
        <rFont val="Times New Roman"/>
        <family val="1"/>
        <charset val="186"/>
      </rPr>
      <t>euro</t>
    </r>
    <r>
      <rPr>
        <sz val="12"/>
        <color theme="1"/>
        <rFont val="Times New Roman"/>
        <family val="1"/>
        <charset val="186"/>
      </rPr>
      <t xml:space="preserve"> = 785/21 (vid. darba dienu sk. mēnesī)/8 stundām/60=0.08. Krājuma priekšmetu apstrāde 0.08*15 min*1 vienības=1.20 euro.</t>
    </r>
  </si>
  <si>
    <t>*Speciālists restaurators (34III) 380 (alga mēnesī). Stundas tarifa likme 380/21/8/60=0.04 euro. Eksponātu restaurācija utml darbi 60 min 0.04*60 min*1 vienības=2.40 euro.</t>
  </si>
  <si>
    <r>
      <t xml:space="preserve">*Nodaļas vadītājs (18.5III) 785.00 </t>
    </r>
    <r>
      <rPr>
        <i/>
        <sz val="12"/>
        <color theme="1"/>
        <rFont val="Times New Roman"/>
        <family val="1"/>
        <charset val="186"/>
      </rPr>
      <t>euro</t>
    </r>
    <r>
      <rPr>
        <sz val="12"/>
        <color theme="1"/>
        <rFont val="Times New Roman"/>
        <family val="1"/>
        <charset val="186"/>
      </rPr>
      <t xml:space="preserve"> (alga mēnesī).  Stundas tarifa likme 4.67 </t>
    </r>
    <r>
      <rPr>
        <i/>
        <sz val="12"/>
        <color theme="1"/>
        <rFont val="Times New Roman"/>
        <family val="1"/>
        <charset val="186"/>
      </rPr>
      <t>euro</t>
    </r>
    <r>
      <rPr>
        <sz val="12"/>
        <color theme="1"/>
        <rFont val="Times New Roman"/>
        <family val="1"/>
        <charset val="186"/>
      </rPr>
      <t xml:space="preserve"> = 785/21 (vid. darba dienu sk. mēnesī)/8 stundām/60=0.08 euro. Krājuma priekšmetu apstrāde 0.08*30 min*1 vienības=2.40 euro.</t>
    </r>
  </si>
  <si>
    <t>*Speciālists restaurators (34III) 380 (alga mēnesī). Stundas tarifa likme 380/21/8/60=0.04 euro. Eksponātu restaurācija utml darbi 120 min 0.04*120 min*1 vienības=4.80 euro.</t>
  </si>
  <si>
    <r>
      <t xml:space="preserve">*Nodaļas vadītājs (18.5IV) 785.00 </t>
    </r>
    <r>
      <rPr>
        <i/>
        <sz val="12"/>
        <color theme="1"/>
        <rFont val="Times New Roman"/>
        <family val="1"/>
        <charset val="186"/>
      </rPr>
      <t>euro</t>
    </r>
    <r>
      <rPr>
        <sz val="12"/>
        <color theme="1"/>
        <rFont val="Times New Roman"/>
        <family val="1"/>
        <charset val="186"/>
      </rPr>
      <t xml:space="preserve"> (alga mēnesī).  Stundas tarifa likme 4.67 </t>
    </r>
    <r>
      <rPr>
        <i/>
        <sz val="12"/>
        <color theme="1"/>
        <rFont val="Times New Roman"/>
        <family val="1"/>
        <charset val="186"/>
      </rPr>
      <t>euro</t>
    </r>
    <r>
      <rPr>
        <sz val="12"/>
        <color theme="1"/>
        <rFont val="Times New Roman"/>
        <family val="1"/>
        <charset val="186"/>
      </rPr>
      <t xml:space="preserve"> = 785/21 (vid. darba dienu sk. mēnesī)/8 stundām/60=0.08 euro. Krājuma priekšmetu apstrāde 0.08*30 min*1 vienības=2.40 euro.</t>
    </r>
  </si>
  <si>
    <r>
      <t xml:space="preserve">*Bibliotēkas  vadītājs (18.2III) 600.00 </t>
    </r>
    <r>
      <rPr>
        <i/>
        <sz val="12"/>
        <color theme="1"/>
        <rFont val="Times New Roman"/>
        <family val="1"/>
        <charset val="186"/>
      </rPr>
      <t>euro</t>
    </r>
    <r>
      <rPr>
        <sz val="12"/>
        <color theme="1"/>
        <rFont val="Times New Roman"/>
        <family val="1"/>
        <charset val="186"/>
      </rPr>
      <t xml:space="preserve"> (alga mēnesī).  Stundas tarifa likme 600/21 (vid. darba dienu sk. mēnesī)/8 stundām/60=0.06 euro. Bibliotēkas materiāla atlase un kopēšana 0.06*2 min* 15 vienības=1.80 euro.</t>
    </r>
  </si>
  <si>
    <r>
      <t xml:space="preserve">*Bibliotēkas  vadītājs  (18.2.III) 600.00 </t>
    </r>
    <r>
      <rPr>
        <i/>
        <sz val="12"/>
        <color theme="1"/>
        <rFont val="Times New Roman"/>
        <family val="1"/>
        <charset val="186"/>
      </rPr>
      <t>euro</t>
    </r>
    <r>
      <rPr>
        <sz val="12"/>
        <color theme="1"/>
        <rFont val="Times New Roman"/>
        <family val="1"/>
        <charset val="186"/>
      </rPr>
      <t xml:space="preserve"> (alga mēnesī).  Stundas tarifa likme 600/21 (vid. darba dienu sk. mēnesī)/8 stundām/60=0.06 euro. Bibliotēkas materiāla atlase un kopēšana 0.06*2 min*15 vienības=1.80 euro.</t>
    </r>
  </si>
  <si>
    <r>
      <t xml:space="preserve">*Speciālists (18.5III) 560.00 </t>
    </r>
    <r>
      <rPr>
        <i/>
        <sz val="12"/>
        <color indexed="8"/>
        <rFont val="Times New Roman"/>
        <family val="1"/>
        <charset val="186"/>
      </rPr>
      <t>euro</t>
    </r>
    <r>
      <rPr>
        <sz val="12"/>
        <color indexed="8"/>
        <rFont val="Times New Roman"/>
        <family val="1"/>
        <charset val="186"/>
      </rPr>
      <t xml:space="preserve"> (alga mēnesī).  Stundas tarifa likme 3.33 </t>
    </r>
    <r>
      <rPr>
        <i/>
        <sz val="12"/>
        <color indexed="8"/>
        <rFont val="Times New Roman"/>
        <family val="1"/>
        <charset val="186"/>
      </rPr>
      <t>euro</t>
    </r>
    <r>
      <rPr>
        <sz val="12"/>
        <color indexed="8"/>
        <rFont val="Times New Roman"/>
        <family val="1"/>
        <charset val="186"/>
      </rPr>
      <t xml:space="preserve"> = 560/21 (vid. darba dienu sk. mēnesī)/8 stundām/60=0.06 euro. 0.06*45 (Zāles iekārtošana un uzturēšana 45 min) *50 vienības = 135.00 </t>
    </r>
    <r>
      <rPr>
        <i/>
        <sz val="12"/>
        <color indexed="8"/>
        <rFont val="Times New Roman"/>
        <family val="1"/>
        <charset val="186"/>
      </rPr>
      <t>euro.</t>
    </r>
  </si>
  <si>
    <r>
      <t>*</t>
    </r>
    <r>
      <rPr>
        <sz val="12"/>
        <color indexed="8"/>
        <rFont val="Times New Roman"/>
        <family val="1"/>
        <charset val="186"/>
      </rPr>
      <t xml:space="preserve">Garderobists  (13IA) 380.00 </t>
    </r>
    <r>
      <rPr>
        <i/>
        <sz val="12"/>
        <color indexed="8"/>
        <rFont val="Times New Roman"/>
        <family val="1"/>
        <charset val="186"/>
      </rPr>
      <t>euro</t>
    </r>
    <r>
      <rPr>
        <sz val="12"/>
        <color indexed="8"/>
        <rFont val="Times New Roman"/>
        <family val="1"/>
        <charset val="186"/>
      </rPr>
      <t xml:space="preserve"> (alga mēnesī). Stundas tarifa likme 380/21 (vid. darba dienu sk. mēnesī)/8 stundām/60=0.04 euro. 0.04*2.5 (2.5 min viena pakalpojuma apmeklētāju apkalpošanai)*50 vienības = 5.00 </t>
    </r>
    <r>
      <rPr>
        <i/>
        <sz val="12"/>
        <color indexed="8"/>
        <rFont val="Times New Roman"/>
        <family val="1"/>
        <charset val="186"/>
      </rPr>
      <t>euro.</t>
    </r>
  </si>
  <si>
    <t>Gada nolietojums zālē esošajiem pamatlīdzekļiem 421/85*20=99.06 euro.</t>
  </si>
  <si>
    <t>*Speciālists  (18.5III) 560.00 euro (alga mēnesī).  Stundas tarifa likme 3.33 euro = 560/21 (vid. darba dienu sk. mēnesī)/8 stundām/60=0.06 euro. 0.06*37 (Zāles iekārtošana un uzturēšana 37 min)*20 vienības =44.40 euro. Virsstundu darbs 0.06*120 min*20=144.00 euro. Kopā 44.60+144.00=188.40 euro.</t>
  </si>
  <si>
    <t>*Garderobists  (13IA) 380.00 euro (alga mēnesī). Stundas tarifa likme 380/21 (vid. darba dienu sk. mēnesī)/8 stundām/60=0.04 euro. 0.04*120  min virsstundu darbs*20=96.00 euro.</t>
  </si>
  <si>
    <t>*Dežurants  (4IA) 380.00 euro (alga mēnesī). Stundas tarifa likme 2.26 euro =380/21 (vid. darba dienu sk. mēnesī)/8 stundām/60=0.04 euro. 0.04*120 min virsstundu darbs*20= 96.00 euro.</t>
  </si>
  <si>
    <t>Remontdarbi un iestāžu uzturēšanas pakalpojumi (izņemot kapitālo remontu) kopsumma 39646/1299 m2 *167 m2/85*10=599.64 euro.</t>
  </si>
  <si>
    <r>
      <t xml:space="preserve">*Speciālists (18.5III) 560.00 </t>
    </r>
    <r>
      <rPr>
        <i/>
        <sz val="12"/>
        <color indexed="8"/>
        <rFont val="Times New Roman"/>
        <family val="1"/>
        <charset val="186"/>
      </rPr>
      <t>euro</t>
    </r>
    <r>
      <rPr>
        <sz val="12"/>
        <color indexed="8"/>
        <rFont val="Times New Roman"/>
        <family val="1"/>
        <charset val="186"/>
      </rPr>
      <t xml:space="preserve"> (alga mēnesī).  Stundas tarifa likme 560/21 (vid. darba dienu sk. mēnesī)/8 stundām/60=0.06 euro. 0.06*30 (Zāles iekārtošana un uzturēšana 30 min)*10 vienības =18.00 </t>
    </r>
    <r>
      <rPr>
        <i/>
        <sz val="12"/>
        <color indexed="8"/>
        <rFont val="Times New Roman"/>
        <family val="1"/>
        <charset val="186"/>
      </rPr>
      <t xml:space="preserve">euro. </t>
    </r>
  </si>
  <si>
    <r>
      <t>*</t>
    </r>
    <r>
      <rPr>
        <sz val="12"/>
        <color indexed="8"/>
        <rFont val="Times New Roman"/>
        <family val="1"/>
        <charset val="186"/>
      </rPr>
      <t xml:space="preserve">Garderobists  (13IA) 380.00 </t>
    </r>
    <r>
      <rPr>
        <i/>
        <sz val="12"/>
        <color indexed="8"/>
        <rFont val="Times New Roman"/>
        <family val="1"/>
        <charset val="186"/>
      </rPr>
      <t>euro</t>
    </r>
    <r>
      <rPr>
        <sz val="12"/>
        <color indexed="8"/>
        <rFont val="Times New Roman"/>
        <family val="1"/>
        <charset val="186"/>
      </rPr>
      <t xml:space="preserve"> (alga mēnesī). Stundas tarifa likme 2.26 </t>
    </r>
    <r>
      <rPr>
        <i/>
        <sz val="12"/>
        <color indexed="8"/>
        <rFont val="Times New Roman"/>
        <family val="1"/>
        <charset val="186"/>
      </rPr>
      <t xml:space="preserve">euro </t>
    </r>
    <r>
      <rPr>
        <sz val="12"/>
        <color indexed="8"/>
        <rFont val="Times New Roman"/>
        <family val="1"/>
        <charset val="186"/>
      </rPr>
      <t xml:space="preserve">=380/21 (vid. darba dienu sk. mēnesī)/8 stundām/60=0.04 euro. 0.04* 72 (72 min viena pakalpojuma apmeklētāju apkalpošanai)*10 vienības=28.80 </t>
    </r>
    <r>
      <rPr>
        <i/>
        <sz val="12"/>
        <color indexed="8"/>
        <rFont val="Times New Roman"/>
        <family val="1"/>
        <charset val="186"/>
      </rPr>
      <t>euro.</t>
    </r>
  </si>
  <si>
    <r>
      <t>*</t>
    </r>
    <r>
      <rPr>
        <sz val="12"/>
        <color indexed="8"/>
        <rFont val="Times New Roman"/>
        <family val="1"/>
        <charset val="186"/>
      </rPr>
      <t xml:space="preserve">Dežurants (4IA) 380.00 </t>
    </r>
    <r>
      <rPr>
        <i/>
        <sz val="12"/>
        <color indexed="8"/>
        <rFont val="Times New Roman"/>
        <family val="1"/>
        <charset val="186"/>
      </rPr>
      <t>euro</t>
    </r>
    <r>
      <rPr>
        <sz val="12"/>
        <color indexed="8"/>
        <rFont val="Times New Roman"/>
        <family val="1"/>
        <charset val="186"/>
      </rPr>
      <t xml:space="preserve"> (alga mēnesī). Stundas tarifa likme 380/21 (vid. darba dienu sk. mēnesī)/8 stundām/60=0.04 euro. 0.04*72 (72 min viena pakalpojuma apmeklētāju apkalpošanai)*10 vienības=28.80 </t>
    </r>
    <r>
      <rPr>
        <i/>
        <sz val="12"/>
        <color indexed="8"/>
        <rFont val="Times New Roman"/>
        <family val="1"/>
        <charset val="186"/>
      </rPr>
      <t>euro.</t>
    </r>
  </si>
  <si>
    <r>
      <t xml:space="preserve">*Speciālists (18.5III) 560.00 </t>
    </r>
    <r>
      <rPr>
        <i/>
        <sz val="12"/>
        <color indexed="8"/>
        <rFont val="Times New Roman"/>
        <family val="1"/>
        <charset val="186"/>
      </rPr>
      <t>euro</t>
    </r>
    <r>
      <rPr>
        <sz val="12"/>
        <color indexed="8"/>
        <rFont val="Times New Roman"/>
        <family val="1"/>
        <charset val="186"/>
      </rPr>
      <t xml:space="preserve"> (alga mēnesī).  Stundas tarifa likme 3.33 </t>
    </r>
    <r>
      <rPr>
        <i/>
        <sz val="12"/>
        <color indexed="8"/>
        <rFont val="Times New Roman"/>
        <family val="1"/>
        <charset val="186"/>
      </rPr>
      <t>euro</t>
    </r>
    <r>
      <rPr>
        <sz val="12"/>
        <color indexed="8"/>
        <rFont val="Times New Roman"/>
        <family val="1"/>
        <charset val="186"/>
      </rPr>
      <t xml:space="preserve"> = 560/21 (vid. darba dienu sk. mēnesī)/8 stundām/60=0.06 euro.  0.06*120 min virsstundu drabs*5 =36.00 euro.</t>
    </r>
  </si>
  <si>
    <r>
      <t>*</t>
    </r>
    <r>
      <rPr>
        <sz val="12"/>
        <color indexed="8"/>
        <rFont val="Times New Roman"/>
        <family val="1"/>
        <charset val="186"/>
      </rPr>
      <t xml:space="preserve">Garderobists (13IA) 380.00 </t>
    </r>
    <r>
      <rPr>
        <i/>
        <sz val="12"/>
        <color indexed="8"/>
        <rFont val="Times New Roman"/>
        <family val="1"/>
        <charset val="186"/>
      </rPr>
      <t>euro</t>
    </r>
    <r>
      <rPr>
        <sz val="12"/>
        <color indexed="8"/>
        <rFont val="Times New Roman"/>
        <family val="1"/>
        <charset val="186"/>
      </rPr>
      <t xml:space="preserve"> (alga mēnesī). Stundas tarifa likme 380/21 (vid. darba dienu sk. mēnesī)/8 stundām/60=0.04 euro. 0.04*160 virsstundu darbs*5=32.00 </t>
    </r>
    <r>
      <rPr>
        <i/>
        <sz val="12"/>
        <color indexed="8"/>
        <rFont val="Times New Roman"/>
        <family val="1"/>
        <charset val="186"/>
      </rPr>
      <t>euro.</t>
    </r>
  </si>
  <si>
    <r>
      <t>*</t>
    </r>
    <r>
      <rPr>
        <sz val="12"/>
        <color indexed="8"/>
        <rFont val="Times New Roman"/>
        <family val="1"/>
        <charset val="186"/>
      </rPr>
      <t xml:space="preserve">Dežurants (4IA) 380.00 </t>
    </r>
    <r>
      <rPr>
        <i/>
        <sz val="12"/>
        <color indexed="8"/>
        <rFont val="Times New Roman"/>
        <family val="1"/>
        <charset val="186"/>
      </rPr>
      <t>euro</t>
    </r>
    <r>
      <rPr>
        <sz val="12"/>
        <color indexed="8"/>
        <rFont val="Times New Roman"/>
        <family val="1"/>
        <charset val="186"/>
      </rPr>
      <t xml:space="preserve"> (alga mēnesī). Stundas tarifa likme 380/21 (vid. darba dienu sk. mēnesī)/8 stundām/60=0.04 euro. 0.04*28.3 (28.3 min viena pakalpojuma apmeklētāju apkalpošanai)*5 vienības= 5.60 </t>
    </r>
    <r>
      <rPr>
        <i/>
        <sz val="12"/>
        <color indexed="8"/>
        <rFont val="Times New Roman"/>
        <family val="1"/>
        <charset val="186"/>
      </rPr>
      <t>euro.</t>
    </r>
  </si>
  <si>
    <r>
      <t xml:space="preserve">*Speciālists (18.5.III) 560.00 </t>
    </r>
    <r>
      <rPr>
        <i/>
        <sz val="12"/>
        <color indexed="8"/>
        <rFont val="Times New Roman"/>
        <family val="1"/>
        <charset val="186"/>
      </rPr>
      <t>euro</t>
    </r>
    <r>
      <rPr>
        <sz val="12"/>
        <color indexed="8"/>
        <rFont val="Times New Roman"/>
        <family val="1"/>
        <charset val="186"/>
      </rPr>
      <t xml:space="preserve"> (alga mēnesī).  Stundas tarifa likme 560/21 (vid. darba dienu sk. mēnesī)/8 stundām/60=0.06 euro. 0.06*30 (Zāles iekārtošana un uzturēšana 30 min)*1 vienības =1.80 </t>
    </r>
    <r>
      <rPr>
        <i/>
        <sz val="12"/>
        <color indexed="8"/>
        <rFont val="Times New Roman"/>
        <family val="1"/>
        <charset val="186"/>
      </rPr>
      <t xml:space="preserve">euro. </t>
    </r>
  </si>
  <si>
    <r>
      <t>*</t>
    </r>
    <r>
      <rPr>
        <sz val="12"/>
        <color indexed="8"/>
        <rFont val="Times New Roman"/>
        <family val="1"/>
        <charset val="186"/>
      </rPr>
      <t xml:space="preserve">Garderobists  (13IA) 380.00 </t>
    </r>
    <r>
      <rPr>
        <i/>
        <sz val="12"/>
        <color indexed="8"/>
        <rFont val="Times New Roman"/>
        <family val="1"/>
        <charset val="186"/>
      </rPr>
      <t>euro</t>
    </r>
    <r>
      <rPr>
        <sz val="12"/>
        <color indexed="8"/>
        <rFont val="Times New Roman"/>
        <family val="1"/>
        <charset val="186"/>
      </rPr>
      <t xml:space="preserve"> (alga mēnesī). Stundas tarifa likme 380/21 (vid. darba dienu sk. mēnesī)/8 stundām/60=0.04 euro. 0.04*68 (68 min viena pakalpojuma apmeklētāju apkalpošanai)*1= 2.72 </t>
    </r>
    <r>
      <rPr>
        <i/>
        <sz val="12"/>
        <color indexed="8"/>
        <rFont val="Times New Roman"/>
        <family val="1"/>
        <charset val="186"/>
      </rPr>
      <t>euro.</t>
    </r>
  </si>
  <si>
    <r>
      <t>*</t>
    </r>
    <r>
      <rPr>
        <sz val="12"/>
        <color indexed="8"/>
        <rFont val="Times New Roman"/>
        <family val="1"/>
        <charset val="186"/>
      </rPr>
      <t xml:space="preserve">Dežurants (4IA) 380.00 </t>
    </r>
    <r>
      <rPr>
        <i/>
        <sz val="12"/>
        <color indexed="8"/>
        <rFont val="Times New Roman"/>
        <family val="1"/>
        <charset val="186"/>
      </rPr>
      <t>euro</t>
    </r>
    <r>
      <rPr>
        <sz val="12"/>
        <color indexed="8"/>
        <rFont val="Times New Roman"/>
        <family val="1"/>
        <charset val="186"/>
      </rPr>
      <t xml:space="preserve"> (alga mēnesī). Stundas tarifa likme 2.26 </t>
    </r>
    <r>
      <rPr>
        <i/>
        <sz val="12"/>
        <color indexed="8"/>
        <rFont val="Times New Roman"/>
        <family val="1"/>
        <charset val="186"/>
      </rPr>
      <t xml:space="preserve">euro </t>
    </r>
    <r>
      <rPr>
        <sz val="12"/>
        <color indexed="8"/>
        <rFont val="Times New Roman"/>
        <family val="1"/>
        <charset val="186"/>
      </rPr>
      <t xml:space="preserve">=380/21 (vid. darba dienu sk. mēnesī)/8 stundām/60=0.04 euro. 0.04*60.7 (60.7 min viena pakalpojuma apmeklētāju apkalpošanai)*1= 2.43 </t>
    </r>
    <r>
      <rPr>
        <i/>
        <sz val="12"/>
        <color indexed="8"/>
        <rFont val="Times New Roman"/>
        <family val="1"/>
        <charset val="186"/>
      </rPr>
      <t>euro.</t>
    </r>
  </si>
  <si>
    <r>
      <t xml:space="preserve">*Speciālists  (18.5III) 560.00 </t>
    </r>
    <r>
      <rPr>
        <i/>
        <sz val="12"/>
        <color indexed="8"/>
        <rFont val="Times New Roman"/>
        <family val="1"/>
        <charset val="186"/>
      </rPr>
      <t>euro</t>
    </r>
    <r>
      <rPr>
        <sz val="12"/>
        <color indexed="8"/>
        <rFont val="Times New Roman"/>
        <family val="1"/>
        <charset val="186"/>
      </rPr>
      <t xml:space="preserve"> (alga mēnesī).  Stundas tarifa likme 3.33 </t>
    </r>
    <r>
      <rPr>
        <i/>
        <sz val="12"/>
        <color indexed="8"/>
        <rFont val="Times New Roman"/>
        <family val="1"/>
        <charset val="186"/>
      </rPr>
      <t>euro</t>
    </r>
    <r>
      <rPr>
        <sz val="12"/>
        <color indexed="8"/>
        <rFont val="Times New Roman"/>
        <family val="1"/>
        <charset val="186"/>
      </rPr>
      <t xml:space="preserve"> = 560/21 (vid. darba dienu sk. mēnesī)/8 stundām/60=0.06 euro. 0.06*30 min. zāles iekārtošana un uzturēšana*1 vienības =1.80 </t>
    </r>
    <r>
      <rPr>
        <i/>
        <sz val="12"/>
        <color indexed="8"/>
        <rFont val="Times New Roman"/>
        <family val="1"/>
        <charset val="186"/>
      </rPr>
      <t>euro.</t>
    </r>
  </si>
  <si>
    <r>
      <t>*</t>
    </r>
    <r>
      <rPr>
        <sz val="12"/>
        <color indexed="8"/>
        <rFont val="Times New Roman"/>
        <family val="1"/>
        <charset val="186"/>
      </rPr>
      <t xml:space="preserve">Garderobists (13IA) 380.00 </t>
    </r>
    <r>
      <rPr>
        <i/>
        <sz val="12"/>
        <color indexed="8"/>
        <rFont val="Times New Roman"/>
        <family val="1"/>
        <charset val="186"/>
      </rPr>
      <t>euro</t>
    </r>
    <r>
      <rPr>
        <sz val="12"/>
        <color indexed="8"/>
        <rFont val="Times New Roman"/>
        <family val="1"/>
        <charset val="186"/>
      </rPr>
      <t xml:space="preserve"> (alga mēnesī). Stundas tarifa likme 2.26 </t>
    </r>
    <r>
      <rPr>
        <i/>
        <sz val="12"/>
        <color indexed="8"/>
        <rFont val="Times New Roman"/>
        <family val="1"/>
        <charset val="186"/>
      </rPr>
      <t xml:space="preserve">euro </t>
    </r>
    <r>
      <rPr>
        <sz val="12"/>
        <color indexed="8"/>
        <rFont val="Times New Roman"/>
        <family val="1"/>
        <charset val="186"/>
      </rPr>
      <t xml:space="preserve">=380/21 (vid. darba dienu sk. mēnesī)/8 stundām/60=0.04 euro. 25 min viena pakalpojuma apmeklētāju apkalpošanai= 0.04*25*1 vienības = 1.00 </t>
    </r>
    <r>
      <rPr>
        <i/>
        <sz val="12"/>
        <color indexed="8"/>
        <rFont val="Times New Roman"/>
        <family val="1"/>
        <charset val="186"/>
      </rPr>
      <t>euro.</t>
    </r>
  </si>
  <si>
    <r>
      <t xml:space="preserve">*Speciālists (18.5.III) 560.00 </t>
    </r>
    <r>
      <rPr>
        <i/>
        <sz val="12"/>
        <color indexed="8"/>
        <rFont val="Times New Roman"/>
        <family val="1"/>
        <charset val="186"/>
      </rPr>
      <t>euro</t>
    </r>
    <r>
      <rPr>
        <sz val="12"/>
        <color indexed="8"/>
        <rFont val="Times New Roman"/>
        <family val="1"/>
        <charset val="186"/>
      </rPr>
      <t xml:space="preserve"> (alga mēnesī).  Stundas tarifa likme 3.33 </t>
    </r>
    <r>
      <rPr>
        <i/>
        <sz val="12"/>
        <color indexed="8"/>
        <rFont val="Times New Roman"/>
        <family val="1"/>
        <charset val="186"/>
      </rPr>
      <t>euro</t>
    </r>
    <r>
      <rPr>
        <sz val="12"/>
        <color indexed="8"/>
        <rFont val="Times New Roman"/>
        <family val="1"/>
        <charset val="186"/>
      </rPr>
      <t xml:space="preserve"> = 560/21 (vid. darba dienu sk. mēnesī)/8 stundām. Zāles iekārtošana un uzturēšana 92 min 0.05*92*1 vienības =4.60 </t>
    </r>
    <r>
      <rPr>
        <i/>
        <sz val="12"/>
        <color indexed="8"/>
        <rFont val="Times New Roman"/>
        <family val="1"/>
        <charset val="186"/>
      </rPr>
      <t xml:space="preserve">euro. </t>
    </r>
  </si>
  <si>
    <r>
      <t>*</t>
    </r>
    <r>
      <rPr>
        <sz val="12"/>
        <color theme="1"/>
        <rFont val="Times New Roman"/>
        <family val="1"/>
        <charset val="186"/>
      </rPr>
      <t xml:space="preserve">Dežurants (4IA) 380.00 </t>
    </r>
    <r>
      <rPr>
        <i/>
        <sz val="12"/>
        <color theme="1"/>
        <rFont val="Times New Roman"/>
        <family val="1"/>
        <charset val="186"/>
      </rPr>
      <t>euro</t>
    </r>
    <r>
      <rPr>
        <sz val="12"/>
        <color theme="1"/>
        <rFont val="Times New Roman"/>
        <family val="1"/>
        <charset val="186"/>
      </rPr>
      <t xml:space="preserve"> (alga mēnesī). Stundas tarifa likme 2.26 </t>
    </r>
    <r>
      <rPr>
        <i/>
        <sz val="12"/>
        <color theme="1"/>
        <rFont val="Times New Roman"/>
        <family val="1"/>
        <charset val="186"/>
      </rPr>
      <t xml:space="preserve">euro </t>
    </r>
    <r>
      <rPr>
        <sz val="12"/>
        <color theme="1"/>
        <rFont val="Times New Roman"/>
        <family val="1"/>
        <charset val="186"/>
      </rPr>
      <t xml:space="preserve">=380/21 (vid. darba dienu sk. mēnesī)/8 stundām. 60 min viena apmeklētāja apkalpošanai= 0.04*60*1 vienības = 2.40  </t>
    </r>
    <r>
      <rPr>
        <i/>
        <sz val="12"/>
        <color theme="1"/>
        <rFont val="Times New Roman"/>
        <family val="1"/>
        <charset val="186"/>
      </rPr>
      <t>euro.</t>
    </r>
  </si>
  <si>
    <r>
      <t>*</t>
    </r>
    <r>
      <rPr>
        <sz val="12"/>
        <color theme="1"/>
        <rFont val="Times New Roman"/>
        <family val="1"/>
        <charset val="186"/>
      </rPr>
      <t xml:space="preserve">Dārznieks  (4IA) 380.00 </t>
    </r>
    <r>
      <rPr>
        <i/>
        <sz val="12"/>
        <color theme="1"/>
        <rFont val="Times New Roman"/>
        <family val="1"/>
        <charset val="186"/>
      </rPr>
      <t>euro</t>
    </r>
    <r>
      <rPr>
        <sz val="12"/>
        <color theme="1"/>
        <rFont val="Times New Roman"/>
        <family val="1"/>
        <charset val="186"/>
      </rPr>
      <t xml:space="preserve"> (alga mēnesī). Stundas tarifa likme 2.26 </t>
    </r>
    <r>
      <rPr>
        <i/>
        <sz val="12"/>
        <color theme="1"/>
        <rFont val="Times New Roman"/>
        <family val="1"/>
        <charset val="186"/>
      </rPr>
      <t xml:space="preserve">euro </t>
    </r>
    <r>
      <rPr>
        <sz val="12"/>
        <color theme="1"/>
        <rFont val="Times New Roman"/>
        <family val="1"/>
        <charset val="186"/>
      </rPr>
      <t xml:space="preserve">=380/21 (vid. darba dienu sk. mēnesī)/8 stundām/60=0.04 euro. 0.04*60 (60 min viena apmeklētāja apkalpošanai)*1 vienības =2.40 </t>
    </r>
    <r>
      <rPr>
        <i/>
        <sz val="12"/>
        <color theme="1"/>
        <rFont val="Times New Roman"/>
        <family val="1"/>
        <charset val="186"/>
      </rPr>
      <t>euro.</t>
    </r>
  </si>
  <si>
    <t>Elektroenerģijai 2850 euro gada patēriņš /652 m2 kopplatība*350 m2 ekspozīciju platība/6600 apmeklējumi=0.14 euro. 0.23*3000 apmeklējumi=695.41 euro, apkurei 5797 euro gada izmaksas/650 m2 kopplatība*350 m2 ekspozīcijas/6600 kopējais apmeklētāju skaits=0.47 euro. 0.47*3000 apmeklējumi=1418,85 euro, ūdenim un kanalizācijai  gada izmaksas 368/652*350/6600=0.033 euro. 0.03*3000=89.79 euro. Kopā 695.41+1418.85+89.79=2204.05 euro.</t>
  </si>
  <si>
    <t>Elektroenerģijai 2850 euro gada patēriņš /652 m2 kopplatība*350 m2 ekspozīciju platība/6600 apmeklējumi=0.23 euro. 0.23*100 apmeklējumi=23.00 euro, apkurei 5797 euro gada izmaksas/650m2 kopplatība*350 m2 ekspozīcijas/6600 kopējais apmeklētāju skaits=0.47 euro. 0.47*100 apmeklējumi=47.00 euro, ūdenim un kanalizācijai  gada izmaksas 368/652*350/6600=0.03 euro. 0.03*100-3.00 euro. Kopā 23.00+47.00+3.00)73.00 euro.</t>
  </si>
  <si>
    <r>
      <t xml:space="preserve">*Speciālists (18. 5 III) 540.00 </t>
    </r>
    <r>
      <rPr>
        <i/>
        <sz val="12"/>
        <color theme="1"/>
        <rFont val="Times New Roman"/>
        <family val="1"/>
        <charset val="186"/>
      </rPr>
      <t>euro</t>
    </r>
    <r>
      <rPr>
        <sz val="12"/>
        <color theme="1"/>
        <rFont val="Times New Roman"/>
        <family val="1"/>
        <charset val="186"/>
      </rPr>
      <t xml:space="preserve"> (alga mēnesī).  Stundas tarifa likme 3.21 </t>
    </r>
    <r>
      <rPr>
        <i/>
        <sz val="12"/>
        <color theme="1"/>
        <rFont val="Times New Roman"/>
        <family val="1"/>
        <charset val="186"/>
      </rPr>
      <t>euro</t>
    </r>
    <r>
      <rPr>
        <sz val="12"/>
        <color theme="1"/>
        <rFont val="Times New Roman"/>
        <family val="1"/>
        <charset val="186"/>
      </rPr>
      <t xml:space="preserve"> = 540/21 (vid. darba dienu sk. mēnesī)/8 stundām/60=0.05 euro. 0.05*10 (Ekspozīcijas un izstāžu iekārtošana un uzturēšana 10 min)*100 vienības =50.00 </t>
    </r>
    <r>
      <rPr>
        <i/>
        <sz val="12"/>
        <color theme="1"/>
        <rFont val="Times New Roman"/>
        <family val="1"/>
        <charset val="186"/>
      </rPr>
      <t>euro.</t>
    </r>
  </si>
  <si>
    <r>
      <t xml:space="preserve">*Speciālists (18.5.III) 560.00 </t>
    </r>
    <r>
      <rPr>
        <i/>
        <sz val="12"/>
        <color theme="1"/>
        <rFont val="Times New Roman"/>
        <family val="1"/>
        <charset val="186"/>
      </rPr>
      <t>euro</t>
    </r>
    <r>
      <rPr>
        <sz val="12"/>
        <color theme="1"/>
        <rFont val="Times New Roman"/>
        <family val="1"/>
        <charset val="186"/>
      </rPr>
      <t xml:space="preserve"> (alga mēnesī).  Stundas tarifa likme 3.33 </t>
    </r>
    <r>
      <rPr>
        <i/>
        <sz val="12"/>
        <color theme="1"/>
        <rFont val="Times New Roman"/>
        <family val="1"/>
        <charset val="186"/>
      </rPr>
      <t>euro</t>
    </r>
    <r>
      <rPr>
        <sz val="12"/>
        <color theme="1"/>
        <rFont val="Times New Roman"/>
        <family val="1"/>
        <charset val="186"/>
      </rPr>
      <t xml:space="preserve"> = 560/21 (vid. darba dienu sk. mēnesī)/8 stundām/60=0.06 euro. 0.06*56.5 (Ekskursijas vadīšana un sagatavošana 56.5 min)*100 vienības = 339</t>
    </r>
    <r>
      <rPr>
        <i/>
        <sz val="12"/>
        <color theme="1"/>
        <rFont val="Times New Roman"/>
        <family val="1"/>
        <charset val="186"/>
      </rPr>
      <t>euro.</t>
    </r>
  </si>
  <si>
    <r>
      <t>*</t>
    </r>
    <r>
      <rPr>
        <sz val="12"/>
        <color theme="1"/>
        <rFont val="Times New Roman"/>
        <family val="1"/>
        <charset val="186"/>
      </rPr>
      <t xml:space="preserve">Kasiere (14I) 400.00 </t>
    </r>
    <r>
      <rPr>
        <i/>
        <sz val="12"/>
        <color theme="1"/>
        <rFont val="Times New Roman"/>
        <family val="1"/>
        <charset val="186"/>
      </rPr>
      <t>euro</t>
    </r>
    <r>
      <rPr>
        <sz val="12"/>
        <color theme="1"/>
        <rFont val="Times New Roman"/>
        <family val="1"/>
        <charset val="186"/>
      </rPr>
      <t xml:space="preserve"> (alga mēnesī). Stundas tarifa likme 2.38 </t>
    </r>
    <r>
      <rPr>
        <i/>
        <sz val="12"/>
        <color theme="1"/>
        <rFont val="Times New Roman"/>
        <family val="1"/>
        <charset val="186"/>
      </rPr>
      <t xml:space="preserve">euro </t>
    </r>
    <r>
      <rPr>
        <sz val="12"/>
        <color theme="1"/>
        <rFont val="Times New Roman"/>
        <family val="1"/>
        <charset val="186"/>
      </rPr>
      <t xml:space="preserve">=400/21 (vid. darba dienu sk. mēnesī)/8 stundām/60=0.04 euro. 0.04*1.5 (1.5 min viena apmeklētāja apkalpošanai)*100 vienības = 6  </t>
    </r>
    <r>
      <rPr>
        <i/>
        <sz val="12"/>
        <color theme="1"/>
        <rFont val="Times New Roman"/>
        <family val="1"/>
        <charset val="186"/>
      </rPr>
      <t>euro.</t>
    </r>
  </si>
  <si>
    <r>
      <t>KOPĀ: 339+6=345</t>
    </r>
    <r>
      <rPr>
        <i/>
        <sz val="12"/>
        <color theme="1"/>
        <rFont val="Times New Roman"/>
        <family val="1"/>
        <charset val="186"/>
      </rPr>
      <t>euro.</t>
    </r>
  </si>
  <si>
    <t>Elektroenerģijai 2850 euro gada patēriņš /652 m2 kopplatība*350 m2 ekspozīciju platība/6600 apmeklējumi=0.232 euro. 0.232*100 apmeklējumi=23.20 euro, apkurei 5797 euro gada izmaksas/650 m2 kopplatība*350 m2 ekspozīcijas/6600 kopējais apmeklētāju skaits=0.47 euro. 0.47*100 apmeklējumi=47.00 euro, ūdenim un kanalizācijai  gada izmaksas 368/652*350/6600=0.03 euro. 0.03*100=3.00 euro. Kopā 23.20+47.00+3.00=73.20 euro.</t>
  </si>
  <si>
    <r>
      <t xml:space="preserve">*Speciālists (18.5.III) 560.00 </t>
    </r>
    <r>
      <rPr>
        <i/>
        <sz val="12"/>
        <color theme="1"/>
        <rFont val="Times New Roman"/>
        <family val="1"/>
        <charset val="186"/>
      </rPr>
      <t>euro</t>
    </r>
    <r>
      <rPr>
        <sz val="12"/>
        <color theme="1"/>
        <rFont val="Times New Roman"/>
        <family val="1"/>
        <charset val="186"/>
      </rPr>
      <t xml:space="preserve"> (alga mēnesī).  Stundas tarifa likme 3.33 </t>
    </r>
    <r>
      <rPr>
        <i/>
        <sz val="12"/>
        <color theme="1"/>
        <rFont val="Times New Roman"/>
        <family val="1"/>
        <charset val="186"/>
      </rPr>
      <t>euro</t>
    </r>
    <r>
      <rPr>
        <sz val="12"/>
        <color theme="1"/>
        <rFont val="Times New Roman"/>
        <family val="1"/>
        <charset val="186"/>
      </rPr>
      <t xml:space="preserve"> = 560/21 (vid. darba dienu sk. mēnesī)/8 stundām/60=0.06 euro. 0.06*84 (Ekskursijas vadīšana un sagatavošana 84 min)*50 vienības = 252.00 </t>
    </r>
    <r>
      <rPr>
        <i/>
        <sz val="12"/>
        <color theme="1"/>
        <rFont val="Times New Roman"/>
        <family val="1"/>
        <charset val="186"/>
      </rPr>
      <t>euro.</t>
    </r>
  </si>
  <si>
    <t>Elektroenerģijai 2850 euro gada patēriņš /652 m2 kopplatība*350 m2 ekspozīciju platība/6600 apmeklējumi=0.23 euro. 0.23*50 apmeklējumi=11.50 euro, apkurei 5797 euro gada izmaksas/650 m2 kopplatība*350 m2 ekspozīcijas/6600 kopējais apmeklētāju skaits=0.47 euro. 0.47*50 apmeklējumi=23.50 euro, ūdenim un kanalizācijai  gada izmaksas 368/652*350/6600=0.03 euro. 0.03*50=1.50euro. Kopā 11.50+23.50+1.45=36.50 euro.</t>
  </si>
  <si>
    <r>
      <t>*</t>
    </r>
    <r>
      <rPr>
        <sz val="12"/>
        <color theme="1"/>
        <rFont val="Times New Roman"/>
        <family val="1"/>
        <charset val="186"/>
      </rPr>
      <t xml:space="preserve">Kasiere (14I) 400.00 </t>
    </r>
    <r>
      <rPr>
        <i/>
        <sz val="12"/>
        <color theme="1"/>
        <rFont val="Times New Roman"/>
        <family val="1"/>
        <charset val="186"/>
      </rPr>
      <t>euro</t>
    </r>
    <r>
      <rPr>
        <sz val="12"/>
        <color theme="1"/>
        <rFont val="Times New Roman"/>
        <family val="1"/>
        <charset val="186"/>
      </rPr>
      <t xml:space="preserve"> (alga mēnesī). Stundas tarifa likme 2.38 </t>
    </r>
    <r>
      <rPr>
        <i/>
        <sz val="12"/>
        <color theme="1"/>
        <rFont val="Times New Roman"/>
        <family val="1"/>
        <charset val="186"/>
      </rPr>
      <t xml:space="preserve">euro </t>
    </r>
    <r>
      <rPr>
        <sz val="12"/>
        <color theme="1"/>
        <rFont val="Times New Roman"/>
        <family val="1"/>
        <charset val="186"/>
      </rPr>
      <t xml:space="preserve">=400/21 (vid. darba dienu sk. mēnesī)/8 stundām=0.04 euro. 0.04*0.9 (0.9min viena apmeklētāja apkalpošanai)*50 vienības = 1.80  </t>
    </r>
    <r>
      <rPr>
        <i/>
        <sz val="12"/>
        <color theme="1"/>
        <rFont val="Times New Roman"/>
        <family val="1"/>
        <charset val="186"/>
      </rPr>
      <t>euro.</t>
    </r>
  </si>
  <si>
    <r>
      <t xml:space="preserve">KOPĀ: 252.00+1.80=253.80 </t>
    </r>
    <r>
      <rPr>
        <i/>
        <sz val="12"/>
        <color theme="1"/>
        <rFont val="Times New Roman"/>
        <family val="1"/>
        <charset val="186"/>
      </rPr>
      <t>euro.</t>
    </r>
  </si>
  <si>
    <t>Elektroenerģijai 2850 euro gada patēriņš /652 m2 kopplatība*350 m2 ekspozīciju platība/6600 apmeklējumi=0.23 euro. 0.23*30 apmeklējumi=6.90 euro, apkurei 5797 euro gada izmaksas/650 m2 kopplatība*350 m2 ekspozīcijas/6600 kopējais apmeklētāju skaits=0.47 euro. 0.47*30 apmeklējumi=14.10 euro, ūdenim un kanalizācijai  gada izmaksas 368/652*350/6600=0.03 euro. 0.03*30=0.90 euro. Kopā 6.9+14.10+0.90=21.90 euro.</t>
  </si>
  <si>
    <r>
      <t xml:space="preserve">*Speciālists (18.5.II) 712.00 </t>
    </r>
    <r>
      <rPr>
        <i/>
        <sz val="12"/>
        <color theme="1"/>
        <rFont val="Times New Roman"/>
        <family val="1"/>
        <charset val="186"/>
      </rPr>
      <t>euro</t>
    </r>
    <r>
      <rPr>
        <sz val="12"/>
        <color theme="1"/>
        <rFont val="Times New Roman"/>
        <family val="1"/>
        <charset val="186"/>
      </rPr>
      <t xml:space="preserve"> (alga mēnesī).  Stundas tarifa likme 4.24 </t>
    </r>
    <r>
      <rPr>
        <i/>
        <sz val="12"/>
        <color theme="1"/>
        <rFont val="Times New Roman"/>
        <family val="1"/>
        <charset val="186"/>
      </rPr>
      <t>euro</t>
    </r>
    <r>
      <rPr>
        <sz val="12"/>
        <color theme="1"/>
        <rFont val="Times New Roman"/>
        <family val="1"/>
        <charset val="186"/>
      </rPr>
      <t xml:space="preserve"> = 712/21 (vid. darba dienu sk. mēnesī)/8 stundām/60=0.07 eur. 0.07*105 (Ekskursijas vadīšana un sagatavošana 105 min)*30 vienības = 220.50 </t>
    </r>
    <r>
      <rPr>
        <i/>
        <sz val="12"/>
        <color theme="1"/>
        <rFont val="Times New Roman"/>
        <family val="1"/>
        <charset val="186"/>
      </rPr>
      <t>euro.</t>
    </r>
  </si>
  <si>
    <r>
      <t>*</t>
    </r>
    <r>
      <rPr>
        <sz val="12"/>
        <color theme="1"/>
        <rFont val="Times New Roman"/>
        <family val="1"/>
        <charset val="186"/>
      </rPr>
      <t xml:space="preserve">Garderobists  (13IA) 380.00 </t>
    </r>
    <r>
      <rPr>
        <i/>
        <sz val="12"/>
        <color theme="1"/>
        <rFont val="Times New Roman"/>
        <family val="1"/>
        <charset val="186"/>
      </rPr>
      <t>euro</t>
    </r>
    <r>
      <rPr>
        <sz val="12"/>
        <color theme="1"/>
        <rFont val="Times New Roman"/>
        <family val="1"/>
        <charset val="186"/>
      </rPr>
      <t xml:space="preserve"> (alga mēnesī). Stundas tarifa likme 2.26 </t>
    </r>
    <r>
      <rPr>
        <i/>
        <sz val="12"/>
        <color theme="1"/>
        <rFont val="Times New Roman"/>
        <family val="1"/>
        <charset val="186"/>
      </rPr>
      <t xml:space="preserve">euro </t>
    </r>
    <r>
      <rPr>
        <sz val="12"/>
        <color theme="1"/>
        <rFont val="Times New Roman"/>
        <family val="1"/>
        <charset val="186"/>
      </rPr>
      <t xml:space="preserve">=380/21 (vid. darba dienu sk. mēnesī)/8 stundām/60=0.038 euro. 0.038*3 (3 min viena apmeklētāja apkalpošanai)*30 vienības = 3.42  </t>
    </r>
    <r>
      <rPr>
        <i/>
        <sz val="12"/>
        <color theme="1"/>
        <rFont val="Times New Roman"/>
        <family val="1"/>
        <charset val="186"/>
      </rPr>
      <t>euro.</t>
    </r>
  </si>
  <si>
    <r>
      <t xml:space="preserve">KOPĀ: 220.50+1.20+3.42=225.12 </t>
    </r>
    <r>
      <rPr>
        <i/>
        <sz val="12"/>
        <color theme="1"/>
        <rFont val="Times New Roman"/>
        <family val="1"/>
        <charset val="186"/>
      </rPr>
      <t>euro.</t>
    </r>
  </si>
  <si>
    <t>Elektroenerģijai 2850 euro gada patēriņš /652 m2 kopplatība*350 m2 ekspozīciju platība/6600 apmeklējumi=0.23 euro. 0.23*70 apmeklējumi=16.10 euro, apkurei 5797 euro gada izmaksas/650 m2 kopplatība*350 m2 ekspozīcijas/6600 kopējais apmeklētāju skaits=0.47 euro. 0.47*70 apmeklējumi=32.90 euro, ūdenim un kanalizācijai  gada izmaksas 368/652*350/6600=0.03 euro. 0.03*70=2.10 euro. Kopā 16.10+32.90+2.10=51.10 euro.</t>
  </si>
  <si>
    <r>
      <t>*</t>
    </r>
    <r>
      <rPr>
        <sz val="12"/>
        <color indexed="8"/>
        <rFont val="Times New Roman"/>
        <family val="1"/>
        <charset val="186"/>
      </rPr>
      <t xml:space="preserve">Garderobists  (13IA) 380.00 </t>
    </r>
    <r>
      <rPr>
        <i/>
        <sz val="12"/>
        <color indexed="8"/>
        <rFont val="Times New Roman"/>
        <family val="1"/>
        <charset val="186"/>
      </rPr>
      <t>euro</t>
    </r>
    <r>
      <rPr>
        <sz val="12"/>
        <color indexed="8"/>
        <rFont val="Times New Roman"/>
        <family val="1"/>
        <charset val="186"/>
      </rPr>
      <t xml:space="preserve"> (alga mēnesī). Stundas tarifa likme 2.26 </t>
    </r>
    <r>
      <rPr>
        <i/>
        <sz val="12"/>
        <color indexed="8"/>
        <rFont val="Times New Roman"/>
        <family val="1"/>
        <charset val="186"/>
      </rPr>
      <t xml:space="preserve">euro </t>
    </r>
    <r>
      <rPr>
        <sz val="12"/>
        <color indexed="8"/>
        <rFont val="Times New Roman"/>
        <family val="1"/>
        <charset val="186"/>
      </rPr>
      <t xml:space="preserve">=380/21 (vid. darba dienu sk. mēnesī)/8 stundām/60=0.04 euro.  0.04*4 (4 min viena apmeklētāja apkalpošanai)*70 vienības = 11.200  </t>
    </r>
    <r>
      <rPr>
        <i/>
        <sz val="12"/>
        <color indexed="8"/>
        <rFont val="Times New Roman"/>
        <family val="1"/>
        <charset val="186"/>
      </rPr>
      <t>euro.</t>
    </r>
  </si>
  <si>
    <r>
      <t xml:space="preserve">*Speciālists (18.5II) 712.00 </t>
    </r>
    <r>
      <rPr>
        <i/>
        <sz val="12"/>
        <color indexed="8"/>
        <rFont val="Times New Roman"/>
        <family val="1"/>
        <charset val="186"/>
      </rPr>
      <t>euro</t>
    </r>
    <r>
      <rPr>
        <sz val="12"/>
        <color indexed="8"/>
        <rFont val="Times New Roman"/>
        <family val="1"/>
        <charset val="186"/>
      </rPr>
      <t xml:space="preserve"> (alga mēnesī).  Stundas tarifa likme 4.24 </t>
    </r>
    <r>
      <rPr>
        <i/>
        <sz val="12"/>
        <color indexed="8"/>
        <rFont val="Times New Roman"/>
        <family val="1"/>
        <charset val="186"/>
      </rPr>
      <t>euro</t>
    </r>
    <r>
      <rPr>
        <sz val="12"/>
        <color indexed="8"/>
        <rFont val="Times New Roman"/>
        <family val="1"/>
        <charset val="186"/>
      </rPr>
      <t xml:space="preserve"> = 712/21 (vid. darba dienu sk. mēnesī)/8 stundām/60=0.07 euro. 0.07*161 (Muzejpedagoģiskās programmas vadīšana un sagatavošana 161 min)*70 vienības = 788.90 </t>
    </r>
    <r>
      <rPr>
        <i/>
        <sz val="12"/>
        <color indexed="8"/>
        <rFont val="Times New Roman"/>
        <family val="1"/>
        <charset val="186"/>
      </rPr>
      <t>euro.</t>
    </r>
  </si>
  <si>
    <r>
      <t xml:space="preserve">KOPĀ:  788.90+8.40+11.20=808.50 </t>
    </r>
    <r>
      <rPr>
        <i/>
        <sz val="12"/>
        <color indexed="8"/>
        <rFont val="Times New Roman"/>
        <family val="1"/>
        <charset val="186"/>
      </rPr>
      <t>euro.</t>
    </r>
  </si>
  <si>
    <t>Elektroenerģijai 2850 euro gada patēriņš /652 m2 kopplatība*350 m2 ekspozīciju platība/6600 apmeklējumi=0.23 euro. 0.23*1 apmeklējumi=0.23 euro, apkurei 5797 euro gada izmaksas/650 m2 kopplatība*350 m2 ekspozīcijas/6600 kopējais apmeklētāju skaits=0.47 euro. 0.47*1 apmeklējumi=0.47 euro, ūdenim un kanalizācijai  gada izmaksas 368/652*350/6600=0.03 euro. 0.03*1=0.03 euro. Kopā 0.23+0.47+0.03=0.73 euro.</t>
  </si>
  <si>
    <t xml:space="preserve">Biroja preces, izmaksas izdales materiāļu komplektam vienai grupai </t>
  </si>
  <si>
    <t>*Kasiere  (14I) 400.00 euro (alga mēnesī). Stundas tarifa likme 2.38 euro =400/21 (vid. darba dienu sk. mēnesī)/8 stundām/60=0.04 euro. 0.04*60 (60 minūtes viena apmeklētāja apkalpošanai)*3 vienības =7.20  euro *2 (apmaksa dubulta)=14.40</t>
  </si>
  <si>
    <t>*Dežurants (4IA) 380.00 euro (alga mēnesī). Stundas tarifa likme 2.26 euro =380/21 (vid. darba dienu sk. mēnesī)/8 stundām/60=0.04 euro. 0.04*60 (60 min viena apmeklētāja apkalpošanai)*3 vienības = 7.20  euro. *2 (apmaksa dubultā)=14.40 euro. *Eksponātu uzraugs virsstundu darbs (mēnešalga 430 euro)/21/8/60=0.04 euro. 0.04*60*3*2 (apmaksa dubultā)=14.40 euro. Kopā 14.40+14.40=28.80 euro.</t>
  </si>
  <si>
    <r>
      <t xml:space="preserve">Kopā:73.72+14.40+28.80=116.92 </t>
    </r>
    <r>
      <rPr>
        <i/>
        <sz val="12"/>
        <color theme="1"/>
        <rFont val="Times New Roman"/>
        <family val="1"/>
        <charset val="186"/>
      </rPr>
      <t>euro.</t>
    </r>
  </si>
  <si>
    <t>*Speciālists  (18.5III) 712.00 euro (alga mēnesī).  Stundas tarifa likme 4.24 euro = 712/21 (vid. darba dienu sk. mēnesī)/8 stundām/60=0.07 euro. 0.07*176 (Muzejpedagoģiskās programmas vadīšana un sagatavošana 176 min)*3 vienības =36.96 euro + virstundu darbs 0.07 (apmaksa dubultā)*60 min (nodarbības laiks=4.20*3 vienības=12.60. Kopā49.56euro. *Speciālists 450 euro (alga mēnesī). Stundas tarifa likme 2.67 euro = 450/21 (vid. darba dienu sk. mēnesī)/8 stundām/60=0.04 euro.0.04*141.4 (Muzejpedagoģiskās programmas vadīšana un sagatavošana, izdales materiālu sagatavošana 141.4 min)*3 vienības =16.97 euro. Virsstundas 0.04*60*3=7.20  (tikai piemaksa par virsstundām) Pavisam kopā 49.56+16.96+7.20=73.72 euro.</t>
  </si>
  <si>
    <t>Elektroenerģijai 2850 euro gada patēriņš /652 m2 kopplatība*350 m2 ekspozīciju platība/6600 apmeklējumi=0.23 euro. 0.23*20 apmeklējumi=4.6 euro, apkurei 5797 euro gada izmaksas/650 m2 kopplatība*350 m2 ekspozīcijas/6600 kopējais apmeklētāju skaits=0.47 euro. 0.47*20 apmeklējumi=9.40 euro, ūdenim un kanalizācijai  gada izmaksas 368/652*350/6600=0.03 euro. 0.03*20=0.60 euro. Kopā 4.60+9.40+0.60=14.60euro.</t>
  </si>
  <si>
    <r>
      <t xml:space="preserve">*Speciālists  (18.5III) 560.00 </t>
    </r>
    <r>
      <rPr>
        <i/>
        <sz val="12"/>
        <color theme="1"/>
        <rFont val="Times New Roman"/>
        <family val="1"/>
        <charset val="186"/>
      </rPr>
      <t>euro</t>
    </r>
    <r>
      <rPr>
        <sz val="12"/>
        <color theme="1"/>
        <rFont val="Times New Roman"/>
        <family val="1"/>
        <charset val="186"/>
      </rPr>
      <t xml:space="preserve"> (alga mēnesī).  Stundas tarifa likme 3.33 </t>
    </r>
    <r>
      <rPr>
        <i/>
        <sz val="12"/>
        <color theme="1"/>
        <rFont val="Times New Roman"/>
        <family val="1"/>
        <charset val="186"/>
      </rPr>
      <t>euro</t>
    </r>
    <r>
      <rPr>
        <sz val="12"/>
        <color theme="1"/>
        <rFont val="Times New Roman"/>
        <family val="1"/>
        <charset val="186"/>
      </rPr>
      <t xml:space="preserve"> = 560/21 (vid. darba dienu sk. mēnesī)/8 stundā/60=0.06 euro. 0.06*50(Ekskursijas vadīšana un sagatavošana 50 min)*20 vienības =60.00</t>
    </r>
    <r>
      <rPr>
        <i/>
        <sz val="12"/>
        <color theme="1"/>
        <rFont val="Times New Roman"/>
        <family val="1"/>
        <charset val="186"/>
      </rPr>
      <t>euro.</t>
    </r>
  </si>
  <si>
    <r>
      <t>*</t>
    </r>
    <r>
      <rPr>
        <sz val="12"/>
        <color theme="1"/>
        <rFont val="Times New Roman"/>
        <family val="1"/>
        <charset val="186"/>
      </rPr>
      <t xml:space="preserve">Kasiere (14I) 400.00 </t>
    </r>
    <r>
      <rPr>
        <i/>
        <sz val="12"/>
        <color theme="1"/>
        <rFont val="Times New Roman"/>
        <family val="1"/>
        <charset val="186"/>
      </rPr>
      <t>euro</t>
    </r>
    <r>
      <rPr>
        <sz val="12"/>
        <color theme="1"/>
        <rFont val="Times New Roman"/>
        <family val="1"/>
        <charset val="186"/>
      </rPr>
      <t xml:space="preserve"> (alga mēnesī). Stundas tarifa likme 2.38 </t>
    </r>
    <r>
      <rPr>
        <i/>
        <sz val="12"/>
        <color theme="1"/>
        <rFont val="Times New Roman"/>
        <family val="1"/>
        <charset val="186"/>
      </rPr>
      <t xml:space="preserve">euro </t>
    </r>
    <r>
      <rPr>
        <sz val="12"/>
        <color theme="1"/>
        <rFont val="Times New Roman"/>
        <family val="1"/>
        <charset val="186"/>
      </rPr>
      <t xml:space="preserve">=400/21 (vid. darba dienu sk. mēnesī)/8 stundām/60=0.04 euro. 0.04*11.4 (11.4 min viena apmeklētāja apkalpošanai)*20 vienības =9.12 </t>
    </r>
    <r>
      <rPr>
        <i/>
        <sz val="12"/>
        <color theme="1"/>
        <rFont val="Times New Roman"/>
        <family val="1"/>
        <charset val="186"/>
      </rPr>
      <t>euro.</t>
    </r>
  </si>
  <si>
    <r>
      <t xml:space="preserve">KOPĀ: 60.00+9.12=57.80 </t>
    </r>
    <r>
      <rPr>
        <i/>
        <sz val="12"/>
        <color theme="1"/>
        <rFont val="Times New Roman"/>
        <family val="1"/>
        <charset val="186"/>
      </rPr>
      <t>euro.</t>
    </r>
  </si>
  <si>
    <t>Elektroenerģijai 2850 euro gada patēriņš /652 m2 kopplatība*350 m2 ekspozīciju platība/6600 apmeklējumi=0.23 euro. 0.23*10 apmeklējumi=2.3 euro, apkurei 5797 euro gada izmaksas/650 m2 kopplatība*350 m2 ekspozīcijas/6600 kopējais apmeklētāju skaits=0.47 euro. 0.47*10 apmeklējumi=4.70 euro, ūdenim un kanalizācijai  gada izmaksas 368/652*350/6600=0.03 euro. 0.03*10=0.30 euro. Kopā 2.30+4.70+0.30=7.30 euro.</t>
  </si>
  <si>
    <t>*Speciālists (18 5 III) 640.00 euro (alga mēnesī).  Stundas tarifa likme 3.81 euro = 640/21 (vid. darba dienu sk. mēnesī)/8 stundām/60=0.06 euro. 0.06*70 (Ekskursijas vadīšana un sagatavošana 66 min)*5 vienības = 21.00 euro.</t>
  </si>
  <si>
    <t>*Eksponātu uzraugs (4IIB), kurinātājs  (13 I A) 373,00 euro (alga mēnesī). Stundas tarifa likme 2.22 euro =373/21 (vid. darba dienu sk. mēnesī)/8 stundām/60=0.04 euro. 0.04*30 (30 min viena apmeklētāja apkalpošanai)*5 vienības = 6.00  euro.</t>
  </si>
  <si>
    <t>KOPĀ: 21.00+6.00=27.00 euro.</t>
  </si>
  <si>
    <t>Biroja preces, vidējās biroja preču izmaksas iekārtojot citas izstādes ir 71.00 euro.</t>
  </si>
  <si>
    <r>
      <t>*</t>
    </r>
    <r>
      <rPr>
        <sz val="12"/>
        <color indexed="8"/>
        <rFont val="Times New Roman"/>
        <family val="1"/>
        <charset val="186"/>
      </rPr>
      <t xml:space="preserve">Kasiere (14 I) 400.00 </t>
    </r>
    <r>
      <rPr>
        <i/>
        <sz val="12"/>
        <color indexed="8"/>
        <rFont val="Times New Roman"/>
        <family val="1"/>
        <charset val="186"/>
      </rPr>
      <t>euro</t>
    </r>
    <r>
      <rPr>
        <sz val="12"/>
        <color indexed="8"/>
        <rFont val="Times New Roman"/>
        <family val="1"/>
        <charset val="186"/>
      </rPr>
      <t xml:space="preserve"> (alga mēnesī). Stundas tarifa likme 2.38 </t>
    </r>
    <r>
      <rPr>
        <i/>
        <sz val="12"/>
        <color indexed="8"/>
        <rFont val="Times New Roman"/>
        <family val="1"/>
        <charset val="186"/>
      </rPr>
      <t xml:space="preserve">euro </t>
    </r>
    <r>
      <rPr>
        <sz val="12"/>
        <color indexed="8"/>
        <rFont val="Times New Roman"/>
        <family val="1"/>
        <charset val="186"/>
      </rPr>
      <t xml:space="preserve">=400/21 (vid. darba dienu sk. mēnesī)/8 stundām=0.04 euro. 0.04*4.1 (4.1 min viena apmeklētāja apkalpošanai)*100 vienības = 16.40 </t>
    </r>
    <r>
      <rPr>
        <i/>
        <sz val="12"/>
        <color indexed="8"/>
        <rFont val="Times New Roman"/>
        <family val="1"/>
        <charset val="186"/>
      </rPr>
      <t>euro.</t>
    </r>
  </si>
  <si>
    <r>
      <t xml:space="preserve">KOPĀ: 96.00+48.00+16.40 = 160.40 </t>
    </r>
    <r>
      <rPr>
        <i/>
        <sz val="12"/>
        <color indexed="8"/>
        <rFont val="Times New Roman"/>
        <family val="1"/>
        <charset val="186"/>
      </rPr>
      <t>euro.</t>
    </r>
  </si>
  <si>
    <t>Remontdarbi un iestāžu uzturēšanas pakalpojumi (izņemot kapitālo remontu) Gada summa 8360.92 euro/ 6600 apmeklējumi*3000 vienību= 3800.42 euro.</t>
  </si>
  <si>
    <t xml:space="preserve">„Paula Stradiņa Medicīnas vēstures muzeja maksas </t>
  </si>
  <si>
    <t>pakalpojumu cenrādis” sākotnējās (ex-ante)</t>
  </si>
  <si>
    <t>ietekmes novērtējuma ziņojumam (anotācijai)</t>
  </si>
  <si>
    <t>1.1.2.1.</t>
  </si>
  <si>
    <r>
      <t>muzeja pedagoģiskā programma izglītojamiem (ne vairāk kā 25 skolēnu grupā) nodarbības ilgums 45-60 min.</t>
    </r>
    <r>
      <rPr>
        <vertAlign val="superscript"/>
        <sz val="12"/>
        <color indexed="8"/>
        <rFont val="Times New Roman"/>
        <family val="1"/>
        <charset val="186"/>
      </rPr>
      <t xml:space="preserve"> 2</t>
    </r>
  </si>
  <si>
    <r>
      <t xml:space="preserve">muzeja pedagoģiskā programma izglītojamiem (ne vairāk kā 25 skolēnu grupā) nodarbības ilgums 45-60 min., izmantojot īpaši sagatavotus izdales materiālus </t>
    </r>
    <r>
      <rPr>
        <vertAlign val="superscript"/>
        <sz val="12"/>
        <color indexed="8"/>
        <rFont val="Times New Roman"/>
        <family val="1"/>
        <charset val="186"/>
      </rPr>
      <t>2</t>
    </r>
  </si>
  <si>
    <r>
      <t xml:space="preserve">kultūrizglītojošā programma “dzimšanas diena muzejā” (grupā ne vairāk kā 20 bērnu) 3h </t>
    </r>
    <r>
      <rPr>
        <vertAlign val="superscript"/>
        <sz val="12"/>
        <color indexed="8"/>
        <rFont val="Times New Roman"/>
        <family val="1"/>
        <charset val="186"/>
      </rPr>
      <t>2</t>
    </r>
  </si>
  <si>
    <r>
      <t>kultūrizglītojošā programma pieaugušajiem (grupā ne vairāk kā 20 cilvēku), nodarbības ilgums 60 min.</t>
    </r>
    <r>
      <rPr>
        <vertAlign val="superscript"/>
        <sz val="12"/>
        <color indexed="8"/>
        <rFont val="Times New Roman"/>
        <family val="1"/>
        <charset val="186"/>
      </rPr>
      <t xml:space="preserve"> 2</t>
    </r>
  </si>
  <si>
    <r>
      <t xml:space="preserve">kultūrizglītojošā programma pieaugušajiem (grupā ne vairāk kā 20 cilvēku), ārpus muzeja darba laika, nodarbības ilgums 60 min. </t>
    </r>
    <r>
      <rPr>
        <vertAlign val="superscript"/>
        <sz val="12"/>
        <color indexed="8"/>
        <rFont val="Times New Roman"/>
        <family val="1"/>
        <charset val="186"/>
      </rPr>
      <t>2.,3</t>
    </r>
  </si>
  <si>
    <r>
      <t>kultūrizglītojošā programma pieaugušajiem, sagatavota pēc īpaša pieprasījuma (grupā ne vairāk kā 20 cilvēku), nodarbības ilgums 60-90 min.</t>
    </r>
    <r>
      <rPr>
        <vertAlign val="superscript"/>
        <sz val="12"/>
        <color indexed="8"/>
        <rFont val="Times New Roman"/>
        <family val="1"/>
        <charset val="186"/>
      </rPr>
      <t xml:space="preserve"> 2.,3</t>
    </r>
  </si>
  <si>
    <r>
      <t>kultūrizglītojošā programma pieaugušajiem, sagatavota pēc īpaša pieprasījuma (grupā ne vairāk kā 20 cilvēku), ārpus muzeja darba laika, nodarbības ilgums 60-90 min.</t>
    </r>
    <r>
      <rPr>
        <vertAlign val="superscript"/>
        <sz val="12"/>
        <color indexed="8"/>
        <rFont val="Times New Roman"/>
        <family val="1"/>
        <charset val="186"/>
      </rPr>
      <t xml:space="preserve"> 2.,3</t>
    </r>
  </si>
  <si>
    <r>
      <t>muzeja pedagoģiskā programma izglītojamiem (ne vairāk kā 20 skolēnu grupā) nodarbības ilgums 45-60 min.</t>
    </r>
    <r>
      <rPr>
        <vertAlign val="superscript"/>
        <sz val="12"/>
        <color indexed="8"/>
        <rFont val="Times New Roman"/>
        <family val="1"/>
        <charset val="186"/>
      </rPr>
      <t xml:space="preserve"> 2</t>
    </r>
  </si>
  <si>
    <r>
      <t>muzeja pedagoģiskā programma izglītojamiem (ne vairāk kā 20 skolēnu grupā) nodarbības ilgums 45-60 min., izmantojot īpaši sagatavotus izdales materiālus</t>
    </r>
    <r>
      <rPr>
        <vertAlign val="superscript"/>
        <sz val="12"/>
        <color indexed="8"/>
        <rFont val="Times New Roman"/>
        <family val="1"/>
        <charset val="186"/>
      </rPr>
      <t>2</t>
    </r>
  </si>
  <si>
    <r>
      <t>kultūrizglītojošā programma “dzimšanas diena muzejā” (grupā ne vairāk kā 20 bērnu) 3h</t>
    </r>
    <r>
      <rPr>
        <vertAlign val="superscript"/>
        <sz val="12"/>
        <color indexed="8"/>
        <rFont val="Times New Roman"/>
        <family val="1"/>
        <charset val="186"/>
      </rPr>
      <t>2</t>
    </r>
  </si>
  <si>
    <r>
      <t>kultūrizglītojošā programma pieaugušajiem (grupā ne vairāk kā 20 cilvēku), ārpus muzeja darba laika, nodarbības ilgums 60 min.</t>
    </r>
    <r>
      <rPr>
        <vertAlign val="superscript"/>
        <sz val="12"/>
        <color indexed="8"/>
        <rFont val="Times New Roman"/>
        <family val="1"/>
        <charset val="186"/>
      </rPr>
      <t xml:space="preserve"> 2.,3</t>
    </r>
  </si>
  <si>
    <r>
      <t>kultūrizglītojošā programma pieaugušajiem, sagatavota pēc īpaša pieprasījuma (grupā ne vairāk kā 20 cilvēku), nodarbības ilgums 60 -90 min.</t>
    </r>
    <r>
      <rPr>
        <vertAlign val="superscript"/>
        <sz val="12"/>
        <color indexed="8"/>
        <rFont val="Times New Roman"/>
        <family val="1"/>
        <charset val="186"/>
      </rPr>
      <t xml:space="preserve"> 2</t>
    </r>
  </si>
  <si>
    <r>
      <t>kultūrizglītojošā programma pieaugušajiem, sagatavota pēc īpaša pieprasījuma (grupā ne vairāk kā 20 cilvēku), ārpus muzeja darba laika, nodarbības ilgums 60 -90 min.</t>
    </r>
    <r>
      <rPr>
        <vertAlign val="superscript"/>
        <sz val="12"/>
        <color indexed="8"/>
        <rFont val="Times New Roman"/>
        <family val="1"/>
        <charset val="186"/>
      </rPr>
      <t xml:space="preserve"> 2.,3</t>
    </r>
  </si>
  <si>
    <r>
      <t xml:space="preserve">krājuma priekšmeta (izmērs nepārsniedz A3 formātu) skenēšana, ko veic muzeja speciālists </t>
    </r>
    <r>
      <rPr>
        <vertAlign val="superscript"/>
        <sz val="12"/>
        <color indexed="8"/>
        <rFont val="Times New Roman"/>
        <family val="1"/>
        <charset val="186"/>
      </rPr>
      <t>4</t>
    </r>
  </si>
  <si>
    <r>
      <t xml:space="preserve">materiālu (izmērs nepārsniedz A4 formātu) skenēšana </t>
    </r>
    <r>
      <rPr>
        <vertAlign val="superscript"/>
        <sz val="12"/>
        <color indexed="8"/>
        <rFont val="Times New Roman"/>
        <family val="1"/>
        <charset val="186"/>
      </rPr>
      <t>4</t>
    </r>
  </si>
  <si>
    <t xml:space="preserve">2. Pielikums </t>
  </si>
  <si>
    <r>
      <t>1</t>
    </r>
    <r>
      <rPr>
        <sz val="10"/>
        <color theme="1"/>
        <rFont val="Times New Roman"/>
        <family val="1"/>
        <charset val="186"/>
      </rPr>
      <t>  Pievienotās vērtības nodokli nepiemēro saskaņā ar Pievienotās vērtības nodokļa likuma 52.panta pirmās daļas 17.punkta “d” apakšpunktu.</t>
    </r>
  </si>
  <si>
    <t>sanāksmju telpa (30 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</si>
</sst>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sz val="12"/>
      <color rgb="FF000000"/>
      <name val="Times New Roman"/>
      <family val="1"/>
      <charset val="186"/>
    </font>
    <font>
      <b/>
      <sz val="12"/>
      <color rgb="FF000000"/>
      <name val="Times New Roman"/>
      <family val="1"/>
      <charset val="186"/>
    </font>
    <font>
      <sz val="11"/>
      <color theme="1"/>
      <name val="Times New Roman"/>
      <family val="1"/>
      <charset val="186"/>
    </font>
    <font>
      <i/>
      <sz val="12"/>
      <color theme="1"/>
      <name val="Times New Roman"/>
      <family val="1"/>
      <charset val="186"/>
    </font>
    <font>
      <sz val="8"/>
      <color theme="1"/>
      <name val="Times New Roman"/>
      <family val="1"/>
      <charset val="186"/>
    </font>
    <font>
      <i/>
      <sz val="12"/>
      <color rgb="FF000000"/>
      <name val="Times New Roman"/>
      <family val="1"/>
      <charset val="186"/>
    </font>
    <font>
      <sz val="12"/>
      <color indexed="8"/>
      <name val="Times New Roman"/>
      <family val="1"/>
      <charset val="186"/>
    </font>
    <font>
      <b/>
      <sz val="12"/>
      <color indexed="8"/>
      <name val="Times New Roman"/>
      <family val="1"/>
      <charset val="186"/>
    </font>
    <font>
      <sz val="11"/>
      <color indexed="8"/>
      <name val="Times New Roman"/>
      <family val="1"/>
      <charset val="186"/>
    </font>
    <font>
      <i/>
      <sz val="12"/>
      <color indexed="8"/>
      <name val="Times New Roman"/>
      <family val="1"/>
      <charset val="186"/>
    </font>
    <font>
      <sz val="8"/>
      <color indexed="8"/>
      <name val="Times New Roman"/>
      <family val="1"/>
      <charset val="186"/>
    </font>
    <font>
      <sz val="10"/>
      <color theme="1"/>
      <name val="Times New Roman"/>
      <family val="1"/>
      <charset val="186"/>
    </font>
    <font>
      <vertAlign val="superscript"/>
      <sz val="12"/>
      <color theme="1"/>
      <name val="Times New Roman"/>
      <family val="1"/>
      <charset val="186"/>
    </font>
    <font>
      <sz val="10"/>
      <color theme="1"/>
      <name val="Calibri"/>
      <family val="2"/>
      <charset val="186"/>
      <scheme val="minor"/>
    </font>
    <font>
      <sz val="10"/>
      <name val="Arial"/>
      <family val="2"/>
      <charset val="186"/>
    </font>
    <font>
      <sz val="11"/>
      <name val="Times New Roman"/>
      <family val="1"/>
      <charset val="186"/>
    </font>
    <font>
      <sz val="11"/>
      <name val="Arial"/>
      <family val="2"/>
      <charset val="186"/>
    </font>
    <font>
      <u/>
      <sz val="11"/>
      <color theme="10"/>
      <name val="Calibri"/>
      <family val="2"/>
      <charset val="186"/>
    </font>
    <font>
      <u/>
      <sz val="10"/>
      <color theme="10"/>
      <name val="Times New Roman"/>
      <family val="1"/>
      <charset val="186"/>
    </font>
    <font>
      <sz val="12"/>
      <name val="Times New Roman"/>
      <family val="1"/>
      <charset val="186"/>
    </font>
    <font>
      <b/>
      <sz val="12"/>
      <name val="Times New Roman"/>
      <family val="1"/>
      <charset val="186"/>
    </font>
    <font>
      <sz val="11"/>
      <name val="Calibri"/>
      <family val="2"/>
      <charset val="186"/>
      <scheme val="minor"/>
    </font>
    <font>
      <i/>
      <sz val="12"/>
      <name val="Times New Roman"/>
      <family val="1"/>
      <charset val="186"/>
    </font>
    <font>
      <sz val="11"/>
      <color rgb="FFFF0000"/>
      <name val="Calibri"/>
      <family val="2"/>
      <charset val="186"/>
      <scheme val="minor"/>
    </font>
    <font>
      <sz val="14"/>
      <name val="Times New Roman"/>
      <family val="1"/>
      <charset val="186"/>
    </font>
    <font>
      <sz val="12"/>
      <color rgb="FFFF0000"/>
      <name val="Times New Roman"/>
      <family val="1"/>
      <charset val="186"/>
    </font>
    <font>
      <vertAlign val="superscript"/>
      <sz val="12"/>
      <color indexed="8"/>
      <name val="Times New Roman"/>
      <family val="1"/>
      <charset val="186"/>
    </font>
    <font>
      <sz val="14"/>
      <color theme="1"/>
      <name val="Calibri"/>
      <family val="2"/>
      <charset val="186"/>
      <scheme val="minor"/>
    </font>
    <font>
      <u/>
      <sz val="12"/>
      <color theme="10"/>
      <name val="Times New Roman"/>
      <family val="1"/>
      <charset val="186"/>
    </font>
    <font>
      <sz val="12"/>
      <name val="Arial"/>
      <family val="2"/>
      <charset val="186"/>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71">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right/>
      <top style="medium">
        <color rgb="FF000000"/>
      </top>
      <bottom style="medium">
        <color rgb="FF000000"/>
      </bottom>
      <diagonal/>
    </border>
    <border>
      <left/>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rgb="FF000000"/>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style="medium">
        <color indexed="8"/>
      </right>
      <top/>
      <bottom style="medium">
        <color indexed="8"/>
      </bottom>
      <diagonal/>
    </border>
    <border>
      <left/>
      <right/>
      <top/>
      <bottom style="medium">
        <color indexed="8"/>
      </bottom>
      <diagonal/>
    </border>
    <border>
      <left style="medium">
        <color indexed="8"/>
      </left>
      <right style="medium">
        <color indexed="8"/>
      </right>
      <top style="medium">
        <color indexed="8"/>
      </top>
      <bottom/>
      <diagonal/>
    </border>
    <border>
      <left/>
      <right style="medium">
        <color indexed="8"/>
      </right>
      <top/>
      <bottom/>
      <diagonal/>
    </border>
    <border>
      <left style="medium">
        <color indexed="8"/>
      </left>
      <right style="medium">
        <color indexed="8"/>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bottom/>
      <diagonal/>
    </border>
    <border>
      <left style="medium">
        <color indexed="8"/>
      </left>
      <right/>
      <top/>
      <bottom style="medium">
        <color indexed="8"/>
      </bottom>
      <diagonal/>
    </border>
    <border>
      <left style="medium">
        <color indexed="64"/>
      </left>
      <right style="medium">
        <color indexed="64"/>
      </right>
      <top/>
      <bottom style="medium">
        <color indexed="64"/>
      </bottom>
      <diagonal/>
    </border>
    <border>
      <left style="medium">
        <color indexed="8"/>
      </left>
      <right/>
      <top style="medium">
        <color indexed="8"/>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rgb="FF000000"/>
      </left>
      <right style="medium">
        <color indexed="64"/>
      </right>
      <top style="medium">
        <color rgb="FF000000"/>
      </top>
      <bottom style="thin">
        <color indexed="64"/>
      </bottom>
      <diagonal/>
    </border>
    <border>
      <left/>
      <right style="medium">
        <color indexed="64"/>
      </right>
      <top style="medium">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8"/>
      </bottom>
      <diagonal/>
    </border>
    <border>
      <left/>
      <right/>
      <top style="medium">
        <color indexed="64"/>
      </top>
      <bottom style="medium">
        <color indexed="8"/>
      </bottom>
      <diagonal/>
    </border>
    <border>
      <left style="medium">
        <color indexed="64"/>
      </left>
      <right style="medium">
        <color indexed="8"/>
      </right>
      <top/>
      <bottom/>
      <diagonal/>
    </border>
    <border>
      <left style="medium">
        <color indexed="64"/>
      </left>
      <right style="medium">
        <color indexed="8"/>
      </right>
      <top/>
      <bottom style="medium">
        <color indexed="8"/>
      </bottom>
      <diagonal/>
    </border>
    <border>
      <left style="medium">
        <color indexed="64"/>
      </left>
      <right style="medium">
        <color indexed="8"/>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7" fillId="0" borderId="0"/>
    <xf numFmtId="0" fontId="20" fillId="0" borderId="0" applyNumberFormat="0" applyFill="0" applyBorder="0" applyAlignment="0" applyProtection="0">
      <alignment vertical="top"/>
      <protection locked="0"/>
    </xf>
  </cellStyleXfs>
  <cellXfs count="353">
    <xf numFmtId="0" fontId="0" fillId="0" borderId="0" xfId="0"/>
    <xf numFmtId="0" fontId="1" fillId="0" borderId="0" xfId="0" applyFont="1" applyAlignment="1">
      <alignment horizontal="right"/>
    </xf>
    <xf numFmtId="0" fontId="4" fillId="0" borderId="0" xfId="0" applyFont="1" applyAlignment="1">
      <alignment horizontal="justify"/>
    </xf>
    <xf numFmtId="0" fontId="1" fillId="0" borderId="2" xfId="0" applyFont="1" applyBorder="1" applyAlignment="1">
      <alignment horizontal="center" wrapText="1"/>
    </xf>
    <xf numFmtId="0" fontId="7" fillId="0" borderId="0" xfId="0" applyFont="1"/>
    <xf numFmtId="0" fontId="2" fillId="0" borderId="0" xfId="0" applyFont="1" applyAlignment="1">
      <alignment horizontal="right"/>
    </xf>
    <xf numFmtId="0" fontId="4" fillId="0" borderId="0" xfId="0" applyFont="1" applyAlignment="1">
      <alignment horizontal="right"/>
    </xf>
    <xf numFmtId="2" fontId="0" fillId="0" borderId="0" xfId="0" applyNumberFormat="1"/>
    <xf numFmtId="4" fontId="0" fillId="0" borderId="0" xfId="0" applyNumberFormat="1" applyAlignment="1">
      <alignment vertical="center"/>
    </xf>
    <xf numFmtId="0" fontId="0" fillId="0" borderId="0" xfId="0" applyBorder="1"/>
    <xf numFmtId="0" fontId="2" fillId="0" borderId="0" xfId="0" applyFont="1" applyBorder="1" applyAlignment="1">
      <alignment horizontal="center" wrapText="1"/>
    </xf>
    <xf numFmtId="4" fontId="1" fillId="0" borderId="0"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4" fontId="0" fillId="0" borderId="0" xfId="0" applyNumberFormat="1" applyBorder="1" applyAlignment="1">
      <alignment vertical="center"/>
    </xf>
    <xf numFmtId="4" fontId="3" fillId="0" borderId="0" xfId="0" applyNumberFormat="1" applyFont="1" applyBorder="1" applyAlignment="1">
      <alignment horizontal="center" vertical="center"/>
    </xf>
    <xf numFmtId="4" fontId="4" fillId="0" borderId="0"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2" fillId="0" borderId="7" xfId="0" applyFont="1" applyBorder="1" applyAlignment="1">
      <alignment wrapText="1"/>
    </xf>
    <xf numFmtId="0" fontId="1" fillId="0" borderId="7" xfId="0" applyFont="1" applyBorder="1" applyAlignment="1">
      <alignment horizontal="justify" wrapText="1"/>
    </xf>
    <xf numFmtId="0" fontId="2" fillId="0" borderId="7" xfId="0" applyFont="1" applyBorder="1" applyAlignment="1">
      <alignment horizontal="justify" wrapText="1"/>
    </xf>
    <xf numFmtId="0" fontId="2" fillId="0" borderId="7" xfId="0" applyFont="1" applyBorder="1" applyAlignment="1">
      <alignment horizontal="right" wrapText="1"/>
    </xf>
    <xf numFmtId="0" fontId="1" fillId="0" borderId="14" xfId="0" applyFont="1" applyBorder="1" applyAlignment="1">
      <alignment horizontal="justify" wrapText="1"/>
    </xf>
    <xf numFmtId="0" fontId="6" fillId="0" borderId="14" xfId="0" applyFont="1" applyBorder="1" applyAlignment="1">
      <alignment horizontal="justify"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wrapText="1"/>
    </xf>
    <xf numFmtId="0" fontId="9" fillId="0" borderId="0" xfId="0" applyFont="1" applyAlignment="1">
      <alignment horizontal="right"/>
    </xf>
    <xf numFmtId="0" fontId="10" fillId="0" borderId="0" xfId="0" applyFont="1" applyAlignment="1">
      <alignment horizontal="right"/>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wrapText="1"/>
    </xf>
    <xf numFmtId="0" fontId="10" fillId="0" borderId="20" xfId="0" applyFont="1" applyBorder="1" applyAlignment="1">
      <alignment wrapText="1"/>
    </xf>
    <xf numFmtId="0" fontId="9" fillId="0" borderId="22" xfId="0" applyFont="1" applyBorder="1" applyAlignment="1">
      <alignment horizontal="justify" wrapText="1"/>
    </xf>
    <xf numFmtId="0" fontId="9" fillId="0" borderId="20" xfId="0" applyFont="1" applyBorder="1" applyAlignment="1">
      <alignment horizontal="justify" wrapText="1"/>
    </xf>
    <xf numFmtId="0" fontId="9" fillId="0" borderId="19" xfId="0" applyFont="1" applyBorder="1" applyAlignment="1">
      <alignment horizontal="center" vertical="center" wrapText="1"/>
    </xf>
    <xf numFmtId="0" fontId="10" fillId="0" borderId="20" xfId="0" applyFont="1" applyBorder="1" applyAlignment="1">
      <alignment horizontal="justify" wrapText="1"/>
    </xf>
    <xf numFmtId="0" fontId="10" fillId="0" borderId="0" xfId="0" applyFont="1" applyBorder="1" applyAlignment="1">
      <alignment horizontal="center" wrapText="1"/>
    </xf>
    <xf numFmtId="4" fontId="9" fillId="0" borderId="0" xfId="0" applyNumberFormat="1" applyFont="1" applyBorder="1" applyAlignment="1">
      <alignment horizontal="center" vertical="center" wrapText="1"/>
    </xf>
    <xf numFmtId="0" fontId="10" fillId="0" borderId="20" xfId="0" applyFont="1" applyBorder="1" applyAlignment="1">
      <alignment horizontal="right" wrapText="1"/>
    </xf>
    <xf numFmtId="4" fontId="10" fillId="0" borderId="0" xfId="0" applyNumberFormat="1" applyFont="1" applyBorder="1" applyAlignment="1">
      <alignment horizontal="center" vertical="center" wrapText="1"/>
    </xf>
    <xf numFmtId="0" fontId="13" fillId="0" borderId="0" xfId="0" applyFont="1"/>
    <xf numFmtId="4" fontId="9" fillId="0" borderId="0" xfId="0" applyNumberFormat="1" applyFont="1" applyBorder="1" applyAlignment="1">
      <alignment horizontal="center" vertical="center"/>
    </xf>
    <xf numFmtId="4" fontId="10" fillId="0" borderId="0" xfId="0" applyNumberFormat="1" applyFont="1" applyBorder="1" applyAlignment="1">
      <alignment horizontal="center" vertical="center"/>
    </xf>
    <xf numFmtId="0" fontId="10" fillId="0" borderId="0" xfId="0" applyFont="1" applyAlignment="1">
      <alignment horizontal="justify"/>
    </xf>
    <xf numFmtId="0" fontId="1"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wrapText="1"/>
    </xf>
    <xf numFmtId="0" fontId="9" fillId="0" borderId="19" xfId="0" applyFont="1" applyBorder="1" applyAlignment="1">
      <alignment horizontal="center" vertical="center" wrapText="1"/>
    </xf>
    <xf numFmtId="0" fontId="1" fillId="0" borderId="2" xfId="0" applyFont="1" applyBorder="1" applyAlignment="1">
      <alignment horizontal="center" vertical="center" wrapText="1"/>
    </xf>
    <xf numFmtId="0" fontId="9" fillId="0" borderId="19" xfId="0" applyFont="1" applyBorder="1" applyAlignment="1">
      <alignment horizontal="center" vertical="center" wrapText="1"/>
    </xf>
    <xf numFmtId="4" fontId="9" fillId="0" borderId="0" xfId="0" applyNumberFormat="1" applyFont="1" applyBorder="1" applyAlignment="1">
      <alignment horizontal="center" vertical="center" wrapText="1"/>
    </xf>
    <xf numFmtId="0" fontId="9" fillId="0" borderId="19" xfId="0" applyFont="1" applyBorder="1" applyAlignment="1">
      <alignment horizontal="center" vertical="center" wrapText="1"/>
    </xf>
    <xf numFmtId="0" fontId="1" fillId="0" borderId="2" xfId="0" applyFont="1" applyBorder="1" applyAlignment="1">
      <alignment horizontal="center" vertical="center" wrapText="1"/>
    </xf>
    <xf numFmtId="0" fontId="14" fillId="0" borderId="0" xfId="0" applyFont="1"/>
    <xf numFmtId="0" fontId="0" fillId="0" borderId="0" xfId="0" applyBorder="1" applyAlignment="1">
      <alignment vertical="top"/>
    </xf>
    <xf numFmtId="0" fontId="0" fillId="0" borderId="0" xfId="0" applyAlignment="1">
      <alignment vertical="top"/>
    </xf>
    <xf numFmtId="0" fontId="1" fillId="0" borderId="0" xfId="0" applyFont="1"/>
    <xf numFmtId="0" fontId="1" fillId="0" borderId="4" xfId="0" applyFont="1" applyBorder="1" applyAlignment="1">
      <alignment horizontal="center" vertical="center" wrapText="1"/>
    </xf>
    <xf numFmtId="0" fontId="9" fillId="0" borderId="20" xfId="0" applyFont="1" applyBorder="1" applyAlignment="1">
      <alignment horizontal="justify" vertical="top" wrapText="1"/>
    </xf>
    <xf numFmtId="0" fontId="12" fillId="0" borderId="22" xfId="0" applyFont="1" applyBorder="1" applyAlignment="1">
      <alignment horizontal="justify" vertical="top" wrapText="1"/>
    </xf>
    <xf numFmtId="0" fontId="6" fillId="0" borderId="14" xfId="0" applyFont="1" applyBorder="1" applyAlignment="1">
      <alignment horizontal="justify" vertical="top" wrapText="1"/>
    </xf>
    <xf numFmtId="0" fontId="9" fillId="0" borderId="22" xfId="0" applyFont="1" applyBorder="1" applyAlignment="1">
      <alignment horizontal="justify" vertical="top" wrapText="1"/>
    </xf>
    <xf numFmtId="0" fontId="1" fillId="0" borderId="14" xfId="0" applyFont="1" applyBorder="1" applyAlignment="1">
      <alignment horizontal="justify" vertical="top" wrapText="1"/>
    </xf>
    <xf numFmtId="0" fontId="1" fillId="0" borderId="7" xfId="0" applyFont="1" applyBorder="1" applyAlignment="1">
      <alignment horizontal="justify" vertical="top" wrapText="1"/>
    </xf>
    <xf numFmtId="0" fontId="1" fillId="0" borderId="38" xfId="0" applyFont="1" applyBorder="1" applyAlignment="1">
      <alignment horizontal="center" vertical="center" wrapText="1"/>
    </xf>
    <xf numFmtId="0" fontId="1" fillId="0" borderId="39" xfId="0" applyFont="1" applyBorder="1" applyAlignment="1">
      <alignment horizontal="justify" wrapText="1"/>
    </xf>
    <xf numFmtId="0" fontId="9" fillId="0" borderId="19" xfId="0" applyFont="1" applyBorder="1" applyAlignment="1">
      <alignment horizontal="center" vertical="center" wrapText="1"/>
    </xf>
    <xf numFmtId="2" fontId="1" fillId="0" borderId="0" xfId="0" applyNumberFormat="1" applyFont="1"/>
    <xf numFmtId="0" fontId="9" fillId="0" borderId="0" xfId="0" applyFont="1"/>
    <xf numFmtId="4" fontId="1" fillId="0" borderId="0" xfId="0" applyNumberFormat="1" applyFont="1" applyAlignment="1">
      <alignment vertical="center"/>
    </xf>
    <xf numFmtId="0" fontId="2" fillId="0" borderId="7" xfId="0" applyFont="1" applyBorder="1" applyAlignment="1">
      <alignment horizontal="justify" vertical="top" wrapText="1"/>
    </xf>
    <xf numFmtId="0" fontId="2" fillId="0" borderId="7" xfId="0" applyFont="1" applyBorder="1" applyAlignment="1">
      <alignment vertical="top" wrapText="1"/>
    </xf>
    <xf numFmtId="0" fontId="2" fillId="0" borderId="7" xfId="0" applyFont="1" applyBorder="1" applyAlignment="1">
      <alignment horizontal="right" vertical="top" wrapText="1"/>
    </xf>
    <xf numFmtId="0" fontId="1" fillId="0" borderId="39" xfId="0" applyFont="1" applyBorder="1" applyAlignment="1">
      <alignment horizontal="justify" vertical="top" wrapText="1"/>
    </xf>
    <xf numFmtId="0" fontId="18" fillId="0" borderId="0" xfId="1" applyFont="1"/>
    <xf numFmtId="0" fontId="18" fillId="0" borderId="0" xfId="1" applyFont="1" applyAlignment="1">
      <alignment horizontal="right"/>
    </xf>
    <xf numFmtId="0" fontId="19" fillId="0" borderId="0" xfId="0" applyFont="1"/>
    <xf numFmtId="0" fontId="19" fillId="0" borderId="0" xfId="0" applyFont="1" applyAlignment="1">
      <alignment vertical="justify"/>
    </xf>
    <xf numFmtId="2" fontId="0" fillId="0" borderId="0" xfId="0" applyNumberFormat="1" applyBorder="1"/>
    <xf numFmtId="0" fontId="9" fillId="0" borderId="42" xfId="0" applyFont="1" applyBorder="1" applyAlignment="1">
      <alignment horizontal="justify" wrapText="1"/>
    </xf>
    <xf numFmtId="0" fontId="10" fillId="0" borderId="0" xfId="0" applyFont="1" applyBorder="1" applyAlignment="1">
      <alignment wrapText="1"/>
    </xf>
    <xf numFmtId="0" fontId="12" fillId="0" borderId="45" xfId="0" applyFont="1" applyBorder="1" applyAlignment="1">
      <alignment horizontal="justify" vertical="top" wrapText="1"/>
    </xf>
    <xf numFmtId="0" fontId="9" fillId="0" borderId="44" xfId="0" applyFont="1" applyBorder="1" applyAlignment="1">
      <alignment horizontal="justify" vertical="top" wrapText="1"/>
    </xf>
    <xf numFmtId="0" fontId="22" fillId="0" borderId="7" xfId="0" applyFont="1" applyBorder="1" applyAlignment="1">
      <alignment horizontal="justify" vertical="top" wrapText="1"/>
    </xf>
    <xf numFmtId="0" fontId="0" fillId="0" borderId="0" xfId="0" applyAlignment="1">
      <alignment horizontal="center" vertical="center"/>
    </xf>
    <xf numFmtId="0" fontId="5" fillId="0" borderId="0" xfId="0" applyFont="1" applyAlignment="1">
      <alignment horizontal="center" vertical="center"/>
    </xf>
    <xf numFmtId="4" fontId="24" fillId="0" borderId="0" xfId="0" applyNumberFormat="1" applyFont="1" applyAlignment="1">
      <alignment vertical="center"/>
    </xf>
    <xf numFmtId="0" fontId="24" fillId="0" borderId="0" xfId="0" applyFont="1"/>
    <xf numFmtId="0" fontId="1" fillId="3" borderId="7" xfId="0" applyFont="1" applyFill="1" applyBorder="1" applyAlignment="1">
      <alignment horizontal="justify" vertical="top" wrapText="1"/>
    </xf>
    <xf numFmtId="0" fontId="9" fillId="3" borderId="20" xfId="0" applyFont="1" applyFill="1" applyBorder="1" applyAlignment="1">
      <alignment horizontal="justify" wrapText="1"/>
    </xf>
    <xf numFmtId="0" fontId="9" fillId="3" borderId="20" xfId="0" applyNumberFormat="1" applyFont="1" applyFill="1" applyBorder="1" applyAlignment="1">
      <alignment horizontal="justify" vertical="top" wrapText="1"/>
    </xf>
    <xf numFmtId="0" fontId="22" fillId="3" borderId="20" xfId="0" applyFont="1" applyFill="1" applyBorder="1" applyAlignment="1">
      <alignment horizontal="justify" vertical="top" wrapText="1"/>
    </xf>
    <xf numFmtId="0" fontId="22" fillId="3" borderId="20" xfId="0" applyFont="1" applyFill="1" applyBorder="1" applyAlignment="1">
      <alignment horizontal="justify" wrapText="1"/>
    </xf>
    <xf numFmtId="0" fontId="22" fillId="3" borderId="7" xfId="0" applyNumberFormat="1" applyFont="1" applyFill="1" applyBorder="1" applyAlignment="1">
      <alignment horizontal="justify" vertical="top" wrapText="1"/>
    </xf>
    <xf numFmtId="0" fontId="22" fillId="3" borderId="7" xfId="0" applyFont="1" applyFill="1" applyBorder="1" applyAlignment="1">
      <alignment horizontal="justify" wrapText="1"/>
    </xf>
    <xf numFmtId="0" fontId="9" fillId="0" borderId="19" xfId="0" applyFont="1" applyBorder="1" applyAlignment="1">
      <alignment horizontal="center" vertical="center" wrapText="1"/>
    </xf>
    <xf numFmtId="0" fontId="1" fillId="0" borderId="2" xfId="0" applyFont="1" applyBorder="1" applyAlignment="1">
      <alignment horizontal="center" vertical="center" wrapText="1"/>
    </xf>
    <xf numFmtId="0" fontId="22" fillId="0" borderId="20" xfId="0" applyFont="1" applyBorder="1" applyAlignment="1">
      <alignment horizontal="justify" vertical="top" wrapText="1"/>
    </xf>
    <xf numFmtId="0" fontId="22" fillId="0" borderId="7" xfId="0" applyFont="1" applyBorder="1" applyAlignment="1">
      <alignment horizontal="justify" wrapText="1"/>
    </xf>
    <xf numFmtId="0" fontId="1" fillId="3" borderId="7" xfId="0" applyNumberFormat="1" applyFont="1" applyFill="1" applyBorder="1" applyAlignment="1">
      <alignment horizontal="justify" vertical="top" wrapText="1"/>
    </xf>
    <xf numFmtId="0" fontId="1" fillId="3" borderId="7" xfId="0" applyFont="1" applyFill="1" applyBorder="1" applyAlignment="1">
      <alignment horizontal="justify" wrapText="1"/>
    </xf>
    <xf numFmtId="0" fontId="1" fillId="0" borderId="2" xfId="0" applyFont="1" applyBorder="1" applyAlignment="1">
      <alignment horizontal="center" vertical="center" wrapText="1"/>
    </xf>
    <xf numFmtId="0" fontId="25" fillId="0" borderId="14" xfId="0" applyFont="1" applyBorder="1" applyAlignment="1">
      <alignment horizontal="justify" vertical="top" wrapText="1"/>
    </xf>
    <xf numFmtId="0" fontId="9" fillId="0" borderId="0" xfId="0" applyFont="1" applyBorder="1" applyAlignment="1">
      <alignment horizontal="justify" vertical="top"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3" borderId="14" xfId="0" applyFont="1" applyFill="1" applyBorder="1" applyAlignment="1">
      <alignment horizontal="justify" wrapText="1"/>
    </xf>
    <xf numFmtId="0" fontId="6" fillId="3" borderId="14" xfId="0" applyFont="1" applyFill="1" applyBorder="1" applyAlignment="1">
      <alignment horizontal="justify" wrapText="1"/>
    </xf>
    <xf numFmtId="0" fontId="9" fillId="3" borderId="20" xfId="0" applyFont="1" applyFill="1" applyBorder="1" applyAlignment="1">
      <alignment horizontal="justify" vertical="top" wrapText="1"/>
    </xf>
    <xf numFmtId="0" fontId="12" fillId="0" borderId="20" xfId="0" applyFont="1" applyBorder="1" applyAlignment="1">
      <alignment horizontal="justify" wrapText="1"/>
    </xf>
    <xf numFmtId="0" fontId="1" fillId="0" borderId="2"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7" xfId="0" applyFont="1" applyBorder="1" applyAlignment="1">
      <alignment horizontal="center" vertical="center" wrapText="1"/>
    </xf>
    <xf numFmtId="0" fontId="9" fillId="0" borderId="46" xfId="0" applyFont="1" applyBorder="1" applyAlignment="1">
      <alignment horizontal="justify" vertical="top" wrapText="1"/>
    </xf>
    <xf numFmtId="0" fontId="9" fillId="0" borderId="39" xfId="0" applyFont="1" applyBorder="1" applyAlignment="1">
      <alignment horizontal="justify" vertical="top" wrapText="1"/>
    </xf>
    <xf numFmtId="0" fontId="9" fillId="0" borderId="44" xfId="0" applyFont="1" applyBorder="1" applyAlignment="1">
      <alignment horizontal="center" vertical="center" wrapText="1"/>
    </xf>
    <xf numFmtId="0" fontId="1" fillId="0" borderId="46" xfId="0" applyFont="1" applyBorder="1" applyAlignment="1">
      <alignment horizontal="center" wrapText="1"/>
    </xf>
    <xf numFmtId="0" fontId="1" fillId="3" borderId="14" xfId="0" applyFont="1" applyFill="1" applyBorder="1" applyAlignment="1">
      <alignment horizontal="justify" vertical="top" wrapText="1"/>
    </xf>
    <xf numFmtId="0" fontId="1" fillId="3" borderId="0" xfId="0" applyNumberFormat="1" applyFont="1" applyFill="1" applyBorder="1" applyAlignment="1">
      <alignment horizontal="justify" vertical="top" wrapText="1"/>
    </xf>
    <xf numFmtId="0" fontId="1" fillId="3" borderId="46" xfId="0" applyFont="1" applyFill="1" applyBorder="1" applyAlignment="1">
      <alignment horizontal="justify" vertical="top" wrapText="1"/>
    </xf>
    <xf numFmtId="0" fontId="1" fillId="3" borderId="42" xfId="0" applyFont="1" applyFill="1" applyBorder="1" applyAlignment="1">
      <alignment horizontal="left" vertical="top" wrapText="1"/>
    </xf>
    <xf numFmtId="0" fontId="9" fillId="3" borderId="20" xfId="0" applyFont="1" applyFill="1" applyBorder="1" applyAlignment="1">
      <alignment horizontal="justify" vertical="top" wrapText="1"/>
    </xf>
    <xf numFmtId="0" fontId="6" fillId="3" borderId="14" xfId="0" applyFont="1" applyFill="1" applyBorder="1" applyAlignment="1">
      <alignment horizontal="justify" vertical="top" wrapText="1"/>
    </xf>
    <xf numFmtId="0" fontId="9" fillId="3" borderId="44" xfId="0" applyFont="1" applyFill="1" applyBorder="1" applyAlignment="1">
      <alignment horizontal="justify" vertical="top" wrapText="1"/>
    </xf>
    <xf numFmtId="0" fontId="9" fillId="3" borderId="42" xfId="0" applyFont="1" applyFill="1" applyBorder="1" applyAlignment="1">
      <alignment horizontal="justify" wrapText="1"/>
    </xf>
    <xf numFmtId="0" fontId="25" fillId="3" borderId="14" xfId="0" applyFont="1" applyFill="1" applyBorder="1" applyAlignment="1">
      <alignment horizontal="justify" vertical="top" wrapText="1"/>
    </xf>
    <xf numFmtId="0" fontId="10" fillId="0" borderId="0" xfId="0" applyFont="1" applyAlignment="1">
      <alignment horizontal="left" vertical="top" wrapText="1"/>
    </xf>
    <xf numFmtId="0" fontId="10" fillId="0" borderId="0" xfId="0" applyFont="1" applyAlignment="1">
      <alignment horizontal="left" wrapText="1"/>
    </xf>
    <xf numFmtId="0" fontId="1" fillId="0" borderId="53" xfId="0" applyFont="1" applyBorder="1" applyAlignment="1">
      <alignment horizontal="justify" vertical="top" wrapText="1"/>
    </xf>
    <xf numFmtId="0" fontId="1" fillId="0" borderId="14" xfId="0" applyFont="1" applyFill="1" applyBorder="1" applyAlignment="1">
      <alignment horizontal="justify" vertical="top" wrapText="1"/>
    </xf>
    <xf numFmtId="0" fontId="6" fillId="0" borderId="14" xfId="0" applyFont="1" applyFill="1" applyBorder="1" applyAlignment="1">
      <alignment horizontal="justify" vertical="top" wrapText="1"/>
    </xf>
    <xf numFmtId="0" fontId="1" fillId="0" borderId="7" xfId="0" applyFont="1" applyFill="1" applyBorder="1" applyAlignment="1">
      <alignment horizontal="justify" wrapText="1"/>
    </xf>
    <xf numFmtId="0" fontId="22" fillId="0" borderId="20" xfId="0" applyFont="1" applyFill="1" applyBorder="1" applyAlignment="1">
      <alignment horizontal="justify" wrapText="1"/>
    </xf>
    <xf numFmtId="1" fontId="0" fillId="0" borderId="0" xfId="0" applyNumberFormat="1"/>
    <xf numFmtId="0" fontId="22" fillId="0" borderId="7" xfId="0" applyFont="1" applyFill="1" applyBorder="1" applyAlignment="1">
      <alignment horizontal="justify" vertical="top" wrapText="1"/>
    </xf>
    <xf numFmtId="0" fontId="26" fillId="0" borderId="0" xfId="0" applyFont="1" applyBorder="1" applyAlignment="1">
      <alignment horizontal="center" vertical="center" wrapText="1"/>
    </xf>
    <xf numFmtId="0" fontId="9" fillId="0" borderId="54" xfId="0" applyFont="1" applyBorder="1" applyAlignment="1">
      <alignment horizontal="justify" vertical="top" wrapText="1"/>
    </xf>
    <xf numFmtId="0" fontId="9" fillId="0" borderId="23" xfId="0" applyFont="1" applyBorder="1" applyAlignment="1">
      <alignment horizontal="center" wrapText="1"/>
    </xf>
    <xf numFmtId="0" fontId="27" fillId="0" borderId="0" xfId="1" applyFont="1"/>
    <xf numFmtId="0" fontId="27" fillId="0" borderId="0" xfId="1" applyFont="1" applyAlignment="1">
      <alignment horizontal="right"/>
    </xf>
    <xf numFmtId="0" fontId="0" fillId="0" borderId="29" xfId="0" applyBorder="1"/>
    <xf numFmtId="0" fontId="9" fillId="0" borderId="57"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59" xfId="0" applyFont="1" applyBorder="1" applyAlignment="1">
      <alignment horizontal="center" wrapText="1"/>
    </xf>
    <xf numFmtId="0" fontId="9" fillId="0" borderId="60" xfId="0" applyFont="1" applyBorder="1" applyAlignment="1">
      <alignment horizontal="center" vertical="center" wrapText="1"/>
    </xf>
    <xf numFmtId="0" fontId="9" fillId="0" borderId="60" xfId="0" applyFont="1" applyBorder="1" applyAlignment="1">
      <alignment horizontal="center" wrapText="1"/>
    </xf>
    <xf numFmtId="0" fontId="9" fillId="0" borderId="61" xfId="0" applyFont="1" applyBorder="1" applyAlignment="1">
      <alignment horizontal="center" wrapText="1"/>
    </xf>
    <xf numFmtId="0" fontId="10" fillId="0" borderId="62" xfId="0" applyFont="1" applyBorder="1" applyAlignment="1">
      <alignment horizontal="right" wrapText="1"/>
    </xf>
    <xf numFmtId="0" fontId="9" fillId="0" borderId="46" xfId="0" applyFont="1" applyBorder="1" applyAlignment="1">
      <alignment horizontal="center" vertical="center" wrapText="1"/>
    </xf>
    <xf numFmtId="0" fontId="12" fillId="0" borderId="65" xfId="0" applyFont="1" applyFill="1" applyBorder="1" applyAlignment="1">
      <alignment horizontal="justify" vertical="top" wrapText="1"/>
    </xf>
    <xf numFmtId="2" fontId="26" fillId="0" borderId="0" xfId="0" applyNumberFormat="1" applyFont="1" applyBorder="1"/>
    <xf numFmtId="0" fontId="9" fillId="3" borderId="45" xfId="0" applyFont="1" applyFill="1" applyBorder="1" applyAlignment="1">
      <alignment horizontal="justify" vertical="top" wrapText="1"/>
    </xf>
    <xf numFmtId="0" fontId="10" fillId="0" borderId="0" xfId="0" applyFont="1" applyAlignment="1">
      <alignment horizontal="left" vertical="top" wrapText="1"/>
    </xf>
    <xf numFmtId="0" fontId="1" fillId="0" borderId="3" xfId="0" applyFont="1" applyBorder="1" applyAlignment="1">
      <alignment horizontal="center" vertical="center" wrapText="1"/>
    </xf>
    <xf numFmtId="0" fontId="10" fillId="0" borderId="0" xfId="0" applyFont="1" applyAlignment="1">
      <alignment horizontal="left" wrapText="1"/>
    </xf>
    <xf numFmtId="0" fontId="1" fillId="0" borderId="0" xfId="0" applyFont="1" applyAlignment="1">
      <alignment horizontal="right"/>
    </xf>
    <xf numFmtId="0" fontId="27" fillId="0" borderId="0" xfId="1" applyFont="1" applyAlignment="1">
      <alignment horizontal="right"/>
    </xf>
    <xf numFmtId="0" fontId="1" fillId="0" borderId="4" xfId="0" applyFont="1" applyBorder="1" applyAlignment="1">
      <alignment horizontal="center" vertical="center"/>
    </xf>
    <xf numFmtId="0" fontId="1" fillId="0" borderId="0" xfId="0" applyFont="1" applyBorder="1" applyAlignment="1">
      <alignment horizontal="justify" wrapText="1"/>
    </xf>
    <xf numFmtId="0" fontId="1" fillId="0" borderId="5" xfId="0" applyFont="1" applyBorder="1" applyAlignment="1">
      <alignment horizontal="center" vertical="center" wrapText="1"/>
    </xf>
    <xf numFmtId="0" fontId="1" fillId="0" borderId="5" xfId="0" applyFont="1" applyBorder="1" applyAlignment="1">
      <alignment horizontal="justify" wrapText="1"/>
    </xf>
    <xf numFmtId="0" fontId="1" fillId="0" borderId="46" xfId="0" applyFont="1" applyBorder="1" applyAlignment="1">
      <alignment horizontal="center" vertical="center" wrapText="1"/>
    </xf>
    <xf numFmtId="0" fontId="1" fillId="0" borderId="67" xfId="0" applyFont="1" applyBorder="1" applyAlignment="1">
      <alignment horizontal="justify" wrapText="1"/>
    </xf>
    <xf numFmtId="0" fontId="1" fillId="0" borderId="47" xfId="0" applyFont="1" applyBorder="1" applyAlignment="1">
      <alignment horizontal="center" wrapText="1"/>
    </xf>
    <xf numFmtId="0" fontId="2" fillId="0" borderId="0" xfId="0" applyFont="1" applyBorder="1" applyAlignment="1">
      <alignment horizontal="justify" wrapText="1"/>
    </xf>
    <xf numFmtId="0" fontId="2" fillId="0" borderId="42" xfId="0" applyFont="1" applyBorder="1" applyAlignment="1">
      <alignment wrapText="1"/>
    </xf>
    <xf numFmtId="0" fontId="9" fillId="0" borderId="37" xfId="0" applyFont="1" applyBorder="1" applyAlignment="1">
      <alignment horizontal="justify" vertical="top" wrapText="1"/>
    </xf>
    <xf numFmtId="0" fontId="9" fillId="0" borderId="55" xfId="0" applyFont="1" applyBorder="1" applyAlignment="1">
      <alignment horizontal="center" vertical="center" wrapText="1"/>
    </xf>
    <xf numFmtId="0" fontId="6" fillId="0" borderId="66" xfId="0" applyFont="1" applyBorder="1" applyAlignment="1">
      <alignment horizontal="justify" vertical="top" wrapText="1"/>
    </xf>
    <xf numFmtId="0" fontId="9" fillId="0" borderId="66" xfId="0" applyFont="1" applyBorder="1" applyAlignment="1">
      <alignment horizontal="justify" wrapText="1"/>
    </xf>
    <xf numFmtId="0" fontId="9" fillId="2" borderId="5" xfId="0" applyFont="1" applyFill="1" applyBorder="1" applyAlignment="1">
      <alignment horizontal="center" vertical="center" wrapText="1"/>
    </xf>
    <xf numFmtId="0" fontId="10" fillId="0" borderId="5" xfId="0" applyFont="1" applyBorder="1" applyAlignment="1">
      <alignment vertical="top" wrapText="1"/>
    </xf>
    <xf numFmtId="0" fontId="9" fillId="0" borderId="5" xfId="0" applyFont="1" applyBorder="1" applyAlignment="1">
      <alignment vertical="top" wrapText="1"/>
    </xf>
    <xf numFmtId="0" fontId="9" fillId="0" borderId="5" xfId="0" applyFont="1" applyBorder="1" applyAlignment="1">
      <alignment horizontal="center" vertical="center" wrapText="1"/>
    </xf>
    <xf numFmtId="0" fontId="9" fillId="0" borderId="36" xfId="0" applyFont="1" applyBorder="1" applyAlignment="1">
      <alignment vertical="top" wrapText="1"/>
    </xf>
    <xf numFmtId="0" fontId="30" fillId="0" borderId="0" xfId="0" applyFont="1"/>
    <xf numFmtId="0" fontId="27" fillId="0" borderId="0" xfId="1" applyFont="1" applyAlignment="1">
      <alignment horizontal="right" wrapText="1"/>
    </xf>
    <xf numFmtId="0" fontId="32" fillId="0" borderId="0" xfId="0" applyFont="1"/>
    <xf numFmtId="0" fontId="10" fillId="0" borderId="0" xfId="0" applyFont="1" applyAlignment="1">
      <alignment horizontal="left" vertical="top" wrapText="1"/>
    </xf>
    <xf numFmtId="0" fontId="10" fillId="0" borderId="0" xfId="0" applyFont="1" applyAlignment="1">
      <alignment horizontal="left" wrapText="1"/>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9" fillId="0" borderId="34" xfId="0" applyFont="1" applyBorder="1" applyAlignment="1">
      <alignment horizontal="center" vertical="top" wrapText="1"/>
    </xf>
    <xf numFmtId="0" fontId="9" fillId="0" borderId="35" xfId="0" applyFont="1" applyBorder="1" applyAlignment="1">
      <alignment horizontal="center" vertical="top" wrapText="1"/>
    </xf>
    <xf numFmtId="0" fontId="10" fillId="0" borderId="34" xfId="0" applyFont="1" applyBorder="1" applyAlignment="1">
      <alignment horizontal="center" vertical="top" wrapText="1"/>
    </xf>
    <xf numFmtId="0" fontId="10" fillId="0" borderId="35" xfId="0" applyFont="1" applyBorder="1" applyAlignment="1">
      <alignment horizontal="center" vertical="top" wrapText="1"/>
    </xf>
    <xf numFmtId="0" fontId="10" fillId="0" borderId="5" xfId="0" applyFont="1" applyBorder="1" applyAlignment="1">
      <alignment horizontal="center" vertical="center" wrapText="1"/>
    </xf>
    <xf numFmtId="0" fontId="5" fillId="0" borderId="0" xfId="0" applyFont="1" applyAlignment="1">
      <alignment horizontal="left" vertical="top"/>
    </xf>
    <xf numFmtId="0" fontId="15" fillId="0" borderId="0" xfId="0" applyFont="1" applyAlignment="1">
      <alignment horizontal="left" vertical="top" wrapText="1"/>
    </xf>
    <xf numFmtId="0" fontId="9" fillId="0" borderId="34" xfId="0" applyFont="1" applyBorder="1" applyAlignment="1">
      <alignment vertical="top" wrapText="1"/>
    </xf>
    <xf numFmtId="0" fontId="9" fillId="0" borderId="35" xfId="0" applyFont="1" applyBorder="1" applyAlignment="1">
      <alignment vertical="top" wrapText="1"/>
    </xf>
    <xf numFmtId="0" fontId="31" fillId="0" borderId="0" xfId="2" applyFont="1" applyAlignment="1" applyProtection="1">
      <alignment horizontal="left"/>
    </xf>
    <xf numFmtId="0" fontId="1" fillId="0" borderId="0" xfId="0" applyFont="1" applyAlignment="1">
      <alignment horizontal="left"/>
    </xf>
    <xf numFmtId="0" fontId="21" fillId="0" borderId="0" xfId="2" applyFont="1" applyAlignment="1" applyProtection="1">
      <alignment horizontal="left"/>
    </xf>
    <xf numFmtId="0" fontId="14" fillId="0" borderId="0" xfId="0" applyFont="1" applyAlignment="1">
      <alignment horizontal="left"/>
    </xf>
    <xf numFmtId="0" fontId="18" fillId="0" borderId="0" xfId="1" applyFont="1" applyAlignment="1">
      <alignment horizontal="right"/>
    </xf>
    <xf numFmtId="4" fontId="9" fillId="0" borderId="10" xfId="0" applyNumberFormat="1" applyFont="1" applyBorder="1" applyAlignment="1">
      <alignment horizontal="center" vertical="center" wrapText="1"/>
    </xf>
    <xf numFmtId="4" fontId="9" fillId="0" borderId="11" xfId="0" applyNumberFormat="1" applyFont="1" applyBorder="1" applyAlignment="1">
      <alignment horizontal="center" vertical="center" wrapText="1"/>
    </xf>
    <xf numFmtId="4" fontId="10" fillId="0" borderId="12" xfId="0" applyNumberFormat="1" applyFont="1" applyBorder="1" applyAlignment="1">
      <alignment horizontal="center" vertical="center" wrapText="1"/>
    </xf>
    <xf numFmtId="4" fontId="10" fillId="0" borderId="13" xfId="0" applyNumberFormat="1" applyFont="1" applyBorder="1" applyAlignment="1">
      <alignment horizontal="center" vertical="center" wrapText="1"/>
    </xf>
    <xf numFmtId="2" fontId="9" fillId="0" borderId="8" xfId="0" applyNumberFormat="1" applyFont="1" applyBorder="1" applyAlignment="1">
      <alignment horizontal="center" vertical="center" wrapText="1"/>
    </xf>
    <xf numFmtId="2" fontId="9" fillId="0" borderId="9" xfId="0" applyNumberFormat="1" applyFont="1" applyBorder="1" applyAlignment="1">
      <alignment horizontal="center" vertical="center" wrapText="1"/>
    </xf>
    <xf numFmtId="0" fontId="9" fillId="0" borderId="21"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0" xfId="0" applyFont="1" applyAlignment="1">
      <alignment horizontal="left"/>
    </xf>
    <xf numFmtId="0" fontId="9" fillId="0" borderId="0" xfId="0" applyFont="1" applyBorder="1" applyAlignment="1">
      <alignment horizontal="left"/>
    </xf>
    <xf numFmtId="0" fontId="9" fillId="0" borderId="0" xfId="0" applyFont="1" applyAlignment="1">
      <alignment horizontal="left" vertical="top" wrapText="1"/>
    </xf>
    <xf numFmtId="0" fontId="9" fillId="0" borderId="0" xfId="0" applyFont="1" applyBorder="1" applyAlignment="1">
      <alignment horizontal="left" vertical="top" wrapText="1"/>
    </xf>
    <xf numFmtId="0" fontId="10" fillId="0" borderId="0" xfId="0" applyFont="1" applyAlignment="1">
      <alignment horizontal="center"/>
    </xf>
    <xf numFmtId="0" fontId="10" fillId="0" borderId="0" xfId="0" applyFont="1" applyAlignment="1">
      <alignment horizontal="left" vertical="top" wrapText="1"/>
    </xf>
    <xf numFmtId="0" fontId="10" fillId="0" borderId="0" xfId="0" applyFont="1" applyAlignment="1">
      <alignment horizontal="left"/>
    </xf>
    <xf numFmtId="2" fontId="9" fillId="0" borderId="10" xfId="0" applyNumberFormat="1" applyFont="1" applyBorder="1" applyAlignment="1">
      <alignment horizontal="center" wrapText="1"/>
    </xf>
    <xf numFmtId="2" fontId="9" fillId="0" borderId="11" xfId="0" applyNumberFormat="1" applyFont="1" applyBorder="1" applyAlignment="1">
      <alignment horizontal="center" wrapText="1"/>
    </xf>
    <xf numFmtId="4" fontId="22" fillId="0" borderId="10" xfId="0" applyNumberFormat="1" applyFont="1" applyBorder="1" applyAlignment="1">
      <alignment horizontal="center" vertical="center" wrapText="1"/>
    </xf>
    <xf numFmtId="4" fontId="22" fillId="0" borderId="11" xfId="0" applyNumberFormat="1" applyFont="1" applyBorder="1" applyAlignment="1">
      <alignment horizontal="center" vertical="center" wrapText="1"/>
    </xf>
    <xf numFmtId="3" fontId="9" fillId="0" borderId="5" xfId="0" applyNumberFormat="1" applyFont="1" applyBorder="1" applyAlignment="1">
      <alignment horizontal="center" vertical="center"/>
    </xf>
    <xf numFmtId="4" fontId="23" fillId="0" borderId="5" xfId="0" applyNumberFormat="1" applyFont="1" applyBorder="1" applyAlignment="1">
      <alignment horizontal="center" vertical="center"/>
    </xf>
    <xf numFmtId="0" fontId="9" fillId="0" borderId="33" xfId="0" applyFont="1" applyBorder="1" applyAlignment="1">
      <alignment horizontal="left" vertical="top" wrapText="1"/>
    </xf>
    <xf numFmtId="4" fontId="23" fillId="0" borderId="34" xfId="0" applyNumberFormat="1" applyFont="1" applyBorder="1" applyAlignment="1">
      <alignment horizontal="center" vertical="center"/>
    </xf>
    <xf numFmtId="4" fontId="23" fillId="0" borderId="35" xfId="0" applyNumberFormat="1" applyFont="1" applyBorder="1" applyAlignment="1">
      <alignment horizontal="center" vertical="center"/>
    </xf>
    <xf numFmtId="4" fontId="22" fillId="0" borderId="15" xfId="0" applyNumberFormat="1" applyFont="1" applyBorder="1" applyAlignment="1">
      <alignment horizontal="center" vertical="center" wrapText="1"/>
    </xf>
    <xf numFmtId="4" fontId="22" fillId="0" borderId="16" xfId="0" applyNumberFormat="1" applyFont="1" applyBorder="1" applyAlignment="1">
      <alignment horizontal="center" vertical="center" wrapText="1"/>
    </xf>
    <xf numFmtId="4" fontId="23" fillId="0" borderId="31" xfId="0" applyNumberFormat="1" applyFont="1" applyBorder="1" applyAlignment="1">
      <alignment horizontal="center" vertical="center" wrapText="1"/>
    </xf>
    <xf numFmtId="4" fontId="23" fillId="0" borderId="32" xfId="0" applyNumberFormat="1" applyFont="1" applyBorder="1" applyAlignment="1">
      <alignment horizontal="center" vertical="center" wrapText="1"/>
    </xf>
    <xf numFmtId="0" fontId="9" fillId="0" borderId="33" xfId="0" applyFont="1" applyBorder="1" applyAlignment="1">
      <alignment horizontal="left"/>
    </xf>
    <xf numFmtId="3" fontId="22" fillId="0" borderId="34" xfId="0" applyNumberFormat="1" applyFont="1" applyBorder="1" applyAlignment="1">
      <alignment horizontal="center" vertical="center"/>
    </xf>
    <xf numFmtId="3" fontId="22" fillId="0" borderId="35" xfId="0" applyNumberFormat="1" applyFont="1" applyBorder="1" applyAlignment="1">
      <alignment horizontal="center" vertical="center"/>
    </xf>
    <xf numFmtId="2" fontId="11" fillId="0" borderId="24" xfId="0" applyNumberFormat="1" applyFont="1" applyBorder="1" applyAlignment="1">
      <alignment horizontal="center" vertical="center" wrapText="1"/>
    </xf>
    <xf numFmtId="2" fontId="11" fillId="0" borderId="25" xfId="0" applyNumberFormat="1" applyFont="1" applyBorder="1" applyAlignment="1">
      <alignment horizontal="center" vertical="center" wrapText="1"/>
    </xf>
    <xf numFmtId="4" fontId="9" fillId="0" borderId="15" xfId="0" applyNumberFormat="1" applyFont="1" applyBorder="1" applyAlignment="1">
      <alignment horizontal="center" vertical="center" wrapText="1"/>
    </xf>
    <xf numFmtId="4" fontId="9" fillId="0" borderId="16" xfId="0" applyNumberFormat="1" applyFont="1" applyBorder="1" applyAlignment="1">
      <alignment horizontal="center" vertical="center" wrapText="1"/>
    </xf>
    <xf numFmtId="2" fontId="9" fillId="0" borderId="15" xfId="0" applyNumberFormat="1" applyFont="1" applyBorder="1" applyAlignment="1">
      <alignment horizontal="center" wrapText="1"/>
    </xf>
    <xf numFmtId="2" fontId="9" fillId="0" borderId="16" xfId="0" applyNumberFormat="1" applyFont="1" applyBorder="1" applyAlignment="1">
      <alignment horizontal="center" wrapText="1"/>
    </xf>
    <xf numFmtId="0" fontId="9" fillId="0" borderId="43"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4" fontId="22" fillId="0" borderId="26" xfId="0" applyNumberFormat="1" applyFont="1" applyBorder="1" applyAlignment="1">
      <alignment horizontal="center" vertical="center" wrapText="1"/>
    </xf>
    <xf numFmtId="4" fontId="22" fillId="0" borderId="27" xfId="0" applyNumberFormat="1" applyFont="1" applyBorder="1" applyAlignment="1">
      <alignment horizontal="center" vertical="center" wrapText="1"/>
    </xf>
    <xf numFmtId="4" fontId="22" fillId="0" borderId="0" xfId="0" applyNumberFormat="1" applyFont="1" applyBorder="1" applyAlignment="1">
      <alignment horizontal="center" vertical="center" wrapText="1"/>
    </xf>
    <xf numFmtId="4" fontId="22" fillId="0" borderId="28" xfId="0" applyNumberFormat="1" applyFont="1" applyBorder="1" applyAlignment="1">
      <alignment horizontal="center" vertical="center" wrapText="1"/>
    </xf>
    <xf numFmtId="4" fontId="22" fillId="0" borderId="29" xfId="0" applyNumberFormat="1" applyFont="1" applyBorder="1" applyAlignment="1">
      <alignment horizontal="center" vertical="center" wrapText="1"/>
    </xf>
    <xf numFmtId="4" fontId="22" fillId="0" borderId="30" xfId="0" applyNumberFormat="1"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xf>
    <xf numFmtId="2" fontId="5" fillId="0" borderId="8" xfId="0" applyNumberFormat="1" applyFont="1" applyBorder="1" applyAlignment="1">
      <alignment horizontal="center" vertical="center" wrapText="1"/>
    </xf>
    <xf numFmtId="2" fontId="5" fillId="0" borderId="9" xfId="0" applyNumberFormat="1" applyFont="1" applyBorder="1" applyAlignment="1">
      <alignment horizontal="center" vertical="center" wrapText="1"/>
    </xf>
    <xf numFmtId="2" fontId="1" fillId="0" borderId="10" xfId="0" applyNumberFormat="1" applyFont="1" applyBorder="1" applyAlignment="1">
      <alignment horizontal="center" wrapText="1"/>
    </xf>
    <xf numFmtId="2" fontId="1" fillId="0" borderId="11" xfId="0" applyNumberFormat="1" applyFont="1" applyBorder="1" applyAlignment="1">
      <alignment horizont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4" fontId="1" fillId="0" borderId="10" xfId="0" applyNumberFormat="1" applyFont="1" applyBorder="1" applyAlignment="1">
      <alignment horizontal="center" vertical="center" wrapText="1"/>
    </xf>
    <xf numFmtId="4" fontId="1" fillId="0" borderId="11" xfId="0" applyNumberFormat="1" applyFont="1" applyBorder="1" applyAlignment="1">
      <alignment horizontal="center" vertical="center" wrapText="1"/>
    </xf>
    <xf numFmtId="0" fontId="3" fillId="0" borderId="0" xfId="0" applyFont="1" applyAlignment="1">
      <alignment horizontal="left" vertical="top" wrapText="1"/>
    </xf>
    <xf numFmtId="0" fontId="3" fillId="0" borderId="0" xfId="0" applyFont="1" applyBorder="1" applyAlignment="1">
      <alignment horizontal="left" vertical="top" wrapText="1"/>
    </xf>
    <xf numFmtId="4" fontId="4" fillId="0" borderId="5" xfId="0" applyNumberFormat="1" applyFont="1" applyBorder="1" applyAlignment="1">
      <alignment horizontal="center" vertical="center"/>
    </xf>
    <xf numFmtId="4" fontId="2" fillId="0" borderId="12" xfId="0" applyNumberFormat="1" applyFont="1" applyBorder="1" applyAlignment="1">
      <alignment horizontal="center" vertical="center" wrapText="1"/>
    </xf>
    <xf numFmtId="4" fontId="2" fillId="0" borderId="13" xfId="0" applyNumberFormat="1" applyFont="1" applyBorder="1" applyAlignment="1">
      <alignment horizontal="center" vertical="center" wrapText="1"/>
    </xf>
    <xf numFmtId="0" fontId="3" fillId="0" borderId="0" xfId="0" applyFont="1" applyAlignment="1">
      <alignment horizontal="left"/>
    </xf>
    <xf numFmtId="0" fontId="3" fillId="0" borderId="0" xfId="0" applyFont="1" applyBorder="1" applyAlignment="1">
      <alignment horizontal="left"/>
    </xf>
    <xf numFmtId="3" fontId="3" fillId="0" borderId="5" xfId="0" applyNumberFormat="1" applyFont="1" applyBorder="1" applyAlignment="1">
      <alignment horizontal="center" vertical="center"/>
    </xf>
    <xf numFmtId="2" fontId="11" fillId="0" borderId="8" xfId="0" applyNumberFormat="1" applyFont="1" applyBorder="1" applyAlignment="1">
      <alignment horizontal="center" vertical="center" wrapText="1"/>
    </xf>
    <xf numFmtId="2" fontId="11" fillId="0" borderId="9" xfId="0" applyNumberFormat="1" applyFont="1" applyBorder="1" applyAlignment="1">
      <alignment horizontal="center" vertical="center" wrapText="1"/>
    </xf>
    <xf numFmtId="4" fontId="23" fillId="0" borderId="12" xfId="0" applyNumberFormat="1" applyFont="1" applyBorder="1" applyAlignment="1">
      <alignment horizontal="center" vertical="center" wrapText="1"/>
    </xf>
    <xf numFmtId="4" fontId="23" fillId="0" borderId="13" xfId="0" applyNumberFormat="1" applyFont="1" applyBorder="1" applyAlignment="1">
      <alignment horizontal="center" vertical="center" wrapText="1"/>
    </xf>
    <xf numFmtId="3" fontId="22" fillId="0" borderId="5" xfId="0" applyNumberFormat="1" applyFont="1" applyBorder="1" applyAlignment="1">
      <alignment horizontal="center" vertical="center"/>
    </xf>
    <xf numFmtId="4" fontId="1" fillId="0" borderId="10" xfId="0" applyNumberFormat="1" applyFont="1" applyBorder="1" applyAlignment="1">
      <alignment horizontal="center" vertical="center"/>
    </xf>
    <xf numFmtId="4" fontId="1" fillId="0" borderId="11" xfId="0" applyNumberFormat="1" applyFont="1" applyBorder="1" applyAlignment="1">
      <alignment horizontal="center" vertical="center"/>
    </xf>
    <xf numFmtId="4" fontId="22" fillId="3" borderId="10" xfId="0" applyNumberFormat="1" applyFont="1" applyFill="1" applyBorder="1" applyAlignment="1">
      <alignment horizontal="center" vertical="center" wrapText="1"/>
    </xf>
    <xf numFmtId="4" fontId="22" fillId="3" borderId="11" xfId="0" applyNumberFormat="1" applyFont="1" applyFill="1" applyBorder="1" applyAlignment="1">
      <alignment horizontal="center" vertical="center" wrapText="1"/>
    </xf>
    <xf numFmtId="0" fontId="10" fillId="0" borderId="0" xfId="0" applyFont="1" applyAlignment="1">
      <alignment horizontal="left" wrapText="1"/>
    </xf>
    <xf numFmtId="4" fontId="23" fillId="0" borderId="5" xfId="0" applyNumberFormat="1" applyFont="1" applyFill="1" applyBorder="1" applyAlignment="1">
      <alignment horizontal="center" vertical="center"/>
    </xf>
    <xf numFmtId="4" fontId="22" fillId="0" borderId="55" xfId="0" applyNumberFormat="1" applyFont="1" applyBorder="1" applyAlignment="1">
      <alignment horizontal="center" vertical="center" wrapText="1"/>
    </xf>
    <xf numFmtId="4" fontId="22" fillId="0" borderId="56" xfId="0" applyNumberFormat="1" applyFont="1" applyBorder="1" applyAlignment="1">
      <alignment horizontal="center" vertical="center" wrapText="1"/>
    </xf>
    <xf numFmtId="4" fontId="9" fillId="0" borderId="55" xfId="0" applyNumberFormat="1" applyFont="1" applyBorder="1" applyAlignment="1">
      <alignment horizontal="center" vertical="center" wrapText="1"/>
    </xf>
    <xf numFmtId="4" fontId="9" fillId="0" borderId="56" xfId="0" applyNumberFormat="1" applyFont="1" applyBorder="1" applyAlignment="1">
      <alignment horizontal="center" vertical="center" wrapText="1"/>
    </xf>
    <xf numFmtId="4" fontId="10" fillId="0" borderId="55" xfId="0" applyNumberFormat="1" applyFont="1" applyBorder="1" applyAlignment="1">
      <alignment horizontal="center" vertical="center" wrapText="1"/>
    </xf>
    <xf numFmtId="4" fontId="10" fillId="0" borderId="56" xfId="0" applyNumberFormat="1" applyFont="1" applyBorder="1" applyAlignment="1">
      <alignment horizontal="center" vertical="center" wrapText="1"/>
    </xf>
    <xf numFmtId="2" fontId="11" fillId="0" borderId="55" xfId="0" applyNumberFormat="1" applyFont="1" applyBorder="1" applyAlignment="1">
      <alignment horizontal="center" vertical="center" wrapText="1"/>
    </xf>
    <xf numFmtId="2" fontId="11" fillId="0" borderId="56" xfId="0" applyNumberFormat="1" applyFont="1" applyBorder="1" applyAlignment="1">
      <alignment horizontal="center" vertical="center" wrapText="1"/>
    </xf>
    <xf numFmtId="2" fontId="9" fillId="0" borderId="63" xfId="0" applyNumberFormat="1" applyFont="1" applyBorder="1" applyAlignment="1">
      <alignment horizontal="center" wrapText="1"/>
    </xf>
    <xf numFmtId="2" fontId="9" fillId="0" borderId="64" xfId="0" applyNumberFormat="1" applyFont="1" applyBorder="1" applyAlignment="1">
      <alignment horizontal="center" wrapText="1"/>
    </xf>
    <xf numFmtId="4" fontId="9" fillId="0" borderId="63" xfId="0" applyNumberFormat="1" applyFont="1" applyBorder="1" applyAlignment="1">
      <alignment horizontal="center" vertical="center" wrapText="1"/>
    </xf>
    <xf numFmtId="4" fontId="9" fillId="0" borderId="64" xfId="0" applyNumberFormat="1" applyFont="1" applyBorder="1" applyAlignment="1">
      <alignment horizontal="center" vertical="center" wrapText="1"/>
    </xf>
    <xf numFmtId="4" fontId="9" fillId="0" borderId="55" xfId="0" applyNumberFormat="1" applyFont="1" applyFill="1" applyBorder="1" applyAlignment="1">
      <alignment horizontal="center" vertical="center"/>
    </xf>
    <xf numFmtId="4" fontId="9" fillId="0" borderId="56" xfId="0" applyNumberFormat="1" applyFont="1" applyFill="1" applyBorder="1" applyAlignment="1">
      <alignment horizontal="center" vertical="center"/>
    </xf>
    <xf numFmtId="4" fontId="10" fillId="0" borderId="5" xfId="0" applyNumberFormat="1" applyFont="1" applyBorder="1" applyAlignment="1">
      <alignment horizontal="center" vertical="center"/>
    </xf>
    <xf numFmtId="0" fontId="9" fillId="0" borderId="0" xfId="0" applyFont="1" applyAlignment="1">
      <alignment horizontal="left" wrapText="1"/>
    </xf>
    <xf numFmtId="0" fontId="9" fillId="0" borderId="0" xfId="0" applyFont="1" applyBorder="1" applyAlignment="1">
      <alignment horizontal="left" wrapText="1"/>
    </xf>
    <xf numFmtId="4" fontId="9" fillId="0" borderId="26" xfId="0" applyNumberFormat="1" applyFont="1" applyBorder="1" applyAlignment="1">
      <alignment horizontal="center" vertical="center" wrapText="1"/>
    </xf>
    <xf numFmtId="4" fontId="9" fillId="0" borderId="27" xfId="0" applyNumberFormat="1" applyFont="1" applyBorder="1" applyAlignment="1">
      <alignment horizontal="center" vertical="center" wrapText="1"/>
    </xf>
    <xf numFmtId="4" fontId="9" fillId="0" borderId="0" xfId="0" applyNumberFormat="1" applyFont="1" applyBorder="1" applyAlignment="1">
      <alignment horizontal="center" vertical="center" wrapText="1"/>
    </xf>
    <xf numFmtId="4" fontId="9" fillId="0" borderId="28" xfId="0" applyNumberFormat="1" applyFont="1" applyBorder="1" applyAlignment="1">
      <alignment horizontal="center" vertical="center" wrapText="1"/>
    </xf>
    <xf numFmtId="4" fontId="9" fillId="0" borderId="29" xfId="0" applyNumberFormat="1" applyFont="1" applyBorder="1" applyAlignment="1">
      <alignment horizontal="center" vertical="center" wrapText="1"/>
    </xf>
    <xf numFmtId="4" fontId="9" fillId="0" borderId="30" xfId="0" applyNumberFormat="1" applyFont="1" applyBorder="1" applyAlignment="1">
      <alignment horizontal="center" vertical="center" wrapText="1"/>
    </xf>
    <xf numFmtId="4" fontId="10" fillId="0" borderId="31" xfId="0" applyNumberFormat="1" applyFont="1" applyBorder="1" applyAlignment="1">
      <alignment horizontal="center" vertical="center" wrapText="1"/>
    </xf>
    <xf numFmtId="4" fontId="10" fillId="0" borderId="32" xfId="0" applyNumberFormat="1" applyFont="1" applyBorder="1" applyAlignment="1">
      <alignment horizontal="center" vertical="center" wrapText="1"/>
    </xf>
    <xf numFmtId="3" fontId="9" fillId="0" borderId="34" xfId="0" applyNumberFormat="1" applyFont="1" applyBorder="1" applyAlignment="1">
      <alignment horizontal="center" vertical="center"/>
    </xf>
    <xf numFmtId="3" fontId="9" fillId="0" borderId="35" xfId="0" applyNumberFormat="1" applyFont="1" applyBorder="1" applyAlignment="1">
      <alignment horizontal="center" vertical="center"/>
    </xf>
    <xf numFmtId="4" fontId="1" fillId="0" borderId="10" xfId="0" applyNumberFormat="1" applyFont="1" applyFill="1" applyBorder="1" applyAlignment="1">
      <alignment horizontal="center" vertical="center" wrapText="1"/>
    </xf>
    <xf numFmtId="4" fontId="1" fillId="0" borderId="11" xfId="0" applyNumberFormat="1" applyFont="1" applyFill="1" applyBorder="1" applyAlignment="1">
      <alignment horizontal="center" vertical="center" wrapText="1"/>
    </xf>
    <xf numFmtId="0" fontId="3" fillId="0" borderId="33" xfId="0" applyFont="1" applyBorder="1" applyAlignment="1">
      <alignment horizontal="left" vertical="top" wrapText="1"/>
    </xf>
    <xf numFmtId="0" fontId="3" fillId="0" borderId="0" xfId="0" applyFont="1" applyAlignment="1">
      <alignment horizontal="left" vertical="top"/>
    </xf>
    <xf numFmtId="0" fontId="3" fillId="0" borderId="0" xfId="0" applyFont="1" applyBorder="1" applyAlignment="1">
      <alignment horizontal="left" vertical="top"/>
    </xf>
    <xf numFmtId="4" fontId="1" fillId="0" borderId="15" xfId="0" applyNumberFormat="1" applyFont="1" applyBorder="1" applyAlignment="1">
      <alignment horizontal="center" vertical="center" wrapText="1"/>
    </xf>
    <xf numFmtId="4" fontId="1" fillId="0" borderId="16" xfId="0" applyNumberFormat="1" applyFont="1" applyBorder="1" applyAlignment="1">
      <alignment horizontal="center" vertical="center" wrapText="1"/>
    </xf>
    <xf numFmtId="4" fontId="1" fillId="3" borderId="10" xfId="0" applyNumberFormat="1" applyFont="1" applyFill="1" applyBorder="1" applyAlignment="1">
      <alignment horizontal="center" vertical="center" wrapText="1"/>
    </xf>
    <xf numFmtId="4" fontId="1" fillId="3" borderId="11" xfId="0" applyNumberFormat="1" applyFont="1" applyFill="1" applyBorder="1" applyAlignment="1">
      <alignment horizontal="center" vertical="center" wrapText="1"/>
    </xf>
    <xf numFmtId="0" fontId="2" fillId="0" borderId="0" xfId="0" applyFont="1" applyAlignment="1">
      <alignment horizontal="left" wrapText="1"/>
    </xf>
    <xf numFmtId="4" fontId="23" fillId="3" borderId="5" xfId="0" applyNumberFormat="1" applyFont="1" applyFill="1" applyBorder="1" applyAlignment="1">
      <alignment horizontal="center" vertical="center"/>
    </xf>
    <xf numFmtId="4" fontId="1" fillId="0" borderId="48" xfId="0" applyNumberFormat="1" applyFont="1" applyBorder="1" applyAlignment="1">
      <alignment horizontal="center" vertical="center" wrapText="1"/>
    </xf>
    <xf numFmtId="4" fontId="1" fillId="0" borderId="49" xfId="0" applyNumberFormat="1" applyFont="1" applyBorder="1" applyAlignment="1">
      <alignment horizontal="center" vertical="center" wrapText="1"/>
    </xf>
    <xf numFmtId="4" fontId="22" fillId="0" borderId="5" xfId="0" applyNumberFormat="1" applyFont="1" applyBorder="1" applyAlignment="1">
      <alignment horizontal="center" vertical="center" wrapText="1"/>
    </xf>
    <xf numFmtId="4" fontId="1" fillId="0" borderId="50" xfId="0" applyNumberFormat="1" applyFont="1" applyBorder="1" applyAlignment="1">
      <alignment horizontal="center" vertical="center" wrapText="1"/>
    </xf>
    <xf numFmtId="4" fontId="1" fillId="0" borderId="51" xfId="0" applyNumberFormat="1" applyFont="1" applyBorder="1" applyAlignment="1">
      <alignment horizontal="center" vertical="center" wrapText="1"/>
    </xf>
    <xf numFmtId="0" fontId="3" fillId="0" borderId="0" xfId="0" applyFont="1" applyAlignment="1">
      <alignment horizontal="left" wrapText="1"/>
    </xf>
    <xf numFmtId="0" fontId="3" fillId="0" borderId="0" xfId="0" applyFont="1" applyBorder="1" applyAlignment="1">
      <alignment horizontal="left" wrapText="1"/>
    </xf>
    <xf numFmtId="0" fontId="4" fillId="0" borderId="0" xfId="0" applyFont="1" applyAlignment="1">
      <alignment horizontal="left" wrapText="1"/>
    </xf>
    <xf numFmtId="4" fontId="1" fillId="0" borderId="55" xfId="0" applyNumberFormat="1" applyFont="1" applyBorder="1" applyAlignment="1">
      <alignment horizontal="center" vertical="center" wrapText="1"/>
    </xf>
    <xf numFmtId="4" fontId="1" fillId="0" borderId="56" xfId="0" applyNumberFormat="1" applyFont="1" applyBorder="1" applyAlignment="1">
      <alignment horizontal="center" vertical="center" wrapText="1"/>
    </xf>
    <xf numFmtId="4" fontId="1" fillId="0" borderId="26" xfId="0" applyNumberFormat="1" applyFont="1" applyBorder="1" applyAlignment="1">
      <alignment horizontal="center" vertical="center" wrapText="1"/>
    </xf>
    <xf numFmtId="4" fontId="1" fillId="0" borderId="27" xfId="0" applyNumberFormat="1" applyFont="1" applyBorder="1" applyAlignment="1">
      <alignment horizontal="center" vertical="center" wrapText="1"/>
    </xf>
    <xf numFmtId="4" fontId="3" fillId="0" borderId="5" xfId="0" applyNumberFormat="1" applyFont="1" applyBorder="1" applyAlignment="1">
      <alignment horizontal="center" vertical="center"/>
    </xf>
    <xf numFmtId="4" fontId="1" fillId="0" borderId="35" xfId="0" applyNumberFormat="1" applyFont="1" applyBorder="1" applyAlignment="1">
      <alignment horizontal="center" vertical="center" wrapText="1"/>
    </xf>
    <xf numFmtId="4" fontId="1" fillId="0" borderId="65" xfId="0" applyNumberFormat="1" applyFont="1" applyBorder="1" applyAlignment="1">
      <alignment horizontal="center" vertical="center" wrapText="1"/>
    </xf>
    <xf numFmtId="4" fontId="23" fillId="3" borderId="34" xfId="0" applyNumberFormat="1" applyFont="1" applyFill="1" applyBorder="1" applyAlignment="1">
      <alignment horizontal="center" vertical="center"/>
    </xf>
    <xf numFmtId="4" fontId="23" fillId="3" borderId="35" xfId="0" applyNumberFormat="1" applyFont="1" applyFill="1" applyBorder="1" applyAlignment="1">
      <alignment horizontal="center" vertical="center"/>
    </xf>
    <xf numFmtId="4" fontId="1" fillId="0" borderId="52" xfId="0" applyNumberFormat="1" applyFont="1" applyBorder="1" applyAlignment="1">
      <alignment horizontal="center" vertical="center" wrapText="1"/>
    </xf>
    <xf numFmtId="4" fontId="1" fillId="0" borderId="39" xfId="0" applyNumberFormat="1" applyFont="1" applyBorder="1" applyAlignment="1">
      <alignment horizontal="center" vertical="center" wrapText="1"/>
    </xf>
    <xf numFmtId="4" fontId="2" fillId="0" borderId="31" xfId="0" applyNumberFormat="1" applyFont="1" applyBorder="1" applyAlignment="1">
      <alignment horizontal="center" vertical="center" wrapText="1"/>
    </xf>
    <xf numFmtId="4" fontId="2" fillId="0" borderId="32" xfId="0" applyNumberFormat="1" applyFont="1" applyBorder="1" applyAlignment="1">
      <alignment horizontal="center" vertical="center" wrapText="1"/>
    </xf>
    <xf numFmtId="4" fontId="9" fillId="3" borderId="10" xfId="0" applyNumberFormat="1" applyFont="1" applyFill="1" applyBorder="1" applyAlignment="1">
      <alignment horizontal="center" vertical="center" wrapText="1"/>
    </xf>
    <xf numFmtId="4" fontId="9" fillId="3" borderId="11" xfId="0" applyNumberFormat="1" applyFont="1" applyFill="1" applyBorder="1" applyAlignment="1">
      <alignment horizontal="center" vertical="center" wrapText="1"/>
    </xf>
    <xf numFmtId="0" fontId="9" fillId="0" borderId="68"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70" xfId="0" applyFont="1" applyBorder="1" applyAlignment="1">
      <alignment horizontal="center" vertical="center" wrapText="1"/>
    </xf>
    <xf numFmtId="2" fontId="9" fillId="0" borderId="48" xfId="0" applyNumberFormat="1" applyFont="1" applyBorder="1" applyAlignment="1">
      <alignment horizontal="center" wrapText="1"/>
    </xf>
    <xf numFmtId="2" fontId="9" fillId="0" borderId="49" xfId="0" applyNumberFormat="1" applyFont="1" applyBorder="1" applyAlignment="1">
      <alignment horizontal="center" wrapText="1"/>
    </xf>
    <xf numFmtId="4" fontId="9" fillId="0" borderId="66" xfId="0" applyNumberFormat="1" applyFont="1" applyBorder="1" applyAlignment="1">
      <alignment horizontal="center" vertical="center" wrapText="1"/>
    </xf>
    <xf numFmtId="4" fontId="9" fillId="0" borderId="50" xfId="0" applyNumberFormat="1" applyFont="1" applyBorder="1" applyAlignment="1">
      <alignment horizontal="center" vertical="center" wrapText="1"/>
    </xf>
    <xf numFmtId="4" fontId="9" fillId="0" borderId="51" xfId="0" applyNumberFormat="1" applyFont="1" applyBorder="1" applyAlignment="1">
      <alignment horizontal="center" vertical="center" wrapText="1"/>
    </xf>
    <xf numFmtId="0" fontId="27" fillId="0" borderId="0" xfId="1" applyFont="1" applyAlignment="1">
      <alignment horizontal="right"/>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hyperlink" Target="mailto:aija.ezeriete@mvm.lv" TargetMode="External"/><Relationship Id="rId1" Type="http://schemas.openxmlformats.org/officeDocument/2006/relationships/hyperlink" Target="mailto:lasma.zandberga@vm.gov.lv" TargetMode="External"/></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3"/>
  <sheetViews>
    <sheetView tabSelected="1" view="pageBreakPreview" topLeftCell="A100" zoomScaleNormal="100" zoomScaleSheetLayoutView="100" workbookViewId="0">
      <selection activeCell="A115" sqref="A115:C115"/>
    </sheetView>
  </sheetViews>
  <sheetFormatPr defaultRowHeight="15" x14ac:dyDescent="0.25"/>
  <cols>
    <col min="2" max="2" width="58.140625" customWidth="1"/>
    <col min="3" max="3" width="18.5703125" customWidth="1"/>
  </cols>
  <sheetData>
    <row r="1" spans="1:3" ht="15.75" x14ac:dyDescent="0.25">
      <c r="C1" s="161" t="s">
        <v>715</v>
      </c>
    </row>
    <row r="2" spans="1:3" ht="15.75" x14ac:dyDescent="0.25">
      <c r="C2" s="161" t="s">
        <v>234</v>
      </c>
    </row>
    <row r="3" spans="1:3" ht="15.75" x14ac:dyDescent="0.25">
      <c r="C3" s="161" t="s">
        <v>696</v>
      </c>
    </row>
    <row r="4" spans="1:3" ht="15.75" x14ac:dyDescent="0.25">
      <c r="C4" s="161" t="s">
        <v>697</v>
      </c>
    </row>
    <row r="5" spans="1:3" ht="15.75" x14ac:dyDescent="0.25">
      <c r="C5" s="161" t="s">
        <v>698</v>
      </c>
    </row>
    <row r="7" spans="1:3" ht="15.75" x14ac:dyDescent="0.25">
      <c r="A7" s="176" t="s">
        <v>29</v>
      </c>
      <c r="B7" s="176" t="s">
        <v>30</v>
      </c>
      <c r="C7" s="176" t="s">
        <v>31</v>
      </c>
    </row>
    <row r="8" spans="1:3" ht="15.75" x14ac:dyDescent="0.25">
      <c r="A8" s="177" t="s">
        <v>32</v>
      </c>
      <c r="B8" s="188" t="s">
        <v>33</v>
      </c>
      <c r="C8" s="189"/>
    </row>
    <row r="9" spans="1:3" ht="32.25" customHeight="1" x14ac:dyDescent="0.25">
      <c r="A9" s="177" t="s">
        <v>34</v>
      </c>
      <c r="B9" s="188" t="s">
        <v>35</v>
      </c>
      <c r="C9" s="189"/>
    </row>
    <row r="10" spans="1:3" ht="15.75" x14ac:dyDescent="0.25">
      <c r="A10" s="178" t="s">
        <v>36</v>
      </c>
      <c r="B10" s="178" t="s">
        <v>37</v>
      </c>
      <c r="C10" s="179"/>
    </row>
    <row r="11" spans="1:3" ht="15.75" x14ac:dyDescent="0.25">
      <c r="A11" s="178" t="s">
        <v>38</v>
      </c>
      <c r="B11" s="178" t="s">
        <v>39</v>
      </c>
      <c r="C11" s="179" t="s">
        <v>40</v>
      </c>
    </row>
    <row r="12" spans="1:3" ht="15.75" x14ac:dyDescent="0.25">
      <c r="A12" s="178" t="s">
        <v>41</v>
      </c>
      <c r="B12" s="178" t="s">
        <v>42</v>
      </c>
      <c r="C12" s="179" t="s">
        <v>40</v>
      </c>
    </row>
    <row r="13" spans="1:3" ht="15.75" x14ac:dyDescent="0.25">
      <c r="A13" s="178" t="s">
        <v>43</v>
      </c>
      <c r="B13" s="178" t="s">
        <v>44</v>
      </c>
      <c r="C13" s="179" t="s">
        <v>40</v>
      </c>
    </row>
    <row r="14" spans="1:3" ht="15.75" x14ac:dyDescent="0.25">
      <c r="A14" s="178" t="s">
        <v>45</v>
      </c>
      <c r="B14" s="190" t="s">
        <v>46</v>
      </c>
      <c r="C14" s="191"/>
    </row>
    <row r="15" spans="1:3" ht="15.75" x14ac:dyDescent="0.25">
      <c r="A15" s="178" t="s">
        <v>699</v>
      </c>
      <c r="B15" s="178" t="s">
        <v>39</v>
      </c>
      <c r="C15" s="179" t="s">
        <v>40</v>
      </c>
    </row>
    <row r="16" spans="1:3" ht="15.75" x14ac:dyDescent="0.25">
      <c r="A16" s="178" t="s">
        <v>47</v>
      </c>
      <c r="B16" s="178" t="s">
        <v>42</v>
      </c>
      <c r="C16" s="179" t="s">
        <v>40</v>
      </c>
    </row>
    <row r="17" spans="1:3" ht="15.75" x14ac:dyDescent="0.25">
      <c r="A17" s="178" t="s">
        <v>48</v>
      </c>
      <c r="B17" s="178" t="s">
        <v>44</v>
      </c>
      <c r="C17" s="179" t="s">
        <v>40</v>
      </c>
    </row>
    <row r="18" spans="1:3" ht="15.75" x14ac:dyDescent="0.25">
      <c r="A18" s="178" t="s">
        <v>49</v>
      </c>
      <c r="B18" s="190" t="s">
        <v>50</v>
      </c>
      <c r="C18" s="191"/>
    </row>
    <row r="19" spans="1:3" ht="15.75" x14ac:dyDescent="0.25">
      <c r="A19" s="178" t="s">
        <v>51</v>
      </c>
      <c r="B19" s="178" t="s">
        <v>39</v>
      </c>
      <c r="C19" s="179" t="s">
        <v>40</v>
      </c>
    </row>
    <row r="20" spans="1:3" ht="15.75" x14ac:dyDescent="0.25">
      <c r="A20" s="178" t="s">
        <v>52</v>
      </c>
      <c r="B20" s="178" t="s">
        <v>42</v>
      </c>
      <c r="C20" s="179" t="s">
        <v>40</v>
      </c>
    </row>
    <row r="21" spans="1:3" ht="15.75" x14ac:dyDescent="0.25">
      <c r="A21" s="178" t="s">
        <v>53</v>
      </c>
      <c r="B21" s="178" t="s">
        <v>44</v>
      </c>
      <c r="C21" s="179" t="s">
        <v>40</v>
      </c>
    </row>
    <row r="22" spans="1:3" ht="15.75" x14ac:dyDescent="0.25">
      <c r="A22" s="178" t="s">
        <v>54</v>
      </c>
      <c r="B22" s="190" t="s">
        <v>55</v>
      </c>
      <c r="C22" s="191"/>
    </row>
    <row r="23" spans="1:3" ht="15.75" x14ac:dyDescent="0.25">
      <c r="A23" s="178" t="s">
        <v>56</v>
      </c>
      <c r="B23" s="178" t="s">
        <v>39</v>
      </c>
      <c r="C23" s="179" t="s">
        <v>40</v>
      </c>
    </row>
    <row r="24" spans="1:3" ht="15.75" x14ac:dyDescent="0.25">
      <c r="A24" s="178" t="s">
        <v>57</v>
      </c>
      <c r="B24" s="178" t="s">
        <v>42</v>
      </c>
      <c r="C24" s="179" t="s">
        <v>40</v>
      </c>
    </row>
    <row r="25" spans="1:3" ht="15.75" x14ac:dyDescent="0.25">
      <c r="A25" s="178" t="s">
        <v>58</v>
      </c>
      <c r="B25" s="178" t="s">
        <v>44</v>
      </c>
      <c r="C25" s="179" t="s">
        <v>40</v>
      </c>
    </row>
    <row r="26" spans="1:3" ht="31.5" x14ac:dyDescent="0.25">
      <c r="A26" s="178" t="s">
        <v>59</v>
      </c>
      <c r="B26" s="178" t="s">
        <v>60</v>
      </c>
      <c r="C26" s="179" t="s">
        <v>40</v>
      </c>
    </row>
    <row r="27" spans="1:3" ht="15.75" x14ac:dyDescent="0.25">
      <c r="A27" s="178" t="s">
        <v>61</v>
      </c>
      <c r="B27" s="186" t="s">
        <v>62</v>
      </c>
      <c r="C27" s="187"/>
    </row>
    <row r="28" spans="1:3" ht="15.75" x14ac:dyDescent="0.25">
      <c r="A28" s="178" t="s">
        <v>63</v>
      </c>
      <c r="B28" s="178" t="s">
        <v>39</v>
      </c>
      <c r="C28" s="179" t="s">
        <v>40</v>
      </c>
    </row>
    <row r="29" spans="1:3" ht="15.75" x14ac:dyDescent="0.25">
      <c r="A29" s="178" t="s">
        <v>64</v>
      </c>
      <c r="B29" s="178" t="s">
        <v>42</v>
      </c>
      <c r="C29" s="179" t="s">
        <v>40</v>
      </c>
    </row>
    <row r="30" spans="1:3" ht="15.75" x14ac:dyDescent="0.25">
      <c r="A30" s="178" t="s">
        <v>65</v>
      </c>
      <c r="B30" s="178" t="s">
        <v>44</v>
      </c>
      <c r="C30" s="179" t="s">
        <v>40</v>
      </c>
    </row>
    <row r="31" spans="1:3" ht="31.5" customHeight="1" x14ac:dyDescent="0.25">
      <c r="A31" s="177" t="s">
        <v>66</v>
      </c>
      <c r="B31" s="192" t="s">
        <v>67</v>
      </c>
      <c r="C31" s="193"/>
    </row>
    <row r="32" spans="1:3" ht="15.75" x14ac:dyDescent="0.25">
      <c r="A32" s="178" t="s">
        <v>68</v>
      </c>
      <c r="B32" s="178" t="s">
        <v>39</v>
      </c>
      <c r="C32" s="179" t="s">
        <v>40</v>
      </c>
    </row>
    <row r="33" spans="1:3" ht="15.75" x14ac:dyDescent="0.25">
      <c r="A33" s="178" t="s">
        <v>69</v>
      </c>
      <c r="B33" s="178" t="s">
        <v>42</v>
      </c>
      <c r="C33" s="179" t="s">
        <v>40</v>
      </c>
    </row>
    <row r="34" spans="1:3" ht="15.75" x14ac:dyDescent="0.25">
      <c r="A34" s="178" t="s">
        <v>70</v>
      </c>
      <c r="B34" s="178" t="s">
        <v>44</v>
      </c>
      <c r="C34" s="179" t="s">
        <v>40</v>
      </c>
    </row>
    <row r="35" spans="1:3" ht="31.5" x14ac:dyDescent="0.25">
      <c r="A35" s="178" t="s">
        <v>71</v>
      </c>
      <c r="B35" s="178" t="s">
        <v>72</v>
      </c>
      <c r="C35" s="179" t="s">
        <v>40</v>
      </c>
    </row>
    <row r="36" spans="1:3" ht="33" customHeight="1" x14ac:dyDescent="0.25">
      <c r="A36" s="177" t="s">
        <v>73</v>
      </c>
      <c r="B36" s="188" t="s">
        <v>74</v>
      </c>
      <c r="C36" s="189"/>
    </row>
    <row r="37" spans="1:3" ht="15.75" x14ac:dyDescent="0.25">
      <c r="A37" s="178" t="s">
        <v>75</v>
      </c>
      <c r="B37" s="178" t="s">
        <v>39</v>
      </c>
      <c r="C37" s="179" t="s">
        <v>40</v>
      </c>
    </row>
    <row r="38" spans="1:3" ht="15.75" x14ac:dyDescent="0.25">
      <c r="A38" s="178" t="s">
        <v>76</v>
      </c>
      <c r="B38" s="178" t="s">
        <v>42</v>
      </c>
      <c r="C38" s="179" t="s">
        <v>40</v>
      </c>
    </row>
    <row r="39" spans="1:3" ht="15.75" x14ac:dyDescent="0.25">
      <c r="A39" s="178" t="s">
        <v>77</v>
      </c>
      <c r="B39" s="178" t="s">
        <v>44</v>
      </c>
      <c r="C39" s="179" t="s">
        <v>40</v>
      </c>
    </row>
    <row r="40" spans="1:3" ht="31.5" x14ac:dyDescent="0.25">
      <c r="A40" s="178" t="s">
        <v>78</v>
      </c>
      <c r="B40" s="178" t="s">
        <v>72</v>
      </c>
      <c r="C40" s="179" t="s">
        <v>40</v>
      </c>
    </row>
    <row r="41" spans="1:3" ht="15.75" x14ac:dyDescent="0.25">
      <c r="A41" s="177" t="s">
        <v>79</v>
      </c>
      <c r="B41" s="194" t="s">
        <v>80</v>
      </c>
      <c r="C41" s="194"/>
    </row>
    <row r="42" spans="1:3" ht="21" customHeight="1" x14ac:dyDescent="0.25">
      <c r="A42" s="177" t="s">
        <v>81</v>
      </c>
      <c r="B42" s="188" t="s">
        <v>82</v>
      </c>
      <c r="C42" s="189"/>
    </row>
    <row r="43" spans="1:3" ht="15.75" x14ac:dyDescent="0.25">
      <c r="A43" s="178" t="s">
        <v>83</v>
      </c>
      <c r="B43" s="178" t="s">
        <v>84</v>
      </c>
      <c r="C43" s="179" t="s">
        <v>85</v>
      </c>
    </row>
    <row r="44" spans="1:3" ht="15.75" x14ac:dyDescent="0.25">
      <c r="A44" s="178" t="s">
        <v>86</v>
      </c>
      <c r="B44" s="178" t="s">
        <v>87</v>
      </c>
      <c r="C44" s="179" t="s">
        <v>85</v>
      </c>
    </row>
    <row r="45" spans="1:3" ht="15.75" x14ac:dyDescent="0.25">
      <c r="A45" s="178" t="s">
        <v>88</v>
      </c>
      <c r="B45" s="178" t="s">
        <v>89</v>
      </c>
      <c r="C45" s="179" t="s">
        <v>85</v>
      </c>
    </row>
    <row r="46" spans="1:3" ht="15.75" x14ac:dyDescent="0.25">
      <c r="A46" s="178" t="s">
        <v>90</v>
      </c>
      <c r="B46" s="178" t="s">
        <v>91</v>
      </c>
      <c r="C46" s="179" t="s">
        <v>85</v>
      </c>
    </row>
    <row r="47" spans="1:3" ht="31.5" x14ac:dyDescent="0.25">
      <c r="A47" s="178" t="s">
        <v>92</v>
      </c>
      <c r="B47" s="178" t="s">
        <v>93</v>
      </c>
      <c r="C47" s="179" t="s">
        <v>85</v>
      </c>
    </row>
    <row r="48" spans="1:3" ht="15.75" x14ac:dyDescent="0.25">
      <c r="A48" s="178" t="s">
        <v>94</v>
      </c>
      <c r="B48" s="178" t="s">
        <v>95</v>
      </c>
      <c r="C48" s="179" t="s">
        <v>85</v>
      </c>
    </row>
    <row r="49" spans="1:3" ht="15.75" x14ac:dyDescent="0.25">
      <c r="A49" s="178" t="s">
        <v>96</v>
      </c>
      <c r="B49" s="178" t="s">
        <v>97</v>
      </c>
      <c r="C49" s="179" t="s">
        <v>98</v>
      </c>
    </row>
    <row r="50" spans="1:3" ht="15.75" x14ac:dyDescent="0.25">
      <c r="A50" s="178" t="s">
        <v>99</v>
      </c>
      <c r="B50" s="188" t="s">
        <v>100</v>
      </c>
      <c r="C50" s="189"/>
    </row>
    <row r="51" spans="1:3" ht="15.75" x14ac:dyDescent="0.25">
      <c r="A51" s="178" t="s">
        <v>101</v>
      </c>
      <c r="B51" s="178" t="s">
        <v>84</v>
      </c>
      <c r="C51" s="179" t="s">
        <v>85</v>
      </c>
    </row>
    <row r="52" spans="1:3" ht="15.75" x14ac:dyDescent="0.25">
      <c r="A52" s="178" t="s">
        <v>102</v>
      </c>
      <c r="B52" s="178" t="s">
        <v>87</v>
      </c>
      <c r="C52" s="179" t="s">
        <v>85</v>
      </c>
    </row>
    <row r="53" spans="1:3" ht="15.75" x14ac:dyDescent="0.25">
      <c r="A53" s="178" t="s">
        <v>103</v>
      </c>
      <c r="B53" s="178" t="s">
        <v>89</v>
      </c>
      <c r="C53" s="179" t="s">
        <v>85</v>
      </c>
    </row>
    <row r="54" spans="1:3" ht="15.75" x14ac:dyDescent="0.25">
      <c r="A54" s="178" t="s">
        <v>104</v>
      </c>
      <c r="B54" s="178" t="s">
        <v>91</v>
      </c>
      <c r="C54" s="179" t="s">
        <v>85</v>
      </c>
    </row>
    <row r="55" spans="1:3" ht="31.5" x14ac:dyDescent="0.25">
      <c r="A55" s="178" t="s">
        <v>127</v>
      </c>
      <c r="B55" s="178" t="s">
        <v>105</v>
      </c>
      <c r="C55" s="179" t="s">
        <v>85</v>
      </c>
    </row>
    <row r="56" spans="1:3" ht="33" customHeight="1" x14ac:dyDescent="0.25">
      <c r="A56" s="178" t="s">
        <v>106</v>
      </c>
      <c r="B56" s="192" t="s">
        <v>107</v>
      </c>
      <c r="C56" s="193"/>
    </row>
    <row r="57" spans="1:3" ht="15.75" x14ac:dyDescent="0.25">
      <c r="A57" s="178" t="s">
        <v>108</v>
      </c>
      <c r="B57" s="178" t="s">
        <v>109</v>
      </c>
      <c r="C57" s="179" t="s">
        <v>85</v>
      </c>
    </row>
    <row r="58" spans="1:3" ht="15.75" x14ac:dyDescent="0.25">
      <c r="A58" s="178" t="s">
        <v>110</v>
      </c>
      <c r="B58" s="178" t="s">
        <v>89</v>
      </c>
      <c r="C58" s="179" t="s">
        <v>85</v>
      </c>
    </row>
    <row r="59" spans="1:3" ht="15.75" x14ac:dyDescent="0.25">
      <c r="A59" s="178" t="s">
        <v>202</v>
      </c>
      <c r="B59" s="178" t="s">
        <v>91</v>
      </c>
      <c r="C59" s="179" t="s">
        <v>85</v>
      </c>
    </row>
    <row r="60" spans="1:3" ht="31.5" x14ac:dyDescent="0.25">
      <c r="A60" s="178" t="s">
        <v>203</v>
      </c>
      <c r="B60" s="178" t="s">
        <v>111</v>
      </c>
      <c r="C60" s="179" t="s">
        <v>85</v>
      </c>
    </row>
    <row r="61" spans="1:3" ht="15.75" x14ac:dyDescent="0.25">
      <c r="A61" s="178" t="s">
        <v>112</v>
      </c>
      <c r="B61" s="192" t="s">
        <v>113</v>
      </c>
      <c r="C61" s="193"/>
    </row>
    <row r="62" spans="1:3" ht="15.75" x14ac:dyDescent="0.25">
      <c r="A62" s="178" t="s">
        <v>114</v>
      </c>
      <c r="B62" s="192" t="s">
        <v>82</v>
      </c>
      <c r="C62" s="193"/>
    </row>
    <row r="63" spans="1:3" ht="34.5" x14ac:dyDescent="0.25">
      <c r="A63" s="178" t="s">
        <v>115</v>
      </c>
      <c r="B63" s="178" t="s">
        <v>700</v>
      </c>
      <c r="C63" s="179" t="s">
        <v>85</v>
      </c>
    </row>
    <row r="64" spans="1:3" ht="50.25" x14ac:dyDescent="0.25">
      <c r="A64" s="178" t="s">
        <v>116</v>
      </c>
      <c r="B64" s="178" t="s">
        <v>701</v>
      </c>
      <c r="C64" s="179" t="s">
        <v>85</v>
      </c>
    </row>
    <row r="65" spans="1:3" ht="34.5" x14ac:dyDescent="0.25">
      <c r="A65" s="178" t="s">
        <v>117</v>
      </c>
      <c r="B65" s="178" t="s">
        <v>702</v>
      </c>
      <c r="C65" s="179" t="s">
        <v>85</v>
      </c>
    </row>
    <row r="66" spans="1:3" ht="34.5" x14ac:dyDescent="0.25">
      <c r="A66" s="178" t="s">
        <v>118</v>
      </c>
      <c r="B66" s="178" t="s">
        <v>703</v>
      </c>
      <c r="C66" s="179" t="s">
        <v>85</v>
      </c>
    </row>
    <row r="67" spans="1:3" ht="50.25" x14ac:dyDescent="0.25">
      <c r="A67" s="178" t="s">
        <v>119</v>
      </c>
      <c r="B67" s="178" t="s">
        <v>704</v>
      </c>
      <c r="C67" s="179" t="s">
        <v>85</v>
      </c>
    </row>
    <row r="68" spans="1:3" ht="50.25" x14ac:dyDescent="0.25">
      <c r="A68" s="178" t="s">
        <v>120</v>
      </c>
      <c r="B68" s="178" t="s">
        <v>705</v>
      </c>
      <c r="C68" s="179" t="s">
        <v>85</v>
      </c>
    </row>
    <row r="69" spans="1:3" ht="50.25" x14ac:dyDescent="0.25">
      <c r="A69" s="178" t="s">
        <v>121</v>
      </c>
      <c r="B69" s="178" t="s">
        <v>706</v>
      </c>
      <c r="C69" s="179" t="s">
        <v>85</v>
      </c>
    </row>
    <row r="70" spans="1:3" ht="15.75" x14ac:dyDescent="0.25">
      <c r="A70" s="178" t="s">
        <v>122</v>
      </c>
      <c r="B70" s="188" t="s">
        <v>123</v>
      </c>
      <c r="C70" s="189"/>
    </row>
    <row r="71" spans="1:3" ht="34.5" x14ac:dyDescent="0.25">
      <c r="A71" s="178" t="s">
        <v>124</v>
      </c>
      <c r="B71" s="178" t="s">
        <v>707</v>
      </c>
      <c r="C71" s="179" t="s">
        <v>85</v>
      </c>
    </row>
    <row r="72" spans="1:3" ht="50.25" x14ac:dyDescent="0.25">
      <c r="A72" s="178" t="s">
        <v>125</v>
      </c>
      <c r="B72" s="178" t="s">
        <v>708</v>
      </c>
      <c r="C72" s="179" t="s">
        <v>85</v>
      </c>
    </row>
    <row r="73" spans="1:3" ht="34.5" x14ac:dyDescent="0.25">
      <c r="A73" s="178" t="s">
        <v>126</v>
      </c>
      <c r="B73" s="178" t="s">
        <v>709</v>
      </c>
      <c r="C73" s="179" t="s">
        <v>85</v>
      </c>
    </row>
    <row r="74" spans="1:3" ht="34.5" x14ac:dyDescent="0.25">
      <c r="A74" s="178" t="s">
        <v>204</v>
      </c>
      <c r="B74" s="178" t="s">
        <v>703</v>
      </c>
      <c r="C74" s="179" t="s">
        <v>85</v>
      </c>
    </row>
    <row r="75" spans="1:3" ht="50.25" x14ac:dyDescent="0.25">
      <c r="A75" s="178" t="s">
        <v>205</v>
      </c>
      <c r="B75" s="178" t="s">
        <v>710</v>
      </c>
      <c r="C75" s="179" t="s">
        <v>85</v>
      </c>
    </row>
    <row r="76" spans="1:3" ht="50.25" x14ac:dyDescent="0.25">
      <c r="A76" s="178" t="s">
        <v>206</v>
      </c>
      <c r="B76" s="178" t="s">
        <v>711</v>
      </c>
      <c r="C76" s="179" t="s">
        <v>85</v>
      </c>
    </row>
    <row r="77" spans="1:3" ht="50.25" x14ac:dyDescent="0.25">
      <c r="A77" s="178" t="s">
        <v>207</v>
      </c>
      <c r="B77" s="178" t="s">
        <v>712</v>
      </c>
      <c r="C77" s="179" t="s">
        <v>85</v>
      </c>
    </row>
    <row r="78" spans="1:3" ht="15.75" x14ac:dyDescent="0.25">
      <c r="A78" s="178" t="s">
        <v>128</v>
      </c>
      <c r="B78" s="188" t="s">
        <v>129</v>
      </c>
      <c r="C78" s="189"/>
    </row>
    <row r="79" spans="1:3" ht="34.5" x14ac:dyDescent="0.25">
      <c r="A79" s="178" t="s">
        <v>130</v>
      </c>
      <c r="B79" s="178" t="s">
        <v>707</v>
      </c>
      <c r="C79" s="179" t="s">
        <v>85</v>
      </c>
    </row>
    <row r="80" spans="1:3" ht="34.5" x14ac:dyDescent="0.25">
      <c r="A80" s="178" t="s">
        <v>131</v>
      </c>
      <c r="B80" s="178" t="s">
        <v>703</v>
      </c>
      <c r="C80" s="179" t="s">
        <v>85</v>
      </c>
    </row>
    <row r="81" spans="1:3" ht="15.75" x14ac:dyDescent="0.25">
      <c r="A81" s="178" t="s">
        <v>132</v>
      </c>
      <c r="B81" s="188" t="s">
        <v>133</v>
      </c>
      <c r="C81" s="189"/>
    </row>
    <row r="82" spans="1:3" ht="15.75" x14ac:dyDescent="0.25">
      <c r="A82" s="178" t="s">
        <v>134</v>
      </c>
      <c r="B82" s="192" t="s">
        <v>135</v>
      </c>
      <c r="C82" s="193"/>
    </row>
    <row r="83" spans="1:3" ht="47.25" x14ac:dyDescent="0.25">
      <c r="A83" s="178" t="s">
        <v>136</v>
      </c>
      <c r="B83" s="178" t="s">
        <v>137</v>
      </c>
      <c r="C83" s="179" t="s">
        <v>138</v>
      </c>
    </row>
    <row r="84" spans="1:3" ht="31.5" x14ac:dyDescent="0.25">
      <c r="A84" s="178" t="s">
        <v>139</v>
      </c>
      <c r="B84" s="178" t="s">
        <v>140</v>
      </c>
      <c r="C84" s="179" t="s">
        <v>138</v>
      </c>
    </row>
    <row r="85" spans="1:3" ht="31.5" x14ac:dyDescent="0.25">
      <c r="A85" s="178" t="s">
        <v>141</v>
      </c>
      <c r="B85" s="178" t="s">
        <v>142</v>
      </c>
      <c r="C85" s="179" t="s">
        <v>138</v>
      </c>
    </row>
    <row r="86" spans="1:3" ht="34.5" x14ac:dyDescent="0.25">
      <c r="A86" s="178" t="s">
        <v>143</v>
      </c>
      <c r="B86" s="178" t="s">
        <v>713</v>
      </c>
      <c r="C86" s="179" t="s">
        <v>144</v>
      </c>
    </row>
    <row r="87" spans="1:3" ht="31.5" x14ac:dyDescent="0.25">
      <c r="A87" s="178" t="s">
        <v>145</v>
      </c>
      <c r="B87" s="178" t="s">
        <v>146</v>
      </c>
      <c r="C87" s="179" t="s">
        <v>147</v>
      </c>
    </row>
    <row r="88" spans="1:3" ht="31.5" x14ac:dyDescent="0.25">
      <c r="A88" s="178" t="s">
        <v>148</v>
      </c>
      <c r="B88" s="178" t="s">
        <v>149</v>
      </c>
      <c r="C88" s="179" t="s">
        <v>147</v>
      </c>
    </row>
    <row r="89" spans="1:3" ht="15.75" x14ac:dyDescent="0.25">
      <c r="A89" s="178" t="s">
        <v>150</v>
      </c>
      <c r="B89" s="192" t="s">
        <v>151</v>
      </c>
      <c r="C89" s="193"/>
    </row>
    <row r="90" spans="1:3" ht="31.5" x14ac:dyDescent="0.25">
      <c r="A90" s="178" t="s">
        <v>152</v>
      </c>
      <c r="B90" s="178" t="s">
        <v>153</v>
      </c>
      <c r="C90" s="179" t="s">
        <v>138</v>
      </c>
    </row>
    <row r="91" spans="1:3" ht="31.5" x14ac:dyDescent="0.25">
      <c r="A91" s="178" t="s">
        <v>154</v>
      </c>
      <c r="B91" s="178" t="s">
        <v>155</v>
      </c>
      <c r="C91" s="179" t="s">
        <v>138</v>
      </c>
    </row>
    <row r="92" spans="1:3" ht="15.75" x14ac:dyDescent="0.25">
      <c r="A92" s="178" t="s">
        <v>156</v>
      </c>
      <c r="B92" s="178" t="s">
        <v>157</v>
      </c>
      <c r="C92" s="179" t="s">
        <v>138</v>
      </c>
    </row>
    <row r="93" spans="1:3" ht="31.5" x14ac:dyDescent="0.25">
      <c r="A93" s="178" t="s">
        <v>158</v>
      </c>
      <c r="B93" s="178" t="s">
        <v>159</v>
      </c>
      <c r="C93" s="179" t="s">
        <v>138</v>
      </c>
    </row>
    <row r="94" spans="1:3" ht="15.75" x14ac:dyDescent="0.25">
      <c r="A94" s="178" t="s">
        <v>160</v>
      </c>
      <c r="B94" s="192" t="s">
        <v>161</v>
      </c>
      <c r="C94" s="193"/>
    </row>
    <row r="95" spans="1:3" ht="47.25" x14ac:dyDescent="0.25">
      <c r="A95" s="178" t="s">
        <v>162</v>
      </c>
      <c r="B95" s="180" t="s">
        <v>163</v>
      </c>
      <c r="C95" s="179" t="s">
        <v>194</v>
      </c>
    </row>
    <row r="96" spans="1:3" ht="31.5" x14ac:dyDescent="0.25">
      <c r="A96" s="178" t="s">
        <v>164</v>
      </c>
      <c r="B96" s="178" t="s">
        <v>165</v>
      </c>
      <c r="C96" s="179" t="s">
        <v>194</v>
      </c>
    </row>
    <row r="97" spans="1:3" ht="31.5" x14ac:dyDescent="0.25">
      <c r="A97" s="178" t="s">
        <v>166</v>
      </c>
      <c r="B97" s="178" t="s">
        <v>167</v>
      </c>
      <c r="C97" s="179" t="s">
        <v>194</v>
      </c>
    </row>
    <row r="98" spans="1:3" ht="31.5" x14ac:dyDescent="0.25">
      <c r="A98" s="178" t="s">
        <v>168</v>
      </c>
      <c r="B98" s="178" t="s">
        <v>169</v>
      </c>
      <c r="C98" s="179" t="s">
        <v>194</v>
      </c>
    </row>
    <row r="99" spans="1:3" ht="33" customHeight="1" x14ac:dyDescent="0.25">
      <c r="A99" s="178" t="s">
        <v>170</v>
      </c>
      <c r="B99" s="188" t="s">
        <v>193</v>
      </c>
      <c r="C99" s="189"/>
    </row>
    <row r="100" spans="1:3" ht="31.5" x14ac:dyDescent="0.25">
      <c r="A100" s="178" t="s">
        <v>171</v>
      </c>
      <c r="B100" s="178" t="s">
        <v>172</v>
      </c>
      <c r="C100" s="179" t="s">
        <v>173</v>
      </c>
    </row>
    <row r="101" spans="1:3" ht="18.75" x14ac:dyDescent="0.25">
      <c r="A101" s="178" t="s">
        <v>208</v>
      </c>
      <c r="B101" s="178" t="s">
        <v>714</v>
      </c>
      <c r="C101" s="179" t="s">
        <v>144</v>
      </c>
    </row>
    <row r="102" spans="1:3" ht="15.75" x14ac:dyDescent="0.25">
      <c r="A102" s="178" t="s">
        <v>174</v>
      </c>
      <c r="B102" s="192" t="s">
        <v>175</v>
      </c>
      <c r="C102" s="193"/>
    </row>
    <row r="103" spans="1:3" ht="15.75" x14ac:dyDescent="0.25">
      <c r="A103" s="178" t="s">
        <v>176</v>
      </c>
      <c r="B103" s="197" t="s">
        <v>82</v>
      </c>
      <c r="C103" s="198"/>
    </row>
    <row r="104" spans="1:3" ht="15.75" x14ac:dyDescent="0.25">
      <c r="A104" s="178" t="s">
        <v>177</v>
      </c>
      <c r="B104" s="178" t="s">
        <v>178</v>
      </c>
      <c r="C104" s="179" t="s">
        <v>147</v>
      </c>
    </row>
    <row r="105" spans="1:3" ht="15.75" x14ac:dyDescent="0.25">
      <c r="A105" s="178" t="s">
        <v>179</v>
      </c>
      <c r="B105" s="178" t="s">
        <v>180</v>
      </c>
      <c r="C105" s="179" t="s">
        <v>147</v>
      </c>
    </row>
    <row r="106" spans="1:3" ht="31.5" x14ac:dyDescent="0.25">
      <c r="A106" s="178" t="s">
        <v>181</v>
      </c>
      <c r="B106" s="178" t="s">
        <v>182</v>
      </c>
      <c r="C106" s="179" t="s">
        <v>147</v>
      </c>
    </row>
    <row r="107" spans="1:3" ht="31.5" x14ac:dyDescent="0.25">
      <c r="A107" s="178" t="s">
        <v>183</v>
      </c>
      <c r="B107" s="178" t="s">
        <v>184</v>
      </c>
      <c r="C107" s="179" t="s">
        <v>147</v>
      </c>
    </row>
    <row r="108" spans="1:3" ht="15.75" x14ac:dyDescent="0.25">
      <c r="A108" s="178" t="s">
        <v>185</v>
      </c>
      <c r="B108" s="178" t="s">
        <v>717</v>
      </c>
      <c r="C108" s="179" t="s">
        <v>147</v>
      </c>
    </row>
    <row r="109" spans="1:3" ht="15.75" x14ac:dyDescent="0.25">
      <c r="A109" s="178" t="s">
        <v>186</v>
      </c>
      <c r="B109" s="178" t="s">
        <v>187</v>
      </c>
      <c r="C109" s="179" t="s">
        <v>147</v>
      </c>
    </row>
    <row r="110" spans="1:3" ht="15.75" x14ac:dyDescent="0.25">
      <c r="A110" s="178" t="s">
        <v>188</v>
      </c>
      <c r="B110" s="178" t="s">
        <v>189</v>
      </c>
      <c r="C110" s="179" t="s">
        <v>190</v>
      </c>
    </row>
    <row r="111" spans="1:3" ht="15.75" x14ac:dyDescent="0.25">
      <c r="A111" s="178" t="s">
        <v>191</v>
      </c>
      <c r="B111" s="178" t="s">
        <v>123</v>
      </c>
      <c r="C111" s="179" t="s">
        <v>147</v>
      </c>
    </row>
    <row r="112" spans="1:3" ht="15.75" x14ac:dyDescent="0.25">
      <c r="A112" s="178" t="s">
        <v>192</v>
      </c>
      <c r="B112" s="178" t="s">
        <v>129</v>
      </c>
      <c r="C112" s="179" t="s">
        <v>147</v>
      </c>
    </row>
    <row r="114" spans="1:3" x14ac:dyDescent="0.25">
      <c r="A114" s="195" t="s">
        <v>195</v>
      </c>
      <c r="B114" s="195"/>
      <c r="C114" s="195"/>
    </row>
    <row r="115" spans="1:3" ht="38.25" customHeight="1" x14ac:dyDescent="0.25">
      <c r="A115" s="196" t="s">
        <v>716</v>
      </c>
      <c r="B115" s="196"/>
      <c r="C115" s="196"/>
    </row>
    <row r="116" spans="1:3" ht="18.75" x14ac:dyDescent="0.25">
      <c r="A116" s="196" t="s">
        <v>196</v>
      </c>
      <c r="B116" s="196"/>
      <c r="C116" s="196"/>
    </row>
    <row r="117" spans="1:3" ht="18.75" x14ac:dyDescent="0.25">
      <c r="A117" s="196" t="s">
        <v>197</v>
      </c>
      <c r="B117" s="196"/>
      <c r="C117" s="196"/>
    </row>
    <row r="118" spans="1:3" ht="18.75" x14ac:dyDescent="0.25">
      <c r="A118" s="196" t="s">
        <v>198</v>
      </c>
      <c r="B118" s="196"/>
      <c r="C118" s="196"/>
    </row>
    <row r="119" spans="1:3" ht="18.75" x14ac:dyDescent="0.25">
      <c r="A119" s="196" t="s">
        <v>199</v>
      </c>
      <c r="B119" s="196"/>
      <c r="C119" s="196"/>
    </row>
    <row r="120" spans="1:3" ht="33.75" customHeight="1" x14ac:dyDescent="0.25">
      <c r="A120" s="196" t="s">
        <v>201</v>
      </c>
      <c r="B120" s="196"/>
      <c r="C120" s="196"/>
    </row>
    <row r="124" spans="1:3" ht="18.75" x14ac:dyDescent="0.3">
      <c r="A124" s="144"/>
      <c r="B124" s="181"/>
      <c r="C124" s="182"/>
    </row>
    <row r="125" spans="1:3" ht="18.75" x14ac:dyDescent="0.3">
      <c r="A125" s="144"/>
      <c r="B125" s="181"/>
      <c r="C125" s="162"/>
    </row>
    <row r="126" spans="1:3" ht="18.75" x14ac:dyDescent="0.3">
      <c r="A126" s="144"/>
      <c r="B126" s="181"/>
      <c r="C126" s="162"/>
    </row>
    <row r="127" spans="1:3" ht="18.75" x14ac:dyDescent="0.3">
      <c r="A127" s="181"/>
      <c r="B127" s="181"/>
      <c r="C127" s="181"/>
    </row>
    <row r="130" spans="1:2" ht="15.75" x14ac:dyDescent="0.25">
      <c r="A130" s="200"/>
      <c r="B130" s="200"/>
    </row>
    <row r="131" spans="1:2" ht="15.75" x14ac:dyDescent="0.25">
      <c r="A131" s="199"/>
      <c r="B131" s="200"/>
    </row>
    <row r="132" spans="1:2" ht="15.75" x14ac:dyDescent="0.25">
      <c r="A132" s="60"/>
      <c r="B132" s="183"/>
    </row>
    <row r="133" spans="1:2" ht="15.75" x14ac:dyDescent="0.25">
      <c r="A133" s="199"/>
      <c r="B133" s="199"/>
    </row>
  </sheetData>
  <mergeCells count="33">
    <mergeCell ref="A131:B131"/>
    <mergeCell ref="A133:B133"/>
    <mergeCell ref="A116:C116"/>
    <mergeCell ref="A117:C117"/>
    <mergeCell ref="A118:C118"/>
    <mergeCell ref="A119:C119"/>
    <mergeCell ref="A120:C120"/>
    <mergeCell ref="A130:B130"/>
    <mergeCell ref="A114:C114"/>
    <mergeCell ref="A115:C115"/>
    <mergeCell ref="B89:C89"/>
    <mergeCell ref="B94:C94"/>
    <mergeCell ref="B99:C99"/>
    <mergeCell ref="B102:C102"/>
    <mergeCell ref="B103:C103"/>
    <mergeCell ref="B82:C82"/>
    <mergeCell ref="B31:C31"/>
    <mergeCell ref="B36:C36"/>
    <mergeCell ref="B41:C41"/>
    <mergeCell ref="B42:C42"/>
    <mergeCell ref="B50:C50"/>
    <mergeCell ref="B56:C56"/>
    <mergeCell ref="B61:C61"/>
    <mergeCell ref="B62:C62"/>
    <mergeCell ref="B70:C70"/>
    <mergeCell ref="B78:C78"/>
    <mergeCell ref="B81:C81"/>
    <mergeCell ref="B27:C27"/>
    <mergeCell ref="B8:C8"/>
    <mergeCell ref="B9:C9"/>
    <mergeCell ref="B14:C14"/>
    <mergeCell ref="B18:C18"/>
    <mergeCell ref="B22:C22"/>
  </mergeCells>
  <pageMargins left="0.70866141732283472" right="0.70866141732283472" top="0.74803149606299213" bottom="0.74803149606299213" header="0.31496062992125984" footer="0.31496062992125984"/>
  <pageSetup paperSize="9" fitToHeight="0" orientation="portrait" r:id="rId1"/>
  <headerFooter>
    <oddFooter>&amp;LVManotp2_050717_PSMVMmaks&amp;C&amp;P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60" zoomScaleNormal="100" workbookViewId="0">
      <selection activeCell="T13" sqref="T13"/>
    </sheetView>
  </sheetViews>
  <sheetFormatPr defaultRowHeight="15" x14ac:dyDescent="0.25"/>
  <cols>
    <col min="1" max="1" width="19.5703125" customWidth="1"/>
    <col min="2" max="2" width="52.42578125" customWidth="1"/>
    <col min="3" max="3" width="13" style="7" customWidth="1"/>
    <col min="4" max="4" width="10.28515625" customWidth="1"/>
    <col min="5" max="5" width="25.85546875" style="9" customWidth="1"/>
    <col min="8" max="8" width="7.42578125" bestFit="1" customWidth="1"/>
    <col min="257" max="257" width="19.5703125" customWidth="1"/>
    <col min="258" max="258" width="52.42578125" customWidth="1"/>
    <col min="259" max="259" width="18.42578125" customWidth="1"/>
    <col min="261" max="261" width="25.85546875" customWidth="1"/>
    <col min="264" max="264" width="7.42578125" bestFit="1" customWidth="1"/>
    <col min="513" max="513" width="19.5703125" customWidth="1"/>
    <col min="514" max="514" width="52.42578125" customWidth="1"/>
    <col min="515" max="515" width="18.42578125" customWidth="1"/>
    <col min="517" max="517" width="25.85546875" customWidth="1"/>
    <col min="520" max="520" width="7.42578125" bestFit="1" customWidth="1"/>
    <col min="769" max="769" width="19.5703125" customWidth="1"/>
    <col min="770" max="770" width="52.42578125" customWidth="1"/>
    <col min="771" max="771" width="18.42578125" customWidth="1"/>
    <col min="773" max="773" width="25.85546875" customWidth="1"/>
    <col min="776" max="776" width="7.42578125" bestFit="1" customWidth="1"/>
    <col min="1025" max="1025" width="19.5703125" customWidth="1"/>
    <col min="1026" max="1026" width="52.42578125" customWidth="1"/>
    <col min="1027" max="1027" width="18.42578125" customWidth="1"/>
    <col min="1029" max="1029" width="25.85546875" customWidth="1"/>
    <col min="1032" max="1032" width="7.42578125" bestFit="1" customWidth="1"/>
    <col min="1281" max="1281" width="19.5703125" customWidth="1"/>
    <col min="1282" max="1282" width="52.42578125" customWidth="1"/>
    <col min="1283" max="1283" width="18.42578125" customWidth="1"/>
    <col min="1285" max="1285" width="25.85546875" customWidth="1"/>
    <col min="1288" max="1288" width="7.42578125" bestFit="1" customWidth="1"/>
    <col min="1537" max="1537" width="19.5703125" customWidth="1"/>
    <col min="1538" max="1538" width="52.42578125" customWidth="1"/>
    <col min="1539" max="1539" width="18.42578125" customWidth="1"/>
    <col min="1541" max="1541" width="25.85546875" customWidth="1"/>
    <col min="1544" max="1544" width="7.42578125" bestFit="1" customWidth="1"/>
    <col min="1793" max="1793" width="19.5703125" customWidth="1"/>
    <col min="1794" max="1794" width="52.42578125" customWidth="1"/>
    <col min="1795" max="1795" width="18.42578125" customWidth="1"/>
    <col min="1797" max="1797" width="25.85546875" customWidth="1"/>
    <col min="1800" max="1800" width="7.42578125" bestFit="1" customWidth="1"/>
    <col min="2049" max="2049" width="19.5703125" customWidth="1"/>
    <col min="2050" max="2050" width="52.42578125" customWidth="1"/>
    <col min="2051" max="2051" width="18.42578125" customWidth="1"/>
    <col min="2053" max="2053" width="25.85546875" customWidth="1"/>
    <col min="2056" max="2056" width="7.42578125" bestFit="1" customWidth="1"/>
    <col min="2305" max="2305" width="19.5703125" customWidth="1"/>
    <col min="2306" max="2306" width="52.42578125" customWidth="1"/>
    <col min="2307" max="2307" width="18.42578125" customWidth="1"/>
    <col min="2309" max="2309" width="25.85546875" customWidth="1"/>
    <col min="2312" max="2312" width="7.42578125" bestFit="1" customWidth="1"/>
    <col min="2561" max="2561" width="19.5703125" customWidth="1"/>
    <col min="2562" max="2562" width="52.42578125" customWidth="1"/>
    <col min="2563" max="2563" width="18.42578125" customWidth="1"/>
    <col min="2565" max="2565" width="25.85546875" customWidth="1"/>
    <col min="2568" max="2568" width="7.42578125" bestFit="1" customWidth="1"/>
    <col min="2817" max="2817" width="19.5703125" customWidth="1"/>
    <col min="2818" max="2818" width="52.42578125" customWidth="1"/>
    <col min="2819" max="2819" width="18.42578125" customWidth="1"/>
    <col min="2821" max="2821" width="25.85546875" customWidth="1"/>
    <col min="2824" max="2824" width="7.42578125" bestFit="1" customWidth="1"/>
    <col min="3073" max="3073" width="19.5703125" customWidth="1"/>
    <col min="3074" max="3074" width="52.42578125" customWidth="1"/>
    <col min="3075" max="3075" width="18.42578125" customWidth="1"/>
    <col min="3077" max="3077" width="25.85546875" customWidth="1"/>
    <col min="3080" max="3080" width="7.42578125" bestFit="1" customWidth="1"/>
    <col min="3329" max="3329" width="19.5703125" customWidth="1"/>
    <col min="3330" max="3330" width="52.42578125" customWidth="1"/>
    <col min="3331" max="3331" width="18.42578125" customWidth="1"/>
    <col min="3333" max="3333" width="25.85546875" customWidth="1"/>
    <col min="3336" max="3336" width="7.42578125" bestFit="1" customWidth="1"/>
    <col min="3585" max="3585" width="19.5703125" customWidth="1"/>
    <col min="3586" max="3586" width="52.42578125" customWidth="1"/>
    <col min="3587" max="3587" width="18.42578125" customWidth="1"/>
    <col min="3589" max="3589" width="25.85546875" customWidth="1"/>
    <col min="3592" max="3592" width="7.42578125" bestFit="1" customWidth="1"/>
    <col min="3841" max="3841" width="19.5703125" customWidth="1"/>
    <col min="3842" max="3842" width="52.42578125" customWidth="1"/>
    <col min="3843" max="3843" width="18.42578125" customWidth="1"/>
    <col min="3845" max="3845" width="25.85546875" customWidth="1"/>
    <col min="3848" max="3848" width="7.42578125" bestFit="1" customWidth="1"/>
    <col min="4097" max="4097" width="19.5703125" customWidth="1"/>
    <col min="4098" max="4098" width="52.42578125" customWidth="1"/>
    <col min="4099" max="4099" width="18.42578125" customWidth="1"/>
    <col min="4101" max="4101" width="25.85546875" customWidth="1"/>
    <col min="4104" max="4104" width="7.42578125" bestFit="1" customWidth="1"/>
    <col min="4353" max="4353" width="19.5703125" customWidth="1"/>
    <col min="4354" max="4354" width="52.42578125" customWidth="1"/>
    <col min="4355" max="4355" width="18.42578125" customWidth="1"/>
    <col min="4357" max="4357" width="25.85546875" customWidth="1"/>
    <col min="4360" max="4360" width="7.42578125" bestFit="1" customWidth="1"/>
    <col min="4609" max="4609" width="19.5703125" customWidth="1"/>
    <col min="4610" max="4610" width="52.42578125" customWidth="1"/>
    <col min="4611" max="4611" width="18.42578125" customWidth="1"/>
    <col min="4613" max="4613" width="25.85546875" customWidth="1"/>
    <col min="4616" max="4616" width="7.42578125" bestFit="1" customWidth="1"/>
    <col min="4865" max="4865" width="19.5703125" customWidth="1"/>
    <col min="4866" max="4866" width="52.42578125" customWidth="1"/>
    <col min="4867" max="4867" width="18.42578125" customWidth="1"/>
    <col min="4869" max="4869" width="25.85546875" customWidth="1"/>
    <col min="4872" max="4872" width="7.42578125" bestFit="1" customWidth="1"/>
    <col min="5121" max="5121" width="19.5703125" customWidth="1"/>
    <col min="5122" max="5122" width="52.42578125" customWidth="1"/>
    <col min="5123" max="5123" width="18.42578125" customWidth="1"/>
    <col min="5125" max="5125" width="25.85546875" customWidth="1"/>
    <col min="5128" max="5128" width="7.42578125" bestFit="1" customWidth="1"/>
    <col min="5377" max="5377" width="19.5703125" customWidth="1"/>
    <col min="5378" max="5378" width="52.42578125" customWidth="1"/>
    <col min="5379" max="5379" width="18.42578125" customWidth="1"/>
    <col min="5381" max="5381" width="25.85546875" customWidth="1"/>
    <col min="5384" max="5384" width="7.42578125" bestFit="1" customWidth="1"/>
    <col min="5633" max="5633" width="19.5703125" customWidth="1"/>
    <col min="5634" max="5634" width="52.42578125" customWidth="1"/>
    <col min="5635" max="5635" width="18.42578125" customWidth="1"/>
    <col min="5637" max="5637" width="25.85546875" customWidth="1"/>
    <col min="5640" max="5640" width="7.42578125" bestFit="1" customWidth="1"/>
    <col min="5889" max="5889" width="19.5703125" customWidth="1"/>
    <col min="5890" max="5890" width="52.42578125" customWidth="1"/>
    <col min="5891" max="5891" width="18.42578125" customWidth="1"/>
    <col min="5893" max="5893" width="25.85546875" customWidth="1"/>
    <col min="5896" max="5896" width="7.42578125" bestFit="1" customWidth="1"/>
    <col min="6145" max="6145" width="19.5703125" customWidth="1"/>
    <col min="6146" max="6146" width="52.42578125" customWidth="1"/>
    <col min="6147" max="6147" width="18.42578125" customWidth="1"/>
    <col min="6149" max="6149" width="25.85546875" customWidth="1"/>
    <col min="6152" max="6152" width="7.42578125" bestFit="1" customWidth="1"/>
    <col min="6401" max="6401" width="19.5703125" customWidth="1"/>
    <col min="6402" max="6402" width="52.42578125" customWidth="1"/>
    <col min="6403" max="6403" width="18.42578125" customWidth="1"/>
    <col min="6405" max="6405" width="25.85546875" customWidth="1"/>
    <col min="6408" max="6408" width="7.42578125" bestFit="1" customWidth="1"/>
    <col min="6657" max="6657" width="19.5703125" customWidth="1"/>
    <col min="6658" max="6658" width="52.42578125" customWidth="1"/>
    <col min="6659" max="6659" width="18.42578125" customWidth="1"/>
    <col min="6661" max="6661" width="25.85546875" customWidth="1"/>
    <col min="6664" max="6664" width="7.42578125" bestFit="1" customWidth="1"/>
    <col min="6913" max="6913" width="19.5703125" customWidth="1"/>
    <col min="6914" max="6914" width="52.42578125" customWidth="1"/>
    <col min="6915" max="6915" width="18.42578125" customWidth="1"/>
    <col min="6917" max="6917" width="25.85546875" customWidth="1"/>
    <col min="6920" max="6920" width="7.42578125" bestFit="1" customWidth="1"/>
    <col min="7169" max="7169" width="19.5703125" customWidth="1"/>
    <col min="7170" max="7170" width="52.42578125" customWidth="1"/>
    <col min="7171" max="7171" width="18.42578125" customWidth="1"/>
    <col min="7173" max="7173" width="25.85546875" customWidth="1"/>
    <col min="7176" max="7176" width="7.42578125" bestFit="1" customWidth="1"/>
    <col min="7425" max="7425" width="19.5703125" customWidth="1"/>
    <col min="7426" max="7426" width="52.42578125" customWidth="1"/>
    <col min="7427" max="7427" width="18.42578125" customWidth="1"/>
    <col min="7429" max="7429" width="25.85546875" customWidth="1"/>
    <col min="7432" max="7432" width="7.42578125" bestFit="1" customWidth="1"/>
    <col min="7681" max="7681" width="19.5703125" customWidth="1"/>
    <col min="7682" max="7682" width="52.42578125" customWidth="1"/>
    <col min="7683" max="7683" width="18.42578125" customWidth="1"/>
    <col min="7685" max="7685" width="25.85546875" customWidth="1"/>
    <col min="7688" max="7688" width="7.42578125" bestFit="1" customWidth="1"/>
    <col min="7937" max="7937" width="19.5703125" customWidth="1"/>
    <col min="7938" max="7938" width="52.42578125" customWidth="1"/>
    <col min="7939" max="7939" width="18.42578125" customWidth="1"/>
    <col min="7941" max="7941" width="25.85546875" customWidth="1"/>
    <col min="7944" max="7944" width="7.42578125" bestFit="1" customWidth="1"/>
    <col min="8193" max="8193" width="19.5703125" customWidth="1"/>
    <col min="8194" max="8194" width="52.42578125" customWidth="1"/>
    <col min="8195" max="8195" width="18.42578125" customWidth="1"/>
    <col min="8197" max="8197" width="25.85546875" customWidth="1"/>
    <col min="8200" max="8200" width="7.42578125" bestFit="1" customWidth="1"/>
    <col min="8449" max="8449" width="19.5703125" customWidth="1"/>
    <col min="8450" max="8450" width="52.42578125" customWidth="1"/>
    <col min="8451" max="8451" width="18.42578125" customWidth="1"/>
    <col min="8453" max="8453" width="25.85546875" customWidth="1"/>
    <col min="8456" max="8456" width="7.42578125" bestFit="1" customWidth="1"/>
    <col min="8705" max="8705" width="19.5703125" customWidth="1"/>
    <col min="8706" max="8706" width="52.42578125" customWidth="1"/>
    <col min="8707" max="8707" width="18.42578125" customWidth="1"/>
    <col min="8709" max="8709" width="25.85546875" customWidth="1"/>
    <col min="8712" max="8712" width="7.42578125" bestFit="1" customWidth="1"/>
    <col min="8961" max="8961" width="19.5703125" customWidth="1"/>
    <col min="8962" max="8962" width="52.42578125" customWidth="1"/>
    <col min="8963" max="8963" width="18.42578125" customWidth="1"/>
    <col min="8965" max="8965" width="25.85546875" customWidth="1"/>
    <col min="8968" max="8968" width="7.42578125" bestFit="1" customWidth="1"/>
    <col min="9217" max="9217" width="19.5703125" customWidth="1"/>
    <col min="9218" max="9218" width="52.42578125" customWidth="1"/>
    <col min="9219" max="9219" width="18.42578125" customWidth="1"/>
    <col min="9221" max="9221" width="25.85546875" customWidth="1"/>
    <col min="9224" max="9224" width="7.42578125" bestFit="1" customWidth="1"/>
    <col min="9473" max="9473" width="19.5703125" customWidth="1"/>
    <col min="9474" max="9474" width="52.42578125" customWidth="1"/>
    <col min="9475" max="9475" width="18.42578125" customWidth="1"/>
    <col min="9477" max="9477" width="25.85546875" customWidth="1"/>
    <col min="9480" max="9480" width="7.42578125" bestFit="1" customWidth="1"/>
    <col min="9729" max="9729" width="19.5703125" customWidth="1"/>
    <col min="9730" max="9730" width="52.42578125" customWidth="1"/>
    <col min="9731" max="9731" width="18.42578125" customWidth="1"/>
    <col min="9733" max="9733" width="25.85546875" customWidth="1"/>
    <col min="9736" max="9736" width="7.42578125" bestFit="1" customWidth="1"/>
    <col min="9985" max="9985" width="19.5703125" customWidth="1"/>
    <col min="9986" max="9986" width="52.42578125" customWidth="1"/>
    <col min="9987" max="9987" width="18.42578125" customWidth="1"/>
    <col min="9989" max="9989" width="25.85546875" customWidth="1"/>
    <col min="9992" max="9992" width="7.42578125" bestFit="1" customWidth="1"/>
    <col min="10241" max="10241" width="19.5703125" customWidth="1"/>
    <col min="10242" max="10242" width="52.42578125" customWidth="1"/>
    <col min="10243" max="10243" width="18.42578125" customWidth="1"/>
    <col min="10245" max="10245" width="25.85546875" customWidth="1"/>
    <col min="10248" max="10248" width="7.42578125" bestFit="1" customWidth="1"/>
    <col min="10497" max="10497" width="19.5703125" customWidth="1"/>
    <col min="10498" max="10498" width="52.42578125" customWidth="1"/>
    <col min="10499" max="10499" width="18.42578125" customWidth="1"/>
    <col min="10501" max="10501" width="25.85546875" customWidth="1"/>
    <col min="10504" max="10504" width="7.42578125" bestFit="1" customWidth="1"/>
    <col min="10753" max="10753" width="19.5703125" customWidth="1"/>
    <col min="10754" max="10754" width="52.42578125" customWidth="1"/>
    <col min="10755" max="10755" width="18.42578125" customWidth="1"/>
    <col min="10757" max="10757" width="25.85546875" customWidth="1"/>
    <col min="10760" max="10760" width="7.42578125" bestFit="1" customWidth="1"/>
    <col min="11009" max="11009" width="19.5703125" customWidth="1"/>
    <col min="11010" max="11010" width="52.42578125" customWidth="1"/>
    <col min="11011" max="11011" width="18.42578125" customWidth="1"/>
    <col min="11013" max="11013" width="25.85546875" customWidth="1"/>
    <col min="11016" max="11016" width="7.42578125" bestFit="1" customWidth="1"/>
    <col min="11265" max="11265" width="19.5703125" customWidth="1"/>
    <col min="11266" max="11266" width="52.42578125" customWidth="1"/>
    <col min="11267" max="11267" width="18.42578125" customWidth="1"/>
    <col min="11269" max="11269" width="25.85546875" customWidth="1"/>
    <col min="11272" max="11272" width="7.42578125" bestFit="1" customWidth="1"/>
    <col min="11521" max="11521" width="19.5703125" customWidth="1"/>
    <col min="11522" max="11522" width="52.42578125" customWidth="1"/>
    <col min="11523" max="11523" width="18.42578125" customWidth="1"/>
    <col min="11525" max="11525" width="25.85546875" customWidth="1"/>
    <col min="11528" max="11528" width="7.42578125" bestFit="1" customWidth="1"/>
    <col min="11777" max="11777" width="19.5703125" customWidth="1"/>
    <col min="11778" max="11778" width="52.42578125" customWidth="1"/>
    <col min="11779" max="11779" width="18.42578125" customWidth="1"/>
    <col min="11781" max="11781" width="25.85546875" customWidth="1"/>
    <col min="11784" max="11784" width="7.42578125" bestFit="1" customWidth="1"/>
    <col min="12033" max="12033" width="19.5703125" customWidth="1"/>
    <col min="12034" max="12034" width="52.42578125" customWidth="1"/>
    <col min="12035" max="12035" width="18.42578125" customWidth="1"/>
    <col min="12037" max="12037" width="25.85546875" customWidth="1"/>
    <col min="12040" max="12040" width="7.42578125" bestFit="1" customWidth="1"/>
    <col min="12289" max="12289" width="19.5703125" customWidth="1"/>
    <col min="12290" max="12290" width="52.42578125" customWidth="1"/>
    <col min="12291" max="12291" width="18.42578125" customWidth="1"/>
    <col min="12293" max="12293" width="25.85546875" customWidth="1"/>
    <col min="12296" max="12296" width="7.42578125" bestFit="1" customWidth="1"/>
    <col min="12545" max="12545" width="19.5703125" customWidth="1"/>
    <col min="12546" max="12546" width="52.42578125" customWidth="1"/>
    <col min="12547" max="12547" width="18.42578125" customWidth="1"/>
    <col min="12549" max="12549" width="25.85546875" customWidth="1"/>
    <col min="12552" max="12552" width="7.42578125" bestFit="1" customWidth="1"/>
    <col min="12801" max="12801" width="19.5703125" customWidth="1"/>
    <col min="12802" max="12802" width="52.42578125" customWidth="1"/>
    <col min="12803" max="12803" width="18.42578125" customWidth="1"/>
    <col min="12805" max="12805" width="25.85546875" customWidth="1"/>
    <col min="12808" max="12808" width="7.42578125" bestFit="1" customWidth="1"/>
    <col min="13057" max="13057" width="19.5703125" customWidth="1"/>
    <col min="13058" max="13058" width="52.42578125" customWidth="1"/>
    <col min="13059" max="13059" width="18.42578125" customWidth="1"/>
    <col min="13061" max="13061" width="25.85546875" customWidth="1"/>
    <col min="13064" max="13064" width="7.42578125" bestFit="1" customWidth="1"/>
    <col min="13313" max="13313" width="19.5703125" customWidth="1"/>
    <col min="13314" max="13314" width="52.42578125" customWidth="1"/>
    <col min="13315" max="13315" width="18.42578125" customWidth="1"/>
    <col min="13317" max="13317" width="25.85546875" customWidth="1"/>
    <col min="13320" max="13320" width="7.42578125" bestFit="1" customWidth="1"/>
    <col min="13569" max="13569" width="19.5703125" customWidth="1"/>
    <col min="13570" max="13570" width="52.42578125" customWidth="1"/>
    <col min="13571" max="13571" width="18.42578125" customWidth="1"/>
    <col min="13573" max="13573" width="25.85546875" customWidth="1"/>
    <col min="13576" max="13576" width="7.42578125" bestFit="1" customWidth="1"/>
    <col min="13825" max="13825" width="19.5703125" customWidth="1"/>
    <col min="13826" max="13826" width="52.42578125" customWidth="1"/>
    <col min="13827" max="13827" width="18.42578125" customWidth="1"/>
    <col min="13829" max="13829" width="25.85546875" customWidth="1"/>
    <col min="13832" max="13832" width="7.42578125" bestFit="1" customWidth="1"/>
    <col min="14081" max="14081" width="19.5703125" customWidth="1"/>
    <col min="14082" max="14082" width="52.42578125" customWidth="1"/>
    <col min="14083" max="14083" width="18.42578125" customWidth="1"/>
    <col min="14085" max="14085" width="25.85546875" customWidth="1"/>
    <col min="14088" max="14088" width="7.42578125" bestFit="1" customWidth="1"/>
    <col min="14337" max="14337" width="19.5703125" customWidth="1"/>
    <col min="14338" max="14338" width="52.42578125" customWidth="1"/>
    <col min="14339" max="14339" width="18.42578125" customWidth="1"/>
    <col min="14341" max="14341" width="25.85546875" customWidth="1"/>
    <col min="14344" max="14344" width="7.42578125" bestFit="1" customWidth="1"/>
    <col min="14593" max="14593" width="19.5703125" customWidth="1"/>
    <col min="14594" max="14594" width="52.42578125" customWidth="1"/>
    <col min="14595" max="14595" width="18.42578125" customWidth="1"/>
    <col min="14597" max="14597" width="25.85546875" customWidth="1"/>
    <col min="14600" max="14600" width="7.42578125" bestFit="1" customWidth="1"/>
    <col min="14849" max="14849" width="19.5703125" customWidth="1"/>
    <col min="14850" max="14850" width="52.42578125" customWidth="1"/>
    <col min="14851" max="14851" width="18.42578125" customWidth="1"/>
    <col min="14853" max="14853" width="25.85546875" customWidth="1"/>
    <col min="14856" max="14856" width="7.42578125" bestFit="1" customWidth="1"/>
    <col min="15105" max="15105" width="19.5703125" customWidth="1"/>
    <col min="15106" max="15106" width="52.42578125" customWidth="1"/>
    <col min="15107" max="15107" width="18.42578125" customWidth="1"/>
    <col min="15109" max="15109" width="25.85546875" customWidth="1"/>
    <col min="15112" max="15112" width="7.42578125" bestFit="1" customWidth="1"/>
    <col min="15361" max="15361" width="19.5703125" customWidth="1"/>
    <col min="15362" max="15362" width="52.42578125" customWidth="1"/>
    <col min="15363" max="15363" width="18.42578125" customWidth="1"/>
    <col min="15365" max="15365" width="25.85546875" customWidth="1"/>
    <col min="15368" max="15368" width="7.42578125" bestFit="1" customWidth="1"/>
    <col min="15617" max="15617" width="19.5703125" customWidth="1"/>
    <col min="15618" max="15618" width="52.42578125" customWidth="1"/>
    <col min="15619" max="15619" width="18.42578125" customWidth="1"/>
    <col min="15621" max="15621" width="25.85546875" customWidth="1"/>
    <col min="15624" max="15624" width="7.42578125" bestFit="1" customWidth="1"/>
    <col min="15873" max="15873" width="19.5703125" customWidth="1"/>
    <col min="15874" max="15874" width="52.42578125" customWidth="1"/>
    <col min="15875" max="15875" width="18.42578125" customWidth="1"/>
    <col min="15877" max="15877" width="25.85546875" customWidth="1"/>
    <col min="15880" max="15880" width="7.42578125" bestFit="1" customWidth="1"/>
    <col min="16129" max="16129" width="19.5703125" customWidth="1"/>
    <col min="16130" max="16130" width="52.42578125" customWidth="1"/>
    <col min="16131" max="16131" width="18.42578125" customWidth="1"/>
    <col min="16133" max="16133" width="25.85546875" customWidth="1"/>
    <col min="16136" max="16136" width="7.42578125" bestFit="1" customWidth="1"/>
  </cols>
  <sheetData>
    <row r="1" spans="1:5" ht="14.45" customHeight="1" x14ac:dyDescent="0.25">
      <c r="A1" s="217" t="s">
        <v>0</v>
      </c>
      <c r="B1" s="217"/>
      <c r="C1" s="217"/>
      <c r="D1" s="217"/>
    </row>
    <row r="2" spans="1:5" ht="15.75" x14ac:dyDescent="0.25">
      <c r="D2" s="29"/>
    </row>
    <row r="3" spans="1:5" ht="16.5" customHeight="1" x14ac:dyDescent="0.25">
      <c r="A3" s="281" t="s">
        <v>26</v>
      </c>
      <c r="B3" s="281"/>
      <c r="C3" s="281"/>
      <c r="D3" s="281"/>
    </row>
    <row r="4" spans="1:5" ht="54" customHeight="1" x14ac:dyDescent="0.25">
      <c r="A4" s="218" t="s">
        <v>242</v>
      </c>
      <c r="B4" s="218"/>
      <c r="C4" s="218"/>
      <c r="D4" s="218"/>
    </row>
    <row r="5" spans="1:5" ht="16.5" thickBot="1" x14ac:dyDescent="0.3">
      <c r="A5" s="219" t="s">
        <v>27</v>
      </c>
      <c r="B5" s="219"/>
      <c r="C5" s="219"/>
      <c r="D5" s="219"/>
    </row>
    <row r="6" spans="1:5" ht="75.75" customHeight="1" thickBot="1" x14ac:dyDescent="0.3">
      <c r="A6" s="31" t="s">
        <v>2</v>
      </c>
      <c r="B6" s="32" t="s">
        <v>3</v>
      </c>
      <c r="C6" s="272" t="s">
        <v>4</v>
      </c>
      <c r="D6" s="273"/>
    </row>
    <row r="7" spans="1:5" ht="16.5" thickBot="1" x14ac:dyDescent="0.3">
      <c r="A7" s="33"/>
      <c r="B7" s="34" t="s">
        <v>5</v>
      </c>
      <c r="C7" s="220"/>
      <c r="D7" s="221"/>
    </row>
    <row r="8" spans="1:5" ht="80.25" customHeight="1" x14ac:dyDescent="0.25">
      <c r="A8" s="210" t="s">
        <v>6</v>
      </c>
      <c r="B8" s="65" t="s">
        <v>508</v>
      </c>
      <c r="C8" s="204">
        <f>93.6+20.8</f>
        <v>114.39999999999999</v>
      </c>
      <c r="D8" s="205"/>
    </row>
    <row r="9" spans="1:5" ht="66" customHeight="1" x14ac:dyDescent="0.25">
      <c r="A9" s="211"/>
      <c r="B9" s="63" t="s">
        <v>507</v>
      </c>
      <c r="C9" s="204"/>
      <c r="D9" s="205"/>
    </row>
    <row r="10" spans="1:5" ht="16.5" thickBot="1" x14ac:dyDescent="0.3">
      <c r="A10" s="212"/>
      <c r="B10" s="36" t="s">
        <v>319</v>
      </c>
      <c r="C10" s="204"/>
      <c r="D10" s="205"/>
    </row>
    <row r="11" spans="1:5" ht="48" thickBot="1" x14ac:dyDescent="0.3">
      <c r="A11" s="37" t="s">
        <v>7</v>
      </c>
      <c r="B11" s="36" t="s">
        <v>209</v>
      </c>
      <c r="C11" s="204">
        <f>C8*0.2359</f>
        <v>26.986959999999996</v>
      </c>
      <c r="D11" s="205"/>
    </row>
    <row r="12" spans="1:5" ht="16.5" thickBot="1" x14ac:dyDescent="0.3">
      <c r="A12" s="37"/>
      <c r="B12" s="38" t="s">
        <v>9</v>
      </c>
      <c r="C12" s="204">
        <f>SUM(C8:D11)</f>
        <v>141.38695999999999</v>
      </c>
      <c r="D12" s="205"/>
      <c r="E12" s="39"/>
    </row>
    <row r="13" spans="1:5" ht="16.5" thickBot="1" x14ac:dyDescent="0.3">
      <c r="A13" s="37"/>
      <c r="B13" s="38" t="s">
        <v>10</v>
      </c>
      <c r="C13" s="204"/>
      <c r="D13" s="205"/>
    </row>
    <row r="14" spans="1:5" ht="143.25" customHeight="1" thickBot="1" x14ac:dyDescent="0.3">
      <c r="A14" s="37" t="s">
        <v>12</v>
      </c>
      <c r="B14" s="95" t="s">
        <v>457</v>
      </c>
      <c r="C14" s="222">
        <f>72.8+140.4+5.2</f>
        <v>218.39999999999998</v>
      </c>
      <c r="D14" s="223"/>
    </row>
    <row r="15" spans="1:5" ht="48" thickBot="1" x14ac:dyDescent="0.3">
      <c r="A15" s="37" t="s">
        <v>13</v>
      </c>
      <c r="B15" s="96" t="s">
        <v>211</v>
      </c>
      <c r="C15" s="204">
        <f>20409/24855*520</f>
        <v>426.98370549185273</v>
      </c>
      <c r="D15" s="205"/>
    </row>
    <row r="16" spans="1:5" ht="32.25" thickBot="1" x14ac:dyDescent="0.3">
      <c r="A16" s="37" t="s">
        <v>16</v>
      </c>
      <c r="B16" s="96" t="s">
        <v>212</v>
      </c>
      <c r="C16" s="222">
        <v>166.39</v>
      </c>
      <c r="D16" s="223"/>
    </row>
    <row r="17" spans="1:5" ht="48" customHeight="1" thickBot="1" x14ac:dyDescent="0.3">
      <c r="A17" s="37" t="s">
        <v>17</v>
      </c>
      <c r="B17" s="62" t="s">
        <v>407</v>
      </c>
      <c r="C17" s="204">
        <v>85</v>
      </c>
      <c r="D17" s="205"/>
    </row>
    <row r="18" spans="1:5" ht="16.5" thickBot="1" x14ac:dyDescent="0.3">
      <c r="A18" s="33"/>
      <c r="B18" s="34" t="s">
        <v>18</v>
      </c>
      <c r="C18" s="204">
        <f>SUM(C14:C17)</f>
        <v>896.77370549185264</v>
      </c>
      <c r="D18" s="205"/>
      <c r="E18" s="40"/>
    </row>
    <row r="19" spans="1:5" ht="16.5" thickBot="1" x14ac:dyDescent="0.3">
      <c r="A19" s="33"/>
      <c r="B19" s="41" t="s">
        <v>19</v>
      </c>
      <c r="C19" s="206">
        <f>SUM(C12,C18)</f>
        <v>1038.1606654918526</v>
      </c>
      <c r="D19" s="207"/>
      <c r="E19" s="42"/>
    </row>
    <row r="20" spans="1:5" x14ac:dyDescent="0.25">
      <c r="A20" s="43"/>
      <c r="C20" s="8"/>
      <c r="E20" s="13"/>
    </row>
    <row r="21" spans="1:5" ht="15.75" x14ac:dyDescent="0.25">
      <c r="A21" s="213" t="s">
        <v>20</v>
      </c>
      <c r="B21" s="214"/>
      <c r="C21" s="224">
        <v>520</v>
      </c>
      <c r="D21" s="224"/>
      <c r="E21" s="44"/>
    </row>
    <row r="22" spans="1:5" ht="37.15" customHeight="1" x14ac:dyDescent="0.25">
      <c r="A22" s="298" t="s">
        <v>28</v>
      </c>
      <c r="B22" s="299"/>
      <c r="C22" s="225">
        <f>C19/C21</f>
        <v>1.9964628182535626</v>
      </c>
      <c r="D22" s="225"/>
      <c r="E22" s="45"/>
    </row>
    <row r="23" spans="1:5" ht="15.75" x14ac:dyDescent="0.25">
      <c r="A23" s="46"/>
    </row>
    <row r="24" spans="1:5" x14ac:dyDescent="0.25">
      <c r="A24" s="78"/>
      <c r="B24" s="78"/>
      <c r="C24" s="203"/>
      <c r="D24" s="203"/>
    </row>
    <row r="25" spans="1:5" x14ac:dyDescent="0.25">
      <c r="A25" s="78"/>
      <c r="B25" s="78"/>
      <c r="C25" s="79"/>
      <c r="D25" s="78"/>
    </row>
    <row r="26" spans="1:5" x14ac:dyDescent="0.25">
      <c r="A26" s="78"/>
      <c r="B26" s="78"/>
      <c r="C26" s="203"/>
      <c r="D26" s="203"/>
    </row>
    <row r="27" spans="1:5" x14ac:dyDescent="0.25">
      <c r="A27" s="78"/>
      <c r="B27" s="78"/>
      <c r="C27" s="78"/>
      <c r="D27" s="78"/>
    </row>
    <row r="28" spans="1:5" x14ac:dyDescent="0.25">
      <c r="A28" s="202"/>
      <c r="B28" s="202"/>
      <c r="C28" s="80"/>
      <c r="D28" s="80"/>
    </row>
    <row r="29" spans="1:5" x14ac:dyDescent="0.25">
      <c r="A29" s="201"/>
      <c r="B29" s="202"/>
      <c r="C29" s="80"/>
      <c r="D29" s="80"/>
    </row>
    <row r="30" spans="1:5" x14ac:dyDescent="0.25">
      <c r="A30" s="57"/>
      <c r="B30" s="80"/>
      <c r="C30" s="81"/>
      <c r="D30" s="81"/>
    </row>
    <row r="31" spans="1:5" x14ac:dyDescent="0.25">
      <c r="A31" s="201"/>
      <c r="B31" s="201"/>
      <c r="C31" s="81"/>
      <c r="D31" s="81"/>
    </row>
  </sheetData>
  <mergeCells count="26">
    <mergeCell ref="C13:D13"/>
    <mergeCell ref="C7:D7"/>
    <mergeCell ref="A8:A10"/>
    <mergeCell ref="C8:D10"/>
    <mergeCell ref="C11:D11"/>
    <mergeCell ref="C12:D12"/>
    <mergeCell ref="A1:D1"/>
    <mergeCell ref="A3:D3"/>
    <mergeCell ref="A4:D4"/>
    <mergeCell ref="A5:D5"/>
    <mergeCell ref="C6:D6"/>
    <mergeCell ref="A22:B22"/>
    <mergeCell ref="C22:D22"/>
    <mergeCell ref="C14:D14"/>
    <mergeCell ref="C15:D15"/>
    <mergeCell ref="C16:D16"/>
    <mergeCell ref="C17:D17"/>
    <mergeCell ref="C18:D18"/>
    <mergeCell ref="C19:D19"/>
    <mergeCell ref="A21:B21"/>
    <mergeCell ref="C21:D21"/>
    <mergeCell ref="C24:D24"/>
    <mergeCell ref="C26:D26"/>
    <mergeCell ref="A28:B28"/>
    <mergeCell ref="A29:B29"/>
    <mergeCell ref="A31:B31"/>
  </mergeCells>
  <pageMargins left="0.70866141732283472" right="0.70866141732283472" top="0.74803149606299213" bottom="0.74803149606299213" header="0.31496062992125984" footer="0.31496062992125984"/>
  <pageSetup paperSize="9" scale="92" fitToHeight="0"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view="pageBreakPreview" zoomScale="60" zoomScaleNormal="100" workbookViewId="0">
      <selection activeCell="T13" sqref="T13"/>
    </sheetView>
  </sheetViews>
  <sheetFormatPr defaultColWidth="9.140625" defaultRowHeight="15" x14ac:dyDescent="0.25"/>
  <cols>
    <col min="1" max="1" width="19.5703125" customWidth="1"/>
    <col min="2" max="2" width="52.42578125" customWidth="1"/>
    <col min="3" max="3" width="12.42578125" style="7" customWidth="1"/>
    <col min="4" max="4" width="10.7109375" customWidth="1"/>
    <col min="5" max="5" width="25.85546875" style="9" customWidth="1"/>
    <col min="8" max="8" width="7.42578125" bestFit="1" customWidth="1"/>
    <col min="257" max="257" width="19.5703125" customWidth="1"/>
    <col min="258" max="258" width="52.42578125" customWidth="1"/>
    <col min="259" max="259" width="18.42578125" customWidth="1"/>
    <col min="261" max="261" width="25.85546875" customWidth="1"/>
    <col min="264" max="264" width="7.42578125" bestFit="1" customWidth="1"/>
    <col min="513" max="513" width="19.5703125" customWidth="1"/>
    <col min="514" max="514" width="52.42578125" customWidth="1"/>
    <col min="515" max="515" width="18.42578125" customWidth="1"/>
    <col min="517" max="517" width="25.85546875" customWidth="1"/>
    <col min="520" max="520" width="7.42578125" bestFit="1" customWidth="1"/>
    <col min="769" max="769" width="19.5703125" customWidth="1"/>
    <col min="770" max="770" width="52.42578125" customWidth="1"/>
    <col min="771" max="771" width="18.42578125" customWidth="1"/>
    <col min="773" max="773" width="25.85546875" customWidth="1"/>
    <col min="776" max="776" width="7.42578125" bestFit="1" customWidth="1"/>
    <col min="1025" max="1025" width="19.5703125" customWidth="1"/>
    <col min="1026" max="1026" width="52.42578125" customWidth="1"/>
    <col min="1027" max="1027" width="18.42578125" customWidth="1"/>
    <col min="1029" max="1029" width="25.85546875" customWidth="1"/>
    <col min="1032" max="1032" width="7.42578125" bestFit="1" customWidth="1"/>
    <col min="1281" max="1281" width="19.5703125" customWidth="1"/>
    <col min="1282" max="1282" width="52.42578125" customWidth="1"/>
    <col min="1283" max="1283" width="18.42578125" customWidth="1"/>
    <col min="1285" max="1285" width="25.85546875" customWidth="1"/>
    <col min="1288" max="1288" width="7.42578125" bestFit="1" customWidth="1"/>
    <col min="1537" max="1537" width="19.5703125" customWidth="1"/>
    <col min="1538" max="1538" width="52.42578125" customWidth="1"/>
    <col min="1539" max="1539" width="18.42578125" customWidth="1"/>
    <col min="1541" max="1541" width="25.85546875" customWidth="1"/>
    <col min="1544" max="1544" width="7.42578125" bestFit="1" customWidth="1"/>
    <col min="1793" max="1793" width="19.5703125" customWidth="1"/>
    <col min="1794" max="1794" width="52.42578125" customWidth="1"/>
    <col min="1795" max="1795" width="18.42578125" customWidth="1"/>
    <col min="1797" max="1797" width="25.85546875" customWidth="1"/>
    <col min="1800" max="1800" width="7.42578125" bestFit="1" customWidth="1"/>
    <col min="2049" max="2049" width="19.5703125" customWidth="1"/>
    <col min="2050" max="2050" width="52.42578125" customWidth="1"/>
    <col min="2051" max="2051" width="18.42578125" customWidth="1"/>
    <col min="2053" max="2053" width="25.85546875" customWidth="1"/>
    <col min="2056" max="2056" width="7.42578125" bestFit="1" customWidth="1"/>
    <col min="2305" max="2305" width="19.5703125" customWidth="1"/>
    <col min="2306" max="2306" width="52.42578125" customWidth="1"/>
    <col min="2307" max="2307" width="18.42578125" customWidth="1"/>
    <col min="2309" max="2309" width="25.85546875" customWidth="1"/>
    <col min="2312" max="2312" width="7.42578125" bestFit="1" customWidth="1"/>
    <col min="2561" max="2561" width="19.5703125" customWidth="1"/>
    <col min="2562" max="2562" width="52.42578125" customWidth="1"/>
    <col min="2563" max="2563" width="18.42578125" customWidth="1"/>
    <col min="2565" max="2565" width="25.85546875" customWidth="1"/>
    <col min="2568" max="2568" width="7.42578125" bestFit="1" customWidth="1"/>
    <col min="2817" max="2817" width="19.5703125" customWidth="1"/>
    <col min="2818" max="2818" width="52.42578125" customWidth="1"/>
    <col min="2819" max="2819" width="18.42578125" customWidth="1"/>
    <col min="2821" max="2821" width="25.85546875" customWidth="1"/>
    <col min="2824" max="2824" width="7.42578125" bestFit="1" customWidth="1"/>
    <col min="3073" max="3073" width="19.5703125" customWidth="1"/>
    <col min="3074" max="3074" width="52.42578125" customWidth="1"/>
    <col min="3075" max="3075" width="18.42578125" customWidth="1"/>
    <col min="3077" max="3077" width="25.85546875" customWidth="1"/>
    <col min="3080" max="3080" width="7.42578125" bestFit="1" customWidth="1"/>
    <col min="3329" max="3329" width="19.5703125" customWidth="1"/>
    <col min="3330" max="3330" width="52.42578125" customWidth="1"/>
    <col min="3331" max="3331" width="18.42578125" customWidth="1"/>
    <col min="3333" max="3333" width="25.85546875" customWidth="1"/>
    <col min="3336" max="3336" width="7.42578125" bestFit="1" customWidth="1"/>
    <col min="3585" max="3585" width="19.5703125" customWidth="1"/>
    <col min="3586" max="3586" width="52.42578125" customWidth="1"/>
    <col min="3587" max="3587" width="18.42578125" customWidth="1"/>
    <col min="3589" max="3589" width="25.85546875" customWidth="1"/>
    <col min="3592" max="3592" width="7.42578125" bestFit="1" customWidth="1"/>
    <col min="3841" max="3841" width="19.5703125" customWidth="1"/>
    <col min="3842" max="3842" width="52.42578125" customWidth="1"/>
    <col min="3843" max="3843" width="18.42578125" customWidth="1"/>
    <col min="3845" max="3845" width="25.85546875" customWidth="1"/>
    <col min="3848" max="3848" width="7.42578125" bestFit="1" customWidth="1"/>
    <col min="4097" max="4097" width="19.5703125" customWidth="1"/>
    <col min="4098" max="4098" width="52.42578125" customWidth="1"/>
    <col min="4099" max="4099" width="18.42578125" customWidth="1"/>
    <col min="4101" max="4101" width="25.85546875" customWidth="1"/>
    <col min="4104" max="4104" width="7.42578125" bestFit="1" customWidth="1"/>
    <col min="4353" max="4353" width="19.5703125" customWidth="1"/>
    <col min="4354" max="4354" width="52.42578125" customWidth="1"/>
    <col min="4355" max="4355" width="18.42578125" customWidth="1"/>
    <col min="4357" max="4357" width="25.85546875" customWidth="1"/>
    <col min="4360" max="4360" width="7.42578125" bestFit="1" customWidth="1"/>
    <col min="4609" max="4609" width="19.5703125" customWidth="1"/>
    <col min="4610" max="4610" width="52.42578125" customWidth="1"/>
    <col min="4611" max="4611" width="18.42578125" customWidth="1"/>
    <col min="4613" max="4613" width="25.85546875" customWidth="1"/>
    <col min="4616" max="4616" width="7.42578125" bestFit="1" customWidth="1"/>
    <col min="4865" max="4865" width="19.5703125" customWidth="1"/>
    <col min="4866" max="4866" width="52.42578125" customWidth="1"/>
    <col min="4867" max="4867" width="18.42578125" customWidth="1"/>
    <col min="4869" max="4869" width="25.85546875" customWidth="1"/>
    <col min="4872" max="4872" width="7.42578125" bestFit="1" customWidth="1"/>
    <col min="5121" max="5121" width="19.5703125" customWidth="1"/>
    <col min="5122" max="5122" width="52.42578125" customWidth="1"/>
    <col min="5123" max="5123" width="18.42578125" customWidth="1"/>
    <col min="5125" max="5125" width="25.85546875" customWidth="1"/>
    <col min="5128" max="5128" width="7.42578125" bestFit="1" customWidth="1"/>
    <col min="5377" max="5377" width="19.5703125" customWidth="1"/>
    <col min="5378" max="5378" width="52.42578125" customWidth="1"/>
    <col min="5379" max="5379" width="18.42578125" customWidth="1"/>
    <col min="5381" max="5381" width="25.85546875" customWidth="1"/>
    <col min="5384" max="5384" width="7.42578125" bestFit="1" customWidth="1"/>
    <col min="5633" max="5633" width="19.5703125" customWidth="1"/>
    <col min="5634" max="5634" width="52.42578125" customWidth="1"/>
    <col min="5635" max="5635" width="18.42578125" customWidth="1"/>
    <col min="5637" max="5637" width="25.85546875" customWidth="1"/>
    <col min="5640" max="5640" width="7.42578125" bestFit="1" customWidth="1"/>
    <col min="5889" max="5889" width="19.5703125" customWidth="1"/>
    <col min="5890" max="5890" width="52.42578125" customWidth="1"/>
    <col min="5891" max="5891" width="18.42578125" customWidth="1"/>
    <col min="5893" max="5893" width="25.85546875" customWidth="1"/>
    <col min="5896" max="5896" width="7.42578125" bestFit="1" customWidth="1"/>
    <col min="6145" max="6145" width="19.5703125" customWidth="1"/>
    <col min="6146" max="6146" width="52.42578125" customWidth="1"/>
    <col min="6147" max="6147" width="18.42578125" customWidth="1"/>
    <col min="6149" max="6149" width="25.85546875" customWidth="1"/>
    <col min="6152" max="6152" width="7.42578125" bestFit="1" customWidth="1"/>
    <col min="6401" max="6401" width="19.5703125" customWidth="1"/>
    <col min="6402" max="6402" width="52.42578125" customWidth="1"/>
    <col min="6403" max="6403" width="18.42578125" customWidth="1"/>
    <col min="6405" max="6405" width="25.85546875" customWidth="1"/>
    <col min="6408" max="6408" width="7.42578125" bestFit="1" customWidth="1"/>
    <col min="6657" max="6657" width="19.5703125" customWidth="1"/>
    <col min="6658" max="6658" width="52.42578125" customWidth="1"/>
    <col min="6659" max="6659" width="18.42578125" customWidth="1"/>
    <col min="6661" max="6661" width="25.85546875" customWidth="1"/>
    <col min="6664" max="6664" width="7.42578125" bestFit="1" customWidth="1"/>
    <col min="6913" max="6913" width="19.5703125" customWidth="1"/>
    <col min="6914" max="6914" width="52.42578125" customWidth="1"/>
    <col min="6915" max="6915" width="18.42578125" customWidth="1"/>
    <col min="6917" max="6917" width="25.85546875" customWidth="1"/>
    <col min="6920" max="6920" width="7.42578125" bestFit="1" customWidth="1"/>
    <col min="7169" max="7169" width="19.5703125" customWidth="1"/>
    <col min="7170" max="7170" width="52.42578125" customWidth="1"/>
    <col min="7171" max="7171" width="18.42578125" customWidth="1"/>
    <col min="7173" max="7173" width="25.85546875" customWidth="1"/>
    <col min="7176" max="7176" width="7.42578125" bestFit="1" customWidth="1"/>
    <col min="7425" max="7425" width="19.5703125" customWidth="1"/>
    <col min="7426" max="7426" width="52.42578125" customWidth="1"/>
    <col min="7427" max="7427" width="18.42578125" customWidth="1"/>
    <col min="7429" max="7429" width="25.85546875" customWidth="1"/>
    <col min="7432" max="7432" width="7.42578125" bestFit="1" customWidth="1"/>
    <col min="7681" max="7681" width="19.5703125" customWidth="1"/>
    <col min="7682" max="7682" width="52.42578125" customWidth="1"/>
    <col min="7683" max="7683" width="18.42578125" customWidth="1"/>
    <col min="7685" max="7685" width="25.85546875" customWidth="1"/>
    <col min="7688" max="7688" width="7.42578125" bestFit="1" customWidth="1"/>
    <col min="7937" max="7937" width="19.5703125" customWidth="1"/>
    <col min="7938" max="7938" width="52.42578125" customWidth="1"/>
    <col min="7939" max="7939" width="18.42578125" customWidth="1"/>
    <col min="7941" max="7941" width="25.85546875" customWidth="1"/>
    <col min="7944" max="7944" width="7.42578125" bestFit="1" customWidth="1"/>
    <col min="8193" max="8193" width="19.5703125" customWidth="1"/>
    <col min="8194" max="8194" width="52.42578125" customWidth="1"/>
    <col min="8195" max="8195" width="18.42578125" customWidth="1"/>
    <col min="8197" max="8197" width="25.85546875" customWidth="1"/>
    <col min="8200" max="8200" width="7.42578125" bestFit="1" customWidth="1"/>
    <col min="8449" max="8449" width="19.5703125" customWidth="1"/>
    <col min="8450" max="8450" width="52.42578125" customWidth="1"/>
    <col min="8451" max="8451" width="18.42578125" customWidth="1"/>
    <col min="8453" max="8453" width="25.85546875" customWidth="1"/>
    <col min="8456" max="8456" width="7.42578125" bestFit="1" customWidth="1"/>
    <col min="8705" max="8705" width="19.5703125" customWidth="1"/>
    <col min="8706" max="8706" width="52.42578125" customWidth="1"/>
    <col min="8707" max="8707" width="18.42578125" customWidth="1"/>
    <col min="8709" max="8709" width="25.85546875" customWidth="1"/>
    <col min="8712" max="8712" width="7.42578125" bestFit="1" customWidth="1"/>
    <col min="8961" max="8961" width="19.5703125" customWidth="1"/>
    <col min="8962" max="8962" width="52.42578125" customWidth="1"/>
    <col min="8963" max="8963" width="18.42578125" customWidth="1"/>
    <col min="8965" max="8965" width="25.85546875" customWidth="1"/>
    <col min="8968" max="8968" width="7.42578125" bestFit="1" customWidth="1"/>
    <col min="9217" max="9217" width="19.5703125" customWidth="1"/>
    <col min="9218" max="9218" width="52.42578125" customWidth="1"/>
    <col min="9219" max="9219" width="18.42578125" customWidth="1"/>
    <col min="9221" max="9221" width="25.85546875" customWidth="1"/>
    <col min="9224" max="9224" width="7.42578125" bestFit="1" customWidth="1"/>
    <col min="9473" max="9473" width="19.5703125" customWidth="1"/>
    <col min="9474" max="9474" width="52.42578125" customWidth="1"/>
    <col min="9475" max="9475" width="18.42578125" customWidth="1"/>
    <col min="9477" max="9477" width="25.85546875" customWidth="1"/>
    <col min="9480" max="9480" width="7.42578125" bestFit="1" customWidth="1"/>
    <col min="9729" max="9729" width="19.5703125" customWidth="1"/>
    <col min="9730" max="9730" width="52.42578125" customWidth="1"/>
    <col min="9731" max="9731" width="18.42578125" customWidth="1"/>
    <col min="9733" max="9733" width="25.85546875" customWidth="1"/>
    <col min="9736" max="9736" width="7.42578125" bestFit="1" customWidth="1"/>
    <col min="9985" max="9985" width="19.5703125" customWidth="1"/>
    <col min="9986" max="9986" width="52.42578125" customWidth="1"/>
    <col min="9987" max="9987" width="18.42578125" customWidth="1"/>
    <col min="9989" max="9989" width="25.85546875" customWidth="1"/>
    <col min="9992" max="9992" width="7.42578125" bestFit="1" customWidth="1"/>
    <col min="10241" max="10241" width="19.5703125" customWidth="1"/>
    <col min="10242" max="10242" width="52.42578125" customWidth="1"/>
    <col min="10243" max="10243" width="18.42578125" customWidth="1"/>
    <col min="10245" max="10245" width="25.85546875" customWidth="1"/>
    <col min="10248" max="10248" width="7.42578125" bestFit="1" customWidth="1"/>
    <col min="10497" max="10497" width="19.5703125" customWidth="1"/>
    <col min="10498" max="10498" width="52.42578125" customWidth="1"/>
    <col min="10499" max="10499" width="18.42578125" customWidth="1"/>
    <col min="10501" max="10501" width="25.85546875" customWidth="1"/>
    <col min="10504" max="10504" width="7.42578125" bestFit="1" customWidth="1"/>
    <col min="10753" max="10753" width="19.5703125" customWidth="1"/>
    <col min="10754" max="10754" width="52.42578125" customWidth="1"/>
    <col min="10755" max="10755" width="18.42578125" customWidth="1"/>
    <col min="10757" max="10757" width="25.85546875" customWidth="1"/>
    <col min="10760" max="10760" width="7.42578125" bestFit="1" customWidth="1"/>
    <col min="11009" max="11009" width="19.5703125" customWidth="1"/>
    <col min="11010" max="11010" width="52.42578125" customWidth="1"/>
    <col min="11011" max="11011" width="18.42578125" customWidth="1"/>
    <col min="11013" max="11013" width="25.85546875" customWidth="1"/>
    <col min="11016" max="11016" width="7.42578125" bestFit="1" customWidth="1"/>
    <col min="11265" max="11265" width="19.5703125" customWidth="1"/>
    <col min="11266" max="11266" width="52.42578125" customWidth="1"/>
    <col min="11267" max="11267" width="18.42578125" customWidth="1"/>
    <col min="11269" max="11269" width="25.85546875" customWidth="1"/>
    <col min="11272" max="11272" width="7.42578125" bestFit="1" customWidth="1"/>
    <col min="11521" max="11521" width="19.5703125" customWidth="1"/>
    <col min="11522" max="11522" width="52.42578125" customWidth="1"/>
    <col min="11523" max="11523" width="18.42578125" customWidth="1"/>
    <col min="11525" max="11525" width="25.85546875" customWidth="1"/>
    <col min="11528" max="11528" width="7.42578125" bestFit="1" customWidth="1"/>
    <col min="11777" max="11777" width="19.5703125" customWidth="1"/>
    <col min="11778" max="11778" width="52.42578125" customWidth="1"/>
    <col min="11779" max="11779" width="18.42578125" customWidth="1"/>
    <col min="11781" max="11781" width="25.85546875" customWidth="1"/>
    <col min="11784" max="11784" width="7.42578125" bestFit="1" customWidth="1"/>
    <col min="12033" max="12033" width="19.5703125" customWidth="1"/>
    <col min="12034" max="12034" width="52.42578125" customWidth="1"/>
    <col min="12035" max="12035" width="18.42578125" customWidth="1"/>
    <col min="12037" max="12037" width="25.85546875" customWidth="1"/>
    <col min="12040" max="12040" width="7.42578125" bestFit="1" customWidth="1"/>
    <col min="12289" max="12289" width="19.5703125" customWidth="1"/>
    <col min="12290" max="12290" width="52.42578125" customWidth="1"/>
    <col min="12291" max="12291" width="18.42578125" customWidth="1"/>
    <col min="12293" max="12293" width="25.85546875" customWidth="1"/>
    <col min="12296" max="12296" width="7.42578125" bestFit="1" customWidth="1"/>
    <col min="12545" max="12545" width="19.5703125" customWidth="1"/>
    <col min="12546" max="12546" width="52.42578125" customWidth="1"/>
    <col min="12547" max="12547" width="18.42578125" customWidth="1"/>
    <col min="12549" max="12549" width="25.85546875" customWidth="1"/>
    <col min="12552" max="12552" width="7.42578125" bestFit="1" customWidth="1"/>
    <col min="12801" max="12801" width="19.5703125" customWidth="1"/>
    <col min="12802" max="12802" width="52.42578125" customWidth="1"/>
    <col min="12803" max="12803" width="18.42578125" customWidth="1"/>
    <col min="12805" max="12805" width="25.85546875" customWidth="1"/>
    <col min="12808" max="12808" width="7.42578125" bestFit="1" customWidth="1"/>
    <col min="13057" max="13057" width="19.5703125" customWidth="1"/>
    <col min="13058" max="13058" width="52.42578125" customWidth="1"/>
    <col min="13059" max="13059" width="18.42578125" customWidth="1"/>
    <col min="13061" max="13061" width="25.85546875" customWidth="1"/>
    <col min="13064" max="13064" width="7.42578125" bestFit="1" customWidth="1"/>
    <col min="13313" max="13313" width="19.5703125" customWidth="1"/>
    <col min="13314" max="13314" width="52.42578125" customWidth="1"/>
    <col min="13315" max="13315" width="18.42578125" customWidth="1"/>
    <col min="13317" max="13317" width="25.85546875" customWidth="1"/>
    <col min="13320" max="13320" width="7.42578125" bestFit="1" customWidth="1"/>
    <col min="13569" max="13569" width="19.5703125" customWidth="1"/>
    <col min="13570" max="13570" width="52.42578125" customWidth="1"/>
    <col min="13571" max="13571" width="18.42578125" customWidth="1"/>
    <col min="13573" max="13573" width="25.85546875" customWidth="1"/>
    <col min="13576" max="13576" width="7.42578125" bestFit="1" customWidth="1"/>
    <col min="13825" max="13825" width="19.5703125" customWidth="1"/>
    <col min="13826" max="13826" width="52.42578125" customWidth="1"/>
    <col min="13827" max="13827" width="18.42578125" customWidth="1"/>
    <col min="13829" max="13829" width="25.85546875" customWidth="1"/>
    <col min="13832" max="13832" width="7.42578125" bestFit="1" customWidth="1"/>
    <col min="14081" max="14081" width="19.5703125" customWidth="1"/>
    <col min="14082" max="14082" width="52.42578125" customWidth="1"/>
    <col min="14083" max="14083" width="18.42578125" customWidth="1"/>
    <col min="14085" max="14085" width="25.85546875" customWidth="1"/>
    <col min="14088" max="14088" width="7.42578125" bestFit="1" customWidth="1"/>
    <col min="14337" max="14337" width="19.5703125" customWidth="1"/>
    <col min="14338" max="14338" width="52.42578125" customWidth="1"/>
    <col min="14339" max="14339" width="18.42578125" customWidth="1"/>
    <col min="14341" max="14341" width="25.85546875" customWidth="1"/>
    <col min="14344" max="14344" width="7.42578125" bestFit="1" customWidth="1"/>
    <col min="14593" max="14593" width="19.5703125" customWidth="1"/>
    <col min="14594" max="14594" width="52.42578125" customWidth="1"/>
    <col min="14595" max="14595" width="18.42578125" customWidth="1"/>
    <col min="14597" max="14597" width="25.85546875" customWidth="1"/>
    <col min="14600" max="14600" width="7.42578125" bestFit="1" customWidth="1"/>
    <col min="14849" max="14849" width="19.5703125" customWidth="1"/>
    <col min="14850" max="14850" width="52.42578125" customWidth="1"/>
    <col min="14851" max="14851" width="18.42578125" customWidth="1"/>
    <col min="14853" max="14853" width="25.85546875" customWidth="1"/>
    <col min="14856" max="14856" width="7.42578125" bestFit="1" customWidth="1"/>
    <col min="15105" max="15105" width="19.5703125" customWidth="1"/>
    <col min="15106" max="15106" width="52.42578125" customWidth="1"/>
    <col min="15107" max="15107" width="18.42578125" customWidth="1"/>
    <col min="15109" max="15109" width="25.85546875" customWidth="1"/>
    <col min="15112" max="15112" width="7.42578125" bestFit="1" customWidth="1"/>
    <col min="15361" max="15361" width="19.5703125" customWidth="1"/>
    <col min="15362" max="15362" width="52.42578125" customWidth="1"/>
    <col min="15363" max="15363" width="18.42578125" customWidth="1"/>
    <col min="15365" max="15365" width="25.85546875" customWidth="1"/>
    <col min="15368" max="15368" width="7.42578125" bestFit="1" customWidth="1"/>
    <col min="15617" max="15617" width="19.5703125" customWidth="1"/>
    <col min="15618" max="15618" width="52.42578125" customWidth="1"/>
    <col min="15619" max="15619" width="18.42578125" customWidth="1"/>
    <col min="15621" max="15621" width="25.85546875" customWidth="1"/>
    <col min="15624" max="15624" width="7.42578125" bestFit="1" customWidth="1"/>
    <col min="15873" max="15873" width="19.5703125" customWidth="1"/>
    <col min="15874" max="15874" width="52.42578125" customWidth="1"/>
    <col min="15875" max="15875" width="18.42578125" customWidth="1"/>
    <col min="15877" max="15877" width="25.85546875" customWidth="1"/>
    <col min="15880" max="15880" width="7.42578125" bestFit="1" customWidth="1"/>
    <col min="16129" max="16129" width="19.5703125" customWidth="1"/>
    <col min="16130" max="16130" width="52.42578125" customWidth="1"/>
    <col min="16131" max="16131" width="18.42578125" customWidth="1"/>
    <col min="16133" max="16133" width="25.85546875" customWidth="1"/>
    <col min="16136" max="16136" width="7.42578125" bestFit="1" customWidth="1"/>
  </cols>
  <sheetData>
    <row r="1" spans="1:5" ht="14.45" customHeight="1" x14ac:dyDescent="0.25">
      <c r="A1" s="217" t="s">
        <v>0</v>
      </c>
      <c r="B1" s="217"/>
      <c r="C1" s="217"/>
      <c r="D1" s="217"/>
    </row>
    <row r="2" spans="1:5" ht="15.75" x14ac:dyDescent="0.25">
      <c r="D2" s="29"/>
    </row>
    <row r="3" spans="1:5" ht="17.25" customHeight="1" x14ac:dyDescent="0.25">
      <c r="A3" s="281" t="s">
        <v>26</v>
      </c>
      <c r="B3" s="281"/>
      <c r="C3" s="281"/>
      <c r="D3" s="281"/>
    </row>
    <row r="4" spans="1:5" ht="17.25" customHeight="1" x14ac:dyDescent="0.25">
      <c r="A4" s="160"/>
      <c r="B4" s="160"/>
      <c r="C4" s="160"/>
      <c r="D4" s="160"/>
    </row>
    <row r="5" spans="1:5" ht="53.25" customHeight="1" x14ac:dyDescent="0.25">
      <c r="A5" s="218" t="s">
        <v>243</v>
      </c>
      <c r="B5" s="218"/>
      <c r="C5" s="218"/>
      <c r="D5" s="218"/>
    </row>
    <row r="6" spans="1:5" ht="19.5" customHeight="1" x14ac:dyDescent="0.25">
      <c r="A6" s="158"/>
      <c r="B6" s="158"/>
      <c r="C6" s="158"/>
      <c r="D6" s="158"/>
    </row>
    <row r="7" spans="1:5" ht="16.5" thickBot="1" x14ac:dyDescent="0.3">
      <c r="A7" s="219" t="s">
        <v>27</v>
      </c>
      <c r="B7" s="219"/>
      <c r="C7" s="219"/>
      <c r="D7" s="219"/>
    </row>
    <row r="8" spans="1:5" ht="75" customHeight="1" thickBot="1" x14ac:dyDescent="0.3">
      <c r="A8" s="31" t="s">
        <v>2</v>
      </c>
      <c r="B8" s="32" t="s">
        <v>3</v>
      </c>
      <c r="C8" s="236" t="s">
        <v>4</v>
      </c>
      <c r="D8" s="237"/>
    </row>
    <row r="9" spans="1:5" ht="16.5" thickBot="1" x14ac:dyDescent="0.3">
      <c r="A9" s="33"/>
      <c r="B9" s="84" t="s">
        <v>5</v>
      </c>
      <c r="C9" s="240"/>
      <c r="D9" s="241"/>
    </row>
    <row r="10" spans="1:5" ht="80.25" customHeight="1" x14ac:dyDescent="0.25">
      <c r="A10" s="242" t="s">
        <v>6</v>
      </c>
      <c r="B10" s="86" t="s">
        <v>509</v>
      </c>
      <c r="C10" s="300">
        <v>76.8</v>
      </c>
      <c r="D10" s="301"/>
    </row>
    <row r="11" spans="1:5" ht="63" customHeight="1" x14ac:dyDescent="0.25">
      <c r="A11" s="243"/>
      <c r="B11" s="85" t="s">
        <v>510</v>
      </c>
      <c r="C11" s="302"/>
      <c r="D11" s="303"/>
    </row>
    <row r="12" spans="1:5" ht="16.5" thickBot="1" x14ac:dyDescent="0.3">
      <c r="A12" s="244"/>
      <c r="B12" s="83" t="s">
        <v>365</v>
      </c>
      <c r="C12" s="304"/>
      <c r="D12" s="305"/>
    </row>
    <row r="13" spans="1:5" ht="48" thickBot="1" x14ac:dyDescent="0.3">
      <c r="A13" s="37" t="s">
        <v>7</v>
      </c>
      <c r="B13" s="36" t="s">
        <v>209</v>
      </c>
      <c r="C13" s="238">
        <f>C10*0.2359</f>
        <v>18.11712</v>
      </c>
      <c r="D13" s="239"/>
    </row>
    <row r="14" spans="1:5" ht="16.5" thickBot="1" x14ac:dyDescent="0.3">
      <c r="A14" s="37"/>
      <c r="B14" s="38" t="s">
        <v>9</v>
      </c>
      <c r="C14" s="238">
        <f>SUM(C10:D13)</f>
        <v>94.917119999999997</v>
      </c>
      <c r="D14" s="239"/>
      <c r="E14" s="39"/>
    </row>
    <row r="15" spans="1:5" ht="16.5" thickBot="1" x14ac:dyDescent="0.3">
      <c r="A15" s="37"/>
      <c r="B15" s="38" t="s">
        <v>10</v>
      </c>
      <c r="C15" s="238"/>
      <c r="D15" s="239"/>
    </row>
    <row r="16" spans="1:5" ht="142.5" thickBot="1" x14ac:dyDescent="0.3">
      <c r="A16" s="37" t="s">
        <v>12</v>
      </c>
      <c r="B16" s="93" t="s">
        <v>320</v>
      </c>
      <c r="C16" s="229">
        <f>8.4+16.2+0.6</f>
        <v>25.200000000000003</v>
      </c>
      <c r="D16" s="230"/>
    </row>
    <row r="17" spans="1:5" ht="16.5" thickBot="1" x14ac:dyDescent="0.3">
      <c r="A17" s="33"/>
      <c r="B17" s="34" t="s">
        <v>18</v>
      </c>
      <c r="C17" s="238">
        <f>SUM(C16:C16)</f>
        <v>25.200000000000003</v>
      </c>
      <c r="D17" s="239"/>
      <c r="E17" s="40"/>
    </row>
    <row r="18" spans="1:5" ht="16.5" thickBot="1" x14ac:dyDescent="0.3">
      <c r="A18" s="33"/>
      <c r="B18" s="41" t="s">
        <v>19</v>
      </c>
      <c r="C18" s="306">
        <f>SUM(C14,C17)</f>
        <v>120.11712</v>
      </c>
      <c r="D18" s="307"/>
      <c r="E18" s="42"/>
    </row>
    <row r="19" spans="1:5" x14ac:dyDescent="0.25">
      <c r="A19" s="43"/>
      <c r="C19" s="8"/>
      <c r="E19" s="13"/>
    </row>
    <row r="20" spans="1:5" ht="15.75" x14ac:dyDescent="0.25">
      <c r="A20" s="213" t="s">
        <v>20</v>
      </c>
      <c r="B20" s="233"/>
      <c r="C20" s="308">
        <v>60</v>
      </c>
      <c r="D20" s="309"/>
      <c r="E20" s="44"/>
    </row>
    <row r="21" spans="1:5" ht="31.5" customHeight="1" x14ac:dyDescent="0.25">
      <c r="A21" s="215" t="s">
        <v>28</v>
      </c>
      <c r="B21" s="226"/>
      <c r="C21" s="227">
        <f>C18/C20</f>
        <v>2.0019520000000002</v>
      </c>
      <c r="D21" s="228"/>
      <c r="E21" s="45"/>
    </row>
    <row r="22" spans="1:5" ht="15.75" x14ac:dyDescent="0.25">
      <c r="A22" s="46"/>
    </row>
    <row r="23" spans="1:5" x14ac:dyDescent="0.25">
      <c r="A23" s="78"/>
      <c r="B23" s="78"/>
      <c r="C23" s="203"/>
      <c r="D23" s="203"/>
    </row>
    <row r="24" spans="1:5" x14ac:dyDescent="0.25">
      <c r="A24" s="78"/>
      <c r="B24" s="78"/>
      <c r="C24" s="79"/>
      <c r="D24" s="78"/>
    </row>
    <row r="25" spans="1:5" x14ac:dyDescent="0.25">
      <c r="A25" s="78"/>
      <c r="B25" s="78"/>
      <c r="C25" s="203"/>
      <c r="D25" s="203"/>
    </row>
    <row r="26" spans="1:5" x14ac:dyDescent="0.25">
      <c r="A26" s="78"/>
      <c r="B26" s="78"/>
      <c r="C26" s="78"/>
      <c r="D26" s="78"/>
    </row>
    <row r="27" spans="1:5" x14ac:dyDescent="0.25">
      <c r="A27" s="202"/>
      <c r="B27" s="202"/>
      <c r="C27" s="80"/>
      <c r="D27" s="80"/>
    </row>
    <row r="28" spans="1:5" x14ac:dyDescent="0.25">
      <c r="A28" s="201"/>
      <c r="B28" s="202"/>
      <c r="C28" s="80"/>
      <c r="D28" s="80"/>
    </row>
    <row r="29" spans="1:5" x14ac:dyDescent="0.25">
      <c r="A29" s="57"/>
      <c r="B29" s="80"/>
      <c r="C29" s="81"/>
      <c r="D29" s="81"/>
    </row>
    <row r="30" spans="1:5" x14ac:dyDescent="0.25">
      <c r="A30" s="201"/>
      <c r="B30" s="201"/>
      <c r="C30" s="81"/>
      <c r="D30" s="81"/>
    </row>
  </sheetData>
  <mergeCells count="23">
    <mergeCell ref="C15:D15"/>
    <mergeCell ref="A21:B21"/>
    <mergeCell ref="C21:D21"/>
    <mergeCell ref="C16:D16"/>
    <mergeCell ref="C17:D17"/>
    <mergeCell ref="C18:D18"/>
    <mergeCell ref="A20:B20"/>
    <mergeCell ref="C20:D20"/>
    <mergeCell ref="C9:D9"/>
    <mergeCell ref="A10:A12"/>
    <mergeCell ref="C10:D12"/>
    <mergeCell ref="C13:D13"/>
    <mergeCell ref="C14:D14"/>
    <mergeCell ref="A1:D1"/>
    <mergeCell ref="A3:D3"/>
    <mergeCell ref="A5:D5"/>
    <mergeCell ref="A7:D7"/>
    <mergeCell ref="C8:D8"/>
    <mergeCell ref="C23:D23"/>
    <mergeCell ref="C25:D25"/>
    <mergeCell ref="A27:B27"/>
    <mergeCell ref="A28:B28"/>
    <mergeCell ref="A30:B30"/>
  </mergeCells>
  <pageMargins left="0.70866141732283472" right="0.70866141732283472" top="0.74803149606299213" bottom="0.74803149606299213" header="0.31496062992125984" footer="0.31496062992125984"/>
  <pageSetup paperSize="9" scale="92" fitToHeight="0" orientation="portrait"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60" zoomScaleNormal="100" workbookViewId="0">
      <selection activeCell="T13" sqref="T13"/>
    </sheetView>
  </sheetViews>
  <sheetFormatPr defaultRowHeight="15" x14ac:dyDescent="0.25"/>
  <cols>
    <col min="1" max="1" width="19.5703125" customWidth="1"/>
    <col min="2" max="2" width="52.42578125" customWidth="1"/>
    <col min="3" max="3" width="13.7109375" style="7" customWidth="1"/>
    <col min="4" max="4" width="3.85546875" customWidth="1"/>
    <col min="5" max="5" width="25.85546875" style="9" customWidth="1"/>
    <col min="8" max="8" width="7.42578125" bestFit="1" customWidth="1"/>
  </cols>
  <sheetData>
    <row r="1" spans="1:5" ht="14.45" customHeight="1" x14ac:dyDescent="0.25">
      <c r="A1" s="251" t="s">
        <v>0</v>
      </c>
      <c r="B1" s="251"/>
      <c r="C1" s="251"/>
      <c r="D1" s="251"/>
    </row>
    <row r="2" spans="1:5" ht="15.75" x14ac:dyDescent="0.25">
      <c r="D2" s="1"/>
    </row>
    <row r="3" spans="1:5" ht="15.75" customHeight="1" x14ac:dyDescent="0.25">
      <c r="A3" s="252" t="s">
        <v>22</v>
      </c>
      <c r="B3" s="252"/>
      <c r="C3" s="252"/>
      <c r="D3" s="252"/>
    </row>
    <row r="4" spans="1:5" ht="15.75" x14ac:dyDescent="0.25">
      <c r="D4" s="5"/>
    </row>
    <row r="5" spans="1:5" ht="48" customHeight="1" x14ac:dyDescent="0.25">
      <c r="A5" s="253" t="s">
        <v>309</v>
      </c>
      <c r="B5" s="253"/>
      <c r="C5" s="253"/>
      <c r="D5" s="253"/>
    </row>
    <row r="6" spans="1:5" ht="15.75" x14ac:dyDescent="0.25">
      <c r="D6" s="6"/>
    </row>
    <row r="7" spans="1:5" ht="16.5" thickBot="1" x14ac:dyDescent="0.3">
      <c r="A7" s="254" t="s">
        <v>1</v>
      </c>
      <c r="B7" s="254"/>
      <c r="C7" s="254"/>
      <c r="D7" s="254"/>
    </row>
    <row r="8" spans="1:5" ht="75.75" customHeight="1" thickBot="1" x14ac:dyDescent="0.3">
      <c r="A8" s="16" t="s">
        <v>2</v>
      </c>
      <c r="B8" s="17" t="s">
        <v>3</v>
      </c>
      <c r="C8" s="255" t="s">
        <v>4</v>
      </c>
      <c r="D8" s="256"/>
    </row>
    <row r="9" spans="1:5" ht="16.5" thickBot="1" x14ac:dyDescent="0.3">
      <c r="A9" s="3"/>
      <c r="B9" s="18" t="s">
        <v>5</v>
      </c>
      <c r="C9" s="257"/>
      <c r="D9" s="258"/>
    </row>
    <row r="10" spans="1:5" ht="78.75" customHeight="1" x14ac:dyDescent="0.25">
      <c r="A10" s="259" t="s">
        <v>6</v>
      </c>
      <c r="B10" s="135" t="s">
        <v>513</v>
      </c>
      <c r="C10" s="310">
        <v>76.8</v>
      </c>
      <c r="D10" s="311"/>
    </row>
    <row r="11" spans="1:5" ht="65.25" customHeight="1" x14ac:dyDescent="0.25">
      <c r="A11" s="260"/>
      <c r="B11" s="136" t="s">
        <v>511</v>
      </c>
      <c r="C11" s="310"/>
      <c r="D11" s="311"/>
    </row>
    <row r="12" spans="1:5" ht="16.5" thickBot="1" x14ac:dyDescent="0.3">
      <c r="A12" s="261"/>
      <c r="B12" s="137" t="s">
        <v>366</v>
      </c>
      <c r="C12" s="310"/>
      <c r="D12" s="311"/>
    </row>
    <row r="13" spans="1:5" ht="48" thickBot="1" x14ac:dyDescent="0.3">
      <c r="A13" s="25" t="s">
        <v>7</v>
      </c>
      <c r="B13" s="19" t="s">
        <v>209</v>
      </c>
      <c r="C13" s="262">
        <f>C10*0.2359</f>
        <v>18.11712</v>
      </c>
      <c r="D13" s="263"/>
    </row>
    <row r="14" spans="1:5" ht="16.5" thickBot="1" x14ac:dyDescent="0.3">
      <c r="A14" s="25"/>
      <c r="B14" s="20" t="s">
        <v>9</v>
      </c>
      <c r="C14" s="262">
        <f>SUM(C10:D13)</f>
        <v>94.917119999999997</v>
      </c>
      <c r="D14" s="263"/>
      <c r="E14" s="10"/>
    </row>
    <row r="15" spans="1:5" ht="16.5" thickBot="1" x14ac:dyDescent="0.3">
      <c r="A15" s="25"/>
      <c r="B15" s="20" t="s">
        <v>10</v>
      </c>
      <c r="C15" s="262"/>
      <c r="D15" s="263"/>
    </row>
    <row r="16" spans="1:5" ht="142.5" thickBot="1" x14ac:dyDescent="0.3">
      <c r="A16" s="25" t="s">
        <v>12</v>
      </c>
      <c r="B16" s="97" t="s">
        <v>321</v>
      </c>
      <c r="C16" s="279">
        <f>8.4+16.2+0.6</f>
        <v>25.200000000000003</v>
      </c>
      <c r="D16" s="280"/>
    </row>
    <row r="17" spans="1:5" ht="32.25" thickBot="1" x14ac:dyDescent="0.3">
      <c r="A17" s="25" t="s">
        <v>23</v>
      </c>
      <c r="B17" s="98" t="s">
        <v>213</v>
      </c>
      <c r="C17" s="279">
        <f>160/160*60</f>
        <v>60</v>
      </c>
      <c r="D17" s="280"/>
    </row>
    <row r="18" spans="1:5" ht="16.5" thickBot="1" x14ac:dyDescent="0.3">
      <c r="A18" s="3"/>
      <c r="B18" s="18" t="s">
        <v>18</v>
      </c>
      <c r="C18" s="262">
        <f>SUM(C16:C17)</f>
        <v>85.2</v>
      </c>
      <c r="D18" s="263"/>
      <c r="E18" s="11"/>
    </row>
    <row r="19" spans="1:5" ht="16.5" thickBot="1" x14ac:dyDescent="0.3">
      <c r="A19" s="3"/>
      <c r="B19" s="21" t="s">
        <v>19</v>
      </c>
      <c r="C19" s="267">
        <f>SUM(C14,C18)</f>
        <v>180.11712</v>
      </c>
      <c r="D19" s="268"/>
      <c r="E19" s="12"/>
    </row>
    <row r="20" spans="1:5" x14ac:dyDescent="0.25">
      <c r="A20" s="4"/>
      <c r="C20" s="8"/>
      <c r="E20" s="13"/>
    </row>
    <row r="21" spans="1:5" ht="15.75" x14ac:dyDescent="0.25">
      <c r="A21" s="269" t="s">
        <v>20</v>
      </c>
      <c r="B21" s="270"/>
      <c r="C21" s="271">
        <v>60</v>
      </c>
      <c r="D21" s="271"/>
      <c r="E21" s="14"/>
    </row>
    <row r="22" spans="1:5" ht="33" customHeight="1" x14ac:dyDescent="0.25">
      <c r="A22" s="264" t="s">
        <v>21</v>
      </c>
      <c r="B22" s="265"/>
      <c r="C22" s="282">
        <f>C19/C21</f>
        <v>3.0019520000000002</v>
      </c>
      <c r="D22" s="282"/>
      <c r="E22" s="15"/>
    </row>
    <row r="23" spans="1:5" ht="15.75" x14ac:dyDescent="0.25">
      <c r="A23" s="2"/>
    </row>
    <row r="24" spans="1:5" x14ac:dyDescent="0.25">
      <c r="A24" s="78"/>
      <c r="B24" s="78"/>
      <c r="C24" s="203"/>
      <c r="D24" s="203"/>
    </row>
    <row r="25" spans="1:5" x14ac:dyDescent="0.25">
      <c r="A25" s="78"/>
      <c r="B25" s="78"/>
      <c r="C25" s="79"/>
      <c r="D25" s="78"/>
    </row>
    <row r="26" spans="1:5" x14ac:dyDescent="0.25">
      <c r="A26" s="78"/>
      <c r="B26" s="78"/>
      <c r="C26" s="203"/>
      <c r="D26" s="203"/>
    </row>
    <row r="27" spans="1:5" x14ac:dyDescent="0.25">
      <c r="A27" s="78"/>
      <c r="B27" s="78"/>
      <c r="C27" s="78"/>
      <c r="D27" s="78"/>
    </row>
    <row r="28" spans="1:5" x14ac:dyDescent="0.25">
      <c r="A28" s="202"/>
      <c r="B28" s="202"/>
      <c r="C28" s="80"/>
      <c r="D28" s="80"/>
    </row>
    <row r="29" spans="1:5" x14ac:dyDescent="0.25">
      <c r="A29" s="201"/>
      <c r="B29" s="202"/>
      <c r="C29" s="80"/>
      <c r="D29" s="80"/>
    </row>
    <row r="30" spans="1:5" x14ac:dyDescent="0.25">
      <c r="A30" s="57"/>
      <c r="B30" s="80"/>
      <c r="C30" s="81"/>
      <c r="D30" s="81"/>
    </row>
    <row r="31" spans="1:5" x14ac:dyDescent="0.25">
      <c r="A31" s="201"/>
      <c r="B31" s="201"/>
      <c r="C31" s="81"/>
      <c r="D31" s="81"/>
    </row>
  </sheetData>
  <mergeCells count="24">
    <mergeCell ref="C15:D15"/>
    <mergeCell ref="A22:B22"/>
    <mergeCell ref="C22:D22"/>
    <mergeCell ref="C16:D16"/>
    <mergeCell ref="C17:D17"/>
    <mergeCell ref="C18:D18"/>
    <mergeCell ref="C19:D19"/>
    <mergeCell ref="A21:B21"/>
    <mergeCell ref="C21:D21"/>
    <mergeCell ref="C9:D9"/>
    <mergeCell ref="A10:A12"/>
    <mergeCell ref="C10:D12"/>
    <mergeCell ref="C13:D13"/>
    <mergeCell ref="C14:D14"/>
    <mergeCell ref="A1:D1"/>
    <mergeCell ref="A3:D3"/>
    <mergeCell ref="A5:D5"/>
    <mergeCell ref="A7:D7"/>
    <mergeCell ref="C8:D8"/>
    <mergeCell ref="C24:D24"/>
    <mergeCell ref="C26:D26"/>
    <mergeCell ref="A28:B28"/>
    <mergeCell ref="A29:B29"/>
    <mergeCell ref="A31:B31"/>
  </mergeCells>
  <pageMargins left="0.70866141732283472" right="0.70866141732283472" top="0.74803149606299213" bottom="0.74803149606299213" header="0.31496062992125984" footer="0.31496062992125984"/>
  <pageSetup paperSize="9" scale="97" fitToHeight="0" orientation="portrait"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view="pageBreakPreview" zoomScale="60" zoomScaleNormal="100" workbookViewId="0">
      <selection activeCell="T13" sqref="T13"/>
    </sheetView>
  </sheetViews>
  <sheetFormatPr defaultRowHeight="15" x14ac:dyDescent="0.25"/>
  <cols>
    <col min="1" max="1" width="19.5703125" customWidth="1"/>
    <col min="2" max="2" width="52.42578125" customWidth="1"/>
    <col min="3" max="3" width="12.7109375" style="7" customWidth="1"/>
    <col min="4" max="4" width="7.28515625" customWidth="1"/>
    <col min="5" max="5" width="25.85546875" style="9" customWidth="1"/>
    <col min="8" max="8" width="7.42578125" bestFit="1" customWidth="1"/>
    <col min="257" max="257" width="19.5703125" customWidth="1"/>
    <col min="258" max="258" width="52.42578125" customWidth="1"/>
    <col min="259" max="259" width="18.42578125" customWidth="1"/>
    <col min="261" max="261" width="25.85546875" customWidth="1"/>
    <col min="264" max="264" width="7.42578125" bestFit="1" customWidth="1"/>
    <col min="513" max="513" width="19.5703125" customWidth="1"/>
    <col min="514" max="514" width="52.42578125" customWidth="1"/>
    <col min="515" max="515" width="18.42578125" customWidth="1"/>
    <col min="517" max="517" width="25.85546875" customWidth="1"/>
    <col min="520" max="520" width="7.42578125" bestFit="1" customWidth="1"/>
    <col min="769" max="769" width="19.5703125" customWidth="1"/>
    <col min="770" max="770" width="52.42578125" customWidth="1"/>
    <col min="771" max="771" width="18.42578125" customWidth="1"/>
    <col min="773" max="773" width="25.85546875" customWidth="1"/>
    <col min="776" max="776" width="7.42578125" bestFit="1" customWidth="1"/>
    <col min="1025" max="1025" width="19.5703125" customWidth="1"/>
    <col min="1026" max="1026" width="52.42578125" customWidth="1"/>
    <col min="1027" max="1027" width="18.42578125" customWidth="1"/>
    <col min="1029" max="1029" width="25.85546875" customWidth="1"/>
    <col min="1032" max="1032" width="7.42578125" bestFit="1" customWidth="1"/>
    <col min="1281" max="1281" width="19.5703125" customWidth="1"/>
    <col min="1282" max="1282" width="52.42578125" customWidth="1"/>
    <col min="1283" max="1283" width="18.42578125" customWidth="1"/>
    <col min="1285" max="1285" width="25.85546875" customWidth="1"/>
    <col min="1288" max="1288" width="7.42578125" bestFit="1" customWidth="1"/>
    <col min="1537" max="1537" width="19.5703125" customWidth="1"/>
    <col min="1538" max="1538" width="52.42578125" customWidth="1"/>
    <col min="1539" max="1539" width="18.42578125" customWidth="1"/>
    <col min="1541" max="1541" width="25.85546875" customWidth="1"/>
    <col min="1544" max="1544" width="7.42578125" bestFit="1" customWidth="1"/>
    <col min="1793" max="1793" width="19.5703125" customWidth="1"/>
    <col min="1794" max="1794" width="52.42578125" customWidth="1"/>
    <col min="1795" max="1795" width="18.42578125" customWidth="1"/>
    <col min="1797" max="1797" width="25.85546875" customWidth="1"/>
    <col min="1800" max="1800" width="7.42578125" bestFit="1" customWidth="1"/>
    <col min="2049" max="2049" width="19.5703125" customWidth="1"/>
    <col min="2050" max="2050" width="52.42578125" customWidth="1"/>
    <col min="2051" max="2051" width="18.42578125" customWidth="1"/>
    <col min="2053" max="2053" width="25.85546875" customWidth="1"/>
    <col min="2056" max="2056" width="7.42578125" bestFit="1" customWidth="1"/>
    <col min="2305" max="2305" width="19.5703125" customWidth="1"/>
    <col min="2306" max="2306" width="52.42578125" customWidth="1"/>
    <col min="2307" max="2307" width="18.42578125" customWidth="1"/>
    <col min="2309" max="2309" width="25.85546875" customWidth="1"/>
    <col min="2312" max="2312" width="7.42578125" bestFit="1" customWidth="1"/>
    <col min="2561" max="2561" width="19.5703125" customWidth="1"/>
    <col min="2562" max="2562" width="52.42578125" customWidth="1"/>
    <col min="2563" max="2563" width="18.42578125" customWidth="1"/>
    <col min="2565" max="2565" width="25.85546875" customWidth="1"/>
    <col min="2568" max="2568" width="7.42578125" bestFit="1" customWidth="1"/>
    <col min="2817" max="2817" width="19.5703125" customWidth="1"/>
    <col min="2818" max="2818" width="52.42578125" customWidth="1"/>
    <col min="2819" max="2819" width="18.42578125" customWidth="1"/>
    <col min="2821" max="2821" width="25.85546875" customWidth="1"/>
    <col min="2824" max="2824" width="7.42578125" bestFit="1" customWidth="1"/>
    <col min="3073" max="3073" width="19.5703125" customWidth="1"/>
    <col min="3074" max="3074" width="52.42578125" customWidth="1"/>
    <col min="3075" max="3075" width="18.42578125" customWidth="1"/>
    <col min="3077" max="3077" width="25.85546875" customWidth="1"/>
    <col min="3080" max="3080" width="7.42578125" bestFit="1" customWidth="1"/>
    <col min="3329" max="3329" width="19.5703125" customWidth="1"/>
    <col min="3330" max="3330" width="52.42578125" customWidth="1"/>
    <col min="3331" max="3331" width="18.42578125" customWidth="1"/>
    <col min="3333" max="3333" width="25.85546875" customWidth="1"/>
    <col min="3336" max="3336" width="7.42578125" bestFit="1" customWidth="1"/>
    <col min="3585" max="3585" width="19.5703125" customWidth="1"/>
    <col min="3586" max="3586" width="52.42578125" customWidth="1"/>
    <col min="3587" max="3587" width="18.42578125" customWidth="1"/>
    <col min="3589" max="3589" width="25.85546875" customWidth="1"/>
    <col min="3592" max="3592" width="7.42578125" bestFit="1" customWidth="1"/>
    <col min="3841" max="3841" width="19.5703125" customWidth="1"/>
    <col min="3842" max="3842" width="52.42578125" customWidth="1"/>
    <col min="3843" max="3843" width="18.42578125" customWidth="1"/>
    <col min="3845" max="3845" width="25.85546875" customWidth="1"/>
    <col min="3848" max="3848" width="7.42578125" bestFit="1" customWidth="1"/>
    <col min="4097" max="4097" width="19.5703125" customWidth="1"/>
    <col min="4098" max="4098" width="52.42578125" customWidth="1"/>
    <col min="4099" max="4099" width="18.42578125" customWidth="1"/>
    <col min="4101" max="4101" width="25.85546875" customWidth="1"/>
    <col min="4104" max="4104" width="7.42578125" bestFit="1" customWidth="1"/>
    <col min="4353" max="4353" width="19.5703125" customWidth="1"/>
    <col min="4354" max="4354" width="52.42578125" customWidth="1"/>
    <col min="4355" max="4355" width="18.42578125" customWidth="1"/>
    <col min="4357" max="4357" width="25.85546875" customWidth="1"/>
    <col min="4360" max="4360" width="7.42578125" bestFit="1" customWidth="1"/>
    <col min="4609" max="4609" width="19.5703125" customWidth="1"/>
    <col min="4610" max="4610" width="52.42578125" customWidth="1"/>
    <col min="4611" max="4611" width="18.42578125" customWidth="1"/>
    <col min="4613" max="4613" width="25.85546875" customWidth="1"/>
    <col min="4616" max="4616" width="7.42578125" bestFit="1" customWidth="1"/>
    <col min="4865" max="4865" width="19.5703125" customWidth="1"/>
    <col min="4866" max="4866" width="52.42578125" customWidth="1"/>
    <col min="4867" max="4867" width="18.42578125" customWidth="1"/>
    <col min="4869" max="4869" width="25.85546875" customWidth="1"/>
    <col min="4872" max="4872" width="7.42578125" bestFit="1" customWidth="1"/>
    <col min="5121" max="5121" width="19.5703125" customWidth="1"/>
    <col min="5122" max="5122" width="52.42578125" customWidth="1"/>
    <col min="5123" max="5123" width="18.42578125" customWidth="1"/>
    <col min="5125" max="5125" width="25.85546875" customWidth="1"/>
    <col min="5128" max="5128" width="7.42578125" bestFit="1" customWidth="1"/>
    <col min="5377" max="5377" width="19.5703125" customWidth="1"/>
    <col min="5378" max="5378" width="52.42578125" customWidth="1"/>
    <col min="5379" max="5379" width="18.42578125" customWidth="1"/>
    <col min="5381" max="5381" width="25.85546875" customWidth="1"/>
    <col min="5384" max="5384" width="7.42578125" bestFit="1" customWidth="1"/>
    <col min="5633" max="5633" width="19.5703125" customWidth="1"/>
    <col min="5634" max="5634" width="52.42578125" customWidth="1"/>
    <col min="5635" max="5635" width="18.42578125" customWidth="1"/>
    <col min="5637" max="5637" width="25.85546875" customWidth="1"/>
    <col min="5640" max="5640" width="7.42578125" bestFit="1" customWidth="1"/>
    <col min="5889" max="5889" width="19.5703125" customWidth="1"/>
    <col min="5890" max="5890" width="52.42578125" customWidth="1"/>
    <col min="5891" max="5891" width="18.42578125" customWidth="1"/>
    <col min="5893" max="5893" width="25.85546875" customWidth="1"/>
    <col min="5896" max="5896" width="7.42578125" bestFit="1" customWidth="1"/>
    <col min="6145" max="6145" width="19.5703125" customWidth="1"/>
    <col min="6146" max="6146" width="52.42578125" customWidth="1"/>
    <col min="6147" max="6147" width="18.42578125" customWidth="1"/>
    <col min="6149" max="6149" width="25.85546875" customWidth="1"/>
    <col min="6152" max="6152" width="7.42578125" bestFit="1" customWidth="1"/>
    <col min="6401" max="6401" width="19.5703125" customWidth="1"/>
    <col min="6402" max="6402" width="52.42578125" customWidth="1"/>
    <col min="6403" max="6403" width="18.42578125" customWidth="1"/>
    <col min="6405" max="6405" width="25.85546875" customWidth="1"/>
    <col min="6408" max="6408" width="7.42578125" bestFit="1" customWidth="1"/>
    <col min="6657" max="6657" width="19.5703125" customWidth="1"/>
    <col min="6658" max="6658" width="52.42578125" customWidth="1"/>
    <col min="6659" max="6659" width="18.42578125" customWidth="1"/>
    <col min="6661" max="6661" width="25.85546875" customWidth="1"/>
    <col min="6664" max="6664" width="7.42578125" bestFit="1" customWidth="1"/>
    <col min="6913" max="6913" width="19.5703125" customWidth="1"/>
    <col min="6914" max="6914" width="52.42578125" customWidth="1"/>
    <col min="6915" max="6915" width="18.42578125" customWidth="1"/>
    <col min="6917" max="6917" width="25.85546875" customWidth="1"/>
    <col min="6920" max="6920" width="7.42578125" bestFit="1" customWidth="1"/>
    <col min="7169" max="7169" width="19.5703125" customWidth="1"/>
    <col min="7170" max="7170" width="52.42578125" customWidth="1"/>
    <col min="7171" max="7171" width="18.42578125" customWidth="1"/>
    <col min="7173" max="7173" width="25.85546875" customWidth="1"/>
    <col min="7176" max="7176" width="7.42578125" bestFit="1" customWidth="1"/>
    <col min="7425" max="7425" width="19.5703125" customWidth="1"/>
    <col min="7426" max="7426" width="52.42578125" customWidth="1"/>
    <col min="7427" max="7427" width="18.42578125" customWidth="1"/>
    <col min="7429" max="7429" width="25.85546875" customWidth="1"/>
    <col min="7432" max="7432" width="7.42578125" bestFit="1" customWidth="1"/>
    <col min="7681" max="7681" width="19.5703125" customWidth="1"/>
    <col min="7682" max="7682" width="52.42578125" customWidth="1"/>
    <col min="7683" max="7683" width="18.42578125" customWidth="1"/>
    <col min="7685" max="7685" width="25.85546875" customWidth="1"/>
    <col min="7688" max="7688" width="7.42578125" bestFit="1" customWidth="1"/>
    <col min="7937" max="7937" width="19.5703125" customWidth="1"/>
    <col min="7938" max="7938" width="52.42578125" customWidth="1"/>
    <col min="7939" max="7939" width="18.42578125" customWidth="1"/>
    <col min="7941" max="7941" width="25.85546875" customWidth="1"/>
    <col min="7944" max="7944" width="7.42578125" bestFit="1" customWidth="1"/>
    <col min="8193" max="8193" width="19.5703125" customWidth="1"/>
    <col min="8194" max="8194" width="52.42578125" customWidth="1"/>
    <col min="8195" max="8195" width="18.42578125" customWidth="1"/>
    <col min="8197" max="8197" width="25.85546875" customWidth="1"/>
    <col min="8200" max="8200" width="7.42578125" bestFit="1" customWidth="1"/>
    <col min="8449" max="8449" width="19.5703125" customWidth="1"/>
    <col min="8450" max="8450" width="52.42578125" customWidth="1"/>
    <col min="8451" max="8451" width="18.42578125" customWidth="1"/>
    <col min="8453" max="8453" width="25.85546875" customWidth="1"/>
    <col min="8456" max="8456" width="7.42578125" bestFit="1" customWidth="1"/>
    <col min="8705" max="8705" width="19.5703125" customWidth="1"/>
    <col min="8706" max="8706" width="52.42578125" customWidth="1"/>
    <col min="8707" max="8707" width="18.42578125" customWidth="1"/>
    <col min="8709" max="8709" width="25.85546875" customWidth="1"/>
    <col min="8712" max="8712" width="7.42578125" bestFit="1" customWidth="1"/>
    <col min="8961" max="8961" width="19.5703125" customWidth="1"/>
    <col min="8962" max="8962" width="52.42578125" customWidth="1"/>
    <col min="8963" max="8963" width="18.42578125" customWidth="1"/>
    <col min="8965" max="8965" width="25.85546875" customWidth="1"/>
    <col min="8968" max="8968" width="7.42578125" bestFit="1" customWidth="1"/>
    <col min="9217" max="9217" width="19.5703125" customWidth="1"/>
    <col min="9218" max="9218" width="52.42578125" customWidth="1"/>
    <col min="9219" max="9219" width="18.42578125" customWidth="1"/>
    <col min="9221" max="9221" width="25.85546875" customWidth="1"/>
    <col min="9224" max="9224" width="7.42578125" bestFit="1" customWidth="1"/>
    <col min="9473" max="9473" width="19.5703125" customWidth="1"/>
    <col min="9474" max="9474" width="52.42578125" customWidth="1"/>
    <col min="9475" max="9475" width="18.42578125" customWidth="1"/>
    <col min="9477" max="9477" width="25.85546875" customWidth="1"/>
    <col min="9480" max="9480" width="7.42578125" bestFit="1" customWidth="1"/>
    <col min="9729" max="9729" width="19.5703125" customWidth="1"/>
    <col min="9730" max="9730" width="52.42578125" customWidth="1"/>
    <col min="9731" max="9731" width="18.42578125" customWidth="1"/>
    <col min="9733" max="9733" width="25.85546875" customWidth="1"/>
    <col min="9736" max="9736" width="7.42578125" bestFit="1" customWidth="1"/>
    <col min="9985" max="9985" width="19.5703125" customWidth="1"/>
    <col min="9986" max="9986" width="52.42578125" customWidth="1"/>
    <col min="9987" max="9987" width="18.42578125" customWidth="1"/>
    <col min="9989" max="9989" width="25.85546875" customWidth="1"/>
    <col min="9992" max="9992" width="7.42578125" bestFit="1" customWidth="1"/>
    <col min="10241" max="10241" width="19.5703125" customWidth="1"/>
    <col min="10242" max="10242" width="52.42578125" customWidth="1"/>
    <col min="10243" max="10243" width="18.42578125" customWidth="1"/>
    <col min="10245" max="10245" width="25.85546875" customWidth="1"/>
    <col min="10248" max="10248" width="7.42578125" bestFit="1" customWidth="1"/>
    <col min="10497" max="10497" width="19.5703125" customWidth="1"/>
    <col min="10498" max="10498" width="52.42578125" customWidth="1"/>
    <col min="10499" max="10499" width="18.42578125" customWidth="1"/>
    <col min="10501" max="10501" width="25.85546875" customWidth="1"/>
    <col min="10504" max="10504" width="7.42578125" bestFit="1" customWidth="1"/>
    <col min="10753" max="10753" width="19.5703125" customWidth="1"/>
    <col min="10754" max="10754" width="52.42578125" customWidth="1"/>
    <col min="10755" max="10755" width="18.42578125" customWidth="1"/>
    <col min="10757" max="10757" width="25.85546875" customWidth="1"/>
    <col min="10760" max="10760" width="7.42578125" bestFit="1" customWidth="1"/>
    <col min="11009" max="11009" width="19.5703125" customWidth="1"/>
    <col min="11010" max="11010" width="52.42578125" customWidth="1"/>
    <col min="11011" max="11011" width="18.42578125" customWidth="1"/>
    <col min="11013" max="11013" width="25.85546875" customWidth="1"/>
    <col min="11016" max="11016" width="7.42578125" bestFit="1" customWidth="1"/>
    <col min="11265" max="11265" width="19.5703125" customWidth="1"/>
    <col min="11266" max="11266" width="52.42578125" customWidth="1"/>
    <col min="11267" max="11267" width="18.42578125" customWidth="1"/>
    <col min="11269" max="11269" width="25.85546875" customWidth="1"/>
    <col min="11272" max="11272" width="7.42578125" bestFit="1" customWidth="1"/>
    <col min="11521" max="11521" width="19.5703125" customWidth="1"/>
    <col min="11522" max="11522" width="52.42578125" customWidth="1"/>
    <col min="11523" max="11523" width="18.42578125" customWidth="1"/>
    <col min="11525" max="11525" width="25.85546875" customWidth="1"/>
    <col min="11528" max="11528" width="7.42578125" bestFit="1" customWidth="1"/>
    <col min="11777" max="11777" width="19.5703125" customWidth="1"/>
    <col min="11778" max="11778" width="52.42578125" customWidth="1"/>
    <col min="11779" max="11779" width="18.42578125" customWidth="1"/>
    <col min="11781" max="11781" width="25.85546875" customWidth="1"/>
    <col min="11784" max="11784" width="7.42578125" bestFit="1" customWidth="1"/>
    <col min="12033" max="12033" width="19.5703125" customWidth="1"/>
    <col min="12034" max="12034" width="52.42578125" customWidth="1"/>
    <col min="12035" max="12035" width="18.42578125" customWidth="1"/>
    <col min="12037" max="12037" width="25.85546875" customWidth="1"/>
    <col min="12040" max="12040" width="7.42578125" bestFit="1" customWidth="1"/>
    <col min="12289" max="12289" width="19.5703125" customWidth="1"/>
    <col min="12290" max="12290" width="52.42578125" customWidth="1"/>
    <col min="12291" max="12291" width="18.42578125" customWidth="1"/>
    <col min="12293" max="12293" width="25.85546875" customWidth="1"/>
    <col min="12296" max="12296" width="7.42578125" bestFit="1" customWidth="1"/>
    <col min="12545" max="12545" width="19.5703125" customWidth="1"/>
    <col min="12546" max="12546" width="52.42578125" customWidth="1"/>
    <col min="12547" max="12547" width="18.42578125" customWidth="1"/>
    <col min="12549" max="12549" width="25.85546875" customWidth="1"/>
    <col min="12552" max="12552" width="7.42578125" bestFit="1" customWidth="1"/>
    <col min="12801" max="12801" width="19.5703125" customWidth="1"/>
    <col min="12802" max="12802" width="52.42578125" customWidth="1"/>
    <col min="12803" max="12803" width="18.42578125" customWidth="1"/>
    <col min="12805" max="12805" width="25.85546875" customWidth="1"/>
    <col min="12808" max="12808" width="7.42578125" bestFit="1" customWidth="1"/>
    <col min="13057" max="13057" width="19.5703125" customWidth="1"/>
    <col min="13058" max="13058" width="52.42578125" customWidth="1"/>
    <col min="13059" max="13059" width="18.42578125" customWidth="1"/>
    <col min="13061" max="13061" width="25.85546875" customWidth="1"/>
    <col min="13064" max="13064" width="7.42578125" bestFit="1" customWidth="1"/>
    <col min="13313" max="13313" width="19.5703125" customWidth="1"/>
    <col min="13314" max="13314" width="52.42578125" customWidth="1"/>
    <col min="13315" max="13315" width="18.42578125" customWidth="1"/>
    <col min="13317" max="13317" width="25.85546875" customWidth="1"/>
    <col min="13320" max="13320" width="7.42578125" bestFit="1" customWidth="1"/>
    <col min="13569" max="13569" width="19.5703125" customWidth="1"/>
    <col min="13570" max="13570" width="52.42578125" customWidth="1"/>
    <col min="13571" max="13571" width="18.42578125" customWidth="1"/>
    <col min="13573" max="13573" width="25.85546875" customWidth="1"/>
    <col min="13576" max="13576" width="7.42578125" bestFit="1" customWidth="1"/>
    <col min="13825" max="13825" width="19.5703125" customWidth="1"/>
    <col min="13826" max="13826" width="52.42578125" customWidth="1"/>
    <col min="13827" max="13827" width="18.42578125" customWidth="1"/>
    <col min="13829" max="13829" width="25.85546875" customWidth="1"/>
    <col min="13832" max="13832" width="7.42578125" bestFit="1" customWidth="1"/>
    <col min="14081" max="14081" width="19.5703125" customWidth="1"/>
    <col min="14082" max="14082" width="52.42578125" customWidth="1"/>
    <col min="14083" max="14083" width="18.42578125" customWidth="1"/>
    <col min="14085" max="14085" width="25.85546875" customWidth="1"/>
    <col min="14088" max="14088" width="7.42578125" bestFit="1" customWidth="1"/>
    <col min="14337" max="14337" width="19.5703125" customWidth="1"/>
    <col min="14338" max="14338" width="52.42578125" customWidth="1"/>
    <col min="14339" max="14339" width="18.42578125" customWidth="1"/>
    <col min="14341" max="14341" width="25.85546875" customWidth="1"/>
    <col min="14344" max="14344" width="7.42578125" bestFit="1" customWidth="1"/>
    <col min="14593" max="14593" width="19.5703125" customWidth="1"/>
    <col min="14594" max="14594" width="52.42578125" customWidth="1"/>
    <col min="14595" max="14595" width="18.42578125" customWidth="1"/>
    <col min="14597" max="14597" width="25.85546875" customWidth="1"/>
    <col min="14600" max="14600" width="7.42578125" bestFit="1" customWidth="1"/>
    <col min="14849" max="14849" width="19.5703125" customWidth="1"/>
    <col min="14850" max="14850" width="52.42578125" customWidth="1"/>
    <col min="14851" max="14851" width="18.42578125" customWidth="1"/>
    <col min="14853" max="14853" width="25.85546875" customWidth="1"/>
    <col min="14856" max="14856" width="7.42578125" bestFit="1" customWidth="1"/>
    <col min="15105" max="15105" width="19.5703125" customWidth="1"/>
    <col min="15106" max="15106" width="52.42578125" customWidth="1"/>
    <col min="15107" max="15107" width="18.42578125" customWidth="1"/>
    <col min="15109" max="15109" width="25.85546875" customWidth="1"/>
    <col min="15112" max="15112" width="7.42578125" bestFit="1" customWidth="1"/>
    <col min="15361" max="15361" width="19.5703125" customWidth="1"/>
    <col min="15362" max="15362" width="52.42578125" customWidth="1"/>
    <col min="15363" max="15363" width="18.42578125" customWidth="1"/>
    <col min="15365" max="15365" width="25.85546875" customWidth="1"/>
    <col min="15368" max="15368" width="7.42578125" bestFit="1" customWidth="1"/>
    <col min="15617" max="15617" width="19.5703125" customWidth="1"/>
    <col min="15618" max="15618" width="52.42578125" customWidth="1"/>
    <col min="15619" max="15619" width="18.42578125" customWidth="1"/>
    <col min="15621" max="15621" width="25.85546875" customWidth="1"/>
    <col min="15624" max="15624" width="7.42578125" bestFit="1" customWidth="1"/>
    <col min="15873" max="15873" width="19.5703125" customWidth="1"/>
    <col min="15874" max="15874" width="52.42578125" customWidth="1"/>
    <col min="15875" max="15875" width="18.42578125" customWidth="1"/>
    <col min="15877" max="15877" width="25.85546875" customWidth="1"/>
    <col min="15880" max="15880" width="7.42578125" bestFit="1" customWidth="1"/>
    <col min="16129" max="16129" width="19.5703125" customWidth="1"/>
    <col min="16130" max="16130" width="52.42578125" customWidth="1"/>
    <col min="16131" max="16131" width="18.42578125" customWidth="1"/>
    <col min="16133" max="16133" width="25.85546875" customWidth="1"/>
    <col min="16136" max="16136" width="7.42578125" bestFit="1" customWidth="1"/>
  </cols>
  <sheetData>
    <row r="1" spans="1:5" ht="14.45" customHeight="1" x14ac:dyDescent="0.25">
      <c r="A1" s="217" t="s">
        <v>0</v>
      </c>
      <c r="B1" s="217"/>
      <c r="C1" s="217"/>
      <c r="D1" s="217"/>
    </row>
    <row r="2" spans="1:5" ht="15.75" x14ac:dyDescent="0.25">
      <c r="D2" s="29"/>
    </row>
    <row r="3" spans="1:5" ht="16.5" customHeight="1" x14ac:dyDescent="0.25">
      <c r="A3" s="281" t="s">
        <v>26</v>
      </c>
      <c r="B3" s="281"/>
      <c r="C3" s="281"/>
      <c r="D3" s="281"/>
    </row>
    <row r="4" spans="1:5" ht="15.75" x14ac:dyDescent="0.25">
      <c r="D4" s="30"/>
    </row>
    <row r="5" spans="1:5" ht="48.75" customHeight="1" x14ac:dyDescent="0.25">
      <c r="A5" s="218" t="s">
        <v>244</v>
      </c>
      <c r="B5" s="218"/>
      <c r="C5" s="218"/>
      <c r="D5" s="218"/>
    </row>
    <row r="6" spans="1:5" ht="15.75" x14ac:dyDescent="0.25">
      <c r="D6" s="30"/>
    </row>
    <row r="7" spans="1:5" ht="16.5" thickBot="1" x14ac:dyDescent="0.3">
      <c r="A7" s="219" t="s">
        <v>27</v>
      </c>
      <c r="B7" s="219"/>
      <c r="C7" s="219"/>
      <c r="D7" s="219"/>
    </row>
    <row r="8" spans="1:5" ht="74.25" customHeight="1" thickBot="1" x14ac:dyDescent="0.3">
      <c r="A8" s="31" t="s">
        <v>2</v>
      </c>
      <c r="B8" s="32" t="s">
        <v>3</v>
      </c>
      <c r="C8" s="272" t="s">
        <v>4</v>
      </c>
      <c r="D8" s="273"/>
    </row>
    <row r="9" spans="1:5" ht="16.5" thickBot="1" x14ac:dyDescent="0.3">
      <c r="A9" s="33"/>
      <c r="B9" s="34" t="s">
        <v>5</v>
      </c>
      <c r="C9" s="220"/>
      <c r="D9" s="221"/>
    </row>
    <row r="10" spans="1:5" ht="78.75" customHeight="1" x14ac:dyDescent="0.25">
      <c r="A10" s="210" t="s">
        <v>6</v>
      </c>
      <c r="B10" s="65" t="s">
        <v>514</v>
      </c>
      <c r="C10" s="222">
        <f>72+16</f>
        <v>88</v>
      </c>
      <c r="D10" s="223"/>
    </row>
    <row r="11" spans="1:5" ht="65.25" customHeight="1" x14ac:dyDescent="0.25">
      <c r="A11" s="211"/>
      <c r="B11" s="63" t="s">
        <v>512</v>
      </c>
      <c r="C11" s="222"/>
      <c r="D11" s="223"/>
    </row>
    <row r="12" spans="1:5" ht="16.5" thickBot="1" x14ac:dyDescent="0.3">
      <c r="A12" s="212"/>
      <c r="B12" s="36" t="s">
        <v>368</v>
      </c>
      <c r="C12" s="222"/>
      <c r="D12" s="223"/>
    </row>
    <row r="13" spans="1:5" ht="48" thickBot="1" x14ac:dyDescent="0.3">
      <c r="A13" s="37" t="s">
        <v>7</v>
      </c>
      <c r="B13" s="36" t="s">
        <v>209</v>
      </c>
      <c r="C13" s="222">
        <f>ROUND(C10*0.2359,2)</f>
        <v>20.76</v>
      </c>
      <c r="D13" s="223"/>
    </row>
    <row r="14" spans="1:5" ht="16.5" thickBot="1" x14ac:dyDescent="0.3">
      <c r="A14" s="37"/>
      <c r="B14" s="38" t="s">
        <v>9</v>
      </c>
      <c r="C14" s="222">
        <f>SUM(C10:D13)</f>
        <v>108.76</v>
      </c>
      <c r="D14" s="223"/>
      <c r="E14" s="39"/>
    </row>
    <row r="15" spans="1:5" ht="16.5" thickBot="1" x14ac:dyDescent="0.3">
      <c r="A15" s="37"/>
      <c r="B15" s="38" t="s">
        <v>10</v>
      </c>
      <c r="C15" s="222"/>
      <c r="D15" s="223"/>
    </row>
    <row r="16" spans="1:5" ht="142.5" thickBot="1" x14ac:dyDescent="0.3">
      <c r="A16" s="37" t="s">
        <v>12</v>
      </c>
      <c r="B16" s="138" t="s">
        <v>408</v>
      </c>
      <c r="C16" s="222">
        <f>14+27+1</f>
        <v>42</v>
      </c>
      <c r="D16" s="223"/>
    </row>
    <row r="17" spans="1:5" ht="48" thickBot="1" x14ac:dyDescent="0.3">
      <c r="A17" s="37" t="s">
        <v>15</v>
      </c>
      <c r="B17" s="96" t="s">
        <v>322</v>
      </c>
      <c r="C17" s="222">
        <f>ROUND(100/330*100,2)</f>
        <v>30.3</v>
      </c>
      <c r="D17" s="223"/>
    </row>
    <row r="18" spans="1:5" ht="48" thickBot="1" x14ac:dyDescent="0.3">
      <c r="A18" s="37" t="s">
        <v>23</v>
      </c>
      <c r="B18" s="96" t="s">
        <v>367</v>
      </c>
      <c r="C18" s="229">
        <f>(160/160*100)+219</f>
        <v>319</v>
      </c>
      <c r="D18" s="230"/>
    </row>
    <row r="19" spans="1:5" ht="16.5" thickBot="1" x14ac:dyDescent="0.3">
      <c r="A19" s="33"/>
      <c r="B19" s="34" t="s">
        <v>18</v>
      </c>
      <c r="C19" s="222">
        <f>SUM(C16:C18)</f>
        <v>391.3</v>
      </c>
      <c r="D19" s="223"/>
      <c r="E19" s="40"/>
    </row>
    <row r="20" spans="1:5" ht="16.5" thickBot="1" x14ac:dyDescent="0.3">
      <c r="A20" s="33"/>
      <c r="B20" s="41" t="s">
        <v>19</v>
      </c>
      <c r="C20" s="274">
        <f>SUM(C14,C19)</f>
        <v>500.06</v>
      </c>
      <c r="D20" s="275"/>
      <c r="E20" s="42"/>
    </row>
    <row r="21" spans="1:5" x14ac:dyDescent="0.25">
      <c r="A21" s="43"/>
      <c r="C21" s="90"/>
      <c r="D21" s="91"/>
      <c r="E21" s="13"/>
    </row>
    <row r="22" spans="1:5" ht="15.75" x14ac:dyDescent="0.25">
      <c r="A22" s="213" t="s">
        <v>20</v>
      </c>
      <c r="B22" s="214"/>
      <c r="C22" s="276">
        <v>100</v>
      </c>
      <c r="D22" s="276"/>
      <c r="E22" s="44"/>
    </row>
    <row r="23" spans="1:5" ht="33" customHeight="1" x14ac:dyDescent="0.25">
      <c r="A23" s="215" t="s">
        <v>28</v>
      </c>
      <c r="B23" s="216"/>
      <c r="C23" s="225">
        <f>C20/C22</f>
        <v>5.0006000000000004</v>
      </c>
      <c r="D23" s="225"/>
      <c r="E23" s="45"/>
    </row>
    <row r="24" spans="1:5" ht="15.75" x14ac:dyDescent="0.25">
      <c r="A24" s="46"/>
    </row>
    <row r="25" spans="1:5" x14ac:dyDescent="0.25">
      <c r="A25" s="78"/>
      <c r="B25" s="78"/>
      <c r="C25" s="203"/>
      <c r="D25" s="203"/>
    </row>
    <row r="26" spans="1:5" x14ac:dyDescent="0.25">
      <c r="A26" s="78"/>
      <c r="B26" s="78"/>
      <c r="C26" s="79"/>
      <c r="D26" s="78"/>
    </row>
    <row r="27" spans="1:5" x14ac:dyDescent="0.25">
      <c r="A27" s="78"/>
      <c r="B27" s="78"/>
      <c r="C27" s="203"/>
      <c r="D27" s="203"/>
    </row>
    <row r="28" spans="1:5" x14ac:dyDescent="0.25">
      <c r="A28" s="78"/>
      <c r="B28" s="78"/>
      <c r="C28" s="78"/>
      <c r="D28" s="78"/>
    </row>
    <row r="29" spans="1:5" x14ac:dyDescent="0.25">
      <c r="A29" s="202"/>
      <c r="B29" s="202"/>
      <c r="C29" s="80"/>
      <c r="D29" s="80"/>
    </row>
    <row r="30" spans="1:5" x14ac:dyDescent="0.25">
      <c r="A30" s="201"/>
      <c r="B30" s="202"/>
      <c r="C30" s="80"/>
      <c r="D30" s="80"/>
    </row>
    <row r="31" spans="1:5" x14ac:dyDescent="0.25">
      <c r="A31" s="57"/>
      <c r="B31" s="80"/>
      <c r="C31" s="81"/>
      <c r="D31" s="81"/>
    </row>
    <row r="32" spans="1:5" x14ac:dyDescent="0.25">
      <c r="A32" s="201"/>
      <c r="B32" s="201"/>
      <c r="C32" s="81"/>
      <c r="D32" s="81"/>
    </row>
  </sheetData>
  <mergeCells count="25">
    <mergeCell ref="C15:D15"/>
    <mergeCell ref="A23:B23"/>
    <mergeCell ref="C23:D23"/>
    <mergeCell ref="C16:D16"/>
    <mergeCell ref="C17:D17"/>
    <mergeCell ref="C18:D18"/>
    <mergeCell ref="C19:D19"/>
    <mergeCell ref="C20:D20"/>
    <mergeCell ref="A22:B22"/>
    <mergeCell ref="C22:D22"/>
    <mergeCell ref="C9:D9"/>
    <mergeCell ref="A10:A12"/>
    <mergeCell ref="C10:D12"/>
    <mergeCell ref="C13:D13"/>
    <mergeCell ref="C14:D14"/>
    <mergeCell ref="A1:D1"/>
    <mergeCell ref="A3:D3"/>
    <mergeCell ref="A5:D5"/>
    <mergeCell ref="A7:D7"/>
    <mergeCell ref="C8:D8"/>
    <mergeCell ref="C25:D25"/>
    <mergeCell ref="C27:D27"/>
    <mergeCell ref="A29:B29"/>
    <mergeCell ref="A30:B30"/>
    <mergeCell ref="A32:B32"/>
  </mergeCells>
  <pageMargins left="0.70866141732283472" right="0.70866141732283472" top="0.74803149606299213" bottom="0.74803149606299213" header="0.31496062992125984" footer="0.31496062992125984"/>
  <pageSetup paperSize="9" scale="95" fitToHeight="0" orientation="portrait"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view="pageBreakPreview" topLeftCell="A7" zoomScale="60" zoomScaleNormal="100" workbookViewId="0">
      <selection activeCell="T13" sqref="T13"/>
    </sheetView>
  </sheetViews>
  <sheetFormatPr defaultRowHeight="15" x14ac:dyDescent="0.25"/>
  <cols>
    <col min="1" max="1" width="19.5703125" customWidth="1"/>
    <col min="2" max="2" width="56" customWidth="1"/>
    <col min="3" max="3" width="12.5703125" style="7" customWidth="1"/>
    <col min="4" max="4" width="8" customWidth="1"/>
    <col min="5" max="5" width="25.85546875" style="9" customWidth="1"/>
    <col min="8" max="8" width="7.42578125" bestFit="1" customWidth="1"/>
    <col min="257" max="257" width="19.5703125" customWidth="1"/>
    <col min="258" max="258" width="52.42578125" customWidth="1"/>
    <col min="259" max="259" width="18.42578125" customWidth="1"/>
    <col min="261" max="261" width="25.85546875" customWidth="1"/>
    <col min="264" max="264" width="7.42578125" bestFit="1" customWidth="1"/>
    <col min="513" max="513" width="19.5703125" customWidth="1"/>
    <col min="514" max="514" width="52.42578125" customWidth="1"/>
    <col min="515" max="515" width="18.42578125" customWidth="1"/>
    <col min="517" max="517" width="25.85546875" customWidth="1"/>
    <col min="520" max="520" width="7.42578125" bestFit="1" customWidth="1"/>
    <col min="769" max="769" width="19.5703125" customWidth="1"/>
    <col min="770" max="770" width="52.42578125" customWidth="1"/>
    <col min="771" max="771" width="18.42578125" customWidth="1"/>
    <col min="773" max="773" width="25.85546875" customWidth="1"/>
    <col min="776" max="776" width="7.42578125" bestFit="1" customWidth="1"/>
    <col min="1025" max="1025" width="19.5703125" customWidth="1"/>
    <col min="1026" max="1026" width="52.42578125" customWidth="1"/>
    <col min="1027" max="1027" width="18.42578125" customWidth="1"/>
    <col min="1029" max="1029" width="25.85546875" customWidth="1"/>
    <col min="1032" max="1032" width="7.42578125" bestFit="1" customWidth="1"/>
    <col min="1281" max="1281" width="19.5703125" customWidth="1"/>
    <col min="1282" max="1282" width="52.42578125" customWidth="1"/>
    <col min="1283" max="1283" width="18.42578125" customWidth="1"/>
    <col min="1285" max="1285" width="25.85546875" customWidth="1"/>
    <col min="1288" max="1288" width="7.42578125" bestFit="1" customWidth="1"/>
    <col min="1537" max="1537" width="19.5703125" customWidth="1"/>
    <col min="1538" max="1538" width="52.42578125" customWidth="1"/>
    <col min="1539" max="1539" width="18.42578125" customWidth="1"/>
    <col min="1541" max="1541" width="25.85546875" customWidth="1"/>
    <col min="1544" max="1544" width="7.42578125" bestFit="1" customWidth="1"/>
    <col min="1793" max="1793" width="19.5703125" customWidth="1"/>
    <col min="1794" max="1794" width="52.42578125" customWidth="1"/>
    <col min="1795" max="1795" width="18.42578125" customWidth="1"/>
    <col min="1797" max="1797" width="25.85546875" customWidth="1"/>
    <col min="1800" max="1800" width="7.42578125" bestFit="1" customWidth="1"/>
    <col min="2049" max="2049" width="19.5703125" customWidth="1"/>
    <col min="2050" max="2050" width="52.42578125" customWidth="1"/>
    <col min="2051" max="2051" width="18.42578125" customWidth="1"/>
    <col min="2053" max="2053" width="25.85546875" customWidth="1"/>
    <col min="2056" max="2056" width="7.42578125" bestFit="1" customWidth="1"/>
    <col min="2305" max="2305" width="19.5703125" customWidth="1"/>
    <col min="2306" max="2306" width="52.42578125" customWidth="1"/>
    <col min="2307" max="2307" width="18.42578125" customWidth="1"/>
    <col min="2309" max="2309" width="25.85546875" customWidth="1"/>
    <col min="2312" max="2312" width="7.42578125" bestFit="1" customWidth="1"/>
    <col min="2561" max="2561" width="19.5703125" customWidth="1"/>
    <col min="2562" max="2562" width="52.42578125" customWidth="1"/>
    <col min="2563" max="2563" width="18.42578125" customWidth="1"/>
    <col min="2565" max="2565" width="25.85546875" customWidth="1"/>
    <col min="2568" max="2568" width="7.42578125" bestFit="1" customWidth="1"/>
    <col min="2817" max="2817" width="19.5703125" customWidth="1"/>
    <col min="2818" max="2818" width="52.42578125" customWidth="1"/>
    <col min="2819" max="2819" width="18.42578125" customWidth="1"/>
    <col min="2821" max="2821" width="25.85546875" customWidth="1"/>
    <col min="2824" max="2824" width="7.42578125" bestFit="1" customWidth="1"/>
    <col min="3073" max="3073" width="19.5703125" customWidth="1"/>
    <col min="3074" max="3074" width="52.42578125" customWidth="1"/>
    <col min="3075" max="3075" width="18.42578125" customWidth="1"/>
    <col min="3077" max="3077" width="25.85546875" customWidth="1"/>
    <col min="3080" max="3080" width="7.42578125" bestFit="1" customWidth="1"/>
    <col min="3329" max="3329" width="19.5703125" customWidth="1"/>
    <col min="3330" max="3330" width="52.42578125" customWidth="1"/>
    <col min="3331" max="3331" width="18.42578125" customWidth="1"/>
    <col min="3333" max="3333" width="25.85546875" customWidth="1"/>
    <col min="3336" max="3336" width="7.42578125" bestFit="1" customWidth="1"/>
    <col min="3585" max="3585" width="19.5703125" customWidth="1"/>
    <col min="3586" max="3586" width="52.42578125" customWidth="1"/>
    <col min="3587" max="3587" width="18.42578125" customWidth="1"/>
    <col min="3589" max="3589" width="25.85546875" customWidth="1"/>
    <col min="3592" max="3592" width="7.42578125" bestFit="1" customWidth="1"/>
    <col min="3841" max="3841" width="19.5703125" customWidth="1"/>
    <col min="3842" max="3842" width="52.42578125" customWidth="1"/>
    <col min="3843" max="3843" width="18.42578125" customWidth="1"/>
    <col min="3845" max="3845" width="25.85546875" customWidth="1"/>
    <col min="3848" max="3848" width="7.42578125" bestFit="1" customWidth="1"/>
    <col min="4097" max="4097" width="19.5703125" customWidth="1"/>
    <col min="4098" max="4098" width="52.42578125" customWidth="1"/>
    <col min="4099" max="4099" width="18.42578125" customWidth="1"/>
    <col min="4101" max="4101" width="25.85546875" customWidth="1"/>
    <col min="4104" max="4104" width="7.42578125" bestFit="1" customWidth="1"/>
    <col min="4353" max="4353" width="19.5703125" customWidth="1"/>
    <col min="4354" max="4354" width="52.42578125" customWidth="1"/>
    <col min="4355" max="4355" width="18.42578125" customWidth="1"/>
    <col min="4357" max="4357" width="25.85546875" customWidth="1"/>
    <col min="4360" max="4360" width="7.42578125" bestFit="1" customWidth="1"/>
    <col min="4609" max="4609" width="19.5703125" customWidth="1"/>
    <col min="4610" max="4610" width="52.42578125" customWidth="1"/>
    <col min="4611" max="4611" width="18.42578125" customWidth="1"/>
    <col min="4613" max="4613" width="25.85546875" customWidth="1"/>
    <col min="4616" max="4616" width="7.42578125" bestFit="1" customWidth="1"/>
    <col min="4865" max="4865" width="19.5703125" customWidth="1"/>
    <col min="4866" max="4866" width="52.42578125" customWidth="1"/>
    <col min="4867" max="4867" width="18.42578125" customWidth="1"/>
    <col min="4869" max="4869" width="25.85546875" customWidth="1"/>
    <col min="4872" max="4872" width="7.42578125" bestFit="1" customWidth="1"/>
    <col min="5121" max="5121" width="19.5703125" customWidth="1"/>
    <col min="5122" max="5122" width="52.42578125" customWidth="1"/>
    <col min="5123" max="5123" width="18.42578125" customWidth="1"/>
    <col min="5125" max="5125" width="25.85546875" customWidth="1"/>
    <col min="5128" max="5128" width="7.42578125" bestFit="1" customWidth="1"/>
    <col min="5377" max="5377" width="19.5703125" customWidth="1"/>
    <col min="5378" max="5378" width="52.42578125" customWidth="1"/>
    <col min="5379" max="5379" width="18.42578125" customWidth="1"/>
    <col min="5381" max="5381" width="25.85546875" customWidth="1"/>
    <col min="5384" max="5384" width="7.42578125" bestFit="1" customWidth="1"/>
    <col min="5633" max="5633" width="19.5703125" customWidth="1"/>
    <col min="5634" max="5634" width="52.42578125" customWidth="1"/>
    <col min="5635" max="5635" width="18.42578125" customWidth="1"/>
    <col min="5637" max="5637" width="25.85546875" customWidth="1"/>
    <col min="5640" max="5640" width="7.42578125" bestFit="1" customWidth="1"/>
    <col min="5889" max="5889" width="19.5703125" customWidth="1"/>
    <col min="5890" max="5890" width="52.42578125" customWidth="1"/>
    <col min="5891" max="5891" width="18.42578125" customWidth="1"/>
    <col min="5893" max="5893" width="25.85546875" customWidth="1"/>
    <col min="5896" max="5896" width="7.42578125" bestFit="1" customWidth="1"/>
    <col min="6145" max="6145" width="19.5703125" customWidth="1"/>
    <col min="6146" max="6146" width="52.42578125" customWidth="1"/>
    <col min="6147" max="6147" width="18.42578125" customWidth="1"/>
    <col min="6149" max="6149" width="25.85546875" customWidth="1"/>
    <col min="6152" max="6152" width="7.42578125" bestFit="1" customWidth="1"/>
    <col min="6401" max="6401" width="19.5703125" customWidth="1"/>
    <col min="6402" max="6402" width="52.42578125" customWidth="1"/>
    <col min="6403" max="6403" width="18.42578125" customWidth="1"/>
    <col min="6405" max="6405" width="25.85546875" customWidth="1"/>
    <col min="6408" max="6408" width="7.42578125" bestFit="1" customWidth="1"/>
    <col min="6657" max="6657" width="19.5703125" customWidth="1"/>
    <col min="6658" max="6658" width="52.42578125" customWidth="1"/>
    <col min="6659" max="6659" width="18.42578125" customWidth="1"/>
    <col min="6661" max="6661" width="25.85546875" customWidth="1"/>
    <col min="6664" max="6664" width="7.42578125" bestFit="1" customWidth="1"/>
    <col min="6913" max="6913" width="19.5703125" customWidth="1"/>
    <col min="6914" max="6914" width="52.42578125" customWidth="1"/>
    <col min="6915" max="6915" width="18.42578125" customWidth="1"/>
    <col min="6917" max="6917" width="25.85546875" customWidth="1"/>
    <col min="6920" max="6920" width="7.42578125" bestFit="1" customWidth="1"/>
    <col min="7169" max="7169" width="19.5703125" customWidth="1"/>
    <col min="7170" max="7170" width="52.42578125" customWidth="1"/>
    <col min="7171" max="7171" width="18.42578125" customWidth="1"/>
    <col min="7173" max="7173" width="25.85546875" customWidth="1"/>
    <col min="7176" max="7176" width="7.42578125" bestFit="1" customWidth="1"/>
    <col min="7425" max="7425" width="19.5703125" customWidth="1"/>
    <col min="7426" max="7426" width="52.42578125" customWidth="1"/>
    <col min="7427" max="7427" width="18.42578125" customWidth="1"/>
    <col min="7429" max="7429" width="25.85546875" customWidth="1"/>
    <col min="7432" max="7432" width="7.42578125" bestFit="1" customWidth="1"/>
    <col min="7681" max="7681" width="19.5703125" customWidth="1"/>
    <col min="7682" max="7682" width="52.42578125" customWidth="1"/>
    <col min="7683" max="7683" width="18.42578125" customWidth="1"/>
    <col min="7685" max="7685" width="25.85546875" customWidth="1"/>
    <col min="7688" max="7688" width="7.42578125" bestFit="1" customWidth="1"/>
    <col min="7937" max="7937" width="19.5703125" customWidth="1"/>
    <col min="7938" max="7938" width="52.42578125" customWidth="1"/>
    <col min="7939" max="7939" width="18.42578125" customWidth="1"/>
    <col min="7941" max="7941" width="25.85546875" customWidth="1"/>
    <col min="7944" max="7944" width="7.42578125" bestFit="1" customWidth="1"/>
    <col min="8193" max="8193" width="19.5703125" customWidth="1"/>
    <col min="8194" max="8194" width="52.42578125" customWidth="1"/>
    <col min="8195" max="8195" width="18.42578125" customWidth="1"/>
    <col min="8197" max="8197" width="25.85546875" customWidth="1"/>
    <col min="8200" max="8200" width="7.42578125" bestFit="1" customWidth="1"/>
    <col min="8449" max="8449" width="19.5703125" customWidth="1"/>
    <col min="8450" max="8450" width="52.42578125" customWidth="1"/>
    <col min="8451" max="8451" width="18.42578125" customWidth="1"/>
    <col min="8453" max="8453" width="25.85546875" customWidth="1"/>
    <col min="8456" max="8456" width="7.42578125" bestFit="1" customWidth="1"/>
    <col min="8705" max="8705" width="19.5703125" customWidth="1"/>
    <col min="8706" max="8706" width="52.42578125" customWidth="1"/>
    <col min="8707" max="8707" width="18.42578125" customWidth="1"/>
    <col min="8709" max="8709" width="25.85546875" customWidth="1"/>
    <col min="8712" max="8712" width="7.42578125" bestFit="1" customWidth="1"/>
    <col min="8961" max="8961" width="19.5703125" customWidth="1"/>
    <col min="8962" max="8962" width="52.42578125" customWidth="1"/>
    <col min="8963" max="8963" width="18.42578125" customWidth="1"/>
    <col min="8965" max="8965" width="25.85546875" customWidth="1"/>
    <col min="8968" max="8968" width="7.42578125" bestFit="1" customWidth="1"/>
    <col min="9217" max="9217" width="19.5703125" customWidth="1"/>
    <col min="9218" max="9218" width="52.42578125" customWidth="1"/>
    <col min="9219" max="9219" width="18.42578125" customWidth="1"/>
    <col min="9221" max="9221" width="25.85546875" customWidth="1"/>
    <col min="9224" max="9224" width="7.42578125" bestFit="1" customWidth="1"/>
    <col min="9473" max="9473" width="19.5703125" customWidth="1"/>
    <col min="9474" max="9474" width="52.42578125" customWidth="1"/>
    <col min="9475" max="9475" width="18.42578125" customWidth="1"/>
    <col min="9477" max="9477" width="25.85546875" customWidth="1"/>
    <col min="9480" max="9480" width="7.42578125" bestFit="1" customWidth="1"/>
    <col min="9729" max="9729" width="19.5703125" customWidth="1"/>
    <col min="9730" max="9730" width="52.42578125" customWidth="1"/>
    <col min="9731" max="9731" width="18.42578125" customWidth="1"/>
    <col min="9733" max="9733" width="25.85546875" customWidth="1"/>
    <col min="9736" max="9736" width="7.42578125" bestFit="1" customWidth="1"/>
    <col min="9985" max="9985" width="19.5703125" customWidth="1"/>
    <col min="9986" max="9986" width="52.42578125" customWidth="1"/>
    <col min="9987" max="9987" width="18.42578125" customWidth="1"/>
    <col min="9989" max="9989" width="25.85546875" customWidth="1"/>
    <col min="9992" max="9992" width="7.42578125" bestFit="1" customWidth="1"/>
    <col min="10241" max="10241" width="19.5703125" customWidth="1"/>
    <col min="10242" max="10242" width="52.42578125" customWidth="1"/>
    <col min="10243" max="10243" width="18.42578125" customWidth="1"/>
    <col min="10245" max="10245" width="25.85546875" customWidth="1"/>
    <col min="10248" max="10248" width="7.42578125" bestFit="1" customWidth="1"/>
    <col min="10497" max="10497" width="19.5703125" customWidth="1"/>
    <col min="10498" max="10498" width="52.42578125" customWidth="1"/>
    <col min="10499" max="10499" width="18.42578125" customWidth="1"/>
    <col min="10501" max="10501" width="25.85546875" customWidth="1"/>
    <col min="10504" max="10504" width="7.42578125" bestFit="1" customWidth="1"/>
    <col min="10753" max="10753" width="19.5703125" customWidth="1"/>
    <col min="10754" max="10754" width="52.42578125" customWidth="1"/>
    <col min="10755" max="10755" width="18.42578125" customWidth="1"/>
    <col min="10757" max="10757" width="25.85546875" customWidth="1"/>
    <col min="10760" max="10760" width="7.42578125" bestFit="1" customWidth="1"/>
    <col min="11009" max="11009" width="19.5703125" customWidth="1"/>
    <col min="11010" max="11010" width="52.42578125" customWidth="1"/>
    <col min="11011" max="11011" width="18.42578125" customWidth="1"/>
    <col min="11013" max="11013" width="25.85546875" customWidth="1"/>
    <col min="11016" max="11016" width="7.42578125" bestFit="1" customWidth="1"/>
    <col min="11265" max="11265" width="19.5703125" customWidth="1"/>
    <col min="11266" max="11266" width="52.42578125" customWidth="1"/>
    <col min="11267" max="11267" width="18.42578125" customWidth="1"/>
    <col min="11269" max="11269" width="25.85546875" customWidth="1"/>
    <col min="11272" max="11272" width="7.42578125" bestFit="1" customWidth="1"/>
    <col min="11521" max="11521" width="19.5703125" customWidth="1"/>
    <col min="11522" max="11522" width="52.42578125" customWidth="1"/>
    <col min="11523" max="11523" width="18.42578125" customWidth="1"/>
    <col min="11525" max="11525" width="25.85546875" customWidth="1"/>
    <col min="11528" max="11528" width="7.42578125" bestFit="1" customWidth="1"/>
    <col min="11777" max="11777" width="19.5703125" customWidth="1"/>
    <col min="11778" max="11778" width="52.42578125" customWidth="1"/>
    <col min="11779" max="11779" width="18.42578125" customWidth="1"/>
    <col min="11781" max="11781" width="25.85546875" customWidth="1"/>
    <col min="11784" max="11784" width="7.42578125" bestFit="1" customWidth="1"/>
    <col min="12033" max="12033" width="19.5703125" customWidth="1"/>
    <col min="12034" max="12034" width="52.42578125" customWidth="1"/>
    <col min="12035" max="12035" width="18.42578125" customWidth="1"/>
    <col min="12037" max="12037" width="25.85546875" customWidth="1"/>
    <col min="12040" max="12040" width="7.42578125" bestFit="1" customWidth="1"/>
    <col min="12289" max="12289" width="19.5703125" customWidth="1"/>
    <col min="12290" max="12290" width="52.42578125" customWidth="1"/>
    <col min="12291" max="12291" width="18.42578125" customWidth="1"/>
    <col min="12293" max="12293" width="25.85546875" customWidth="1"/>
    <col min="12296" max="12296" width="7.42578125" bestFit="1" customWidth="1"/>
    <col min="12545" max="12545" width="19.5703125" customWidth="1"/>
    <col min="12546" max="12546" width="52.42578125" customWidth="1"/>
    <col min="12547" max="12547" width="18.42578125" customWidth="1"/>
    <col min="12549" max="12549" width="25.85546875" customWidth="1"/>
    <col min="12552" max="12552" width="7.42578125" bestFit="1" customWidth="1"/>
    <col min="12801" max="12801" width="19.5703125" customWidth="1"/>
    <col min="12802" max="12802" width="52.42578125" customWidth="1"/>
    <col min="12803" max="12803" width="18.42578125" customWidth="1"/>
    <col min="12805" max="12805" width="25.85546875" customWidth="1"/>
    <col min="12808" max="12808" width="7.42578125" bestFit="1" customWidth="1"/>
    <col min="13057" max="13057" width="19.5703125" customWidth="1"/>
    <col min="13058" max="13058" width="52.42578125" customWidth="1"/>
    <col min="13059" max="13059" width="18.42578125" customWidth="1"/>
    <col min="13061" max="13061" width="25.85546875" customWidth="1"/>
    <col min="13064" max="13064" width="7.42578125" bestFit="1" customWidth="1"/>
    <col min="13313" max="13313" width="19.5703125" customWidth="1"/>
    <col min="13314" max="13314" width="52.42578125" customWidth="1"/>
    <col min="13315" max="13315" width="18.42578125" customWidth="1"/>
    <col min="13317" max="13317" width="25.85546875" customWidth="1"/>
    <col min="13320" max="13320" width="7.42578125" bestFit="1" customWidth="1"/>
    <col min="13569" max="13569" width="19.5703125" customWidth="1"/>
    <col min="13570" max="13570" width="52.42578125" customWidth="1"/>
    <col min="13571" max="13571" width="18.42578125" customWidth="1"/>
    <col min="13573" max="13573" width="25.85546875" customWidth="1"/>
    <col min="13576" max="13576" width="7.42578125" bestFit="1" customWidth="1"/>
    <col min="13825" max="13825" width="19.5703125" customWidth="1"/>
    <col min="13826" max="13826" width="52.42578125" customWidth="1"/>
    <col min="13827" max="13827" width="18.42578125" customWidth="1"/>
    <col min="13829" max="13829" width="25.85546875" customWidth="1"/>
    <col min="13832" max="13832" width="7.42578125" bestFit="1" customWidth="1"/>
    <col min="14081" max="14081" width="19.5703125" customWidth="1"/>
    <col min="14082" max="14082" width="52.42578125" customWidth="1"/>
    <col min="14083" max="14083" width="18.42578125" customWidth="1"/>
    <col min="14085" max="14085" width="25.85546875" customWidth="1"/>
    <col min="14088" max="14088" width="7.42578125" bestFit="1" customWidth="1"/>
    <col min="14337" max="14337" width="19.5703125" customWidth="1"/>
    <col min="14338" max="14338" width="52.42578125" customWidth="1"/>
    <col min="14339" max="14339" width="18.42578125" customWidth="1"/>
    <col min="14341" max="14341" width="25.85546875" customWidth="1"/>
    <col min="14344" max="14344" width="7.42578125" bestFit="1" customWidth="1"/>
    <col min="14593" max="14593" width="19.5703125" customWidth="1"/>
    <col min="14594" max="14594" width="52.42578125" customWidth="1"/>
    <col min="14595" max="14595" width="18.42578125" customWidth="1"/>
    <col min="14597" max="14597" width="25.85546875" customWidth="1"/>
    <col min="14600" max="14600" width="7.42578125" bestFit="1" customWidth="1"/>
    <col min="14849" max="14849" width="19.5703125" customWidth="1"/>
    <col min="14850" max="14850" width="52.42578125" customWidth="1"/>
    <col min="14851" max="14851" width="18.42578125" customWidth="1"/>
    <col min="14853" max="14853" width="25.85546875" customWidth="1"/>
    <col min="14856" max="14856" width="7.42578125" bestFit="1" customWidth="1"/>
    <col min="15105" max="15105" width="19.5703125" customWidth="1"/>
    <col min="15106" max="15106" width="52.42578125" customWidth="1"/>
    <col min="15107" max="15107" width="18.42578125" customWidth="1"/>
    <col min="15109" max="15109" width="25.85546875" customWidth="1"/>
    <col min="15112" max="15112" width="7.42578125" bestFit="1" customWidth="1"/>
    <col min="15361" max="15361" width="19.5703125" customWidth="1"/>
    <col min="15362" max="15362" width="52.42578125" customWidth="1"/>
    <col min="15363" max="15363" width="18.42578125" customWidth="1"/>
    <col min="15365" max="15365" width="25.85546875" customWidth="1"/>
    <col min="15368" max="15368" width="7.42578125" bestFit="1" customWidth="1"/>
    <col min="15617" max="15617" width="19.5703125" customWidth="1"/>
    <col min="15618" max="15618" width="52.42578125" customWidth="1"/>
    <col min="15619" max="15619" width="18.42578125" customWidth="1"/>
    <col min="15621" max="15621" width="25.85546875" customWidth="1"/>
    <col min="15624" max="15624" width="7.42578125" bestFit="1" customWidth="1"/>
    <col min="15873" max="15873" width="19.5703125" customWidth="1"/>
    <col min="15874" max="15874" width="52.42578125" customWidth="1"/>
    <col min="15875" max="15875" width="18.42578125" customWidth="1"/>
    <col min="15877" max="15877" width="25.85546875" customWidth="1"/>
    <col min="15880" max="15880" width="7.42578125" bestFit="1" customWidth="1"/>
    <col min="16129" max="16129" width="19.5703125" customWidth="1"/>
    <col min="16130" max="16130" width="52.42578125" customWidth="1"/>
    <col min="16131" max="16131" width="18.42578125" customWidth="1"/>
    <col min="16133" max="16133" width="25.85546875" customWidth="1"/>
    <col min="16136" max="16136" width="7.42578125" bestFit="1" customWidth="1"/>
  </cols>
  <sheetData>
    <row r="1" spans="1:5" ht="14.45" customHeight="1" x14ac:dyDescent="0.25">
      <c r="A1" s="217" t="s">
        <v>0</v>
      </c>
      <c r="B1" s="217"/>
      <c r="C1" s="217"/>
      <c r="D1" s="217"/>
    </row>
    <row r="2" spans="1:5" ht="15.75" x14ac:dyDescent="0.25">
      <c r="D2" s="29"/>
    </row>
    <row r="3" spans="1:5" ht="17.25" customHeight="1" x14ac:dyDescent="0.25">
      <c r="A3" s="281" t="s">
        <v>26</v>
      </c>
      <c r="B3" s="281"/>
      <c r="C3" s="281"/>
      <c r="D3" s="281"/>
    </row>
    <row r="4" spans="1:5" ht="53.25" customHeight="1" x14ac:dyDescent="0.25">
      <c r="A4" s="218" t="s">
        <v>245</v>
      </c>
      <c r="B4" s="218"/>
      <c r="C4" s="218"/>
      <c r="D4" s="218"/>
    </row>
    <row r="5" spans="1:5" ht="16.5" thickBot="1" x14ac:dyDescent="0.3">
      <c r="A5" s="219" t="s">
        <v>27</v>
      </c>
      <c r="B5" s="219"/>
      <c r="C5" s="219"/>
      <c r="D5" s="219"/>
    </row>
    <row r="6" spans="1:5" ht="73.5" customHeight="1" thickBot="1" x14ac:dyDescent="0.3">
      <c r="A6" s="31" t="s">
        <v>2</v>
      </c>
      <c r="B6" s="32" t="s">
        <v>3</v>
      </c>
      <c r="C6" s="272" t="s">
        <v>4</v>
      </c>
      <c r="D6" s="273"/>
    </row>
    <row r="7" spans="1:5" ht="16.5" thickBot="1" x14ac:dyDescent="0.3">
      <c r="A7" s="33"/>
      <c r="B7" s="34" t="s">
        <v>5</v>
      </c>
      <c r="C7" s="220"/>
      <c r="D7" s="221"/>
    </row>
    <row r="8" spans="1:5" ht="69" customHeight="1" x14ac:dyDescent="0.25">
      <c r="A8" s="210" t="s">
        <v>6</v>
      </c>
      <c r="B8" s="65" t="s">
        <v>515</v>
      </c>
      <c r="C8" s="204">
        <f>26.1+2.4</f>
        <v>28.5</v>
      </c>
      <c r="D8" s="205"/>
    </row>
    <row r="9" spans="1:5" ht="69.75" customHeight="1" x14ac:dyDescent="0.25">
      <c r="A9" s="211"/>
      <c r="B9" s="63" t="s">
        <v>517</v>
      </c>
      <c r="C9" s="204"/>
      <c r="D9" s="205"/>
    </row>
    <row r="10" spans="1:5" ht="16.5" thickBot="1" x14ac:dyDescent="0.3">
      <c r="A10" s="212"/>
      <c r="B10" s="36" t="s">
        <v>370</v>
      </c>
      <c r="C10" s="204"/>
      <c r="D10" s="205"/>
    </row>
    <row r="11" spans="1:5" ht="33.75" customHeight="1" thickBot="1" x14ac:dyDescent="0.3">
      <c r="A11" s="37" t="s">
        <v>7</v>
      </c>
      <c r="B11" s="62" t="s">
        <v>8</v>
      </c>
      <c r="C11" s="204">
        <f>C8*0.2359</f>
        <v>6.7231500000000004</v>
      </c>
      <c r="D11" s="205"/>
    </row>
    <row r="12" spans="1:5" ht="16.5" thickBot="1" x14ac:dyDescent="0.3">
      <c r="A12" s="37"/>
      <c r="B12" s="38" t="s">
        <v>9</v>
      </c>
      <c r="C12" s="204">
        <f>SUM(C8:D11)</f>
        <v>35.223150000000004</v>
      </c>
      <c r="D12" s="205"/>
      <c r="E12" s="39"/>
    </row>
    <row r="13" spans="1:5" ht="16.5" thickBot="1" x14ac:dyDescent="0.3">
      <c r="A13" s="37"/>
      <c r="B13" s="38" t="s">
        <v>10</v>
      </c>
      <c r="C13" s="204"/>
      <c r="D13" s="205"/>
    </row>
    <row r="14" spans="1:5" ht="82.5" customHeight="1" thickBot="1" x14ac:dyDescent="0.3">
      <c r="A14" s="37" t="s">
        <v>11</v>
      </c>
      <c r="B14" s="62" t="s">
        <v>369</v>
      </c>
      <c r="C14" s="204">
        <v>21</v>
      </c>
      <c r="D14" s="205"/>
    </row>
    <row r="15" spans="1:5" ht="138.75" customHeight="1" thickBot="1" x14ac:dyDescent="0.3">
      <c r="A15" s="37" t="s">
        <v>12</v>
      </c>
      <c r="B15" s="62" t="s">
        <v>371</v>
      </c>
      <c r="C15" s="204">
        <v>6.45</v>
      </c>
      <c r="D15" s="205"/>
    </row>
    <row r="16" spans="1:5" ht="48" thickBot="1" x14ac:dyDescent="0.3">
      <c r="A16" s="37" t="s">
        <v>13</v>
      </c>
      <c r="B16" s="36" t="s">
        <v>323</v>
      </c>
      <c r="C16" s="204">
        <f>20409/24855*15</f>
        <v>12.31683765841883</v>
      </c>
      <c r="D16" s="205"/>
    </row>
    <row r="17" spans="1:5" ht="16.5" thickBot="1" x14ac:dyDescent="0.3">
      <c r="A17" s="33"/>
      <c r="B17" s="34" t="s">
        <v>18</v>
      </c>
      <c r="C17" s="204">
        <f>SUM(C14:C16)</f>
        <v>39.766837658418829</v>
      </c>
      <c r="D17" s="205"/>
      <c r="E17" s="40"/>
    </row>
    <row r="18" spans="1:5" ht="16.5" thickBot="1" x14ac:dyDescent="0.3">
      <c r="A18" s="33"/>
      <c r="B18" s="41" t="s">
        <v>19</v>
      </c>
      <c r="C18" s="206">
        <f>SUM(C12,C17)</f>
        <v>74.989987658418841</v>
      </c>
      <c r="D18" s="207"/>
      <c r="E18" s="42"/>
    </row>
    <row r="19" spans="1:5" x14ac:dyDescent="0.25">
      <c r="A19" s="43"/>
      <c r="C19" s="8"/>
      <c r="E19" s="13"/>
    </row>
    <row r="20" spans="1:5" ht="15.75" x14ac:dyDescent="0.25">
      <c r="A20" s="213" t="s">
        <v>20</v>
      </c>
      <c r="B20" s="214"/>
      <c r="C20" s="224">
        <v>15</v>
      </c>
      <c r="D20" s="224"/>
      <c r="E20" s="44"/>
    </row>
    <row r="21" spans="1:5" ht="33" customHeight="1" x14ac:dyDescent="0.25">
      <c r="A21" s="215" t="s">
        <v>28</v>
      </c>
      <c r="B21" s="216"/>
      <c r="C21" s="225">
        <f>C18/C20</f>
        <v>4.9993325105612563</v>
      </c>
      <c r="D21" s="225"/>
      <c r="E21" s="45"/>
    </row>
    <row r="22" spans="1:5" x14ac:dyDescent="0.25">
      <c r="A22" s="78"/>
    </row>
    <row r="23" spans="1:5" x14ac:dyDescent="0.25">
      <c r="B23" s="78"/>
      <c r="C23" s="203"/>
      <c r="D23" s="203"/>
    </row>
    <row r="24" spans="1:5" x14ac:dyDescent="0.25">
      <c r="A24" s="78"/>
      <c r="B24" s="78"/>
      <c r="C24" s="79"/>
      <c r="D24" s="78"/>
    </row>
    <row r="25" spans="1:5" x14ac:dyDescent="0.25">
      <c r="A25" s="78"/>
      <c r="B25" s="78"/>
      <c r="C25" s="203"/>
      <c r="D25" s="203"/>
    </row>
    <row r="26" spans="1:5" x14ac:dyDescent="0.25">
      <c r="A26" s="78"/>
      <c r="B26" s="78"/>
      <c r="C26" s="78"/>
      <c r="D26" s="78"/>
    </row>
    <row r="27" spans="1:5" x14ac:dyDescent="0.25">
      <c r="A27" s="202"/>
      <c r="B27" s="202"/>
      <c r="C27" s="80"/>
      <c r="D27" s="80"/>
    </row>
    <row r="28" spans="1:5" x14ac:dyDescent="0.25">
      <c r="A28" s="201"/>
      <c r="B28" s="202"/>
      <c r="C28" s="80"/>
      <c r="D28" s="80"/>
    </row>
    <row r="29" spans="1:5" x14ac:dyDescent="0.25">
      <c r="A29" s="57"/>
      <c r="B29" s="80"/>
      <c r="C29" s="81"/>
      <c r="D29" s="81"/>
    </row>
    <row r="30" spans="1:5" x14ac:dyDescent="0.25">
      <c r="A30" s="201"/>
      <c r="B30" s="201"/>
      <c r="C30" s="81"/>
      <c r="D30" s="81"/>
    </row>
  </sheetData>
  <mergeCells count="25">
    <mergeCell ref="A21:B21"/>
    <mergeCell ref="C21:D21"/>
    <mergeCell ref="C15:D15"/>
    <mergeCell ref="C16:D16"/>
    <mergeCell ref="C17:D17"/>
    <mergeCell ref="C18:D18"/>
    <mergeCell ref="A20:B20"/>
    <mergeCell ref="C20:D20"/>
    <mergeCell ref="C14:D14"/>
    <mergeCell ref="A1:D1"/>
    <mergeCell ref="A3:D3"/>
    <mergeCell ref="A4:D4"/>
    <mergeCell ref="A5:D5"/>
    <mergeCell ref="C6:D6"/>
    <mergeCell ref="C7:D7"/>
    <mergeCell ref="A8:A10"/>
    <mergeCell ref="C8:D10"/>
    <mergeCell ref="C11:D11"/>
    <mergeCell ref="C12:D12"/>
    <mergeCell ref="C13:D13"/>
    <mergeCell ref="C23:D23"/>
    <mergeCell ref="C25:D25"/>
    <mergeCell ref="A27:B27"/>
    <mergeCell ref="A28:B28"/>
    <mergeCell ref="A30:B30"/>
  </mergeCells>
  <pageMargins left="0.70866141732283472" right="0.70866141732283472" top="0.74803149606299213" bottom="0.74803149606299213" header="0.31496062992125984" footer="0.31496062992125984"/>
  <pageSetup paperSize="9" scale="91" fitToHeight="0"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view="pageBreakPreview" zoomScale="60" zoomScaleNormal="100" workbookViewId="0">
      <selection activeCell="T13" sqref="T13"/>
    </sheetView>
  </sheetViews>
  <sheetFormatPr defaultRowHeight="15" x14ac:dyDescent="0.25"/>
  <cols>
    <col min="1" max="1" width="19.5703125" customWidth="1"/>
    <col min="2" max="2" width="52.42578125" customWidth="1"/>
    <col min="3" max="3" width="14.28515625" style="7" customWidth="1"/>
    <col min="4" max="4" width="4.7109375" customWidth="1"/>
    <col min="5" max="5" width="25.85546875" style="9" customWidth="1"/>
    <col min="8" max="8" width="7.42578125" bestFit="1" customWidth="1"/>
    <col min="257" max="257" width="19.5703125" customWidth="1"/>
    <col min="258" max="258" width="52.42578125" customWidth="1"/>
    <col min="259" max="259" width="18.42578125" customWidth="1"/>
    <col min="261" max="261" width="25.85546875" customWidth="1"/>
    <col min="264" max="264" width="7.42578125" bestFit="1" customWidth="1"/>
    <col min="513" max="513" width="19.5703125" customWidth="1"/>
    <col min="514" max="514" width="52.42578125" customWidth="1"/>
    <col min="515" max="515" width="18.42578125" customWidth="1"/>
    <col min="517" max="517" width="25.85546875" customWidth="1"/>
    <col min="520" max="520" width="7.42578125" bestFit="1" customWidth="1"/>
    <col min="769" max="769" width="19.5703125" customWidth="1"/>
    <col min="770" max="770" width="52.42578125" customWidth="1"/>
    <col min="771" max="771" width="18.42578125" customWidth="1"/>
    <col min="773" max="773" width="25.85546875" customWidth="1"/>
    <col min="776" max="776" width="7.42578125" bestFit="1" customWidth="1"/>
    <col min="1025" max="1025" width="19.5703125" customWidth="1"/>
    <col min="1026" max="1026" width="52.42578125" customWidth="1"/>
    <col min="1027" max="1027" width="18.42578125" customWidth="1"/>
    <col min="1029" max="1029" width="25.85546875" customWidth="1"/>
    <col min="1032" max="1032" width="7.42578125" bestFit="1" customWidth="1"/>
    <col min="1281" max="1281" width="19.5703125" customWidth="1"/>
    <col min="1282" max="1282" width="52.42578125" customWidth="1"/>
    <col min="1283" max="1283" width="18.42578125" customWidth="1"/>
    <col min="1285" max="1285" width="25.85546875" customWidth="1"/>
    <col min="1288" max="1288" width="7.42578125" bestFit="1" customWidth="1"/>
    <col min="1537" max="1537" width="19.5703125" customWidth="1"/>
    <col min="1538" max="1538" width="52.42578125" customWidth="1"/>
    <col min="1539" max="1539" width="18.42578125" customWidth="1"/>
    <col min="1541" max="1541" width="25.85546875" customWidth="1"/>
    <col min="1544" max="1544" width="7.42578125" bestFit="1" customWidth="1"/>
    <col min="1793" max="1793" width="19.5703125" customWidth="1"/>
    <col min="1794" max="1794" width="52.42578125" customWidth="1"/>
    <col min="1795" max="1795" width="18.42578125" customWidth="1"/>
    <col min="1797" max="1797" width="25.85546875" customWidth="1"/>
    <col min="1800" max="1800" width="7.42578125" bestFit="1" customWidth="1"/>
    <col min="2049" max="2049" width="19.5703125" customWidth="1"/>
    <col min="2050" max="2050" width="52.42578125" customWidth="1"/>
    <col min="2051" max="2051" width="18.42578125" customWidth="1"/>
    <col min="2053" max="2053" width="25.85546875" customWidth="1"/>
    <col min="2056" max="2056" width="7.42578125" bestFit="1" customWidth="1"/>
    <col min="2305" max="2305" width="19.5703125" customWidth="1"/>
    <col min="2306" max="2306" width="52.42578125" customWidth="1"/>
    <col min="2307" max="2307" width="18.42578125" customWidth="1"/>
    <col min="2309" max="2309" width="25.85546875" customWidth="1"/>
    <col min="2312" max="2312" width="7.42578125" bestFit="1" customWidth="1"/>
    <col min="2561" max="2561" width="19.5703125" customWidth="1"/>
    <col min="2562" max="2562" width="52.42578125" customWidth="1"/>
    <col min="2563" max="2563" width="18.42578125" customWidth="1"/>
    <col min="2565" max="2565" width="25.85546875" customWidth="1"/>
    <col min="2568" max="2568" width="7.42578125" bestFit="1" customWidth="1"/>
    <col min="2817" max="2817" width="19.5703125" customWidth="1"/>
    <col min="2818" max="2818" width="52.42578125" customWidth="1"/>
    <col min="2819" max="2819" width="18.42578125" customWidth="1"/>
    <col min="2821" max="2821" width="25.85546875" customWidth="1"/>
    <col min="2824" max="2824" width="7.42578125" bestFit="1" customWidth="1"/>
    <col min="3073" max="3073" width="19.5703125" customWidth="1"/>
    <col min="3074" max="3074" width="52.42578125" customWidth="1"/>
    <col min="3075" max="3075" width="18.42578125" customWidth="1"/>
    <col min="3077" max="3077" width="25.85546875" customWidth="1"/>
    <col min="3080" max="3080" width="7.42578125" bestFit="1" customWidth="1"/>
    <col min="3329" max="3329" width="19.5703125" customWidth="1"/>
    <col min="3330" max="3330" width="52.42578125" customWidth="1"/>
    <col min="3331" max="3331" width="18.42578125" customWidth="1"/>
    <col min="3333" max="3333" width="25.85546875" customWidth="1"/>
    <col min="3336" max="3336" width="7.42578125" bestFit="1" customWidth="1"/>
    <col min="3585" max="3585" width="19.5703125" customWidth="1"/>
    <col min="3586" max="3586" width="52.42578125" customWidth="1"/>
    <col min="3587" max="3587" width="18.42578125" customWidth="1"/>
    <col min="3589" max="3589" width="25.85546875" customWidth="1"/>
    <col min="3592" max="3592" width="7.42578125" bestFit="1" customWidth="1"/>
    <col min="3841" max="3841" width="19.5703125" customWidth="1"/>
    <col min="3842" max="3842" width="52.42578125" customWidth="1"/>
    <col min="3843" max="3843" width="18.42578125" customWidth="1"/>
    <col min="3845" max="3845" width="25.85546875" customWidth="1"/>
    <col min="3848" max="3848" width="7.42578125" bestFit="1" customWidth="1"/>
    <col min="4097" max="4097" width="19.5703125" customWidth="1"/>
    <col min="4098" max="4098" width="52.42578125" customWidth="1"/>
    <col min="4099" max="4099" width="18.42578125" customWidth="1"/>
    <col min="4101" max="4101" width="25.85546875" customWidth="1"/>
    <col min="4104" max="4104" width="7.42578125" bestFit="1" customWidth="1"/>
    <col min="4353" max="4353" width="19.5703125" customWidth="1"/>
    <col min="4354" max="4354" width="52.42578125" customWidth="1"/>
    <col min="4355" max="4355" width="18.42578125" customWidth="1"/>
    <col min="4357" max="4357" width="25.85546875" customWidth="1"/>
    <col min="4360" max="4360" width="7.42578125" bestFit="1" customWidth="1"/>
    <col min="4609" max="4609" width="19.5703125" customWidth="1"/>
    <col min="4610" max="4610" width="52.42578125" customWidth="1"/>
    <col min="4611" max="4611" width="18.42578125" customWidth="1"/>
    <col min="4613" max="4613" width="25.85546875" customWidth="1"/>
    <col min="4616" max="4616" width="7.42578125" bestFit="1" customWidth="1"/>
    <col min="4865" max="4865" width="19.5703125" customWidth="1"/>
    <col min="4866" max="4866" width="52.42578125" customWidth="1"/>
    <col min="4867" max="4867" width="18.42578125" customWidth="1"/>
    <col min="4869" max="4869" width="25.85546875" customWidth="1"/>
    <col min="4872" max="4872" width="7.42578125" bestFit="1" customWidth="1"/>
    <col min="5121" max="5121" width="19.5703125" customWidth="1"/>
    <col min="5122" max="5122" width="52.42578125" customWidth="1"/>
    <col min="5123" max="5123" width="18.42578125" customWidth="1"/>
    <col min="5125" max="5125" width="25.85546875" customWidth="1"/>
    <col min="5128" max="5128" width="7.42578125" bestFit="1" customWidth="1"/>
    <col min="5377" max="5377" width="19.5703125" customWidth="1"/>
    <col min="5378" max="5378" width="52.42578125" customWidth="1"/>
    <col min="5379" max="5379" width="18.42578125" customWidth="1"/>
    <col min="5381" max="5381" width="25.85546875" customWidth="1"/>
    <col min="5384" max="5384" width="7.42578125" bestFit="1" customWidth="1"/>
    <col min="5633" max="5633" width="19.5703125" customWidth="1"/>
    <col min="5634" max="5634" width="52.42578125" customWidth="1"/>
    <col min="5635" max="5635" width="18.42578125" customWidth="1"/>
    <col min="5637" max="5637" width="25.85546875" customWidth="1"/>
    <col min="5640" max="5640" width="7.42578125" bestFit="1" customWidth="1"/>
    <col min="5889" max="5889" width="19.5703125" customWidth="1"/>
    <col min="5890" max="5890" width="52.42578125" customWidth="1"/>
    <col min="5891" max="5891" width="18.42578125" customWidth="1"/>
    <col min="5893" max="5893" width="25.85546875" customWidth="1"/>
    <col min="5896" max="5896" width="7.42578125" bestFit="1" customWidth="1"/>
    <col min="6145" max="6145" width="19.5703125" customWidth="1"/>
    <col min="6146" max="6146" width="52.42578125" customWidth="1"/>
    <col min="6147" max="6147" width="18.42578125" customWidth="1"/>
    <col min="6149" max="6149" width="25.85546875" customWidth="1"/>
    <col min="6152" max="6152" width="7.42578125" bestFit="1" customWidth="1"/>
    <col min="6401" max="6401" width="19.5703125" customWidth="1"/>
    <col min="6402" max="6402" width="52.42578125" customWidth="1"/>
    <col min="6403" max="6403" width="18.42578125" customWidth="1"/>
    <col min="6405" max="6405" width="25.85546875" customWidth="1"/>
    <col min="6408" max="6408" width="7.42578125" bestFit="1" customWidth="1"/>
    <col min="6657" max="6657" width="19.5703125" customWidth="1"/>
    <col min="6658" max="6658" width="52.42578125" customWidth="1"/>
    <col min="6659" max="6659" width="18.42578125" customWidth="1"/>
    <col min="6661" max="6661" width="25.85546875" customWidth="1"/>
    <col min="6664" max="6664" width="7.42578125" bestFit="1" customWidth="1"/>
    <col min="6913" max="6913" width="19.5703125" customWidth="1"/>
    <col min="6914" max="6914" width="52.42578125" customWidth="1"/>
    <col min="6915" max="6915" width="18.42578125" customWidth="1"/>
    <col min="6917" max="6917" width="25.85546875" customWidth="1"/>
    <col min="6920" max="6920" width="7.42578125" bestFit="1" customWidth="1"/>
    <col min="7169" max="7169" width="19.5703125" customWidth="1"/>
    <col min="7170" max="7170" width="52.42578125" customWidth="1"/>
    <col min="7171" max="7171" width="18.42578125" customWidth="1"/>
    <col min="7173" max="7173" width="25.85546875" customWidth="1"/>
    <col min="7176" max="7176" width="7.42578125" bestFit="1" customWidth="1"/>
    <col min="7425" max="7425" width="19.5703125" customWidth="1"/>
    <col min="7426" max="7426" width="52.42578125" customWidth="1"/>
    <col min="7427" max="7427" width="18.42578125" customWidth="1"/>
    <col min="7429" max="7429" width="25.85546875" customWidth="1"/>
    <col min="7432" max="7432" width="7.42578125" bestFit="1" customWidth="1"/>
    <col min="7681" max="7681" width="19.5703125" customWidth="1"/>
    <col min="7682" max="7682" width="52.42578125" customWidth="1"/>
    <col min="7683" max="7683" width="18.42578125" customWidth="1"/>
    <col min="7685" max="7685" width="25.85546875" customWidth="1"/>
    <col min="7688" max="7688" width="7.42578125" bestFit="1" customWidth="1"/>
    <col min="7937" max="7937" width="19.5703125" customWidth="1"/>
    <col min="7938" max="7938" width="52.42578125" customWidth="1"/>
    <col min="7939" max="7939" width="18.42578125" customWidth="1"/>
    <col min="7941" max="7941" width="25.85546875" customWidth="1"/>
    <col min="7944" max="7944" width="7.42578125" bestFit="1" customWidth="1"/>
    <col min="8193" max="8193" width="19.5703125" customWidth="1"/>
    <col min="8194" max="8194" width="52.42578125" customWidth="1"/>
    <col min="8195" max="8195" width="18.42578125" customWidth="1"/>
    <col min="8197" max="8197" width="25.85546875" customWidth="1"/>
    <col min="8200" max="8200" width="7.42578125" bestFit="1" customWidth="1"/>
    <col min="8449" max="8449" width="19.5703125" customWidth="1"/>
    <col min="8450" max="8450" width="52.42578125" customWidth="1"/>
    <col min="8451" max="8451" width="18.42578125" customWidth="1"/>
    <col min="8453" max="8453" width="25.85546875" customWidth="1"/>
    <col min="8456" max="8456" width="7.42578125" bestFit="1" customWidth="1"/>
    <col min="8705" max="8705" width="19.5703125" customWidth="1"/>
    <col min="8706" max="8706" width="52.42578125" customWidth="1"/>
    <col min="8707" max="8707" width="18.42578125" customWidth="1"/>
    <col min="8709" max="8709" width="25.85546875" customWidth="1"/>
    <col min="8712" max="8712" width="7.42578125" bestFit="1" customWidth="1"/>
    <col min="8961" max="8961" width="19.5703125" customWidth="1"/>
    <col min="8962" max="8962" width="52.42578125" customWidth="1"/>
    <col min="8963" max="8963" width="18.42578125" customWidth="1"/>
    <col min="8965" max="8965" width="25.85546875" customWidth="1"/>
    <col min="8968" max="8968" width="7.42578125" bestFit="1" customWidth="1"/>
    <col min="9217" max="9217" width="19.5703125" customWidth="1"/>
    <col min="9218" max="9218" width="52.42578125" customWidth="1"/>
    <col min="9219" max="9219" width="18.42578125" customWidth="1"/>
    <col min="9221" max="9221" width="25.85546875" customWidth="1"/>
    <col min="9224" max="9224" width="7.42578125" bestFit="1" customWidth="1"/>
    <col min="9473" max="9473" width="19.5703125" customWidth="1"/>
    <col min="9474" max="9474" width="52.42578125" customWidth="1"/>
    <col min="9475" max="9475" width="18.42578125" customWidth="1"/>
    <col min="9477" max="9477" width="25.85546875" customWidth="1"/>
    <col min="9480" max="9480" width="7.42578125" bestFit="1" customWidth="1"/>
    <col min="9729" max="9729" width="19.5703125" customWidth="1"/>
    <col min="9730" max="9730" width="52.42578125" customWidth="1"/>
    <col min="9731" max="9731" width="18.42578125" customWidth="1"/>
    <col min="9733" max="9733" width="25.85546875" customWidth="1"/>
    <col min="9736" max="9736" width="7.42578125" bestFit="1" customWidth="1"/>
    <col min="9985" max="9985" width="19.5703125" customWidth="1"/>
    <col min="9986" max="9986" width="52.42578125" customWidth="1"/>
    <col min="9987" max="9987" width="18.42578125" customWidth="1"/>
    <col min="9989" max="9989" width="25.85546875" customWidth="1"/>
    <col min="9992" max="9992" width="7.42578125" bestFit="1" customWidth="1"/>
    <col min="10241" max="10241" width="19.5703125" customWidth="1"/>
    <col min="10242" max="10242" width="52.42578125" customWidth="1"/>
    <col min="10243" max="10243" width="18.42578125" customWidth="1"/>
    <col min="10245" max="10245" width="25.85546875" customWidth="1"/>
    <col min="10248" max="10248" width="7.42578125" bestFit="1" customWidth="1"/>
    <col min="10497" max="10497" width="19.5703125" customWidth="1"/>
    <col min="10498" max="10498" width="52.42578125" customWidth="1"/>
    <col min="10499" max="10499" width="18.42578125" customWidth="1"/>
    <col min="10501" max="10501" width="25.85546875" customWidth="1"/>
    <col min="10504" max="10504" width="7.42578125" bestFit="1" customWidth="1"/>
    <col min="10753" max="10753" width="19.5703125" customWidth="1"/>
    <col min="10754" max="10754" width="52.42578125" customWidth="1"/>
    <col min="10755" max="10755" width="18.42578125" customWidth="1"/>
    <col min="10757" max="10757" width="25.85546875" customWidth="1"/>
    <col min="10760" max="10760" width="7.42578125" bestFit="1" customWidth="1"/>
    <col min="11009" max="11009" width="19.5703125" customWidth="1"/>
    <col min="11010" max="11010" width="52.42578125" customWidth="1"/>
    <col min="11011" max="11011" width="18.42578125" customWidth="1"/>
    <col min="11013" max="11013" width="25.85546875" customWidth="1"/>
    <col min="11016" max="11016" width="7.42578125" bestFit="1" customWidth="1"/>
    <col min="11265" max="11265" width="19.5703125" customWidth="1"/>
    <col min="11266" max="11266" width="52.42578125" customWidth="1"/>
    <col min="11267" max="11267" width="18.42578125" customWidth="1"/>
    <col min="11269" max="11269" width="25.85546875" customWidth="1"/>
    <col min="11272" max="11272" width="7.42578125" bestFit="1" customWidth="1"/>
    <col min="11521" max="11521" width="19.5703125" customWidth="1"/>
    <col min="11522" max="11522" width="52.42578125" customWidth="1"/>
    <col min="11523" max="11523" width="18.42578125" customWidth="1"/>
    <col min="11525" max="11525" width="25.85546875" customWidth="1"/>
    <col min="11528" max="11528" width="7.42578125" bestFit="1" customWidth="1"/>
    <col min="11777" max="11777" width="19.5703125" customWidth="1"/>
    <col min="11778" max="11778" width="52.42578125" customWidth="1"/>
    <col min="11779" max="11779" width="18.42578125" customWidth="1"/>
    <col min="11781" max="11781" width="25.85546875" customWidth="1"/>
    <col min="11784" max="11784" width="7.42578125" bestFit="1" customWidth="1"/>
    <col min="12033" max="12033" width="19.5703125" customWidth="1"/>
    <col min="12034" max="12034" width="52.42578125" customWidth="1"/>
    <col min="12035" max="12035" width="18.42578125" customWidth="1"/>
    <col min="12037" max="12037" width="25.85546875" customWidth="1"/>
    <col min="12040" max="12040" width="7.42578125" bestFit="1" customWidth="1"/>
    <col min="12289" max="12289" width="19.5703125" customWidth="1"/>
    <col min="12290" max="12290" width="52.42578125" customWidth="1"/>
    <col min="12291" max="12291" width="18.42578125" customWidth="1"/>
    <col min="12293" max="12293" width="25.85546875" customWidth="1"/>
    <col min="12296" max="12296" width="7.42578125" bestFit="1" customWidth="1"/>
    <col min="12545" max="12545" width="19.5703125" customWidth="1"/>
    <col min="12546" max="12546" width="52.42578125" customWidth="1"/>
    <col min="12547" max="12547" width="18.42578125" customWidth="1"/>
    <col min="12549" max="12549" width="25.85546875" customWidth="1"/>
    <col min="12552" max="12552" width="7.42578125" bestFit="1" customWidth="1"/>
    <col min="12801" max="12801" width="19.5703125" customWidth="1"/>
    <col min="12802" max="12802" width="52.42578125" customWidth="1"/>
    <col min="12803" max="12803" width="18.42578125" customWidth="1"/>
    <col min="12805" max="12805" width="25.85546875" customWidth="1"/>
    <col min="12808" max="12808" width="7.42578125" bestFit="1" customWidth="1"/>
    <col min="13057" max="13057" width="19.5703125" customWidth="1"/>
    <col min="13058" max="13058" width="52.42578125" customWidth="1"/>
    <col min="13059" max="13059" width="18.42578125" customWidth="1"/>
    <col min="13061" max="13061" width="25.85546875" customWidth="1"/>
    <col min="13064" max="13064" width="7.42578125" bestFit="1" customWidth="1"/>
    <col min="13313" max="13313" width="19.5703125" customWidth="1"/>
    <col min="13314" max="13314" width="52.42578125" customWidth="1"/>
    <col min="13315" max="13315" width="18.42578125" customWidth="1"/>
    <col min="13317" max="13317" width="25.85546875" customWidth="1"/>
    <col min="13320" max="13320" width="7.42578125" bestFit="1" customWidth="1"/>
    <col min="13569" max="13569" width="19.5703125" customWidth="1"/>
    <col min="13570" max="13570" width="52.42578125" customWidth="1"/>
    <col min="13571" max="13571" width="18.42578125" customWidth="1"/>
    <col min="13573" max="13573" width="25.85546875" customWidth="1"/>
    <col min="13576" max="13576" width="7.42578125" bestFit="1" customWidth="1"/>
    <col min="13825" max="13825" width="19.5703125" customWidth="1"/>
    <col min="13826" max="13826" width="52.42578125" customWidth="1"/>
    <col min="13827" max="13827" width="18.42578125" customWidth="1"/>
    <col min="13829" max="13829" width="25.85546875" customWidth="1"/>
    <col min="13832" max="13832" width="7.42578125" bestFit="1" customWidth="1"/>
    <col min="14081" max="14081" width="19.5703125" customWidth="1"/>
    <col min="14082" max="14082" width="52.42578125" customWidth="1"/>
    <col min="14083" max="14083" width="18.42578125" customWidth="1"/>
    <col min="14085" max="14085" width="25.85546875" customWidth="1"/>
    <col min="14088" max="14088" width="7.42578125" bestFit="1" customWidth="1"/>
    <col min="14337" max="14337" width="19.5703125" customWidth="1"/>
    <col min="14338" max="14338" width="52.42578125" customWidth="1"/>
    <col min="14339" max="14339" width="18.42578125" customWidth="1"/>
    <col min="14341" max="14341" width="25.85546875" customWidth="1"/>
    <col min="14344" max="14344" width="7.42578125" bestFit="1" customWidth="1"/>
    <col min="14593" max="14593" width="19.5703125" customWidth="1"/>
    <col min="14594" max="14594" width="52.42578125" customWidth="1"/>
    <col min="14595" max="14595" width="18.42578125" customWidth="1"/>
    <col min="14597" max="14597" width="25.85546875" customWidth="1"/>
    <col min="14600" max="14600" width="7.42578125" bestFit="1" customWidth="1"/>
    <col min="14849" max="14849" width="19.5703125" customWidth="1"/>
    <col min="14850" max="14850" width="52.42578125" customWidth="1"/>
    <col min="14851" max="14851" width="18.42578125" customWidth="1"/>
    <col min="14853" max="14853" width="25.85546875" customWidth="1"/>
    <col min="14856" max="14856" width="7.42578125" bestFit="1" customWidth="1"/>
    <col min="15105" max="15105" width="19.5703125" customWidth="1"/>
    <col min="15106" max="15106" width="52.42578125" customWidth="1"/>
    <col min="15107" max="15107" width="18.42578125" customWidth="1"/>
    <col min="15109" max="15109" width="25.85546875" customWidth="1"/>
    <col min="15112" max="15112" width="7.42578125" bestFit="1" customWidth="1"/>
    <col min="15361" max="15361" width="19.5703125" customWidth="1"/>
    <col min="15362" max="15362" width="52.42578125" customWidth="1"/>
    <col min="15363" max="15363" width="18.42578125" customWidth="1"/>
    <col min="15365" max="15365" width="25.85546875" customWidth="1"/>
    <col min="15368" max="15368" width="7.42578125" bestFit="1" customWidth="1"/>
    <col min="15617" max="15617" width="19.5703125" customWidth="1"/>
    <col min="15618" max="15618" width="52.42578125" customWidth="1"/>
    <col min="15619" max="15619" width="18.42578125" customWidth="1"/>
    <col min="15621" max="15621" width="25.85546875" customWidth="1"/>
    <col min="15624" max="15624" width="7.42578125" bestFit="1" customWidth="1"/>
    <col min="15873" max="15873" width="19.5703125" customWidth="1"/>
    <col min="15874" max="15874" width="52.42578125" customWidth="1"/>
    <col min="15875" max="15875" width="18.42578125" customWidth="1"/>
    <col min="15877" max="15877" width="25.85546875" customWidth="1"/>
    <col min="15880" max="15880" width="7.42578125" bestFit="1" customWidth="1"/>
    <col min="16129" max="16129" width="19.5703125" customWidth="1"/>
    <col min="16130" max="16130" width="52.42578125" customWidth="1"/>
    <col min="16131" max="16131" width="18.42578125" customWidth="1"/>
    <col min="16133" max="16133" width="25.85546875" customWidth="1"/>
    <col min="16136" max="16136" width="7.42578125" bestFit="1" customWidth="1"/>
  </cols>
  <sheetData>
    <row r="1" spans="1:5" ht="14.45" customHeight="1" x14ac:dyDescent="0.25">
      <c r="A1" s="217" t="s">
        <v>0</v>
      </c>
      <c r="B1" s="217"/>
      <c r="C1" s="217"/>
      <c r="D1" s="217"/>
    </row>
    <row r="2" spans="1:5" ht="15.75" x14ac:dyDescent="0.25">
      <c r="D2" s="29"/>
    </row>
    <row r="3" spans="1:5" ht="16.5" customHeight="1" x14ac:dyDescent="0.25">
      <c r="A3" s="281" t="s">
        <v>26</v>
      </c>
      <c r="B3" s="281"/>
      <c r="C3" s="281"/>
      <c r="D3" s="281"/>
    </row>
    <row r="4" spans="1:5" ht="15.75" x14ac:dyDescent="0.25">
      <c r="D4" s="30"/>
    </row>
    <row r="5" spans="1:5" ht="48.75" customHeight="1" x14ac:dyDescent="0.25">
      <c r="A5" s="281" t="s">
        <v>246</v>
      </c>
      <c r="B5" s="281"/>
      <c r="C5" s="281"/>
      <c r="D5" s="281"/>
    </row>
    <row r="6" spans="1:5" ht="15.75" x14ac:dyDescent="0.25">
      <c r="D6" s="30"/>
    </row>
    <row r="7" spans="1:5" ht="16.5" thickBot="1" x14ac:dyDescent="0.3">
      <c r="A7" s="219" t="s">
        <v>27</v>
      </c>
      <c r="B7" s="219"/>
      <c r="C7" s="219"/>
      <c r="D7" s="219"/>
    </row>
    <row r="8" spans="1:5" ht="76.5" customHeight="1" thickBot="1" x14ac:dyDescent="0.3">
      <c r="A8" s="31" t="s">
        <v>2</v>
      </c>
      <c r="B8" s="32" t="s">
        <v>3</v>
      </c>
      <c r="C8" s="272" t="s">
        <v>4</v>
      </c>
      <c r="D8" s="273"/>
    </row>
    <row r="9" spans="1:5" ht="16.5" thickBot="1" x14ac:dyDescent="0.3">
      <c r="A9" s="33"/>
      <c r="B9" s="34" t="s">
        <v>5</v>
      </c>
      <c r="C9" s="220"/>
      <c r="D9" s="221"/>
    </row>
    <row r="10" spans="1:5" ht="81.75" customHeight="1" x14ac:dyDescent="0.25">
      <c r="A10" s="210" t="s">
        <v>6</v>
      </c>
      <c r="B10" s="65" t="s">
        <v>516</v>
      </c>
      <c r="C10" s="204">
        <f>21+2</f>
        <v>23</v>
      </c>
      <c r="D10" s="205"/>
    </row>
    <row r="11" spans="1:5" ht="66" customHeight="1" x14ac:dyDescent="0.25">
      <c r="A11" s="211"/>
      <c r="B11" s="63" t="s">
        <v>518</v>
      </c>
      <c r="C11" s="204"/>
      <c r="D11" s="205"/>
    </row>
    <row r="12" spans="1:5" ht="16.5" thickBot="1" x14ac:dyDescent="0.3">
      <c r="A12" s="212"/>
      <c r="B12" s="36" t="s">
        <v>324</v>
      </c>
      <c r="C12" s="204"/>
      <c r="D12" s="205"/>
    </row>
    <row r="13" spans="1:5" ht="48" thickBot="1" x14ac:dyDescent="0.3">
      <c r="A13" s="37" t="s">
        <v>7</v>
      </c>
      <c r="B13" s="36" t="s">
        <v>209</v>
      </c>
      <c r="C13" s="204">
        <f>C10*0.2359</f>
        <v>5.4257</v>
      </c>
      <c r="D13" s="205"/>
    </row>
    <row r="14" spans="1:5" ht="16.5" thickBot="1" x14ac:dyDescent="0.3">
      <c r="A14" s="37"/>
      <c r="B14" s="38" t="s">
        <v>9</v>
      </c>
      <c r="C14" s="204">
        <f>SUM(C10:D13)</f>
        <v>28.425699999999999</v>
      </c>
      <c r="D14" s="205"/>
      <c r="E14" s="39"/>
    </row>
    <row r="15" spans="1:5" ht="16.5" thickBot="1" x14ac:dyDescent="0.3">
      <c r="A15" s="37"/>
      <c r="B15" s="38" t="s">
        <v>10</v>
      </c>
      <c r="C15" s="204"/>
      <c r="D15" s="205"/>
    </row>
    <row r="16" spans="1:5" ht="143.25" customHeight="1" thickBot="1" x14ac:dyDescent="0.3">
      <c r="A16" s="37" t="s">
        <v>12</v>
      </c>
      <c r="B16" s="62" t="s">
        <v>372</v>
      </c>
      <c r="C16" s="204">
        <v>21.5</v>
      </c>
      <c r="D16" s="205"/>
    </row>
    <row r="17" spans="1:5" ht="16.5" thickBot="1" x14ac:dyDescent="0.3">
      <c r="A17" s="33"/>
      <c r="B17" s="34" t="s">
        <v>18</v>
      </c>
      <c r="C17" s="204">
        <f>SUM(C16:C16)</f>
        <v>21.5</v>
      </c>
      <c r="D17" s="205"/>
      <c r="E17" s="40"/>
    </row>
    <row r="18" spans="1:5" ht="16.5" thickBot="1" x14ac:dyDescent="0.3">
      <c r="A18" s="33"/>
      <c r="B18" s="41" t="s">
        <v>19</v>
      </c>
      <c r="C18" s="206">
        <f>SUM(C14,C17)</f>
        <v>49.925699999999999</v>
      </c>
      <c r="D18" s="207"/>
      <c r="E18" s="42"/>
    </row>
    <row r="19" spans="1:5" x14ac:dyDescent="0.25">
      <c r="A19" s="43"/>
      <c r="C19" s="8"/>
      <c r="E19" s="13"/>
    </row>
    <row r="20" spans="1:5" ht="15.75" x14ac:dyDescent="0.25">
      <c r="A20" s="213" t="s">
        <v>20</v>
      </c>
      <c r="B20" s="214"/>
      <c r="C20" s="224">
        <v>50</v>
      </c>
      <c r="D20" s="224"/>
      <c r="E20" s="44"/>
    </row>
    <row r="21" spans="1:5" ht="33" customHeight="1" x14ac:dyDescent="0.25">
      <c r="A21" s="215" t="s">
        <v>28</v>
      </c>
      <c r="B21" s="216"/>
      <c r="C21" s="225">
        <f>C18/C20</f>
        <v>0.99851400000000001</v>
      </c>
      <c r="D21" s="225"/>
      <c r="E21" s="45"/>
    </row>
    <row r="22" spans="1:5" ht="15.75" x14ac:dyDescent="0.25">
      <c r="A22" s="46"/>
    </row>
    <row r="23" spans="1:5" x14ac:dyDescent="0.25">
      <c r="A23" s="78"/>
      <c r="B23" s="78"/>
      <c r="C23" s="203"/>
      <c r="D23" s="203"/>
    </row>
    <row r="24" spans="1:5" x14ac:dyDescent="0.25">
      <c r="A24" s="78"/>
      <c r="B24" s="78"/>
      <c r="C24" s="79"/>
      <c r="D24" s="78"/>
    </row>
    <row r="25" spans="1:5" x14ac:dyDescent="0.25">
      <c r="A25" s="78"/>
      <c r="B25" s="78"/>
      <c r="C25" s="203"/>
      <c r="D25" s="203"/>
    </row>
    <row r="26" spans="1:5" x14ac:dyDescent="0.25">
      <c r="A26" s="78"/>
      <c r="B26" s="78"/>
      <c r="C26" s="78"/>
      <c r="D26" s="78"/>
    </row>
    <row r="27" spans="1:5" x14ac:dyDescent="0.25">
      <c r="A27" s="202"/>
      <c r="B27" s="202"/>
      <c r="C27" s="80"/>
      <c r="D27" s="80"/>
    </row>
    <row r="28" spans="1:5" x14ac:dyDescent="0.25">
      <c r="A28" s="201"/>
      <c r="B28" s="202"/>
      <c r="C28" s="80"/>
      <c r="D28" s="80"/>
    </row>
    <row r="29" spans="1:5" ht="15.75" customHeight="1" x14ac:dyDescent="0.25">
      <c r="A29" s="57"/>
      <c r="B29" s="80"/>
      <c r="C29" s="81"/>
      <c r="D29" s="81"/>
    </row>
    <row r="30" spans="1:5" x14ac:dyDescent="0.25">
      <c r="A30" s="201"/>
      <c r="B30" s="201"/>
      <c r="C30" s="81"/>
      <c r="D30" s="81"/>
    </row>
  </sheetData>
  <mergeCells count="23">
    <mergeCell ref="A1:D1"/>
    <mergeCell ref="A3:D3"/>
    <mergeCell ref="A5:D5"/>
    <mergeCell ref="A7:D7"/>
    <mergeCell ref="C8:D8"/>
    <mergeCell ref="C9:D9"/>
    <mergeCell ref="A10:A12"/>
    <mergeCell ref="C10:D12"/>
    <mergeCell ref="C13:D13"/>
    <mergeCell ref="C14:D14"/>
    <mergeCell ref="C15:D15"/>
    <mergeCell ref="A21:B21"/>
    <mergeCell ref="C21:D21"/>
    <mergeCell ref="C16:D16"/>
    <mergeCell ref="C17:D17"/>
    <mergeCell ref="C18:D18"/>
    <mergeCell ref="A20:B20"/>
    <mergeCell ref="C20:D20"/>
    <mergeCell ref="C23:D23"/>
    <mergeCell ref="C25:D25"/>
    <mergeCell ref="A27:B27"/>
    <mergeCell ref="A28:B28"/>
    <mergeCell ref="A30:B30"/>
  </mergeCells>
  <pageMargins left="0.70866141732283472" right="0.70866141732283472" top="0.74803149606299213" bottom="0.74803149606299213" header="0.31496062992125984" footer="0.31496062992125984"/>
  <pageSetup paperSize="9" scale="96" fitToHeight="0" orientation="portrait" r:id="rId1"/>
  <headerFooter>
    <oddFooter>&amp;C&amp;P</oddFoot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view="pageBreakPreview" zoomScale="60" zoomScaleNormal="100" workbookViewId="0">
      <selection activeCell="T13" sqref="T13"/>
    </sheetView>
  </sheetViews>
  <sheetFormatPr defaultRowHeight="15" x14ac:dyDescent="0.25"/>
  <cols>
    <col min="1" max="1" width="19.5703125" customWidth="1"/>
    <col min="2" max="2" width="52.42578125" customWidth="1"/>
    <col min="3" max="3" width="12.85546875" style="7" customWidth="1"/>
    <col min="4" max="4" width="4.28515625" customWidth="1"/>
    <col min="5" max="5" width="25.85546875" style="9" customWidth="1"/>
    <col min="8" max="8" width="7.42578125" bestFit="1" customWidth="1"/>
    <col min="257" max="257" width="19.5703125" customWidth="1"/>
    <col min="258" max="258" width="52.42578125" customWidth="1"/>
    <col min="259" max="259" width="18.42578125" customWidth="1"/>
    <col min="261" max="261" width="25.85546875" customWidth="1"/>
    <col min="264" max="264" width="7.42578125" bestFit="1" customWidth="1"/>
    <col min="513" max="513" width="19.5703125" customWidth="1"/>
    <col min="514" max="514" width="52.42578125" customWidth="1"/>
    <col min="515" max="515" width="18.42578125" customWidth="1"/>
    <col min="517" max="517" width="25.85546875" customWidth="1"/>
    <col min="520" max="520" width="7.42578125" bestFit="1" customWidth="1"/>
    <col min="769" max="769" width="19.5703125" customWidth="1"/>
    <col min="770" max="770" width="52.42578125" customWidth="1"/>
    <col min="771" max="771" width="18.42578125" customWidth="1"/>
    <col min="773" max="773" width="25.85546875" customWidth="1"/>
    <col min="776" max="776" width="7.42578125" bestFit="1" customWidth="1"/>
    <col min="1025" max="1025" width="19.5703125" customWidth="1"/>
    <col min="1026" max="1026" width="52.42578125" customWidth="1"/>
    <col min="1027" max="1027" width="18.42578125" customWidth="1"/>
    <col min="1029" max="1029" width="25.85546875" customWidth="1"/>
    <col min="1032" max="1032" width="7.42578125" bestFit="1" customWidth="1"/>
    <col min="1281" max="1281" width="19.5703125" customWidth="1"/>
    <col min="1282" max="1282" width="52.42578125" customWidth="1"/>
    <col min="1283" max="1283" width="18.42578125" customWidth="1"/>
    <col min="1285" max="1285" width="25.85546875" customWidth="1"/>
    <col min="1288" max="1288" width="7.42578125" bestFit="1" customWidth="1"/>
    <col min="1537" max="1537" width="19.5703125" customWidth="1"/>
    <col min="1538" max="1538" width="52.42578125" customWidth="1"/>
    <col min="1539" max="1539" width="18.42578125" customWidth="1"/>
    <col min="1541" max="1541" width="25.85546875" customWidth="1"/>
    <col min="1544" max="1544" width="7.42578125" bestFit="1" customWidth="1"/>
    <col min="1793" max="1793" width="19.5703125" customWidth="1"/>
    <col min="1794" max="1794" width="52.42578125" customWidth="1"/>
    <col min="1795" max="1795" width="18.42578125" customWidth="1"/>
    <col min="1797" max="1797" width="25.85546875" customWidth="1"/>
    <col min="1800" max="1800" width="7.42578125" bestFit="1" customWidth="1"/>
    <col min="2049" max="2049" width="19.5703125" customWidth="1"/>
    <col min="2050" max="2050" width="52.42578125" customWidth="1"/>
    <col min="2051" max="2051" width="18.42578125" customWidth="1"/>
    <col min="2053" max="2053" width="25.85546875" customWidth="1"/>
    <col min="2056" max="2056" width="7.42578125" bestFit="1" customWidth="1"/>
    <col min="2305" max="2305" width="19.5703125" customWidth="1"/>
    <col min="2306" max="2306" width="52.42578125" customWidth="1"/>
    <col min="2307" max="2307" width="18.42578125" customWidth="1"/>
    <col min="2309" max="2309" width="25.85546875" customWidth="1"/>
    <col min="2312" max="2312" width="7.42578125" bestFit="1" customWidth="1"/>
    <col min="2561" max="2561" width="19.5703125" customWidth="1"/>
    <col min="2562" max="2562" width="52.42578125" customWidth="1"/>
    <col min="2563" max="2563" width="18.42578125" customWidth="1"/>
    <col min="2565" max="2565" width="25.85546875" customWidth="1"/>
    <col min="2568" max="2568" width="7.42578125" bestFit="1" customWidth="1"/>
    <col min="2817" max="2817" width="19.5703125" customWidth="1"/>
    <col min="2818" max="2818" width="52.42578125" customWidth="1"/>
    <col min="2819" max="2819" width="18.42578125" customWidth="1"/>
    <col min="2821" max="2821" width="25.85546875" customWidth="1"/>
    <col min="2824" max="2824" width="7.42578125" bestFit="1" customWidth="1"/>
    <col min="3073" max="3073" width="19.5703125" customWidth="1"/>
    <col min="3074" max="3074" width="52.42578125" customWidth="1"/>
    <col min="3075" max="3075" width="18.42578125" customWidth="1"/>
    <col min="3077" max="3077" width="25.85546875" customWidth="1"/>
    <col min="3080" max="3080" width="7.42578125" bestFit="1" customWidth="1"/>
    <col min="3329" max="3329" width="19.5703125" customWidth="1"/>
    <col min="3330" max="3330" width="52.42578125" customWidth="1"/>
    <col min="3331" max="3331" width="18.42578125" customWidth="1"/>
    <col min="3333" max="3333" width="25.85546875" customWidth="1"/>
    <col min="3336" max="3336" width="7.42578125" bestFit="1" customWidth="1"/>
    <col min="3585" max="3585" width="19.5703125" customWidth="1"/>
    <col min="3586" max="3586" width="52.42578125" customWidth="1"/>
    <col min="3587" max="3587" width="18.42578125" customWidth="1"/>
    <col min="3589" max="3589" width="25.85546875" customWidth="1"/>
    <col min="3592" max="3592" width="7.42578125" bestFit="1" customWidth="1"/>
    <col min="3841" max="3841" width="19.5703125" customWidth="1"/>
    <col min="3842" max="3842" width="52.42578125" customWidth="1"/>
    <col min="3843" max="3843" width="18.42578125" customWidth="1"/>
    <col min="3845" max="3845" width="25.85546875" customWidth="1"/>
    <col min="3848" max="3848" width="7.42578125" bestFit="1" customWidth="1"/>
    <col min="4097" max="4097" width="19.5703125" customWidth="1"/>
    <col min="4098" max="4098" width="52.42578125" customWidth="1"/>
    <col min="4099" max="4099" width="18.42578125" customWidth="1"/>
    <col min="4101" max="4101" width="25.85546875" customWidth="1"/>
    <col min="4104" max="4104" width="7.42578125" bestFit="1" customWidth="1"/>
    <col min="4353" max="4353" width="19.5703125" customWidth="1"/>
    <col min="4354" max="4354" width="52.42578125" customWidth="1"/>
    <col min="4355" max="4355" width="18.42578125" customWidth="1"/>
    <col min="4357" max="4357" width="25.85546875" customWidth="1"/>
    <col min="4360" max="4360" width="7.42578125" bestFit="1" customWidth="1"/>
    <col min="4609" max="4609" width="19.5703125" customWidth="1"/>
    <col min="4610" max="4610" width="52.42578125" customWidth="1"/>
    <col min="4611" max="4611" width="18.42578125" customWidth="1"/>
    <col min="4613" max="4613" width="25.85546875" customWidth="1"/>
    <col min="4616" max="4616" width="7.42578125" bestFit="1" customWidth="1"/>
    <col min="4865" max="4865" width="19.5703125" customWidth="1"/>
    <col min="4866" max="4866" width="52.42578125" customWidth="1"/>
    <col min="4867" max="4867" width="18.42578125" customWidth="1"/>
    <col min="4869" max="4869" width="25.85546875" customWidth="1"/>
    <col min="4872" max="4872" width="7.42578125" bestFit="1" customWidth="1"/>
    <col min="5121" max="5121" width="19.5703125" customWidth="1"/>
    <col min="5122" max="5122" width="52.42578125" customWidth="1"/>
    <col min="5123" max="5123" width="18.42578125" customWidth="1"/>
    <col min="5125" max="5125" width="25.85546875" customWidth="1"/>
    <col min="5128" max="5128" width="7.42578125" bestFit="1" customWidth="1"/>
    <col min="5377" max="5377" width="19.5703125" customWidth="1"/>
    <col min="5378" max="5378" width="52.42578125" customWidth="1"/>
    <col min="5379" max="5379" width="18.42578125" customWidth="1"/>
    <col min="5381" max="5381" width="25.85546875" customWidth="1"/>
    <col min="5384" max="5384" width="7.42578125" bestFit="1" customWidth="1"/>
    <col min="5633" max="5633" width="19.5703125" customWidth="1"/>
    <col min="5634" max="5634" width="52.42578125" customWidth="1"/>
    <col min="5635" max="5635" width="18.42578125" customWidth="1"/>
    <col min="5637" max="5637" width="25.85546875" customWidth="1"/>
    <col min="5640" max="5640" width="7.42578125" bestFit="1" customWidth="1"/>
    <col min="5889" max="5889" width="19.5703125" customWidth="1"/>
    <col min="5890" max="5890" width="52.42578125" customWidth="1"/>
    <col min="5891" max="5891" width="18.42578125" customWidth="1"/>
    <col min="5893" max="5893" width="25.85546875" customWidth="1"/>
    <col min="5896" max="5896" width="7.42578125" bestFit="1" customWidth="1"/>
    <col min="6145" max="6145" width="19.5703125" customWidth="1"/>
    <col min="6146" max="6146" width="52.42578125" customWidth="1"/>
    <col min="6147" max="6147" width="18.42578125" customWidth="1"/>
    <col min="6149" max="6149" width="25.85546875" customWidth="1"/>
    <col min="6152" max="6152" width="7.42578125" bestFit="1" customWidth="1"/>
    <col min="6401" max="6401" width="19.5703125" customWidth="1"/>
    <col min="6402" max="6402" width="52.42578125" customWidth="1"/>
    <col min="6403" max="6403" width="18.42578125" customWidth="1"/>
    <col min="6405" max="6405" width="25.85546875" customWidth="1"/>
    <col min="6408" max="6408" width="7.42578125" bestFit="1" customWidth="1"/>
    <col min="6657" max="6657" width="19.5703125" customWidth="1"/>
    <col min="6658" max="6658" width="52.42578125" customWidth="1"/>
    <col min="6659" max="6659" width="18.42578125" customWidth="1"/>
    <col min="6661" max="6661" width="25.85546875" customWidth="1"/>
    <col min="6664" max="6664" width="7.42578125" bestFit="1" customWidth="1"/>
    <col min="6913" max="6913" width="19.5703125" customWidth="1"/>
    <col min="6914" max="6914" width="52.42578125" customWidth="1"/>
    <col min="6915" max="6915" width="18.42578125" customWidth="1"/>
    <col min="6917" max="6917" width="25.85546875" customWidth="1"/>
    <col min="6920" max="6920" width="7.42578125" bestFit="1" customWidth="1"/>
    <col min="7169" max="7169" width="19.5703125" customWidth="1"/>
    <col min="7170" max="7170" width="52.42578125" customWidth="1"/>
    <col min="7171" max="7171" width="18.42578125" customWidth="1"/>
    <col min="7173" max="7173" width="25.85546875" customWidth="1"/>
    <col min="7176" max="7176" width="7.42578125" bestFit="1" customWidth="1"/>
    <col min="7425" max="7425" width="19.5703125" customWidth="1"/>
    <col min="7426" max="7426" width="52.42578125" customWidth="1"/>
    <col min="7427" max="7427" width="18.42578125" customWidth="1"/>
    <col min="7429" max="7429" width="25.85546875" customWidth="1"/>
    <col min="7432" max="7432" width="7.42578125" bestFit="1" customWidth="1"/>
    <col min="7681" max="7681" width="19.5703125" customWidth="1"/>
    <col min="7682" max="7682" width="52.42578125" customWidth="1"/>
    <col min="7683" max="7683" width="18.42578125" customWidth="1"/>
    <col min="7685" max="7685" width="25.85546875" customWidth="1"/>
    <col min="7688" max="7688" width="7.42578125" bestFit="1" customWidth="1"/>
    <col min="7937" max="7937" width="19.5703125" customWidth="1"/>
    <col min="7938" max="7938" width="52.42578125" customWidth="1"/>
    <col min="7939" max="7939" width="18.42578125" customWidth="1"/>
    <col min="7941" max="7941" width="25.85546875" customWidth="1"/>
    <col min="7944" max="7944" width="7.42578125" bestFit="1" customWidth="1"/>
    <col min="8193" max="8193" width="19.5703125" customWidth="1"/>
    <col min="8194" max="8194" width="52.42578125" customWidth="1"/>
    <col min="8195" max="8195" width="18.42578125" customWidth="1"/>
    <col min="8197" max="8197" width="25.85546875" customWidth="1"/>
    <col min="8200" max="8200" width="7.42578125" bestFit="1" customWidth="1"/>
    <col min="8449" max="8449" width="19.5703125" customWidth="1"/>
    <col min="8450" max="8450" width="52.42578125" customWidth="1"/>
    <col min="8451" max="8451" width="18.42578125" customWidth="1"/>
    <col min="8453" max="8453" width="25.85546875" customWidth="1"/>
    <col min="8456" max="8456" width="7.42578125" bestFit="1" customWidth="1"/>
    <col min="8705" max="8705" width="19.5703125" customWidth="1"/>
    <col min="8706" max="8706" width="52.42578125" customWidth="1"/>
    <col min="8707" max="8707" width="18.42578125" customWidth="1"/>
    <col min="8709" max="8709" width="25.85546875" customWidth="1"/>
    <col min="8712" max="8712" width="7.42578125" bestFit="1" customWidth="1"/>
    <col min="8961" max="8961" width="19.5703125" customWidth="1"/>
    <col min="8962" max="8962" width="52.42578125" customWidth="1"/>
    <col min="8963" max="8963" width="18.42578125" customWidth="1"/>
    <col min="8965" max="8965" width="25.85546875" customWidth="1"/>
    <col min="8968" max="8968" width="7.42578125" bestFit="1" customWidth="1"/>
    <col min="9217" max="9217" width="19.5703125" customWidth="1"/>
    <col min="9218" max="9218" width="52.42578125" customWidth="1"/>
    <col min="9219" max="9219" width="18.42578125" customWidth="1"/>
    <col min="9221" max="9221" width="25.85546875" customWidth="1"/>
    <col min="9224" max="9224" width="7.42578125" bestFit="1" customWidth="1"/>
    <col min="9473" max="9473" width="19.5703125" customWidth="1"/>
    <col min="9474" max="9474" width="52.42578125" customWidth="1"/>
    <col min="9475" max="9475" width="18.42578125" customWidth="1"/>
    <col min="9477" max="9477" width="25.85546875" customWidth="1"/>
    <col min="9480" max="9480" width="7.42578125" bestFit="1" customWidth="1"/>
    <col min="9729" max="9729" width="19.5703125" customWidth="1"/>
    <col min="9730" max="9730" width="52.42578125" customWidth="1"/>
    <col min="9731" max="9731" width="18.42578125" customWidth="1"/>
    <col min="9733" max="9733" width="25.85546875" customWidth="1"/>
    <col min="9736" max="9736" width="7.42578125" bestFit="1" customWidth="1"/>
    <col min="9985" max="9985" width="19.5703125" customWidth="1"/>
    <col min="9986" max="9986" width="52.42578125" customWidth="1"/>
    <col min="9987" max="9987" width="18.42578125" customWidth="1"/>
    <col min="9989" max="9989" width="25.85546875" customWidth="1"/>
    <col min="9992" max="9992" width="7.42578125" bestFit="1" customWidth="1"/>
    <col min="10241" max="10241" width="19.5703125" customWidth="1"/>
    <col min="10242" max="10242" width="52.42578125" customWidth="1"/>
    <col min="10243" max="10243" width="18.42578125" customWidth="1"/>
    <col min="10245" max="10245" width="25.85546875" customWidth="1"/>
    <col min="10248" max="10248" width="7.42578125" bestFit="1" customWidth="1"/>
    <col min="10497" max="10497" width="19.5703125" customWidth="1"/>
    <col min="10498" max="10498" width="52.42578125" customWidth="1"/>
    <col min="10499" max="10499" width="18.42578125" customWidth="1"/>
    <col min="10501" max="10501" width="25.85546875" customWidth="1"/>
    <col min="10504" max="10504" width="7.42578125" bestFit="1" customWidth="1"/>
    <col min="10753" max="10753" width="19.5703125" customWidth="1"/>
    <col min="10754" max="10754" width="52.42578125" customWidth="1"/>
    <col min="10755" max="10755" width="18.42578125" customWidth="1"/>
    <col min="10757" max="10757" width="25.85546875" customWidth="1"/>
    <col min="10760" max="10760" width="7.42578125" bestFit="1" customWidth="1"/>
    <col min="11009" max="11009" width="19.5703125" customWidth="1"/>
    <col min="11010" max="11010" width="52.42578125" customWidth="1"/>
    <col min="11011" max="11011" width="18.42578125" customWidth="1"/>
    <col min="11013" max="11013" width="25.85546875" customWidth="1"/>
    <col min="11016" max="11016" width="7.42578125" bestFit="1" customWidth="1"/>
    <col min="11265" max="11265" width="19.5703125" customWidth="1"/>
    <col min="11266" max="11266" width="52.42578125" customWidth="1"/>
    <col min="11267" max="11267" width="18.42578125" customWidth="1"/>
    <col min="11269" max="11269" width="25.85546875" customWidth="1"/>
    <col min="11272" max="11272" width="7.42578125" bestFit="1" customWidth="1"/>
    <col min="11521" max="11521" width="19.5703125" customWidth="1"/>
    <col min="11522" max="11522" width="52.42578125" customWidth="1"/>
    <col min="11523" max="11523" width="18.42578125" customWidth="1"/>
    <col min="11525" max="11525" width="25.85546875" customWidth="1"/>
    <col min="11528" max="11528" width="7.42578125" bestFit="1" customWidth="1"/>
    <col min="11777" max="11777" width="19.5703125" customWidth="1"/>
    <col min="11778" max="11778" width="52.42578125" customWidth="1"/>
    <col min="11779" max="11779" width="18.42578125" customWidth="1"/>
    <col min="11781" max="11781" width="25.85546875" customWidth="1"/>
    <col min="11784" max="11784" width="7.42578125" bestFit="1" customWidth="1"/>
    <col min="12033" max="12033" width="19.5703125" customWidth="1"/>
    <col min="12034" max="12034" width="52.42578125" customWidth="1"/>
    <col min="12035" max="12035" width="18.42578125" customWidth="1"/>
    <col min="12037" max="12037" width="25.85546875" customWidth="1"/>
    <col min="12040" max="12040" width="7.42578125" bestFit="1" customWidth="1"/>
    <col min="12289" max="12289" width="19.5703125" customWidth="1"/>
    <col min="12290" max="12290" width="52.42578125" customWidth="1"/>
    <col min="12291" max="12291" width="18.42578125" customWidth="1"/>
    <col min="12293" max="12293" width="25.85546875" customWidth="1"/>
    <col min="12296" max="12296" width="7.42578125" bestFit="1" customWidth="1"/>
    <col min="12545" max="12545" width="19.5703125" customWidth="1"/>
    <col min="12546" max="12546" width="52.42578125" customWidth="1"/>
    <col min="12547" max="12547" width="18.42578125" customWidth="1"/>
    <col min="12549" max="12549" width="25.85546875" customWidth="1"/>
    <col min="12552" max="12552" width="7.42578125" bestFit="1" customWidth="1"/>
    <col min="12801" max="12801" width="19.5703125" customWidth="1"/>
    <col min="12802" max="12802" width="52.42578125" customWidth="1"/>
    <col min="12803" max="12803" width="18.42578125" customWidth="1"/>
    <col min="12805" max="12805" width="25.85546875" customWidth="1"/>
    <col min="12808" max="12808" width="7.42578125" bestFit="1" customWidth="1"/>
    <col min="13057" max="13057" width="19.5703125" customWidth="1"/>
    <col min="13058" max="13058" width="52.42578125" customWidth="1"/>
    <col min="13059" max="13059" width="18.42578125" customWidth="1"/>
    <col min="13061" max="13061" width="25.85546875" customWidth="1"/>
    <col min="13064" max="13064" width="7.42578125" bestFit="1" customWidth="1"/>
    <col min="13313" max="13313" width="19.5703125" customWidth="1"/>
    <col min="13314" max="13314" width="52.42578125" customWidth="1"/>
    <col min="13315" max="13315" width="18.42578125" customWidth="1"/>
    <col min="13317" max="13317" width="25.85546875" customWidth="1"/>
    <col min="13320" max="13320" width="7.42578125" bestFit="1" customWidth="1"/>
    <col min="13569" max="13569" width="19.5703125" customWidth="1"/>
    <col min="13570" max="13570" width="52.42578125" customWidth="1"/>
    <col min="13571" max="13571" width="18.42578125" customWidth="1"/>
    <col min="13573" max="13573" width="25.85546875" customWidth="1"/>
    <col min="13576" max="13576" width="7.42578125" bestFit="1" customWidth="1"/>
    <col min="13825" max="13825" width="19.5703125" customWidth="1"/>
    <col min="13826" max="13826" width="52.42578125" customWidth="1"/>
    <col min="13827" max="13827" width="18.42578125" customWidth="1"/>
    <col min="13829" max="13829" width="25.85546875" customWidth="1"/>
    <col min="13832" max="13832" width="7.42578125" bestFit="1" customWidth="1"/>
    <col min="14081" max="14081" width="19.5703125" customWidth="1"/>
    <col min="14082" max="14082" width="52.42578125" customWidth="1"/>
    <col min="14083" max="14083" width="18.42578125" customWidth="1"/>
    <col min="14085" max="14085" width="25.85546875" customWidth="1"/>
    <col min="14088" max="14088" width="7.42578125" bestFit="1" customWidth="1"/>
    <col min="14337" max="14337" width="19.5703125" customWidth="1"/>
    <col min="14338" max="14338" width="52.42578125" customWidth="1"/>
    <col min="14339" max="14339" width="18.42578125" customWidth="1"/>
    <col min="14341" max="14341" width="25.85546875" customWidth="1"/>
    <col min="14344" max="14344" width="7.42578125" bestFit="1" customWidth="1"/>
    <col min="14593" max="14593" width="19.5703125" customWidth="1"/>
    <col min="14594" max="14594" width="52.42578125" customWidth="1"/>
    <col min="14595" max="14595" width="18.42578125" customWidth="1"/>
    <col min="14597" max="14597" width="25.85546875" customWidth="1"/>
    <col min="14600" max="14600" width="7.42578125" bestFit="1" customWidth="1"/>
    <col min="14849" max="14849" width="19.5703125" customWidth="1"/>
    <col min="14850" max="14850" width="52.42578125" customWidth="1"/>
    <col min="14851" max="14851" width="18.42578125" customWidth="1"/>
    <col min="14853" max="14853" width="25.85546875" customWidth="1"/>
    <col min="14856" max="14856" width="7.42578125" bestFit="1" customWidth="1"/>
    <col min="15105" max="15105" width="19.5703125" customWidth="1"/>
    <col min="15106" max="15106" width="52.42578125" customWidth="1"/>
    <col min="15107" max="15107" width="18.42578125" customWidth="1"/>
    <col min="15109" max="15109" width="25.85546875" customWidth="1"/>
    <col min="15112" max="15112" width="7.42578125" bestFit="1" customWidth="1"/>
    <col min="15361" max="15361" width="19.5703125" customWidth="1"/>
    <col min="15362" max="15362" width="52.42578125" customWidth="1"/>
    <col min="15363" max="15363" width="18.42578125" customWidth="1"/>
    <col min="15365" max="15365" width="25.85546875" customWidth="1"/>
    <col min="15368" max="15368" width="7.42578125" bestFit="1" customWidth="1"/>
    <col min="15617" max="15617" width="19.5703125" customWidth="1"/>
    <col min="15618" max="15618" width="52.42578125" customWidth="1"/>
    <col min="15619" max="15619" width="18.42578125" customWidth="1"/>
    <col min="15621" max="15621" width="25.85546875" customWidth="1"/>
    <col min="15624" max="15624" width="7.42578125" bestFit="1" customWidth="1"/>
    <col min="15873" max="15873" width="19.5703125" customWidth="1"/>
    <col min="15874" max="15874" width="52.42578125" customWidth="1"/>
    <col min="15875" max="15875" width="18.42578125" customWidth="1"/>
    <col min="15877" max="15877" width="25.85546875" customWidth="1"/>
    <col min="15880" max="15880" width="7.42578125" bestFit="1" customWidth="1"/>
    <col min="16129" max="16129" width="19.5703125" customWidth="1"/>
    <col min="16130" max="16130" width="52.42578125" customWidth="1"/>
    <col min="16131" max="16131" width="18.42578125" customWidth="1"/>
    <col min="16133" max="16133" width="25.85546875" customWidth="1"/>
    <col min="16136" max="16136" width="7.42578125" bestFit="1" customWidth="1"/>
  </cols>
  <sheetData>
    <row r="1" spans="1:5" ht="14.45" customHeight="1" x14ac:dyDescent="0.25">
      <c r="A1" s="217" t="s">
        <v>0</v>
      </c>
      <c r="B1" s="217"/>
      <c r="C1" s="217"/>
      <c r="D1" s="217"/>
    </row>
    <row r="2" spans="1:5" ht="15.75" x14ac:dyDescent="0.25">
      <c r="D2" s="29"/>
    </row>
    <row r="3" spans="1:5" ht="15.75" customHeight="1" x14ac:dyDescent="0.25">
      <c r="A3" s="281" t="s">
        <v>26</v>
      </c>
      <c r="B3" s="281"/>
      <c r="C3" s="281"/>
      <c r="D3" s="281"/>
    </row>
    <row r="4" spans="1:5" ht="50.25" customHeight="1" x14ac:dyDescent="0.25">
      <c r="A4" s="218" t="s">
        <v>247</v>
      </c>
      <c r="B4" s="218"/>
      <c r="C4" s="218"/>
      <c r="D4" s="218"/>
    </row>
    <row r="5" spans="1:5" ht="16.5" thickBot="1" x14ac:dyDescent="0.3">
      <c r="A5" s="219" t="s">
        <v>27</v>
      </c>
      <c r="B5" s="219"/>
      <c r="C5" s="219"/>
      <c r="D5" s="219"/>
    </row>
    <row r="6" spans="1:5" ht="72" customHeight="1" thickBot="1" x14ac:dyDescent="0.3">
      <c r="A6" s="31" t="s">
        <v>2</v>
      </c>
      <c r="B6" s="32" t="s">
        <v>3</v>
      </c>
      <c r="C6" s="272" t="s">
        <v>4</v>
      </c>
      <c r="D6" s="273"/>
    </row>
    <row r="7" spans="1:5" ht="16.5" thickBot="1" x14ac:dyDescent="0.3">
      <c r="A7" s="33"/>
      <c r="B7" s="34" t="s">
        <v>5</v>
      </c>
      <c r="C7" s="220"/>
      <c r="D7" s="221"/>
    </row>
    <row r="8" spans="1:5" ht="78.75" x14ac:dyDescent="0.25">
      <c r="A8" s="210" t="s">
        <v>6</v>
      </c>
      <c r="B8" s="35" t="s">
        <v>520</v>
      </c>
      <c r="C8" s="204">
        <f>29.4+2.8</f>
        <v>32.199999999999996</v>
      </c>
      <c r="D8" s="205"/>
    </row>
    <row r="9" spans="1:5" ht="65.25" customHeight="1" x14ac:dyDescent="0.25">
      <c r="A9" s="211"/>
      <c r="B9" s="63" t="s">
        <v>519</v>
      </c>
      <c r="C9" s="204"/>
      <c r="D9" s="205"/>
    </row>
    <row r="10" spans="1:5" ht="16.5" thickBot="1" x14ac:dyDescent="0.3">
      <c r="A10" s="212"/>
      <c r="B10" s="36" t="s">
        <v>325</v>
      </c>
      <c r="C10" s="204"/>
      <c r="D10" s="205"/>
    </row>
    <row r="11" spans="1:5" ht="48" thickBot="1" x14ac:dyDescent="0.3">
      <c r="A11" s="37" t="s">
        <v>7</v>
      </c>
      <c r="B11" s="36" t="s">
        <v>209</v>
      </c>
      <c r="C11" s="204">
        <f>C8*0.2359</f>
        <v>7.5959799999999991</v>
      </c>
      <c r="D11" s="205"/>
    </row>
    <row r="12" spans="1:5" ht="16.5" thickBot="1" x14ac:dyDescent="0.3">
      <c r="A12" s="37"/>
      <c r="B12" s="38" t="s">
        <v>9</v>
      </c>
      <c r="C12" s="204">
        <f>SUM(C8:D11)</f>
        <v>39.795979999999993</v>
      </c>
      <c r="D12" s="205"/>
      <c r="E12" s="39"/>
    </row>
    <row r="13" spans="1:5" ht="16.5" thickBot="1" x14ac:dyDescent="0.3">
      <c r="A13" s="37"/>
      <c r="B13" s="38" t="s">
        <v>10</v>
      </c>
      <c r="C13" s="204"/>
      <c r="D13" s="205"/>
    </row>
    <row r="14" spans="1:5" ht="146.25" customHeight="1" thickBot="1" x14ac:dyDescent="0.3">
      <c r="A14" s="37" t="s">
        <v>12</v>
      </c>
      <c r="B14" s="62" t="s">
        <v>326</v>
      </c>
      <c r="C14" s="204">
        <f>9.8+18.9+0.7</f>
        <v>29.4</v>
      </c>
      <c r="D14" s="205"/>
    </row>
    <row r="15" spans="1:5" ht="32.25" customHeight="1" thickBot="1" x14ac:dyDescent="0.3">
      <c r="A15" s="37" t="s">
        <v>14</v>
      </c>
      <c r="B15" s="101" t="s">
        <v>692</v>
      </c>
      <c r="C15" s="222">
        <v>71</v>
      </c>
      <c r="D15" s="223"/>
    </row>
    <row r="16" spans="1:5" ht="16.5" thickBot="1" x14ac:dyDescent="0.3">
      <c r="A16" s="33"/>
      <c r="B16" s="34" t="s">
        <v>18</v>
      </c>
      <c r="C16" s="204">
        <f>SUM(C14:C15)</f>
        <v>100.4</v>
      </c>
      <c r="D16" s="205"/>
      <c r="E16" s="40"/>
    </row>
    <row r="17" spans="1:5" ht="16.5" thickBot="1" x14ac:dyDescent="0.3">
      <c r="A17" s="33"/>
      <c r="B17" s="41" t="s">
        <v>19</v>
      </c>
      <c r="C17" s="206">
        <f>SUM(C12,C16)</f>
        <v>140.19597999999999</v>
      </c>
      <c r="D17" s="207"/>
      <c r="E17" s="42"/>
    </row>
    <row r="18" spans="1:5" x14ac:dyDescent="0.25">
      <c r="A18" s="43"/>
      <c r="C18" s="8"/>
      <c r="E18" s="13"/>
    </row>
    <row r="19" spans="1:5" ht="15.75" x14ac:dyDescent="0.25">
      <c r="A19" s="213" t="s">
        <v>20</v>
      </c>
      <c r="B19" s="214"/>
      <c r="C19" s="224">
        <v>70</v>
      </c>
      <c r="D19" s="224"/>
      <c r="E19" s="44"/>
    </row>
    <row r="20" spans="1:5" ht="33.75" customHeight="1" x14ac:dyDescent="0.25">
      <c r="A20" s="215" t="s">
        <v>28</v>
      </c>
      <c r="B20" s="226"/>
      <c r="C20" s="225">
        <v>2</v>
      </c>
      <c r="D20" s="225"/>
      <c r="E20" s="45"/>
    </row>
    <row r="21" spans="1:5" ht="15.75" x14ac:dyDescent="0.25">
      <c r="A21" s="46"/>
    </row>
    <row r="22" spans="1:5" x14ac:dyDescent="0.25">
      <c r="A22" s="78"/>
      <c r="B22" s="78"/>
      <c r="C22" s="203"/>
      <c r="D22" s="203"/>
    </row>
    <row r="23" spans="1:5" x14ac:dyDescent="0.25">
      <c r="A23" s="78"/>
      <c r="B23" s="78"/>
      <c r="C23" s="79"/>
      <c r="D23" s="78"/>
    </row>
    <row r="24" spans="1:5" x14ac:dyDescent="0.25">
      <c r="A24" s="78"/>
      <c r="B24" s="78"/>
      <c r="C24" s="203"/>
      <c r="D24" s="203"/>
    </row>
    <row r="25" spans="1:5" x14ac:dyDescent="0.25">
      <c r="A25" s="78"/>
      <c r="B25" s="78"/>
      <c r="C25" s="78"/>
      <c r="D25" s="78"/>
    </row>
    <row r="26" spans="1:5" x14ac:dyDescent="0.25">
      <c r="A26" s="202"/>
      <c r="B26" s="202"/>
      <c r="C26" s="80"/>
      <c r="D26" s="80"/>
    </row>
    <row r="27" spans="1:5" x14ac:dyDescent="0.25">
      <c r="A27" s="201"/>
      <c r="B27" s="202"/>
      <c r="C27" s="80"/>
      <c r="D27" s="80"/>
    </row>
    <row r="28" spans="1:5" x14ac:dyDescent="0.25">
      <c r="A28" s="57"/>
      <c r="B28" s="80"/>
      <c r="C28" s="81"/>
      <c r="D28" s="81"/>
    </row>
    <row r="29" spans="1:5" x14ac:dyDescent="0.25">
      <c r="A29" s="201"/>
      <c r="B29" s="201"/>
      <c r="C29" s="81"/>
      <c r="D29" s="81"/>
    </row>
  </sheetData>
  <mergeCells count="24">
    <mergeCell ref="A1:D1"/>
    <mergeCell ref="A3:D3"/>
    <mergeCell ref="A4:D4"/>
    <mergeCell ref="A5:D5"/>
    <mergeCell ref="C6:D6"/>
    <mergeCell ref="C7:D7"/>
    <mergeCell ref="A8:A10"/>
    <mergeCell ref="C8:D10"/>
    <mergeCell ref="C11:D11"/>
    <mergeCell ref="C12:D12"/>
    <mergeCell ref="A29:B29"/>
    <mergeCell ref="C13:D13"/>
    <mergeCell ref="C22:D22"/>
    <mergeCell ref="C24:D24"/>
    <mergeCell ref="A26:B26"/>
    <mergeCell ref="A27:B27"/>
    <mergeCell ref="A20:B20"/>
    <mergeCell ref="C20:D20"/>
    <mergeCell ref="C14:D14"/>
    <mergeCell ref="C15:D15"/>
    <mergeCell ref="C16:D16"/>
    <mergeCell ref="C17:D17"/>
    <mergeCell ref="A19:B19"/>
    <mergeCell ref="C19:D19"/>
  </mergeCells>
  <pageMargins left="0.70866141732283472" right="0.70866141732283472" top="0.74803149606299213" bottom="0.74803149606299213" header="0.31496062992125984" footer="0.31496062992125984"/>
  <pageSetup paperSize="9" scale="98" fitToHeight="0" orientation="portrait"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view="pageBreakPreview" zoomScale="60" zoomScaleNormal="100" workbookViewId="0">
      <selection activeCell="A6" sqref="A6:XFD6"/>
    </sheetView>
  </sheetViews>
  <sheetFormatPr defaultRowHeight="15" x14ac:dyDescent="0.25"/>
  <cols>
    <col min="1" max="1" width="19.5703125" customWidth="1"/>
    <col min="2" max="2" width="52.42578125" customWidth="1"/>
    <col min="3" max="3" width="12" style="7" customWidth="1"/>
    <col min="4" max="4" width="4.7109375" customWidth="1"/>
    <col min="5" max="5" width="25.85546875" style="9" customWidth="1"/>
    <col min="8" max="8" width="7.42578125" bestFit="1" customWidth="1"/>
    <col min="257" max="257" width="19.5703125" customWidth="1"/>
    <col min="258" max="258" width="52.42578125" customWidth="1"/>
    <col min="259" max="259" width="18.42578125" customWidth="1"/>
    <col min="261" max="261" width="25.85546875" customWidth="1"/>
    <col min="264" max="264" width="7.42578125" bestFit="1" customWidth="1"/>
    <col min="513" max="513" width="19.5703125" customWidth="1"/>
    <col min="514" max="514" width="52.42578125" customWidth="1"/>
    <col min="515" max="515" width="18.42578125" customWidth="1"/>
    <col min="517" max="517" width="25.85546875" customWidth="1"/>
    <col min="520" max="520" width="7.42578125" bestFit="1" customWidth="1"/>
    <col min="769" max="769" width="19.5703125" customWidth="1"/>
    <col min="770" max="770" width="52.42578125" customWidth="1"/>
    <col min="771" max="771" width="18.42578125" customWidth="1"/>
    <col min="773" max="773" width="25.85546875" customWidth="1"/>
    <col min="776" max="776" width="7.42578125" bestFit="1" customWidth="1"/>
    <col min="1025" max="1025" width="19.5703125" customWidth="1"/>
    <col min="1026" max="1026" width="52.42578125" customWidth="1"/>
    <col min="1027" max="1027" width="18.42578125" customWidth="1"/>
    <col min="1029" max="1029" width="25.85546875" customWidth="1"/>
    <col min="1032" max="1032" width="7.42578125" bestFit="1" customWidth="1"/>
    <col min="1281" max="1281" width="19.5703125" customWidth="1"/>
    <col min="1282" max="1282" width="52.42578125" customWidth="1"/>
    <col min="1283" max="1283" width="18.42578125" customWidth="1"/>
    <col min="1285" max="1285" width="25.85546875" customWidth="1"/>
    <col min="1288" max="1288" width="7.42578125" bestFit="1" customWidth="1"/>
    <col min="1537" max="1537" width="19.5703125" customWidth="1"/>
    <col min="1538" max="1538" width="52.42578125" customWidth="1"/>
    <col min="1539" max="1539" width="18.42578125" customWidth="1"/>
    <col min="1541" max="1541" width="25.85546875" customWidth="1"/>
    <col min="1544" max="1544" width="7.42578125" bestFit="1" customWidth="1"/>
    <col min="1793" max="1793" width="19.5703125" customWidth="1"/>
    <col min="1794" max="1794" width="52.42578125" customWidth="1"/>
    <col min="1795" max="1795" width="18.42578125" customWidth="1"/>
    <col min="1797" max="1797" width="25.85546875" customWidth="1"/>
    <col min="1800" max="1800" width="7.42578125" bestFit="1" customWidth="1"/>
    <col min="2049" max="2049" width="19.5703125" customWidth="1"/>
    <col min="2050" max="2050" width="52.42578125" customWidth="1"/>
    <col min="2051" max="2051" width="18.42578125" customWidth="1"/>
    <col min="2053" max="2053" width="25.85546875" customWidth="1"/>
    <col min="2056" max="2056" width="7.42578125" bestFit="1" customWidth="1"/>
    <col min="2305" max="2305" width="19.5703125" customWidth="1"/>
    <col min="2306" max="2306" width="52.42578125" customWidth="1"/>
    <col min="2307" max="2307" width="18.42578125" customWidth="1"/>
    <col min="2309" max="2309" width="25.85546875" customWidth="1"/>
    <col min="2312" max="2312" width="7.42578125" bestFit="1" customWidth="1"/>
    <col min="2561" max="2561" width="19.5703125" customWidth="1"/>
    <col min="2562" max="2562" width="52.42578125" customWidth="1"/>
    <col min="2563" max="2563" width="18.42578125" customWidth="1"/>
    <col min="2565" max="2565" width="25.85546875" customWidth="1"/>
    <col min="2568" max="2568" width="7.42578125" bestFit="1" customWidth="1"/>
    <col min="2817" max="2817" width="19.5703125" customWidth="1"/>
    <col min="2818" max="2818" width="52.42578125" customWidth="1"/>
    <col min="2819" max="2819" width="18.42578125" customWidth="1"/>
    <col min="2821" max="2821" width="25.85546875" customWidth="1"/>
    <col min="2824" max="2824" width="7.42578125" bestFit="1" customWidth="1"/>
    <col min="3073" max="3073" width="19.5703125" customWidth="1"/>
    <col min="3074" max="3074" width="52.42578125" customWidth="1"/>
    <col min="3075" max="3075" width="18.42578125" customWidth="1"/>
    <col min="3077" max="3077" width="25.85546875" customWidth="1"/>
    <col min="3080" max="3080" width="7.42578125" bestFit="1" customWidth="1"/>
    <col min="3329" max="3329" width="19.5703125" customWidth="1"/>
    <col min="3330" max="3330" width="52.42578125" customWidth="1"/>
    <col min="3331" max="3331" width="18.42578125" customWidth="1"/>
    <col min="3333" max="3333" width="25.85546875" customWidth="1"/>
    <col min="3336" max="3336" width="7.42578125" bestFit="1" customWidth="1"/>
    <col min="3585" max="3585" width="19.5703125" customWidth="1"/>
    <col min="3586" max="3586" width="52.42578125" customWidth="1"/>
    <col min="3587" max="3587" width="18.42578125" customWidth="1"/>
    <col min="3589" max="3589" width="25.85546875" customWidth="1"/>
    <col min="3592" max="3592" width="7.42578125" bestFit="1" customWidth="1"/>
    <col min="3841" max="3841" width="19.5703125" customWidth="1"/>
    <col min="3842" max="3842" width="52.42578125" customWidth="1"/>
    <col min="3843" max="3843" width="18.42578125" customWidth="1"/>
    <col min="3845" max="3845" width="25.85546875" customWidth="1"/>
    <col min="3848" max="3848" width="7.42578125" bestFit="1" customWidth="1"/>
    <col min="4097" max="4097" width="19.5703125" customWidth="1"/>
    <col min="4098" max="4098" width="52.42578125" customWidth="1"/>
    <col min="4099" max="4099" width="18.42578125" customWidth="1"/>
    <col min="4101" max="4101" width="25.85546875" customWidth="1"/>
    <col min="4104" max="4104" width="7.42578125" bestFit="1" customWidth="1"/>
    <col min="4353" max="4353" width="19.5703125" customWidth="1"/>
    <col min="4354" max="4354" width="52.42578125" customWidth="1"/>
    <col min="4355" max="4355" width="18.42578125" customWidth="1"/>
    <col min="4357" max="4357" width="25.85546875" customWidth="1"/>
    <col min="4360" max="4360" width="7.42578125" bestFit="1" customWidth="1"/>
    <col min="4609" max="4609" width="19.5703125" customWidth="1"/>
    <col min="4610" max="4610" width="52.42578125" customWidth="1"/>
    <col min="4611" max="4611" width="18.42578125" customWidth="1"/>
    <col min="4613" max="4613" width="25.85546875" customWidth="1"/>
    <col min="4616" max="4616" width="7.42578125" bestFit="1" customWidth="1"/>
    <col min="4865" max="4865" width="19.5703125" customWidth="1"/>
    <col min="4866" max="4866" width="52.42578125" customWidth="1"/>
    <col min="4867" max="4867" width="18.42578125" customWidth="1"/>
    <col min="4869" max="4869" width="25.85546875" customWidth="1"/>
    <col min="4872" max="4872" width="7.42578125" bestFit="1" customWidth="1"/>
    <col min="5121" max="5121" width="19.5703125" customWidth="1"/>
    <col min="5122" max="5122" width="52.42578125" customWidth="1"/>
    <col min="5123" max="5123" width="18.42578125" customWidth="1"/>
    <col min="5125" max="5125" width="25.85546875" customWidth="1"/>
    <col min="5128" max="5128" width="7.42578125" bestFit="1" customWidth="1"/>
    <col min="5377" max="5377" width="19.5703125" customWidth="1"/>
    <col min="5378" max="5378" width="52.42578125" customWidth="1"/>
    <col min="5379" max="5379" width="18.42578125" customWidth="1"/>
    <col min="5381" max="5381" width="25.85546875" customWidth="1"/>
    <col min="5384" max="5384" width="7.42578125" bestFit="1" customWidth="1"/>
    <col min="5633" max="5633" width="19.5703125" customWidth="1"/>
    <col min="5634" max="5634" width="52.42578125" customWidth="1"/>
    <col min="5635" max="5635" width="18.42578125" customWidth="1"/>
    <col min="5637" max="5637" width="25.85546875" customWidth="1"/>
    <col min="5640" max="5640" width="7.42578125" bestFit="1" customWidth="1"/>
    <col min="5889" max="5889" width="19.5703125" customWidth="1"/>
    <col min="5890" max="5890" width="52.42578125" customWidth="1"/>
    <col min="5891" max="5891" width="18.42578125" customWidth="1"/>
    <col min="5893" max="5893" width="25.85546875" customWidth="1"/>
    <col min="5896" max="5896" width="7.42578125" bestFit="1" customWidth="1"/>
    <col min="6145" max="6145" width="19.5703125" customWidth="1"/>
    <col min="6146" max="6146" width="52.42578125" customWidth="1"/>
    <col min="6147" max="6147" width="18.42578125" customWidth="1"/>
    <col min="6149" max="6149" width="25.85546875" customWidth="1"/>
    <col min="6152" max="6152" width="7.42578125" bestFit="1" customWidth="1"/>
    <col min="6401" max="6401" width="19.5703125" customWidth="1"/>
    <col min="6402" max="6402" width="52.42578125" customWidth="1"/>
    <col min="6403" max="6403" width="18.42578125" customWidth="1"/>
    <col min="6405" max="6405" width="25.85546875" customWidth="1"/>
    <col min="6408" max="6408" width="7.42578125" bestFit="1" customWidth="1"/>
    <col min="6657" max="6657" width="19.5703125" customWidth="1"/>
    <col min="6658" max="6658" width="52.42578125" customWidth="1"/>
    <col min="6659" max="6659" width="18.42578125" customWidth="1"/>
    <col min="6661" max="6661" width="25.85546875" customWidth="1"/>
    <col min="6664" max="6664" width="7.42578125" bestFit="1" customWidth="1"/>
    <col min="6913" max="6913" width="19.5703125" customWidth="1"/>
    <col min="6914" max="6914" width="52.42578125" customWidth="1"/>
    <col min="6915" max="6915" width="18.42578125" customWidth="1"/>
    <col min="6917" max="6917" width="25.85546875" customWidth="1"/>
    <col min="6920" max="6920" width="7.42578125" bestFit="1" customWidth="1"/>
    <col min="7169" max="7169" width="19.5703125" customWidth="1"/>
    <col min="7170" max="7170" width="52.42578125" customWidth="1"/>
    <col min="7171" max="7171" width="18.42578125" customWidth="1"/>
    <col min="7173" max="7173" width="25.85546875" customWidth="1"/>
    <col min="7176" max="7176" width="7.42578125" bestFit="1" customWidth="1"/>
    <col min="7425" max="7425" width="19.5703125" customWidth="1"/>
    <col min="7426" max="7426" width="52.42578125" customWidth="1"/>
    <col min="7427" max="7427" width="18.42578125" customWidth="1"/>
    <col min="7429" max="7429" width="25.85546875" customWidth="1"/>
    <col min="7432" max="7432" width="7.42578125" bestFit="1" customWidth="1"/>
    <col min="7681" max="7681" width="19.5703125" customWidth="1"/>
    <col min="7682" max="7682" width="52.42578125" customWidth="1"/>
    <col min="7683" max="7683" width="18.42578125" customWidth="1"/>
    <col min="7685" max="7685" width="25.85546875" customWidth="1"/>
    <col min="7688" max="7688" width="7.42578125" bestFit="1" customWidth="1"/>
    <col min="7937" max="7937" width="19.5703125" customWidth="1"/>
    <col min="7938" max="7938" width="52.42578125" customWidth="1"/>
    <col min="7939" max="7939" width="18.42578125" customWidth="1"/>
    <col min="7941" max="7941" width="25.85546875" customWidth="1"/>
    <col min="7944" max="7944" width="7.42578125" bestFit="1" customWidth="1"/>
    <col min="8193" max="8193" width="19.5703125" customWidth="1"/>
    <col min="8194" max="8194" width="52.42578125" customWidth="1"/>
    <col min="8195" max="8195" width="18.42578125" customWidth="1"/>
    <col min="8197" max="8197" width="25.85546875" customWidth="1"/>
    <col min="8200" max="8200" width="7.42578125" bestFit="1" customWidth="1"/>
    <col min="8449" max="8449" width="19.5703125" customWidth="1"/>
    <col min="8450" max="8450" width="52.42578125" customWidth="1"/>
    <col min="8451" max="8451" width="18.42578125" customWidth="1"/>
    <col min="8453" max="8453" width="25.85546875" customWidth="1"/>
    <col min="8456" max="8456" width="7.42578125" bestFit="1" customWidth="1"/>
    <col min="8705" max="8705" width="19.5703125" customWidth="1"/>
    <col min="8706" max="8706" width="52.42578125" customWidth="1"/>
    <col min="8707" max="8707" width="18.42578125" customWidth="1"/>
    <col min="8709" max="8709" width="25.85546875" customWidth="1"/>
    <col min="8712" max="8712" width="7.42578125" bestFit="1" customWidth="1"/>
    <col min="8961" max="8961" width="19.5703125" customWidth="1"/>
    <col min="8962" max="8962" width="52.42578125" customWidth="1"/>
    <col min="8963" max="8963" width="18.42578125" customWidth="1"/>
    <col min="8965" max="8965" width="25.85546875" customWidth="1"/>
    <col min="8968" max="8968" width="7.42578125" bestFit="1" customWidth="1"/>
    <col min="9217" max="9217" width="19.5703125" customWidth="1"/>
    <col min="9218" max="9218" width="52.42578125" customWidth="1"/>
    <col min="9219" max="9219" width="18.42578125" customWidth="1"/>
    <col min="9221" max="9221" width="25.85546875" customWidth="1"/>
    <col min="9224" max="9224" width="7.42578125" bestFit="1" customWidth="1"/>
    <col min="9473" max="9473" width="19.5703125" customWidth="1"/>
    <col min="9474" max="9474" width="52.42578125" customWidth="1"/>
    <col min="9475" max="9475" width="18.42578125" customWidth="1"/>
    <col min="9477" max="9477" width="25.85546875" customWidth="1"/>
    <col min="9480" max="9480" width="7.42578125" bestFit="1" customWidth="1"/>
    <col min="9729" max="9729" width="19.5703125" customWidth="1"/>
    <col min="9730" max="9730" width="52.42578125" customWidth="1"/>
    <col min="9731" max="9731" width="18.42578125" customWidth="1"/>
    <col min="9733" max="9733" width="25.85546875" customWidth="1"/>
    <col min="9736" max="9736" width="7.42578125" bestFit="1" customWidth="1"/>
    <col min="9985" max="9985" width="19.5703125" customWidth="1"/>
    <col min="9986" max="9986" width="52.42578125" customWidth="1"/>
    <col min="9987" max="9987" width="18.42578125" customWidth="1"/>
    <col min="9989" max="9989" width="25.85546875" customWidth="1"/>
    <col min="9992" max="9992" width="7.42578125" bestFit="1" customWidth="1"/>
    <col min="10241" max="10241" width="19.5703125" customWidth="1"/>
    <col min="10242" max="10242" width="52.42578125" customWidth="1"/>
    <col min="10243" max="10243" width="18.42578125" customWidth="1"/>
    <col min="10245" max="10245" width="25.85546875" customWidth="1"/>
    <col min="10248" max="10248" width="7.42578125" bestFit="1" customWidth="1"/>
    <col min="10497" max="10497" width="19.5703125" customWidth="1"/>
    <col min="10498" max="10498" width="52.42578125" customWidth="1"/>
    <col min="10499" max="10499" width="18.42578125" customWidth="1"/>
    <col min="10501" max="10501" width="25.85546875" customWidth="1"/>
    <col min="10504" max="10504" width="7.42578125" bestFit="1" customWidth="1"/>
    <col min="10753" max="10753" width="19.5703125" customWidth="1"/>
    <col min="10754" max="10754" width="52.42578125" customWidth="1"/>
    <col min="10755" max="10755" width="18.42578125" customWidth="1"/>
    <col min="10757" max="10757" width="25.85546875" customWidth="1"/>
    <col min="10760" max="10760" width="7.42578125" bestFit="1" customWidth="1"/>
    <col min="11009" max="11009" width="19.5703125" customWidth="1"/>
    <col min="11010" max="11010" width="52.42578125" customWidth="1"/>
    <col min="11011" max="11011" width="18.42578125" customWidth="1"/>
    <col min="11013" max="11013" width="25.85546875" customWidth="1"/>
    <col min="11016" max="11016" width="7.42578125" bestFit="1" customWidth="1"/>
    <col min="11265" max="11265" width="19.5703125" customWidth="1"/>
    <col min="11266" max="11266" width="52.42578125" customWidth="1"/>
    <col min="11267" max="11267" width="18.42578125" customWidth="1"/>
    <col min="11269" max="11269" width="25.85546875" customWidth="1"/>
    <col min="11272" max="11272" width="7.42578125" bestFit="1" customWidth="1"/>
    <col min="11521" max="11521" width="19.5703125" customWidth="1"/>
    <col min="11522" max="11522" width="52.42578125" customWidth="1"/>
    <col min="11523" max="11523" width="18.42578125" customWidth="1"/>
    <col min="11525" max="11525" width="25.85546875" customWidth="1"/>
    <col min="11528" max="11528" width="7.42578125" bestFit="1" customWidth="1"/>
    <col min="11777" max="11777" width="19.5703125" customWidth="1"/>
    <col min="11778" max="11778" width="52.42578125" customWidth="1"/>
    <col min="11779" max="11779" width="18.42578125" customWidth="1"/>
    <col min="11781" max="11781" width="25.85546875" customWidth="1"/>
    <col min="11784" max="11784" width="7.42578125" bestFit="1" customWidth="1"/>
    <col min="12033" max="12033" width="19.5703125" customWidth="1"/>
    <col min="12034" max="12034" width="52.42578125" customWidth="1"/>
    <col min="12035" max="12035" width="18.42578125" customWidth="1"/>
    <col min="12037" max="12037" width="25.85546875" customWidth="1"/>
    <col min="12040" max="12040" width="7.42578125" bestFit="1" customWidth="1"/>
    <col min="12289" max="12289" width="19.5703125" customWidth="1"/>
    <col min="12290" max="12290" width="52.42578125" customWidth="1"/>
    <col min="12291" max="12291" width="18.42578125" customWidth="1"/>
    <col min="12293" max="12293" width="25.85546875" customWidth="1"/>
    <col min="12296" max="12296" width="7.42578125" bestFit="1" customWidth="1"/>
    <col min="12545" max="12545" width="19.5703125" customWidth="1"/>
    <col min="12546" max="12546" width="52.42578125" customWidth="1"/>
    <col min="12547" max="12547" width="18.42578125" customWidth="1"/>
    <col min="12549" max="12549" width="25.85546875" customWidth="1"/>
    <col min="12552" max="12552" width="7.42578125" bestFit="1" customWidth="1"/>
    <col min="12801" max="12801" width="19.5703125" customWidth="1"/>
    <col min="12802" max="12802" width="52.42578125" customWidth="1"/>
    <col min="12803" max="12803" width="18.42578125" customWidth="1"/>
    <col min="12805" max="12805" width="25.85546875" customWidth="1"/>
    <col min="12808" max="12808" width="7.42578125" bestFit="1" customWidth="1"/>
    <col min="13057" max="13057" width="19.5703125" customWidth="1"/>
    <col min="13058" max="13058" width="52.42578125" customWidth="1"/>
    <col min="13059" max="13059" width="18.42578125" customWidth="1"/>
    <col min="13061" max="13061" width="25.85546875" customWidth="1"/>
    <col min="13064" max="13064" width="7.42578125" bestFit="1" customWidth="1"/>
    <col min="13313" max="13313" width="19.5703125" customWidth="1"/>
    <col min="13314" max="13314" width="52.42578125" customWidth="1"/>
    <col min="13315" max="13315" width="18.42578125" customWidth="1"/>
    <col min="13317" max="13317" width="25.85546875" customWidth="1"/>
    <col min="13320" max="13320" width="7.42578125" bestFit="1" customWidth="1"/>
    <col min="13569" max="13569" width="19.5703125" customWidth="1"/>
    <col min="13570" max="13570" width="52.42578125" customWidth="1"/>
    <col min="13571" max="13571" width="18.42578125" customWidth="1"/>
    <col min="13573" max="13573" width="25.85546875" customWidth="1"/>
    <col min="13576" max="13576" width="7.42578125" bestFit="1" customWidth="1"/>
    <col min="13825" max="13825" width="19.5703125" customWidth="1"/>
    <col min="13826" max="13826" width="52.42578125" customWidth="1"/>
    <col min="13827" max="13827" width="18.42578125" customWidth="1"/>
    <col min="13829" max="13829" width="25.85546875" customWidth="1"/>
    <col min="13832" max="13832" width="7.42578125" bestFit="1" customWidth="1"/>
    <col min="14081" max="14081" width="19.5703125" customWidth="1"/>
    <col min="14082" max="14082" width="52.42578125" customWidth="1"/>
    <col min="14083" max="14083" width="18.42578125" customWidth="1"/>
    <col min="14085" max="14085" width="25.85546875" customWidth="1"/>
    <col min="14088" max="14088" width="7.42578125" bestFit="1" customWidth="1"/>
    <col min="14337" max="14337" width="19.5703125" customWidth="1"/>
    <col min="14338" max="14338" width="52.42578125" customWidth="1"/>
    <col min="14339" max="14339" width="18.42578125" customWidth="1"/>
    <col min="14341" max="14341" width="25.85546875" customWidth="1"/>
    <col min="14344" max="14344" width="7.42578125" bestFit="1" customWidth="1"/>
    <col min="14593" max="14593" width="19.5703125" customWidth="1"/>
    <col min="14594" max="14594" width="52.42578125" customWidth="1"/>
    <col min="14595" max="14595" width="18.42578125" customWidth="1"/>
    <col min="14597" max="14597" width="25.85546875" customWidth="1"/>
    <col min="14600" max="14600" width="7.42578125" bestFit="1" customWidth="1"/>
    <col min="14849" max="14849" width="19.5703125" customWidth="1"/>
    <col min="14850" max="14850" width="52.42578125" customWidth="1"/>
    <col min="14851" max="14851" width="18.42578125" customWidth="1"/>
    <col min="14853" max="14853" width="25.85546875" customWidth="1"/>
    <col min="14856" max="14856" width="7.42578125" bestFit="1" customWidth="1"/>
    <col min="15105" max="15105" width="19.5703125" customWidth="1"/>
    <col min="15106" max="15106" width="52.42578125" customWidth="1"/>
    <col min="15107" max="15107" width="18.42578125" customWidth="1"/>
    <col min="15109" max="15109" width="25.85546875" customWidth="1"/>
    <col min="15112" max="15112" width="7.42578125" bestFit="1" customWidth="1"/>
    <col min="15361" max="15361" width="19.5703125" customWidth="1"/>
    <col min="15362" max="15362" width="52.42578125" customWidth="1"/>
    <col min="15363" max="15363" width="18.42578125" customWidth="1"/>
    <col min="15365" max="15365" width="25.85546875" customWidth="1"/>
    <col min="15368" max="15368" width="7.42578125" bestFit="1" customWidth="1"/>
    <col min="15617" max="15617" width="19.5703125" customWidth="1"/>
    <col min="15618" max="15618" width="52.42578125" customWidth="1"/>
    <col min="15619" max="15619" width="18.42578125" customWidth="1"/>
    <col min="15621" max="15621" width="25.85546875" customWidth="1"/>
    <col min="15624" max="15624" width="7.42578125" bestFit="1" customWidth="1"/>
    <col min="15873" max="15873" width="19.5703125" customWidth="1"/>
    <col min="15874" max="15874" width="52.42578125" customWidth="1"/>
    <col min="15875" max="15875" width="18.42578125" customWidth="1"/>
    <col min="15877" max="15877" width="25.85546875" customWidth="1"/>
    <col min="15880" max="15880" width="7.42578125" bestFit="1" customWidth="1"/>
    <col min="16129" max="16129" width="19.5703125" customWidth="1"/>
    <col min="16130" max="16130" width="52.42578125" customWidth="1"/>
    <col min="16131" max="16131" width="18.42578125" customWidth="1"/>
    <col min="16133" max="16133" width="25.85546875" customWidth="1"/>
    <col min="16136" max="16136" width="7.42578125" bestFit="1" customWidth="1"/>
  </cols>
  <sheetData>
    <row r="1" spans="1:5" ht="14.45" customHeight="1" x14ac:dyDescent="0.25">
      <c r="A1" s="217" t="s">
        <v>0</v>
      </c>
      <c r="B1" s="217"/>
      <c r="C1" s="217"/>
      <c r="D1" s="217"/>
    </row>
    <row r="2" spans="1:5" ht="15.75" x14ac:dyDescent="0.25">
      <c r="D2" s="29"/>
    </row>
    <row r="3" spans="1:5" ht="17.25" customHeight="1" x14ac:dyDescent="0.25">
      <c r="A3" s="281" t="s">
        <v>26</v>
      </c>
      <c r="B3" s="281"/>
      <c r="C3" s="281"/>
      <c r="D3" s="281"/>
    </row>
    <row r="4" spans="1:5" ht="17.25" customHeight="1" x14ac:dyDescent="0.25">
      <c r="A4" s="185"/>
      <c r="B4" s="185"/>
      <c r="C4" s="185"/>
      <c r="D4" s="185"/>
    </row>
    <row r="5" spans="1:5" ht="47.25" customHeight="1" x14ac:dyDescent="0.25">
      <c r="A5" s="218" t="s">
        <v>327</v>
      </c>
      <c r="B5" s="218"/>
      <c r="C5" s="218"/>
      <c r="D5" s="218"/>
    </row>
    <row r="6" spans="1:5" ht="17.25" customHeight="1" x14ac:dyDescent="0.25">
      <c r="A6" s="184"/>
      <c r="B6" s="184"/>
      <c r="C6" s="184"/>
      <c r="D6" s="184"/>
    </row>
    <row r="7" spans="1:5" ht="16.5" thickBot="1" x14ac:dyDescent="0.3">
      <c r="A7" s="219" t="s">
        <v>27</v>
      </c>
      <c r="B7" s="219"/>
      <c r="C7" s="219"/>
      <c r="D7" s="219"/>
    </row>
    <row r="8" spans="1:5" ht="80.25" customHeight="1" thickBot="1" x14ac:dyDescent="0.3">
      <c r="A8" s="31" t="s">
        <v>2</v>
      </c>
      <c r="B8" s="32" t="s">
        <v>3</v>
      </c>
      <c r="C8" s="272" t="s">
        <v>4</v>
      </c>
      <c r="D8" s="273"/>
    </row>
    <row r="9" spans="1:5" ht="16.5" thickBot="1" x14ac:dyDescent="0.3">
      <c r="A9" s="33"/>
      <c r="B9" s="34" t="s">
        <v>5</v>
      </c>
      <c r="C9" s="220"/>
      <c r="D9" s="221"/>
    </row>
    <row r="10" spans="1:5" ht="78.75" x14ac:dyDescent="0.25">
      <c r="A10" s="210" t="s">
        <v>6</v>
      </c>
      <c r="B10" s="35" t="s">
        <v>521</v>
      </c>
      <c r="C10" s="204">
        <f>96+48+16.4</f>
        <v>160.4</v>
      </c>
      <c r="D10" s="205"/>
    </row>
    <row r="11" spans="1:5" ht="63" x14ac:dyDescent="0.25">
      <c r="A11" s="211"/>
      <c r="B11" s="63" t="s">
        <v>522</v>
      </c>
      <c r="C11" s="204"/>
      <c r="D11" s="205"/>
    </row>
    <row r="12" spans="1:5" ht="65.25" customHeight="1" x14ac:dyDescent="0.25">
      <c r="A12" s="211"/>
      <c r="B12" s="63" t="s">
        <v>693</v>
      </c>
      <c r="C12" s="204"/>
      <c r="D12" s="205"/>
    </row>
    <row r="13" spans="1:5" ht="16.5" thickBot="1" x14ac:dyDescent="0.3">
      <c r="A13" s="212"/>
      <c r="B13" s="36" t="s">
        <v>694</v>
      </c>
      <c r="C13" s="204"/>
      <c r="D13" s="205"/>
    </row>
    <row r="14" spans="1:5" ht="48" thickBot="1" x14ac:dyDescent="0.3">
      <c r="A14" s="37" t="s">
        <v>7</v>
      </c>
      <c r="B14" s="36" t="s">
        <v>209</v>
      </c>
      <c r="C14" s="204">
        <f>C10*0.2359</f>
        <v>37.838360000000002</v>
      </c>
      <c r="D14" s="205"/>
    </row>
    <row r="15" spans="1:5" ht="16.5" thickBot="1" x14ac:dyDescent="0.3">
      <c r="A15" s="37"/>
      <c r="B15" s="38" t="s">
        <v>9</v>
      </c>
      <c r="C15" s="204">
        <f>SUM(C10:D14)</f>
        <v>198.23836</v>
      </c>
      <c r="D15" s="205"/>
      <c r="E15" s="39"/>
    </row>
    <row r="16" spans="1:5" ht="16.5" thickBot="1" x14ac:dyDescent="0.3">
      <c r="A16" s="37"/>
      <c r="B16" s="38" t="s">
        <v>10</v>
      </c>
      <c r="C16" s="204"/>
      <c r="D16" s="205"/>
    </row>
    <row r="17" spans="1:5" ht="142.5" thickBot="1" x14ac:dyDescent="0.3">
      <c r="A17" s="37" t="s">
        <v>12</v>
      </c>
      <c r="B17" s="36" t="s">
        <v>374</v>
      </c>
      <c r="C17" s="204">
        <f>15+27+1</f>
        <v>43</v>
      </c>
      <c r="D17" s="205"/>
    </row>
    <row r="18" spans="1:5" ht="50.25" customHeight="1" thickBot="1" x14ac:dyDescent="0.3">
      <c r="A18" s="37" t="s">
        <v>16</v>
      </c>
      <c r="B18" s="101" t="s">
        <v>373</v>
      </c>
      <c r="C18" s="222">
        <f>(10204/3221*100)/2</f>
        <v>158.39801303942875</v>
      </c>
      <c r="D18" s="223"/>
    </row>
    <row r="19" spans="1:5" ht="16.5" thickBot="1" x14ac:dyDescent="0.3">
      <c r="A19" s="33"/>
      <c r="B19" s="34" t="s">
        <v>18</v>
      </c>
      <c r="C19" s="204">
        <f>SUM(C17:C18)</f>
        <v>201.39801303942875</v>
      </c>
      <c r="D19" s="205"/>
      <c r="E19" s="40"/>
    </row>
    <row r="20" spans="1:5" ht="16.5" thickBot="1" x14ac:dyDescent="0.3">
      <c r="A20" s="33"/>
      <c r="B20" s="41" t="s">
        <v>19</v>
      </c>
      <c r="C20" s="206">
        <f>SUM(C15,C19)</f>
        <v>399.63637303942875</v>
      </c>
      <c r="D20" s="207"/>
      <c r="E20" s="42"/>
    </row>
    <row r="21" spans="1:5" x14ac:dyDescent="0.25">
      <c r="A21" s="43"/>
      <c r="C21" s="8"/>
      <c r="E21" s="13"/>
    </row>
    <row r="22" spans="1:5" ht="15.75" x14ac:dyDescent="0.25">
      <c r="A22" s="213" t="s">
        <v>20</v>
      </c>
      <c r="B22" s="214"/>
      <c r="C22" s="224">
        <v>100</v>
      </c>
      <c r="D22" s="224"/>
      <c r="E22" s="44"/>
    </row>
    <row r="23" spans="1:5" ht="33" customHeight="1" x14ac:dyDescent="0.25">
      <c r="A23" s="215" t="s">
        <v>28</v>
      </c>
      <c r="B23" s="216"/>
      <c r="C23" s="225">
        <f>C20/C22</f>
        <v>3.9963637303942874</v>
      </c>
      <c r="D23" s="225"/>
      <c r="E23" s="45"/>
    </row>
    <row r="24" spans="1:5" ht="15.75" x14ac:dyDescent="0.25">
      <c r="A24" s="46"/>
    </row>
    <row r="25" spans="1:5" x14ac:dyDescent="0.25">
      <c r="A25" s="78"/>
      <c r="B25" s="78"/>
      <c r="C25" s="203"/>
      <c r="D25" s="203"/>
    </row>
    <row r="26" spans="1:5" x14ac:dyDescent="0.25">
      <c r="A26" s="78"/>
      <c r="B26" s="78"/>
      <c r="C26" s="79"/>
      <c r="D26" s="78"/>
    </row>
    <row r="27" spans="1:5" x14ac:dyDescent="0.25">
      <c r="A27" s="78"/>
      <c r="B27" s="78"/>
      <c r="C27" s="203"/>
      <c r="D27" s="203"/>
    </row>
    <row r="28" spans="1:5" x14ac:dyDescent="0.25">
      <c r="A28" s="78"/>
      <c r="B28" s="78"/>
      <c r="C28" s="78"/>
      <c r="D28" s="78"/>
    </row>
    <row r="29" spans="1:5" x14ac:dyDescent="0.25">
      <c r="A29" s="202"/>
      <c r="B29" s="202"/>
      <c r="C29" s="80"/>
      <c r="D29" s="80"/>
    </row>
    <row r="30" spans="1:5" x14ac:dyDescent="0.25">
      <c r="A30" s="201"/>
      <c r="B30" s="202"/>
      <c r="C30" s="80"/>
      <c r="D30" s="80"/>
    </row>
    <row r="31" spans="1:5" x14ac:dyDescent="0.25">
      <c r="A31" s="57"/>
      <c r="B31" s="80"/>
      <c r="C31" s="81"/>
      <c r="D31" s="81"/>
    </row>
    <row r="32" spans="1:5" x14ac:dyDescent="0.25">
      <c r="A32" s="201"/>
      <c r="B32" s="201"/>
      <c r="C32" s="81"/>
      <c r="D32" s="81"/>
    </row>
  </sheetData>
  <mergeCells count="24">
    <mergeCell ref="A1:D1"/>
    <mergeCell ref="A3:D3"/>
    <mergeCell ref="A5:D5"/>
    <mergeCell ref="A7:D7"/>
    <mergeCell ref="C8:D8"/>
    <mergeCell ref="C9:D9"/>
    <mergeCell ref="A10:A13"/>
    <mergeCell ref="C10:D13"/>
    <mergeCell ref="C14:D14"/>
    <mergeCell ref="C15:D15"/>
    <mergeCell ref="A32:B32"/>
    <mergeCell ref="C16:D16"/>
    <mergeCell ref="C25:D25"/>
    <mergeCell ref="C27:D27"/>
    <mergeCell ref="A29:B29"/>
    <mergeCell ref="A30:B30"/>
    <mergeCell ref="A23:B23"/>
    <mergeCell ref="C23:D23"/>
    <mergeCell ref="C17:D17"/>
    <mergeCell ref="C18:D18"/>
    <mergeCell ref="C19:D19"/>
    <mergeCell ref="C20:D20"/>
    <mergeCell ref="A22:B22"/>
    <mergeCell ref="C22:D22"/>
  </mergeCells>
  <pageMargins left="0.70866141732283472" right="0.70866141732283472" top="0.74803149606299213" bottom="0.74803149606299213" header="0.31496062992125984" footer="0.31496062992125984"/>
  <pageSetup paperSize="9" scale="98" fitToHeight="0" orientation="portrait" r:id="rId1"/>
  <headerFooter>
    <oddFooter>&amp;C&amp;P</oddFooter>
  </headerFooter>
  <rowBreaks count="1" manualBreakCount="1">
    <brk id="17"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view="pageBreakPreview" zoomScale="60" zoomScaleNormal="100" workbookViewId="0">
      <selection activeCell="T13" sqref="T13"/>
    </sheetView>
  </sheetViews>
  <sheetFormatPr defaultRowHeight="15" x14ac:dyDescent="0.25"/>
  <cols>
    <col min="1" max="1" width="19.5703125" customWidth="1"/>
    <col min="2" max="2" width="49.7109375" customWidth="1"/>
    <col min="3" max="3" width="12" style="7" customWidth="1"/>
    <col min="4" max="4" width="4.140625" customWidth="1"/>
    <col min="5" max="5" width="25.85546875" style="9" customWidth="1"/>
    <col min="8" max="8" width="7.42578125" bestFit="1" customWidth="1"/>
    <col min="257" max="257" width="19.5703125" customWidth="1"/>
    <col min="258" max="258" width="52.42578125" customWidth="1"/>
    <col min="259" max="259" width="18.42578125" customWidth="1"/>
    <col min="261" max="261" width="25.85546875" customWidth="1"/>
    <col min="264" max="264" width="7.42578125" bestFit="1" customWidth="1"/>
    <col min="513" max="513" width="19.5703125" customWidth="1"/>
    <col min="514" max="514" width="52.42578125" customWidth="1"/>
    <col min="515" max="515" width="18.42578125" customWidth="1"/>
    <col min="517" max="517" width="25.85546875" customWidth="1"/>
    <col min="520" max="520" width="7.42578125" bestFit="1" customWidth="1"/>
    <col min="769" max="769" width="19.5703125" customWidth="1"/>
    <col min="770" max="770" width="52.42578125" customWidth="1"/>
    <col min="771" max="771" width="18.42578125" customWidth="1"/>
    <col min="773" max="773" width="25.85546875" customWidth="1"/>
    <col min="776" max="776" width="7.42578125" bestFit="1" customWidth="1"/>
    <col min="1025" max="1025" width="19.5703125" customWidth="1"/>
    <col min="1026" max="1026" width="52.42578125" customWidth="1"/>
    <col min="1027" max="1027" width="18.42578125" customWidth="1"/>
    <col min="1029" max="1029" width="25.85546875" customWidth="1"/>
    <col min="1032" max="1032" width="7.42578125" bestFit="1" customWidth="1"/>
    <col min="1281" max="1281" width="19.5703125" customWidth="1"/>
    <col min="1282" max="1282" width="52.42578125" customWidth="1"/>
    <col min="1283" max="1283" width="18.42578125" customWidth="1"/>
    <col min="1285" max="1285" width="25.85546875" customWidth="1"/>
    <col min="1288" max="1288" width="7.42578125" bestFit="1" customWidth="1"/>
    <col min="1537" max="1537" width="19.5703125" customWidth="1"/>
    <col min="1538" max="1538" width="52.42578125" customWidth="1"/>
    <col min="1539" max="1539" width="18.42578125" customWidth="1"/>
    <col min="1541" max="1541" width="25.85546875" customWidth="1"/>
    <col min="1544" max="1544" width="7.42578125" bestFit="1" customWidth="1"/>
    <col min="1793" max="1793" width="19.5703125" customWidth="1"/>
    <col min="1794" max="1794" width="52.42578125" customWidth="1"/>
    <col min="1795" max="1795" width="18.42578125" customWidth="1"/>
    <col min="1797" max="1797" width="25.85546875" customWidth="1"/>
    <col min="1800" max="1800" width="7.42578125" bestFit="1" customWidth="1"/>
    <col min="2049" max="2049" width="19.5703125" customWidth="1"/>
    <col min="2050" max="2050" width="52.42578125" customWidth="1"/>
    <col min="2051" max="2051" width="18.42578125" customWidth="1"/>
    <col min="2053" max="2053" width="25.85546875" customWidth="1"/>
    <col min="2056" max="2056" width="7.42578125" bestFit="1" customWidth="1"/>
    <col min="2305" max="2305" width="19.5703125" customWidth="1"/>
    <col min="2306" max="2306" width="52.42578125" customWidth="1"/>
    <col min="2307" max="2307" width="18.42578125" customWidth="1"/>
    <col min="2309" max="2309" width="25.85546875" customWidth="1"/>
    <col min="2312" max="2312" width="7.42578125" bestFit="1" customWidth="1"/>
    <col min="2561" max="2561" width="19.5703125" customWidth="1"/>
    <col min="2562" max="2562" width="52.42578125" customWidth="1"/>
    <col min="2563" max="2563" width="18.42578125" customWidth="1"/>
    <col min="2565" max="2565" width="25.85546875" customWidth="1"/>
    <col min="2568" max="2568" width="7.42578125" bestFit="1" customWidth="1"/>
    <col min="2817" max="2817" width="19.5703125" customWidth="1"/>
    <col min="2818" max="2818" width="52.42578125" customWidth="1"/>
    <col min="2819" max="2819" width="18.42578125" customWidth="1"/>
    <col min="2821" max="2821" width="25.85546875" customWidth="1"/>
    <col min="2824" max="2824" width="7.42578125" bestFit="1" customWidth="1"/>
    <col min="3073" max="3073" width="19.5703125" customWidth="1"/>
    <col min="3074" max="3074" width="52.42578125" customWidth="1"/>
    <col min="3075" max="3075" width="18.42578125" customWidth="1"/>
    <col min="3077" max="3077" width="25.85546875" customWidth="1"/>
    <col min="3080" max="3080" width="7.42578125" bestFit="1" customWidth="1"/>
    <col min="3329" max="3329" width="19.5703125" customWidth="1"/>
    <col min="3330" max="3330" width="52.42578125" customWidth="1"/>
    <col min="3331" max="3331" width="18.42578125" customWidth="1"/>
    <col min="3333" max="3333" width="25.85546875" customWidth="1"/>
    <col min="3336" max="3336" width="7.42578125" bestFit="1" customWidth="1"/>
    <col min="3585" max="3585" width="19.5703125" customWidth="1"/>
    <col min="3586" max="3586" width="52.42578125" customWidth="1"/>
    <col min="3587" max="3587" width="18.42578125" customWidth="1"/>
    <col min="3589" max="3589" width="25.85546875" customWidth="1"/>
    <col min="3592" max="3592" width="7.42578125" bestFit="1" customWidth="1"/>
    <col min="3841" max="3841" width="19.5703125" customWidth="1"/>
    <col min="3842" max="3842" width="52.42578125" customWidth="1"/>
    <col min="3843" max="3843" width="18.42578125" customWidth="1"/>
    <col min="3845" max="3845" width="25.85546875" customWidth="1"/>
    <col min="3848" max="3848" width="7.42578125" bestFit="1" customWidth="1"/>
    <col min="4097" max="4097" width="19.5703125" customWidth="1"/>
    <col min="4098" max="4098" width="52.42578125" customWidth="1"/>
    <col min="4099" max="4099" width="18.42578125" customWidth="1"/>
    <col min="4101" max="4101" width="25.85546875" customWidth="1"/>
    <col min="4104" max="4104" width="7.42578125" bestFit="1" customWidth="1"/>
    <col min="4353" max="4353" width="19.5703125" customWidth="1"/>
    <col min="4354" max="4354" width="52.42578125" customWidth="1"/>
    <col min="4355" max="4355" width="18.42578125" customWidth="1"/>
    <col min="4357" max="4357" width="25.85546875" customWidth="1"/>
    <col min="4360" max="4360" width="7.42578125" bestFit="1" customWidth="1"/>
    <col min="4609" max="4609" width="19.5703125" customWidth="1"/>
    <col min="4610" max="4610" width="52.42578125" customWidth="1"/>
    <col min="4611" max="4611" width="18.42578125" customWidth="1"/>
    <col min="4613" max="4613" width="25.85546875" customWidth="1"/>
    <col min="4616" max="4616" width="7.42578125" bestFit="1" customWidth="1"/>
    <col min="4865" max="4865" width="19.5703125" customWidth="1"/>
    <col min="4866" max="4866" width="52.42578125" customWidth="1"/>
    <col min="4867" max="4867" width="18.42578125" customWidth="1"/>
    <col min="4869" max="4869" width="25.85546875" customWidth="1"/>
    <col min="4872" max="4872" width="7.42578125" bestFit="1" customWidth="1"/>
    <col min="5121" max="5121" width="19.5703125" customWidth="1"/>
    <col min="5122" max="5122" width="52.42578125" customWidth="1"/>
    <col min="5123" max="5123" width="18.42578125" customWidth="1"/>
    <col min="5125" max="5125" width="25.85546875" customWidth="1"/>
    <col min="5128" max="5128" width="7.42578125" bestFit="1" customWidth="1"/>
    <col min="5377" max="5377" width="19.5703125" customWidth="1"/>
    <col min="5378" max="5378" width="52.42578125" customWidth="1"/>
    <col min="5379" max="5379" width="18.42578125" customWidth="1"/>
    <col min="5381" max="5381" width="25.85546875" customWidth="1"/>
    <col min="5384" max="5384" width="7.42578125" bestFit="1" customWidth="1"/>
    <col min="5633" max="5633" width="19.5703125" customWidth="1"/>
    <col min="5634" max="5634" width="52.42578125" customWidth="1"/>
    <col min="5635" max="5635" width="18.42578125" customWidth="1"/>
    <col min="5637" max="5637" width="25.85546875" customWidth="1"/>
    <col min="5640" max="5640" width="7.42578125" bestFit="1" customWidth="1"/>
    <col min="5889" max="5889" width="19.5703125" customWidth="1"/>
    <col min="5890" max="5890" width="52.42578125" customWidth="1"/>
    <col min="5891" max="5891" width="18.42578125" customWidth="1"/>
    <col min="5893" max="5893" width="25.85546875" customWidth="1"/>
    <col min="5896" max="5896" width="7.42578125" bestFit="1" customWidth="1"/>
    <col min="6145" max="6145" width="19.5703125" customWidth="1"/>
    <col min="6146" max="6146" width="52.42578125" customWidth="1"/>
    <col min="6147" max="6147" width="18.42578125" customWidth="1"/>
    <col min="6149" max="6149" width="25.85546875" customWidth="1"/>
    <col min="6152" max="6152" width="7.42578125" bestFit="1" customWidth="1"/>
    <col min="6401" max="6401" width="19.5703125" customWidth="1"/>
    <col min="6402" max="6402" width="52.42578125" customWidth="1"/>
    <col min="6403" max="6403" width="18.42578125" customWidth="1"/>
    <col min="6405" max="6405" width="25.85546875" customWidth="1"/>
    <col min="6408" max="6408" width="7.42578125" bestFit="1" customWidth="1"/>
    <col min="6657" max="6657" width="19.5703125" customWidth="1"/>
    <col min="6658" max="6658" width="52.42578125" customWidth="1"/>
    <col min="6659" max="6659" width="18.42578125" customWidth="1"/>
    <col min="6661" max="6661" width="25.85546875" customWidth="1"/>
    <col min="6664" max="6664" width="7.42578125" bestFit="1" customWidth="1"/>
    <col min="6913" max="6913" width="19.5703125" customWidth="1"/>
    <col min="6914" max="6914" width="52.42578125" customWidth="1"/>
    <col min="6915" max="6915" width="18.42578125" customWidth="1"/>
    <col min="6917" max="6917" width="25.85546875" customWidth="1"/>
    <col min="6920" max="6920" width="7.42578125" bestFit="1" customWidth="1"/>
    <col min="7169" max="7169" width="19.5703125" customWidth="1"/>
    <col min="7170" max="7170" width="52.42578125" customWidth="1"/>
    <col min="7171" max="7171" width="18.42578125" customWidth="1"/>
    <col min="7173" max="7173" width="25.85546875" customWidth="1"/>
    <col min="7176" max="7176" width="7.42578125" bestFit="1" customWidth="1"/>
    <col min="7425" max="7425" width="19.5703125" customWidth="1"/>
    <col min="7426" max="7426" width="52.42578125" customWidth="1"/>
    <col min="7427" max="7427" width="18.42578125" customWidth="1"/>
    <col min="7429" max="7429" width="25.85546875" customWidth="1"/>
    <col min="7432" max="7432" width="7.42578125" bestFit="1" customWidth="1"/>
    <col min="7681" max="7681" width="19.5703125" customWidth="1"/>
    <col min="7682" max="7682" width="52.42578125" customWidth="1"/>
    <col min="7683" max="7683" width="18.42578125" customWidth="1"/>
    <col min="7685" max="7685" width="25.85546875" customWidth="1"/>
    <col min="7688" max="7688" width="7.42578125" bestFit="1" customWidth="1"/>
    <col min="7937" max="7937" width="19.5703125" customWidth="1"/>
    <col min="7938" max="7938" width="52.42578125" customWidth="1"/>
    <col min="7939" max="7939" width="18.42578125" customWidth="1"/>
    <col min="7941" max="7941" width="25.85546875" customWidth="1"/>
    <col min="7944" max="7944" width="7.42578125" bestFit="1" customWidth="1"/>
    <col min="8193" max="8193" width="19.5703125" customWidth="1"/>
    <col min="8194" max="8194" width="52.42578125" customWidth="1"/>
    <col min="8195" max="8195" width="18.42578125" customWidth="1"/>
    <col min="8197" max="8197" width="25.85546875" customWidth="1"/>
    <col min="8200" max="8200" width="7.42578125" bestFit="1" customWidth="1"/>
    <col min="8449" max="8449" width="19.5703125" customWidth="1"/>
    <col min="8450" max="8450" width="52.42578125" customWidth="1"/>
    <col min="8451" max="8451" width="18.42578125" customWidth="1"/>
    <col min="8453" max="8453" width="25.85546875" customWidth="1"/>
    <col min="8456" max="8456" width="7.42578125" bestFit="1" customWidth="1"/>
    <col min="8705" max="8705" width="19.5703125" customWidth="1"/>
    <col min="8706" max="8706" width="52.42578125" customWidth="1"/>
    <col min="8707" max="8707" width="18.42578125" customWidth="1"/>
    <col min="8709" max="8709" width="25.85546875" customWidth="1"/>
    <col min="8712" max="8712" width="7.42578125" bestFit="1" customWidth="1"/>
    <col min="8961" max="8961" width="19.5703125" customWidth="1"/>
    <col min="8962" max="8962" width="52.42578125" customWidth="1"/>
    <col min="8963" max="8963" width="18.42578125" customWidth="1"/>
    <col min="8965" max="8965" width="25.85546875" customWidth="1"/>
    <col min="8968" max="8968" width="7.42578125" bestFit="1" customWidth="1"/>
    <col min="9217" max="9217" width="19.5703125" customWidth="1"/>
    <col min="9218" max="9218" width="52.42578125" customWidth="1"/>
    <col min="9219" max="9219" width="18.42578125" customWidth="1"/>
    <col min="9221" max="9221" width="25.85546875" customWidth="1"/>
    <col min="9224" max="9224" width="7.42578125" bestFit="1" customWidth="1"/>
    <col min="9473" max="9473" width="19.5703125" customWidth="1"/>
    <col min="9474" max="9474" width="52.42578125" customWidth="1"/>
    <col min="9475" max="9475" width="18.42578125" customWidth="1"/>
    <col min="9477" max="9477" width="25.85546875" customWidth="1"/>
    <col min="9480" max="9480" width="7.42578125" bestFit="1" customWidth="1"/>
    <col min="9729" max="9729" width="19.5703125" customWidth="1"/>
    <col min="9730" max="9730" width="52.42578125" customWidth="1"/>
    <col min="9731" max="9731" width="18.42578125" customWidth="1"/>
    <col min="9733" max="9733" width="25.85546875" customWidth="1"/>
    <col min="9736" max="9736" width="7.42578125" bestFit="1" customWidth="1"/>
    <col min="9985" max="9985" width="19.5703125" customWidth="1"/>
    <col min="9986" max="9986" width="52.42578125" customWidth="1"/>
    <col min="9987" max="9987" width="18.42578125" customWidth="1"/>
    <col min="9989" max="9989" width="25.85546875" customWidth="1"/>
    <col min="9992" max="9992" width="7.42578125" bestFit="1" customWidth="1"/>
    <col min="10241" max="10241" width="19.5703125" customWidth="1"/>
    <col min="10242" max="10242" width="52.42578125" customWidth="1"/>
    <col min="10243" max="10243" width="18.42578125" customWidth="1"/>
    <col min="10245" max="10245" width="25.85546875" customWidth="1"/>
    <col min="10248" max="10248" width="7.42578125" bestFit="1" customWidth="1"/>
    <col min="10497" max="10497" width="19.5703125" customWidth="1"/>
    <col min="10498" max="10498" width="52.42578125" customWidth="1"/>
    <col min="10499" max="10499" width="18.42578125" customWidth="1"/>
    <col min="10501" max="10501" width="25.85546875" customWidth="1"/>
    <col min="10504" max="10504" width="7.42578125" bestFit="1" customWidth="1"/>
    <col min="10753" max="10753" width="19.5703125" customWidth="1"/>
    <col min="10754" max="10754" width="52.42578125" customWidth="1"/>
    <col min="10755" max="10755" width="18.42578125" customWidth="1"/>
    <col min="10757" max="10757" width="25.85546875" customWidth="1"/>
    <col min="10760" max="10760" width="7.42578125" bestFit="1" customWidth="1"/>
    <col min="11009" max="11009" width="19.5703125" customWidth="1"/>
    <col min="11010" max="11010" width="52.42578125" customWidth="1"/>
    <col min="11011" max="11011" width="18.42578125" customWidth="1"/>
    <col min="11013" max="11013" width="25.85546875" customWidth="1"/>
    <col min="11016" max="11016" width="7.42578125" bestFit="1" customWidth="1"/>
    <col min="11265" max="11265" width="19.5703125" customWidth="1"/>
    <col min="11266" max="11266" width="52.42578125" customWidth="1"/>
    <col min="11267" max="11267" width="18.42578125" customWidth="1"/>
    <col min="11269" max="11269" width="25.85546875" customWidth="1"/>
    <col min="11272" max="11272" width="7.42578125" bestFit="1" customWidth="1"/>
    <col min="11521" max="11521" width="19.5703125" customWidth="1"/>
    <col min="11522" max="11522" width="52.42578125" customWidth="1"/>
    <col min="11523" max="11523" width="18.42578125" customWidth="1"/>
    <col min="11525" max="11525" width="25.85546875" customWidth="1"/>
    <col min="11528" max="11528" width="7.42578125" bestFit="1" customWidth="1"/>
    <col min="11777" max="11777" width="19.5703125" customWidth="1"/>
    <col min="11778" max="11778" width="52.42578125" customWidth="1"/>
    <col min="11779" max="11779" width="18.42578125" customWidth="1"/>
    <col min="11781" max="11781" width="25.85546875" customWidth="1"/>
    <col min="11784" max="11784" width="7.42578125" bestFit="1" customWidth="1"/>
    <col min="12033" max="12033" width="19.5703125" customWidth="1"/>
    <col min="12034" max="12034" width="52.42578125" customWidth="1"/>
    <col min="12035" max="12035" width="18.42578125" customWidth="1"/>
    <col min="12037" max="12037" width="25.85546875" customWidth="1"/>
    <col min="12040" max="12040" width="7.42578125" bestFit="1" customWidth="1"/>
    <col min="12289" max="12289" width="19.5703125" customWidth="1"/>
    <col min="12290" max="12290" width="52.42578125" customWidth="1"/>
    <col min="12291" max="12291" width="18.42578125" customWidth="1"/>
    <col min="12293" max="12293" width="25.85546875" customWidth="1"/>
    <col min="12296" max="12296" width="7.42578125" bestFit="1" customWidth="1"/>
    <col min="12545" max="12545" width="19.5703125" customWidth="1"/>
    <col min="12546" max="12546" width="52.42578125" customWidth="1"/>
    <col min="12547" max="12547" width="18.42578125" customWidth="1"/>
    <col min="12549" max="12549" width="25.85546875" customWidth="1"/>
    <col min="12552" max="12552" width="7.42578125" bestFit="1" customWidth="1"/>
    <col min="12801" max="12801" width="19.5703125" customWidth="1"/>
    <col min="12802" max="12802" width="52.42578125" customWidth="1"/>
    <col min="12803" max="12803" width="18.42578125" customWidth="1"/>
    <col min="12805" max="12805" width="25.85546875" customWidth="1"/>
    <col min="12808" max="12808" width="7.42578125" bestFit="1" customWidth="1"/>
    <col min="13057" max="13057" width="19.5703125" customWidth="1"/>
    <col min="13058" max="13058" width="52.42578125" customWidth="1"/>
    <col min="13059" max="13059" width="18.42578125" customWidth="1"/>
    <col min="13061" max="13061" width="25.85546875" customWidth="1"/>
    <col min="13064" max="13064" width="7.42578125" bestFit="1" customWidth="1"/>
    <col min="13313" max="13313" width="19.5703125" customWidth="1"/>
    <col min="13314" max="13314" width="52.42578125" customWidth="1"/>
    <col min="13315" max="13315" width="18.42578125" customWidth="1"/>
    <col min="13317" max="13317" width="25.85546875" customWidth="1"/>
    <col min="13320" max="13320" width="7.42578125" bestFit="1" customWidth="1"/>
    <col min="13569" max="13569" width="19.5703125" customWidth="1"/>
    <col min="13570" max="13570" width="52.42578125" customWidth="1"/>
    <col min="13571" max="13571" width="18.42578125" customWidth="1"/>
    <col min="13573" max="13573" width="25.85546875" customWidth="1"/>
    <col min="13576" max="13576" width="7.42578125" bestFit="1" customWidth="1"/>
    <col min="13825" max="13825" width="19.5703125" customWidth="1"/>
    <col min="13826" max="13826" width="52.42578125" customWidth="1"/>
    <col min="13827" max="13827" width="18.42578125" customWidth="1"/>
    <col min="13829" max="13829" width="25.85546875" customWidth="1"/>
    <col min="13832" max="13832" width="7.42578125" bestFit="1" customWidth="1"/>
    <col min="14081" max="14081" width="19.5703125" customWidth="1"/>
    <col min="14082" max="14082" width="52.42578125" customWidth="1"/>
    <col min="14083" max="14083" width="18.42578125" customWidth="1"/>
    <col min="14085" max="14085" width="25.85546875" customWidth="1"/>
    <col min="14088" max="14088" width="7.42578125" bestFit="1" customWidth="1"/>
    <col min="14337" max="14337" width="19.5703125" customWidth="1"/>
    <col min="14338" max="14338" width="52.42578125" customWidth="1"/>
    <col min="14339" max="14339" width="18.42578125" customWidth="1"/>
    <col min="14341" max="14341" width="25.85546875" customWidth="1"/>
    <col min="14344" max="14344" width="7.42578125" bestFit="1" customWidth="1"/>
    <col min="14593" max="14593" width="19.5703125" customWidth="1"/>
    <col min="14594" max="14594" width="52.42578125" customWidth="1"/>
    <col min="14595" max="14595" width="18.42578125" customWidth="1"/>
    <col min="14597" max="14597" width="25.85546875" customWidth="1"/>
    <col min="14600" max="14600" width="7.42578125" bestFit="1" customWidth="1"/>
    <col min="14849" max="14849" width="19.5703125" customWidth="1"/>
    <col min="14850" max="14850" width="52.42578125" customWidth="1"/>
    <col min="14851" max="14851" width="18.42578125" customWidth="1"/>
    <col min="14853" max="14853" width="25.85546875" customWidth="1"/>
    <col min="14856" max="14856" width="7.42578125" bestFit="1" customWidth="1"/>
    <col min="15105" max="15105" width="19.5703125" customWidth="1"/>
    <col min="15106" max="15106" width="52.42578125" customWidth="1"/>
    <col min="15107" max="15107" width="18.42578125" customWidth="1"/>
    <col min="15109" max="15109" width="25.85546875" customWidth="1"/>
    <col min="15112" max="15112" width="7.42578125" bestFit="1" customWidth="1"/>
    <col min="15361" max="15361" width="19.5703125" customWidth="1"/>
    <col min="15362" max="15362" width="52.42578125" customWidth="1"/>
    <col min="15363" max="15363" width="18.42578125" customWidth="1"/>
    <col min="15365" max="15365" width="25.85546875" customWidth="1"/>
    <col min="15368" max="15368" width="7.42578125" bestFit="1" customWidth="1"/>
    <col min="15617" max="15617" width="19.5703125" customWidth="1"/>
    <col min="15618" max="15618" width="52.42578125" customWidth="1"/>
    <col min="15619" max="15619" width="18.42578125" customWidth="1"/>
    <col min="15621" max="15621" width="25.85546875" customWidth="1"/>
    <col min="15624" max="15624" width="7.42578125" bestFit="1" customWidth="1"/>
    <col min="15873" max="15873" width="19.5703125" customWidth="1"/>
    <col min="15874" max="15874" width="52.42578125" customWidth="1"/>
    <col min="15875" max="15875" width="18.42578125" customWidth="1"/>
    <col min="15877" max="15877" width="25.85546875" customWidth="1"/>
    <col min="15880" max="15880" width="7.42578125" bestFit="1" customWidth="1"/>
    <col min="16129" max="16129" width="19.5703125" customWidth="1"/>
    <col min="16130" max="16130" width="52.42578125" customWidth="1"/>
    <col min="16131" max="16131" width="18.42578125" customWidth="1"/>
    <col min="16133" max="16133" width="25.85546875" customWidth="1"/>
    <col min="16136" max="16136" width="7.42578125" bestFit="1" customWidth="1"/>
  </cols>
  <sheetData>
    <row r="1" spans="1:5" ht="14.45" customHeight="1" x14ac:dyDescent="0.25">
      <c r="A1" s="217" t="s">
        <v>0</v>
      </c>
      <c r="B1" s="217"/>
      <c r="C1" s="217"/>
      <c r="D1" s="217"/>
    </row>
    <row r="2" spans="1:5" ht="15.75" x14ac:dyDescent="0.25">
      <c r="D2" s="29"/>
    </row>
    <row r="3" spans="1:5" ht="16.5" customHeight="1" x14ac:dyDescent="0.25">
      <c r="A3" s="281" t="s">
        <v>26</v>
      </c>
      <c r="B3" s="281"/>
      <c r="C3" s="281"/>
      <c r="D3" s="281"/>
    </row>
    <row r="4" spans="1:5" ht="15.75" x14ac:dyDescent="0.25">
      <c r="D4" s="30"/>
    </row>
    <row r="5" spans="1:5" ht="48.75" customHeight="1" x14ac:dyDescent="0.25">
      <c r="A5" s="218" t="s">
        <v>248</v>
      </c>
      <c r="B5" s="218"/>
      <c r="C5" s="218"/>
      <c r="D5" s="218"/>
    </row>
    <row r="6" spans="1:5" ht="15.75" x14ac:dyDescent="0.25">
      <c r="D6" s="30"/>
    </row>
    <row r="7" spans="1:5" ht="16.5" thickBot="1" x14ac:dyDescent="0.3">
      <c r="A7" s="219" t="s">
        <v>27</v>
      </c>
      <c r="B7" s="219"/>
      <c r="C7" s="219"/>
      <c r="D7" s="219"/>
    </row>
    <row r="8" spans="1:5" ht="73.5" customHeight="1" thickBot="1" x14ac:dyDescent="0.3">
      <c r="A8" s="31" t="s">
        <v>2</v>
      </c>
      <c r="B8" s="32" t="s">
        <v>3</v>
      </c>
      <c r="C8" s="272" t="s">
        <v>4</v>
      </c>
      <c r="D8" s="273"/>
    </row>
    <row r="9" spans="1:5" ht="16.5" thickBot="1" x14ac:dyDescent="0.3">
      <c r="A9" s="33"/>
      <c r="B9" s="34" t="s">
        <v>5</v>
      </c>
      <c r="C9" s="220"/>
      <c r="D9" s="221"/>
    </row>
    <row r="10" spans="1:5" ht="78.75" x14ac:dyDescent="0.25">
      <c r="A10" s="210" t="s">
        <v>6</v>
      </c>
      <c r="B10" s="35" t="s">
        <v>523</v>
      </c>
      <c r="C10" s="204">
        <f>50+80</f>
        <v>130</v>
      </c>
      <c r="D10" s="205"/>
    </row>
    <row r="11" spans="1:5" ht="79.5" customHeight="1" x14ac:dyDescent="0.25">
      <c r="A11" s="211"/>
      <c r="B11" s="63" t="s">
        <v>524</v>
      </c>
      <c r="C11" s="204"/>
      <c r="D11" s="205"/>
    </row>
    <row r="12" spans="1:5" ht="16.5" thickBot="1" x14ac:dyDescent="0.3">
      <c r="A12" s="212"/>
      <c r="B12" s="36" t="s">
        <v>375</v>
      </c>
      <c r="C12" s="204"/>
      <c r="D12" s="205"/>
    </row>
    <row r="13" spans="1:5" ht="48" thickBot="1" x14ac:dyDescent="0.3">
      <c r="A13" s="37" t="s">
        <v>7</v>
      </c>
      <c r="B13" s="36" t="s">
        <v>209</v>
      </c>
      <c r="C13" s="204">
        <f>C10*0.2359</f>
        <v>30.667000000000002</v>
      </c>
      <c r="D13" s="205"/>
    </row>
    <row r="14" spans="1:5" ht="16.5" thickBot="1" x14ac:dyDescent="0.3">
      <c r="A14" s="37"/>
      <c r="B14" s="38" t="s">
        <v>9</v>
      </c>
      <c r="C14" s="204">
        <f>SUM(C10:D13)</f>
        <v>160.667</v>
      </c>
      <c r="D14" s="205"/>
      <c r="E14" s="39"/>
    </row>
    <row r="15" spans="1:5" ht="16.5" thickBot="1" x14ac:dyDescent="0.3">
      <c r="A15" s="37"/>
      <c r="B15" s="38" t="s">
        <v>10</v>
      </c>
      <c r="C15" s="204"/>
      <c r="D15" s="205"/>
    </row>
    <row r="16" spans="1:5" ht="162" customHeight="1" thickBot="1" x14ac:dyDescent="0.3">
      <c r="A16" s="37" t="s">
        <v>12</v>
      </c>
      <c r="B16" s="62" t="s">
        <v>328</v>
      </c>
      <c r="C16" s="204">
        <f>280+540+20</f>
        <v>840</v>
      </c>
      <c r="D16" s="205"/>
    </row>
    <row r="17" spans="1:5" ht="16.5" thickBot="1" x14ac:dyDescent="0.3">
      <c r="A17" s="33"/>
      <c r="B17" s="34" t="s">
        <v>18</v>
      </c>
      <c r="C17" s="204">
        <f>SUM(C16:C16)</f>
        <v>840</v>
      </c>
      <c r="D17" s="205"/>
      <c r="E17" s="40"/>
    </row>
    <row r="18" spans="1:5" ht="16.5" thickBot="1" x14ac:dyDescent="0.3">
      <c r="A18" s="33"/>
      <c r="B18" s="41" t="s">
        <v>19</v>
      </c>
      <c r="C18" s="206">
        <f>SUM(C14,C17)</f>
        <v>1000.667</v>
      </c>
      <c r="D18" s="207"/>
      <c r="E18" s="42"/>
    </row>
    <row r="19" spans="1:5" x14ac:dyDescent="0.25">
      <c r="A19" s="43"/>
      <c r="C19" s="8"/>
      <c r="E19" s="13"/>
    </row>
    <row r="20" spans="1:5" ht="15.75" x14ac:dyDescent="0.25">
      <c r="A20" s="213" t="s">
        <v>20</v>
      </c>
      <c r="B20" s="214"/>
      <c r="C20" s="224">
        <v>2000</v>
      </c>
      <c r="D20" s="224"/>
      <c r="E20" s="44"/>
    </row>
    <row r="21" spans="1:5" ht="32.25" customHeight="1" x14ac:dyDescent="0.25">
      <c r="A21" s="215" t="s">
        <v>28</v>
      </c>
      <c r="B21" s="216"/>
      <c r="C21" s="225">
        <f>C18/C20</f>
        <v>0.50033349999999999</v>
      </c>
      <c r="D21" s="225"/>
      <c r="E21" s="45"/>
    </row>
    <row r="22" spans="1:5" ht="15.75" x14ac:dyDescent="0.25">
      <c r="A22" s="46"/>
    </row>
    <row r="23" spans="1:5" x14ac:dyDescent="0.25">
      <c r="A23" s="78"/>
      <c r="B23" s="78"/>
      <c r="C23" s="203"/>
      <c r="D23" s="203"/>
    </row>
    <row r="24" spans="1:5" x14ac:dyDescent="0.25">
      <c r="A24" s="78"/>
      <c r="B24" s="78"/>
      <c r="C24" s="79"/>
      <c r="D24" s="78"/>
    </row>
    <row r="25" spans="1:5" x14ac:dyDescent="0.25">
      <c r="A25" s="78"/>
      <c r="B25" s="78"/>
      <c r="C25" s="203"/>
      <c r="D25" s="203"/>
    </row>
    <row r="26" spans="1:5" x14ac:dyDescent="0.25">
      <c r="A26" s="78"/>
      <c r="B26" s="78"/>
      <c r="C26" s="78"/>
      <c r="D26" s="78"/>
    </row>
    <row r="27" spans="1:5" x14ac:dyDescent="0.25">
      <c r="A27" s="202"/>
      <c r="B27" s="202"/>
      <c r="C27" s="80"/>
      <c r="D27" s="80"/>
    </row>
    <row r="28" spans="1:5" x14ac:dyDescent="0.25">
      <c r="A28" s="201"/>
      <c r="B28" s="202"/>
      <c r="C28" s="80"/>
      <c r="D28" s="80"/>
    </row>
    <row r="29" spans="1:5" x14ac:dyDescent="0.25">
      <c r="A29" s="57"/>
      <c r="B29" s="80"/>
      <c r="C29" s="81"/>
      <c r="D29" s="81"/>
    </row>
    <row r="30" spans="1:5" x14ac:dyDescent="0.25">
      <c r="A30" s="201"/>
      <c r="B30" s="201"/>
      <c r="C30" s="81"/>
      <c r="D30" s="81"/>
    </row>
  </sheetData>
  <mergeCells count="23">
    <mergeCell ref="A1:D1"/>
    <mergeCell ref="A3:D3"/>
    <mergeCell ref="A5:D5"/>
    <mergeCell ref="A7:D7"/>
    <mergeCell ref="C8:D8"/>
    <mergeCell ref="C9:D9"/>
    <mergeCell ref="A10:A12"/>
    <mergeCell ref="C10:D12"/>
    <mergeCell ref="C13:D13"/>
    <mergeCell ref="C14:D14"/>
    <mergeCell ref="A30:B30"/>
    <mergeCell ref="C15:D15"/>
    <mergeCell ref="C23:D23"/>
    <mergeCell ref="C25:D25"/>
    <mergeCell ref="A27:B27"/>
    <mergeCell ref="A28:B28"/>
    <mergeCell ref="A21:B21"/>
    <mergeCell ref="C21:D21"/>
    <mergeCell ref="C16:D16"/>
    <mergeCell ref="C17:D17"/>
    <mergeCell ref="C18:D18"/>
    <mergeCell ref="A20:B20"/>
    <mergeCell ref="C20:D20"/>
  </mergeCells>
  <pageMargins left="0.70866141732283472" right="0.70866141732283472" top="0.74803149606299213" bottom="0.74803149606299213" header="0.31496062992125984" footer="0.31496062992125984"/>
  <pageSetup paperSize="9" fitToHeight="0" orientation="portrait"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60" zoomScaleNormal="100" workbookViewId="0">
      <selection activeCell="T13" sqref="T13"/>
    </sheetView>
  </sheetViews>
  <sheetFormatPr defaultRowHeight="15" x14ac:dyDescent="0.25"/>
  <cols>
    <col min="1" max="1" width="19.5703125" customWidth="1"/>
    <col min="2" max="2" width="50.5703125" customWidth="1"/>
    <col min="3" max="3" width="16.140625" style="7" customWidth="1"/>
    <col min="4" max="4" width="3.85546875" customWidth="1"/>
    <col min="5" max="5" width="25.85546875" style="9" customWidth="1"/>
    <col min="8" max="8" width="7.42578125" bestFit="1" customWidth="1"/>
  </cols>
  <sheetData>
    <row r="1" spans="1:5" ht="14.45" customHeight="1" x14ac:dyDescent="0.25">
      <c r="A1" s="251" t="s">
        <v>0</v>
      </c>
      <c r="B1" s="251"/>
      <c r="C1" s="251"/>
      <c r="D1" s="251"/>
    </row>
    <row r="2" spans="1:5" ht="15.75" x14ac:dyDescent="0.25">
      <c r="D2" s="1"/>
    </row>
    <row r="3" spans="1:5" ht="15" customHeight="1" x14ac:dyDescent="0.25">
      <c r="A3" s="319" t="s">
        <v>22</v>
      </c>
      <c r="B3" s="319"/>
      <c r="C3" s="319"/>
      <c r="D3" s="319"/>
    </row>
    <row r="4" spans="1:5" ht="15.75" x14ac:dyDescent="0.25">
      <c r="D4" s="5"/>
    </row>
    <row r="5" spans="1:5" ht="51" customHeight="1" x14ac:dyDescent="0.25">
      <c r="A5" s="253" t="s">
        <v>249</v>
      </c>
      <c r="B5" s="253"/>
      <c r="C5" s="253"/>
      <c r="D5" s="253"/>
    </row>
    <row r="6" spans="1:5" ht="15.75" x14ac:dyDescent="0.25">
      <c r="D6" s="6"/>
    </row>
    <row r="7" spans="1:5" ht="16.5" thickBot="1" x14ac:dyDescent="0.3">
      <c r="A7" s="254" t="s">
        <v>1</v>
      </c>
      <c r="B7" s="254"/>
      <c r="C7" s="254"/>
      <c r="D7" s="254"/>
    </row>
    <row r="8" spans="1:5" ht="58.5" customHeight="1" thickBot="1" x14ac:dyDescent="0.3">
      <c r="A8" s="16" t="s">
        <v>2</v>
      </c>
      <c r="B8" s="17" t="s">
        <v>3</v>
      </c>
      <c r="C8" s="255" t="s">
        <v>4</v>
      </c>
      <c r="D8" s="256"/>
    </row>
    <row r="9" spans="1:5" ht="16.5" thickBot="1" x14ac:dyDescent="0.3">
      <c r="A9" s="3"/>
      <c r="B9" s="18" t="s">
        <v>5</v>
      </c>
      <c r="C9" s="257"/>
      <c r="D9" s="258"/>
    </row>
    <row r="10" spans="1:5" ht="78.75" x14ac:dyDescent="0.25">
      <c r="A10" s="259" t="s">
        <v>6</v>
      </c>
      <c r="B10" s="123" t="s">
        <v>526</v>
      </c>
      <c r="C10" s="317">
        <f>540+150</f>
        <v>690</v>
      </c>
      <c r="D10" s="318"/>
    </row>
    <row r="11" spans="1:5" ht="78.75" x14ac:dyDescent="0.25">
      <c r="A11" s="260"/>
      <c r="B11" s="111" t="s">
        <v>525</v>
      </c>
      <c r="C11" s="317"/>
      <c r="D11" s="318"/>
    </row>
    <row r="12" spans="1:5" ht="16.5" thickBot="1" x14ac:dyDescent="0.3">
      <c r="A12" s="261"/>
      <c r="B12" s="104" t="s">
        <v>433</v>
      </c>
      <c r="C12" s="317"/>
      <c r="D12" s="318"/>
    </row>
    <row r="13" spans="1:5" ht="48" thickBot="1" x14ac:dyDescent="0.3">
      <c r="A13" s="26" t="s">
        <v>7</v>
      </c>
      <c r="B13" s="19" t="s">
        <v>209</v>
      </c>
      <c r="C13" s="262">
        <f>C10*0.2359</f>
        <v>162.77099999999999</v>
      </c>
      <c r="D13" s="263"/>
    </row>
    <row r="14" spans="1:5" ht="16.5" thickBot="1" x14ac:dyDescent="0.3">
      <c r="A14" s="26"/>
      <c r="B14" s="20" t="s">
        <v>9</v>
      </c>
      <c r="C14" s="262">
        <f>SUM(C10:D13)</f>
        <v>852.77099999999996</v>
      </c>
      <c r="D14" s="263"/>
      <c r="E14" s="10"/>
    </row>
    <row r="15" spans="1:5" ht="16.5" thickBot="1" x14ac:dyDescent="0.3">
      <c r="A15" s="26"/>
      <c r="B15" s="20" t="s">
        <v>10</v>
      </c>
      <c r="C15" s="262"/>
      <c r="D15" s="263"/>
    </row>
    <row r="16" spans="1:5" ht="158.25" thickBot="1" x14ac:dyDescent="0.3">
      <c r="A16" s="100" t="s">
        <v>12</v>
      </c>
      <c r="B16" s="19" t="s">
        <v>329</v>
      </c>
      <c r="C16" s="315">
        <f>210+405+15</f>
        <v>630</v>
      </c>
      <c r="D16" s="316"/>
    </row>
    <row r="17" spans="1:5" ht="32.25" thickBot="1" x14ac:dyDescent="0.3">
      <c r="A17" s="99" t="s">
        <v>23</v>
      </c>
      <c r="B17" s="96" t="s">
        <v>458</v>
      </c>
      <c r="C17" s="222">
        <v>18</v>
      </c>
      <c r="D17" s="223"/>
      <c r="E17" s="11"/>
    </row>
    <row r="18" spans="1:5" ht="16.5" thickBot="1" x14ac:dyDescent="0.3">
      <c r="A18" s="3"/>
      <c r="B18" s="18" t="s">
        <v>18</v>
      </c>
      <c r="C18" s="262">
        <f>SUM(C16:C17)</f>
        <v>648</v>
      </c>
      <c r="D18" s="263"/>
      <c r="E18" s="12"/>
    </row>
    <row r="19" spans="1:5" ht="16.5" thickBot="1" x14ac:dyDescent="0.3">
      <c r="A19" s="3"/>
      <c r="B19" s="21" t="s">
        <v>19</v>
      </c>
      <c r="C19" s="267">
        <f>SUM(C14,C18)</f>
        <v>1500.771</v>
      </c>
      <c r="D19" s="268"/>
      <c r="E19" s="13"/>
    </row>
    <row r="20" spans="1:5" ht="15.75" x14ac:dyDescent="0.25">
      <c r="A20" s="4"/>
      <c r="C20" s="8"/>
      <c r="E20" s="14"/>
    </row>
    <row r="21" spans="1:5" ht="15.75" customHeight="1" x14ac:dyDescent="0.25">
      <c r="A21" s="313" t="s">
        <v>20</v>
      </c>
      <c r="B21" s="314"/>
      <c r="C21" s="271">
        <v>1500</v>
      </c>
      <c r="D21" s="271"/>
      <c r="E21" s="15"/>
    </row>
    <row r="22" spans="1:5" ht="31.5" customHeight="1" x14ac:dyDescent="0.25">
      <c r="A22" s="264" t="s">
        <v>21</v>
      </c>
      <c r="B22" s="312"/>
      <c r="C22" s="225">
        <f>C19/C21</f>
        <v>1.0005139999999999</v>
      </c>
      <c r="D22" s="225"/>
    </row>
    <row r="23" spans="1:5" ht="15.75" x14ac:dyDescent="0.25">
      <c r="A23" s="2"/>
    </row>
    <row r="24" spans="1:5" x14ac:dyDescent="0.25">
      <c r="A24" s="78"/>
      <c r="B24" s="78"/>
      <c r="C24" s="203"/>
      <c r="D24" s="203"/>
    </row>
    <row r="25" spans="1:5" x14ac:dyDescent="0.25">
      <c r="A25" s="78"/>
      <c r="B25" s="78"/>
      <c r="C25" s="79"/>
      <c r="D25" s="78"/>
    </row>
    <row r="26" spans="1:5" x14ac:dyDescent="0.25">
      <c r="A26" s="78"/>
      <c r="B26" s="78"/>
      <c r="C26" s="203"/>
      <c r="D26" s="203"/>
    </row>
    <row r="27" spans="1:5" x14ac:dyDescent="0.25">
      <c r="A27" s="78"/>
      <c r="B27" s="78"/>
      <c r="C27" s="78"/>
      <c r="D27" s="78"/>
    </row>
    <row r="28" spans="1:5" x14ac:dyDescent="0.25">
      <c r="A28" s="202"/>
      <c r="B28" s="202"/>
      <c r="C28" s="80"/>
      <c r="D28" s="80"/>
    </row>
    <row r="29" spans="1:5" x14ac:dyDescent="0.25">
      <c r="A29" s="201"/>
      <c r="B29" s="202"/>
      <c r="C29" s="80"/>
      <c r="D29" s="80"/>
    </row>
    <row r="30" spans="1:5" x14ac:dyDescent="0.25">
      <c r="A30" s="57"/>
      <c r="B30" s="80"/>
      <c r="C30" s="81"/>
      <c r="D30" s="81"/>
    </row>
    <row r="31" spans="1:5" x14ac:dyDescent="0.25">
      <c r="A31" s="201"/>
      <c r="B31" s="201"/>
      <c r="C31" s="81"/>
      <c r="D31" s="81"/>
    </row>
  </sheetData>
  <mergeCells count="24">
    <mergeCell ref="A1:D1"/>
    <mergeCell ref="A3:D3"/>
    <mergeCell ref="A5:D5"/>
    <mergeCell ref="A7:D7"/>
    <mergeCell ref="C8:D8"/>
    <mergeCell ref="C9:D9"/>
    <mergeCell ref="A10:A12"/>
    <mergeCell ref="C10:D12"/>
    <mergeCell ref="C13:D13"/>
    <mergeCell ref="C14:D14"/>
    <mergeCell ref="C15:D15"/>
    <mergeCell ref="A22:B22"/>
    <mergeCell ref="C22:D22"/>
    <mergeCell ref="C17:D17"/>
    <mergeCell ref="C18:D18"/>
    <mergeCell ref="C19:D19"/>
    <mergeCell ref="A21:B21"/>
    <mergeCell ref="C21:D21"/>
    <mergeCell ref="C16:D16"/>
    <mergeCell ref="C24:D24"/>
    <mergeCell ref="C26:D26"/>
    <mergeCell ref="A28:B28"/>
    <mergeCell ref="A29:B29"/>
    <mergeCell ref="A31:B31"/>
  </mergeCells>
  <pageMargins left="0.70866141732283472" right="0.70866141732283472" top="0.74803149606299213" bottom="0.74803149606299213" header="0.31496062992125984" footer="0.31496062992125984"/>
  <pageSetup paperSize="9" scale="97"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view="pageBreakPreview" zoomScale="60" zoomScaleNormal="100" workbookViewId="0">
      <selection activeCell="T13" sqref="T13"/>
    </sheetView>
  </sheetViews>
  <sheetFormatPr defaultRowHeight="15" x14ac:dyDescent="0.25"/>
  <cols>
    <col min="1" max="1" width="19.5703125" customWidth="1"/>
    <col min="2" max="2" width="52.42578125" customWidth="1"/>
    <col min="3" max="3" width="13.85546875" style="7" customWidth="1"/>
    <col min="5" max="5" width="7.42578125" bestFit="1" customWidth="1"/>
    <col min="254" max="254" width="19.5703125" customWidth="1"/>
    <col min="255" max="255" width="52.42578125" customWidth="1"/>
    <col min="256" max="256" width="18.42578125" customWidth="1"/>
    <col min="258" max="258" width="25.85546875" customWidth="1"/>
    <col min="261" max="261" width="7.42578125" bestFit="1" customWidth="1"/>
    <col min="510" max="510" width="19.5703125" customWidth="1"/>
    <col min="511" max="511" width="52.42578125" customWidth="1"/>
    <col min="512" max="512" width="18.42578125" customWidth="1"/>
    <col min="514" max="514" width="25.85546875" customWidth="1"/>
    <col min="517" max="517" width="7.42578125" bestFit="1" customWidth="1"/>
    <col min="766" max="766" width="19.5703125" customWidth="1"/>
    <col min="767" max="767" width="52.42578125" customWidth="1"/>
    <col min="768" max="768" width="18.42578125" customWidth="1"/>
    <col min="770" max="770" width="25.85546875" customWidth="1"/>
    <col min="773" max="773" width="7.42578125" bestFit="1" customWidth="1"/>
    <col min="1022" max="1022" width="19.5703125" customWidth="1"/>
    <col min="1023" max="1023" width="52.42578125" customWidth="1"/>
    <col min="1024" max="1024" width="18.42578125" customWidth="1"/>
    <col min="1026" max="1026" width="25.85546875" customWidth="1"/>
    <col min="1029" max="1029" width="7.42578125" bestFit="1" customWidth="1"/>
    <col min="1278" max="1278" width="19.5703125" customWidth="1"/>
    <col min="1279" max="1279" width="52.42578125" customWidth="1"/>
    <col min="1280" max="1280" width="18.42578125" customWidth="1"/>
    <col min="1282" max="1282" width="25.85546875" customWidth="1"/>
    <col min="1285" max="1285" width="7.42578125" bestFit="1" customWidth="1"/>
    <col min="1534" max="1534" width="19.5703125" customWidth="1"/>
    <col min="1535" max="1535" width="52.42578125" customWidth="1"/>
    <col min="1536" max="1536" width="18.42578125" customWidth="1"/>
    <col min="1538" max="1538" width="25.85546875" customWidth="1"/>
    <col min="1541" max="1541" width="7.42578125" bestFit="1" customWidth="1"/>
    <col min="1790" max="1790" width="19.5703125" customWidth="1"/>
    <col min="1791" max="1791" width="52.42578125" customWidth="1"/>
    <col min="1792" max="1792" width="18.42578125" customWidth="1"/>
    <col min="1794" max="1794" width="25.85546875" customWidth="1"/>
    <col min="1797" max="1797" width="7.42578125" bestFit="1" customWidth="1"/>
    <col min="2046" max="2046" width="19.5703125" customWidth="1"/>
    <col min="2047" max="2047" width="52.42578125" customWidth="1"/>
    <col min="2048" max="2048" width="18.42578125" customWidth="1"/>
    <col min="2050" max="2050" width="25.85546875" customWidth="1"/>
    <col min="2053" max="2053" width="7.42578125" bestFit="1" customWidth="1"/>
    <col min="2302" max="2302" width="19.5703125" customWidth="1"/>
    <col min="2303" max="2303" width="52.42578125" customWidth="1"/>
    <col min="2304" max="2304" width="18.42578125" customWidth="1"/>
    <col min="2306" max="2306" width="25.85546875" customWidth="1"/>
    <col min="2309" max="2309" width="7.42578125" bestFit="1" customWidth="1"/>
    <col min="2558" max="2558" width="19.5703125" customWidth="1"/>
    <col min="2559" max="2559" width="52.42578125" customWidth="1"/>
    <col min="2560" max="2560" width="18.42578125" customWidth="1"/>
    <col min="2562" max="2562" width="25.85546875" customWidth="1"/>
    <col min="2565" max="2565" width="7.42578125" bestFit="1" customWidth="1"/>
    <col min="2814" max="2814" width="19.5703125" customWidth="1"/>
    <col min="2815" max="2815" width="52.42578125" customWidth="1"/>
    <col min="2816" max="2816" width="18.42578125" customWidth="1"/>
    <col min="2818" max="2818" width="25.85546875" customWidth="1"/>
    <col min="2821" max="2821" width="7.42578125" bestFit="1" customWidth="1"/>
    <col min="3070" max="3070" width="19.5703125" customWidth="1"/>
    <col min="3071" max="3071" width="52.42578125" customWidth="1"/>
    <col min="3072" max="3072" width="18.42578125" customWidth="1"/>
    <col min="3074" max="3074" width="25.85546875" customWidth="1"/>
    <col min="3077" max="3077" width="7.42578125" bestFit="1" customWidth="1"/>
    <col min="3326" max="3326" width="19.5703125" customWidth="1"/>
    <col min="3327" max="3327" width="52.42578125" customWidth="1"/>
    <col min="3328" max="3328" width="18.42578125" customWidth="1"/>
    <col min="3330" max="3330" width="25.85546875" customWidth="1"/>
    <col min="3333" max="3333" width="7.42578125" bestFit="1" customWidth="1"/>
    <col min="3582" max="3582" width="19.5703125" customWidth="1"/>
    <col min="3583" max="3583" width="52.42578125" customWidth="1"/>
    <col min="3584" max="3584" width="18.42578125" customWidth="1"/>
    <col min="3586" max="3586" width="25.85546875" customWidth="1"/>
    <col min="3589" max="3589" width="7.42578125" bestFit="1" customWidth="1"/>
    <col min="3838" max="3838" width="19.5703125" customWidth="1"/>
    <col min="3839" max="3839" width="52.42578125" customWidth="1"/>
    <col min="3840" max="3840" width="18.42578125" customWidth="1"/>
    <col min="3842" max="3842" width="25.85546875" customWidth="1"/>
    <col min="3845" max="3845" width="7.42578125" bestFit="1" customWidth="1"/>
    <col min="4094" max="4094" width="19.5703125" customWidth="1"/>
    <col min="4095" max="4095" width="52.42578125" customWidth="1"/>
    <col min="4096" max="4096" width="18.42578125" customWidth="1"/>
    <col min="4098" max="4098" width="25.85546875" customWidth="1"/>
    <col min="4101" max="4101" width="7.42578125" bestFit="1" customWidth="1"/>
    <col min="4350" max="4350" width="19.5703125" customWidth="1"/>
    <col min="4351" max="4351" width="52.42578125" customWidth="1"/>
    <col min="4352" max="4352" width="18.42578125" customWidth="1"/>
    <col min="4354" max="4354" width="25.85546875" customWidth="1"/>
    <col min="4357" max="4357" width="7.42578125" bestFit="1" customWidth="1"/>
    <col min="4606" max="4606" width="19.5703125" customWidth="1"/>
    <col min="4607" max="4607" width="52.42578125" customWidth="1"/>
    <col min="4608" max="4608" width="18.42578125" customWidth="1"/>
    <col min="4610" max="4610" width="25.85546875" customWidth="1"/>
    <col min="4613" max="4613" width="7.42578125" bestFit="1" customWidth="1"/>
    <col min="4862" max="4862" width="19.5703125" customWidth="1"/>
    <col min="4863" max="4863" width="52.42578125" customWidth="1"/>
    <col min="4864" max="4864" width="18.42578125" customWidth="1"/>
    <col min="4866" max="4866" width="25.85546875" customWidth="1"/>
    <col min="4869" max="4869" width="7.42578125" bestFit="1" customWidth="1"/>
    <col min="5118" max="5118" width="19.5703125" customWidth="1"/>
    <col min="5119" max="5119" width="52.42578125" customWidth="1"/>
    <col min="5120" max="5120" width="18.42578125" customWidth="1"/>
    <col min="5122" max="5122" width="25.85546875" customWidth="1"/>
    <col min="5125" max="5125" width="7.42578125" bestFit="1" customWidth="1"/>
    <col min="5374" max="5374" width="19.5703125" customWidth="1"/>
    <col min="5375" max="5375" width="52.42578125" customWidth="1"/>
    <col min="5376" max="5376" width="18.42578125" customWidth="1"/>
    <col min="5378" max="5378" width="25.85546875" customWidth="1"/>
    <col min="5381" max="5381" width="7.42578125" bestFit="1" customWidth="1"/>
    <col min="5630" max="5630" width="19.5703125" customWidth="1"/>
    <col min="5631" max="5631" width="52.42578125" customWidth="1"/>
    <col min="5632" max="5632" width="18.42578125" customWidth="1"/>
    <col min="5634" max="5634" width="25.85546875" customWidth="1"/>
    <col min="5637" max="5637" width="7.42578125" bestFit="1" customWidth="1"/>
    <col min="5886" max="5886" width="19.5703125" customWidth="1"/>
    <col min="5887" max="5887" width="52.42578125" customWidth="1"/>
    <col min="5888" max="5888" width="18.42578125" customWidth="1"/>
    <col min="5890" max="5890" width="25.85546875" customWidth="1"/>
    <col min="5893" max="5893" width="7.42578125" bestFit="1" customWidth="1"/>
    <col min="6142" max="6142" width="19.5703125" customWidth="1"/>
    <col min="6143" max="6143" width="52.42578125" customWidth="1"/>
    <col min="6144" max="6144" width="18.42578125" customWidth="1"/>
    <col min="6146" max="6146" width="25.85546875" customWidth="1"/>
    <col min="6149" max="6149" width="7.42578125" bestFit="1" customWidth="1"/>
    <col min="6398" max="6398" width="19.5703125" customWidth="1"/>
    <col min="6399" max="6399" width="52.42578125" customWidth="1"/>
    <col min="6400" max="6400" width="18.42578125" customWidth="1"/>
    <col min="6402" max="6402" width="25.85546875" customWidth="1"/>
    <col min="6405" max="6405" width="7.42578125" bestFit="1" customWidth="1"/>
    <col min="6654" max="6654" width="19.5703125" customWidth="1"/>
    <col min="6655" max="6655" width="52.42578125" customWidth="1"/>
    <col min="6656" max="6656" width="18.42578125" customWidth="1"/>
    <col min="6658" max="6658" width="25.85546875" customWidth="1"/>
    <col min="6661" max="6661" width="7.42578125" bestFit="1" customWidth="1"/>
    <col min="6910" max="6910" width="19.5703125" customWidth="1"/>
    <col min="6911" max="6911" width="52.42578125" customWidth="1"/>
    <col min="6912" max="6912" width="18.42578125" customWidth="1"/>
    <col min="6914" max="6914" width="25.85546875" customWidth="1"/>
    <col min="6917" max="6917" width="7.42578125" bestFit="1" customWidth="1"/>
    <col min="7166" max="7166" width="19.5703125" customWidth="1"/>
    <col min="7167" max="7167" width="52.42578125" customWidth="1"/>
    <col min="7168" max="7168" width="18.42578125" customWidth="1"/>
    <col min="7170" max="7170" width="25.85546875" customWidth="1"/>
    <col min="7173" max="7173" width="7.42578125" bestFit="1" customWidth="1"/>
    <col min="7422" max="7422" width="19.5703125" customWidth="1"/>
    <col min="7423" max="7423" width="52.42578125" customWidth="1"/>
    <col min="7424" max="7424" width="18.42578125" customWidth="1"/>
    <col min="7426" max="7426" width="25.85546875" customWidth="1"/>
    <col min="7429" max="7429" width="7.42578125" bestFit="1" customWidth="1"/>
    <col min="7678" max="7678" width="19.5703125" customWidth="1"/>
    <col min="7679" max="7679" width="52.42578125" customWidth="1"/>
    <col min="7680" max="7680" width="18.42578125" customWidth="1"/>
    <col min="7682" max="7682" width="25.85546875" customWidth="1"/>
    <col min="7685" max="7685" width="7.42578125" bestFit="1" customWidth="1"/>
    <col min="7934" max="7934" width="19.5703125" customWidth="1"/>
    <col min="7935" max="7935" width="52.42578125" customWidth="1"/>
    <col min="7936" max="7936" width="18.42578125" customWidth="1"/>
    <col min="7938" max="7938" width="25.85546875" customWidth="1"/>
    <col min="7941" max="7941" width="7.42578125" bestFit="1" customWidth="1"/>
    <col min="8190" max="8190" width="19.5703125" customWidth="1"/>
    <col min="8191" max="8191" width="52.42578125" customWidth="1"/>
    <col min="8192" max="8192" width="18.42578125" customWidth="1"/>
    <col min="8194" max="8194" width="25.85546875" customWidth="1"/>
    <col min="8197" max="8197" width="7.42578125" bestFit="1" customWidth="1"/>
    <col min="8446" max="8446" width="19.5703125" customWidth="1"/>
    <col min="8447" max="8447" width="52.42578125" customWidth="1"/>
    <col min="8448" max="8448" width="18.42578125" customWidth="1"/>
    <col min="8450" max="8450" width="25.85546875" customWidth="1"/>
    <col min="8453" max="8453" width="7.42578125" bestFit="1" customWidth="1"/>
    <col min="8702" max="8702" width="19.5703125" customWidth="1"/>
    <col min="8703" max="8703" width="52.42578125" customWidth="1"/>
    <col min="8704" max="8704" width="18.42578125" customWidth="1"/>
    <col min="8706" max="8706" width="25.85546875" customWidth="1"/>
    <col min="8709" max="8709" width="7.42578125" bestFit="1" customWidth="1"/>
    <col min="8958" max="8958" width="19.5703125" customWidth="1"/>
    <col min="8959" max="8959" width="52.42578125" customWidth="1"/>
    <col min="8960" max="8960" width="18.42578125" customWidth="1"/>
    <col min="8962" max="8962" width="25.85546875" customWidth="1"/>
    <col min="8965" max="8965" width="7.42578125" bestFit="1" customWidth="1"/>
    <col min="9214" max="9214" width="19.5703125" customWidth="1"/>
    <col min="9215" max="9215" width="52.42578125" customWidth="1"/>
    <col min="9216" max="9216" width="18.42578125" customWidth="1"/>
    <col min="9218" max="9218" width="25.85546875" customWidth="1"/>
    <col min="9221" max="9221" width="7.42578125" bestFit="1" customWidth="1"/>
    <col min="9470" max="9470" width="19.5703125" customWidth="1"/>
    <col min="9471" max="9471" width="52.42578125" customWidth="1"/>
    <col min="9472" max="9472" width="18.42578125" customWidth="1"/>
    <col min="9474" max="9474" width="25.85546875" customWidth="1"/>
    <col min="9477" max="9477" width="7.42578125" bestFit="1" customWidth="1"/>
    <col min="9726" max="9726" width="19.5703125" customWidth="1"/>
    <col min="9727" max="9727" width="52.42578125" customWidth="1"/>
    <col min="9728" max="9728" width="18.42578125" customWidth="1"/>
    <col min="9730" max="9730" width="25.85546875" customWidth="1"/>
    <col min="9733" max="9733" width="7.42578125" bestFit="1" customWidth="1"/>
    <col min="9982" max="9982" width="19.5703125" customWidth="1"/>
    <col min="9983" max="9983" width="52.42578125" customWidth="1"/>
    <col min="9984" max="9984" width="18.42578125" customWidth="1"/>
    <col min="9986" max="9986" width="25.85546875" customWidth="1"/>
    <col min="9989" max="9989" width="7.42578125" bestFit="1" customWidth="1"/>
    <col min="10238" max="10238" width="19.5703125" customWidth="1"/>
    <col min="10239" max="10239" width="52.42578125" customWidth="1"/>
    <col min="10240" max="10240" width="18.42578125" customWidth="1"/>
    <col min="10242" max="10242" width="25.85546875" customWidth="1"/>
    <col min="10245" max="10245" width="7.42578125" bestFit="1" customWidth="1"/>
    <col min="10494" max="10494" width="19.5703125" customWidth="1"/>
    <col min="10495" max="10495" width="52.42578125" customWidth="1"/>
    <col min="10496" max="10496" width="18.42578125" customWidth="1"/>
    <col min="10498" max="10498" width="25.85546875" customWidth="1"/>
    <col min="10501" max="10501" width="7.42578125" bestFit="1" customWidth="1"/>
    <col min="10750" max="10750" width="19.5703125" customWidth="1"/>
    <col min="10751" max="10751" width="52.42578125" customWidth="1"/>
    <col min="10752" max="10752" width="18.42578125" customWidth="1"/>
    <col min="10754" max="10754" width="25.85546875" customWidth="1"/>
    <col min="10757" max="10757" width="7.42578125" bestFit="1" customWidth="1"/>
    <col min="11006" max="11006" width="19.5703125" customWidth="1"/>
    <col min="11007" max="11007" width="52.42578125" customWidth="1"/>
    <col min="11008" max="11008" width="18.42578125" customWidth="1"/>
    <col min="11010" max="11010" width="25.85546875" customWidth="1"/>
    <col min="11013" max="11013" width="7.42578125" bestFit="1" customWidth="1"/>
    <col min="11262" max="11262" width="19.5703125" customWidth="1"/>
    <col min="11263" max="11263" width="52.42578125" customWidth="1"/>
    <col min="11264" max="11264" width="18.42578125" customWidth="1"/>
    <col min="11266" max="11266" width="25.85546875" customWidth="1"/>
    <col min="11269" max="11269" width="7.42578125" bestFit="1" customWidth="1"/>
    <col min="11518" max="11518" width="19.5703125" customWidth="1"/>
    <col min="11519" max="11519" width="52.42578125" customWidth="1"/>
    <col min="11520" max="11520" width="18.42578125" customWidth="1"/>
    <col min="11522" max="11522" width="25.85546875" customWidth="1"/>
    <col min="11525" max="11525" width="7.42578125" bestFit="1" customWidth="1"/>
    <col min="11774" max="11774" width="19.5703125" customWidth="1"/>
    <col min="11775" max="11775" width="52.42578125" customWidth="1"/>
    <col min="11776" max="11776" width="18.42578125" customWidth="1"/>
    <col min="11778" max="11778" width="25.85546875" customWidth="1"/>
    <col min="11781" max="11781" width="7.42578125" bestFit="1" customWidth="1"/>
    <col min="12030" max="12030" width="19.5703125" customWidth="1"/>
    <col min="12031" max="12031" width="52.42578125" customWidth="1"/>
    <col min="12032" max="12032" width="18.42578125" customWidth="1"/>
    <col min="12034" max="12034" width="25.85546875" customWidth="1"/>
    <col min="12037" max="12037" width="7.42578125" bestFit="1" customWidth="1"/>
    <col min="12286" max="12286" width="19.5703125" customWidth="1"/>
    <col min="12287" max="12287" width="52.42578125" customWidth="1"/>
    <col min="12288" max="12288" width="18.42578125" customWidth="1"/>
    <col min="12290" max="12290" width="25.85546875" customWidth="1"/>
    <col min="12293" max="12293" width="7.42578125" bestFit="1" customWidth="1"/>
    <col min="12542" max="12542" width="19.5703125" customWidth="1"/>
    <col min="12543" max="12543" width="52.42578125" customWidth="1"/>
    <col min="12544" max="12544" width="18.42578125" customWidth="1"/>
    <col min="12546" max="12546" width="25.85546875" customWidth="1"/>
    <col min="12549" max="12549" width="7.42578125" bestFit="1" customWidth="1"/>
    <col min="12798" max="12798" width="19.5703125" customWidth="1"/>
    <col min="12799" max="12799" width="52.42578125" customWidth="1"/>
    <col min="12800" max="12800" width="18.42578125" customWidth="1"/>
    <col min="12802" max="12802" width="25.85546875" customWidth="1"/>
    <col min="12805" max="12805" width="7.42578125" bestFit="1" customWidth="1"/>
    <col min="13054" max="13054" width="19.5703125" customWidth="1"/>
    <col min="13055" max="13055" width="52.42578125" customWidth="1"/>
    <col min="13056" max="13056" width="18.42578125" customWidth="1"/>
    <col min="13058" max="13058" width="25.85546875" customWidth="1"/>
    <col min="13061" max="13061" width="7.42578125" bestFit="1" customWidth="1"/>
    <col min="13310" max="13310" width="19.5703125" customWidth="1"/>
    <col min="13311" max="13311" width="52.42578125" customWidth="1"/>
    <col min="13312" max="13312" width="18.42578125" customWidth="1"/>
    <col min="13314" max="13314" width="25.85546875" customWidth="1"/>
    <col min="13317" max="13317" width="7.42578125" bestFit="1" customWidth="1"/>
    <col min="13566" max="13566" width="19.5703125" customWidth="1"/>
    <col min="13567" max="13567" width="52.42578125" customWidth="1"/>
    <col min="13568" max="13568" width="18.42578125" customWidth="1"/>
    <col min="13570" max="13570" width="25.85546875" customWidth="1"/>
    <col min="13573" max="13573" width="7.42578125" bestFit="1" customWidth="1"/>
    <col min="13822" max="13822" width="19.5703125" customWidth="1"/>
    <col min="13823" max="13823" width="52.42578125" customWidth="1"/>
    <col min="13824" max="13824" width="18.42578125" customWidth="1"/>
    <col min="13826" max="13826" width="25.85546875" customWidth="1"/>
    <col min="13829" max="13829" width="7.42578125" bestFit="1" customWidth="1"/>
    <col min="14078" max="14078" width="19.5703125" customWidth="1"/>
    <col min="14079" max="14079" width="52.42578125" customWidth="1"/>
    <col min="14080" max="14080" width="18.42578125" customWidth="1"/>
    <col min="14082" max="14082" width="25.85546875" customWidth="1"/>
    <col min="14085" max="14085" width="7.42578125" bestFit="1" customWidth="1"/>
    <col min="14334" max="14334" width="19.5703125" customWidth="1"/>
    <col min="14335" max="14335" width="52.42578125" customWidth="1"/>
    <col min="14336" max="14336" width="18.42578125" customWidth="1"/>
    <col min="14338" max="14338" width="25.85546875" customWidth="1"/>
    <col min="14341" max="14341" width="7.42578125" bestFit="1" customWidth="1"/>
    <col min="14590" max="14590" width="19.5703125" customWidth="1"/>
    <col min="14591" max="14591" width="52.42578125" customWidth="1"/>
    <col min="14592" max="14592" width="18.42578125" customWidth="1"/>
    <col min="14594" max="14594" width="25.85546875" customWidth="1"/>
    <col min="14597" max="14597" width="7.42578125" bestFit="1" customWidth="1"/>
    <col min="14846" max="14846" width="19.5703125" customWidth="1"/>
    <col min="14847" max="14847" width="52.42578125" customWidth="1"/>
    <col min="14848" max="14848" width="18.42578125" customWidth="1"/>
    <col min="14850" max="14850" width="25.85546875" customWidth="1"/>
    <col min="14853" max="14853" width="7.42578125" bestFit="1" customWidth="1"/>
    <col min="15102" max="15102" width="19.5703125" customWidth="1"/>
    <col min="15103" max="15103" width="52.42578125" customWidth="1"/>
    <col min="15104" max="15104" width="18.42578125" customWidth="1"/>
    <col min="15106" max="15106" width="25.85546875" customWidth="1"/>
    <col min="15109" max="15109" width="7.42578125" bestFit="1" customWidth="1"/>
    <col min="15358" max="15358" width="19.5703125" customWidth="1"/>
    <col min="15359" max="15359" width="52.42578125" customWidth="1"/>
    <col min="15360" max="15360" width="18.42578125" customWidth="1"/>
    <col min="15362" max="15362" width="25.85546875" customWidth="1"/>
    <col min="15365" max="15365" width="7.42578125" bestFit="1" customWidth="1"/>
    <col min="15614" max="15614" width="19.5703125" customWidth="1"/>
    <col min="15615" max="15615" width="52.42578125" customWidth="1"/>
    <col min="15616" max="15616" width="18.42578125" customWidth="1"/>
    <col min="15618" max="15618" width="25.85546875" customWidth="1"/>
    <col min="15621" max="15621" width="7.42578125" bestFit="1" customWidth="1"/>
    <col min="15870" max="15870" width="19.5703125" customWidth="1"/>
    <col min="15871" max="15871" width="52.42578125" customWidth="1"/>
    <col min="15872" max="15872" width="18.42578125" customWidth="1"/>
    <col min="15874" max="15874" width="25.85546875" customWidth="1"/>
    <col min="15877" max="15877" width="7.42578125" bestFit="1" customWidth="1"/>
    <col min="16126" max="16126" width="19.5703125" customWidth="1"/>
    <col min="16127" max="16127" width="52.42578125" customWidth="1"/>
    <col min="16128" max="16128" width="18.42578125" customWidth="1"/>
    <col min="16130" max="16130" width="25.85546875" customWidth="1"/>
    <col min="16133" max="16133" width="7.42578125" bestFit="1" customWidth="1"/>
  </cols>
  <sheetData>
    <row r="1" spans="1:4" ht="15.75" x14ac:dyDescent="0.25">
      <c r="A1" s="29"/>
      <c r="B1" s="60"/>
      <c r="C1" s="71"/>
      <c r="D1" s="60"/>
    </row>
    <row r="2" spans="1:4" ht="14.45" customHeight="1" x14ac:dyDescent="0.25">
      <c r="A2" s="217" t="s">
        <v>0</v>
      </c>
      <c r="B2" s="217"/>
      <c r="C2" s="217"/>
      <c r="D2" s="217"/>
    </row>
    <row r="3" spans="1:4" ht="15.75" x14ac:dyDescent="0.25">
      <c r="A3" s="60"/>
      <c r="B3" s="60"/>
      <c r="C3" s="71"/>
      <c r="D3" s="29"/>
    </row>
    <row r="4" spans="1:4" ht="16.5" customHeight="1" x14ac:dyDescent="0.25">
      <c r="A4" s="218" t="s">
        <v>26</v>
      </c>
      <c r="B4" s="218"/>
      <c r="C4" s="218"/>
      <c r="D4" s="218"/>
    </row>
    <row r="5" spans="1:4" ht="15.75" x14ac:dyDescent="0.25">
      <c r="A5" s="60"/>
      <c r="B5" s="60"/>
      <c r="C5" s="71"/>
      <c r="D5" s="30"/>
    </row>
    <row r="6" spans="1:4" ht="32.25" customHeight="1" x14ac:dyDescent="0.25">
      <c r="A6" s="218" t="s">
        <v>235</v>
      </c>
      <c r="B6" s="218"/>
      <c r="C6" s="218"/>
      <c r="D6" s="218"/>
    </row>
    <row r="7" spans="1:4" ht="15.75" x14ac:dyDescent="0.25">
      <c r="A7" s="60"/>
      <c r="B7" s="60"/>
      <c r="C7" s="71"/>
      <c r="D7" s="30"/>
    </row>
    <row r="8" spans="1:4" ht="16.5" thickBot="1" x14ac:dyDescent="0.3">
      <c r="A8" s="219" t="s">
        <v>27</v>
      </c>
      <c r="B8" s="219"/>
      <c r="C8" s="219"/>
      <c r="D8" s="219"/>
    </row>
    <row r="9" spans="1:4" ht="75.75" customHeight="1" thickBot="1" x14ac:dyDescent="0.3">
      <c r="A9" s="31" t="s">
        <v>2</v>
      </c>
      <c r="B9" s="32" t="s">
        <v>3</v>
      </c>
      <c r="C9" s="208" t="s">
        <v>4</v>
      </c>
      <c r="D9" s="209"/>
    </row>
    <row r="10" spans="1:4" ht="16.5" thickBot="1" x14ac:dyDescent="0.3">
      <c r="A10" s="33"/>
      <c r="B10" s="34" t="s">
        <v>5</v>
      </c>
      <c r="C10" s="220"/>
      <c r="D10" s="221"/>
    </row>
    <row r="11" spans="1:4" ht="77.25" customHeight="1" x14ac:dyDescent="0.25">
      <c r="A11" s="210" t="s">
        <v>6</v>
      </c>
      <c r="B11" s="65" t="s">
        <v>492</v>
      </c>
      <c r="C11" s="222">
        <f>(0.06*3*10967)+(0.04*1*10967)</f>
        <v>2412.7399999999998</v>
      </c>
      <c r="D11" s="223"/>
    </row>
    <row r="12" spans="1:4" ht="66" customHeight="1" x14ac:dyDescent="0.25">
      <c r="A12" s="211"/>
      <c r="B12" s="63" t="s">
        <v>493</v>
      </c>
      <c r="C12" s="222"/>
      <c r="D12" s="223"/>
    </row>
    <row r="13" spans="1:4" ht="16.5" thickBot="1" x14ac:dyDescent="0.3">
      <c r="A13" s="212"/>
      <c r="B13" s="36" t="s">
        <v>435</v>
      </c>
      <c r="C13" s="222"/>
      <c r="D13" s="223"/>
    </row>
    <row r="14" spans="1:4" ht="48" thickBot="1" x14ac:dyDescent="0.3">
      <c r="A14" s="70" t="s">
        <v>7</v>
      </c>
      <c r="B14" s="36" t="s">
        <v>209</v>
      </c>
      <c r="C14" s="222">
        <f>C11*0.2359</f>
        <v>569.16536599999995</v>
      </c>
      <c r="D14" s="223"/>
    </row>
    <row r="15" spans="1:4" ht="16.5" thickBot="1" x14ac:dyDescent="0.3">
      <c r="A15" s="70"/>
      <c r="B15" s="38" t="s">
        <v>9</v>
      </c>
      <c r="C15" s="204">
        <f>SUM(C11:D14)</f>
        <v>2981.905366</v>
      </c>
      <c r="D15" s="205"/>
    </row>
    <row r="16" spans="1:4" ht="16.5" thickBot="1" x14ac:dyDescent="0.3">
      <c r="A16" s="70"/>
      <c r="B16" s="38" t="s">
        <v>10</v>
      </c>
      <c r="C16" s="204"/>
      <c r="D16" s="205"/>
    </row>
    <row r="17" spans="1:4" ht="126" customHeight="1" thickBot="1" x14ac:dyDescent="0.3">
      <c r="A17" s="70" t="s">
        <v>12</v>
      </c>
      <c r="B17" s="62" t="s">
        <v>436</v>
      </c>
      <c r="C17" s="204">
        <v>4667.3500000000004</v>
      </c>
      <c r="D17" s="205"/>
    </row>
    <row r="18" spans="1:4" ht="48.75" hidden="1" customHeight="1" thickBot="1" x14ac:dyDescent="0.3">
      <c r="A18" s="70"/>
      <c r="B18" s="36"/>
      <c r="C18" s="204"/>
      <c r="D18" s="205"/>
    </row>
    <row r="19" spans="1:4" ht="16.5" hidden="1" thickBot="1" x14ac:dyDescent="0.3">
      <c r="A19" s="70" t="s">
        <v>23</v>
      </c>
      <c r="B19" s="36" t="s">
        <v>25</v>
      </c>
      <c r="C19" s="204"/>
      <c r="D19" s="205"/>
    </row>
    <row r="20" spans="1:4" ht="16.5" thickBot="1" x14ac:dyDescent="0.3">
      <c r="A20" s="33"/>
      <c r="B20" s="34" t="s">
        <v>18</v>
      </c>
      <c r="C20" s="204">
        <f>SUM(C17:C19)</f>
        <v>4667.3500000000004</v>
      </c>
      <c r="D20" s="205"/>
    </row>
    <row r="21" spans="1:4" ht="16.5" thickBot="1" x14ac:dyDescent="0.3">
      <c r="A21" s="33"/>
      <c r="B21" s="41" t="s">
        <v>19</v>
      </c>
      <c r="C21" s="206">
        <f>SUM(C15,C20)</f>
        <v>7649.2553660000003</v>
      </c>
      <c r="D21" s="207"/>
    </row>
    <row r="22" spans="1:4" ht="15.75" x14ac:dyDescent="0.25">
      <c r="A22" s="72"/>
      <c r="B22" s="60"/>
      <c r="C22" s="73"/>
      <c r="D22" s="60"/>
    </row>
    <row r="23" spans="1:4" ht="15.75" x14ac:dyDescent="0.25">
      <c r="A23" s="213" t="s">
        <v>20</v>
      </c>
      <c r="B23" s="214"/>
      <c r="C23" s="224">
        <v>10967</v>
      </c>
      <c r="D23" s="224"/>
    </row>
    <row r="24" spans="1:4" ht="33.75" customHeight="1" x14ac:dyDescent="0.25">
      <c r="A24" s="215" t="s">
        <v>28</v>
      </c>
      <c r="B24" s="216"/>
      <c r="C24" s="225">
        <v>0.7</v>
      </c>
      <c r="D24" s="225"/>
    </row>
    <row r="25" spans="1:4" ht="15.75" x14ac:dyDescent="0.25">
      <c r="A25" s="46"/>
    </row>
    <row r="26" spans="1:4" x14ac:dyDescent="0.25">
      <c r="A26" s="78"/>
      <c r="B26" s="78"/>
      <c r="C26" s="203"/>
      <c r="D26" s="203"/>
    </row>
    <row r="27" spans="1:4" x14ac:dyDescent="0.25">
      <c r="A27" s="78"/>
      <c r="B27" s="78"/>
      <c r="C27" s="79"/>
      <c r="D27" s="78"/>
    </row>
    <row r="28" spans="1:4" x14ac:dyDescent="0.25">
      <c r="A28" s="78"/>
      <c r="B28" s="78"/>
      <c r="C28" s="203"/>
      <c r="D28" s="203"/>
    </row>
    <row r="29" spans="1:4" x14ac:dyDescent="0.25">
      <c r="A29" s="78"/>
      <c r="B29" s="78"/>
      <c r="C29" s="78"/>
      <c r="D29" s="78"/>
    </row>
    <row r="30" spans="1:4" x14ac:dyDescent="0.25">
      <c r="A30" s="202"/>
      <c r="B30" s="202"/>
      <c r="C30" s="80"/>
      <c r="D30" s="80"/>
    </row>
    <row r="31" spans="1:4" x14ac:dyDescent="0.25">
      <c r="A31" s="201"/>
      <c r="B31" s="202"/>
      <c r="C31" s="80"/>
      <c r="D31" s="80"/>
    </row>
    <row r="32" spans="1:4" x14ac:dyDescent="0.25">
      <c r="A32" s="57"/>
      <c r="B32" s="80"/>
      <c r="C32" s="81"/>
      <c r="D32" s="81"/>
    </row>
    <row r="33" spans="1:4" x14ac:dyDescent="0.25">
      <c r="A33" s="201"/>
      <c r="B33" s="201"/>
      <c r="C33" s="81"/>
      <c r="D33" s="81"/>
    </row>
  </sheetData>
  <mergeCells count="25">
    <mergeCell ref="C9:D9"/>
    <mergeCell ref="A11:A13"/>
    <mergeCell ref="A23:B23"/>
    <mergeCell ref="A24:B24"/>
    <mergeCell ref="A2:D2"/>
    <mergeCell ref="A4:D4"/>
    <mergeCell ref="A6:D6"/>
    <mergeCell ref="A8:D8"/>
    <mergeCell ref="C10:D10"/>
    <mergeCell ref="C11:D13"/>
    <mergeCell ref="C14:D14"/>
    <mergeCell ref="C17:D17"/>
    <mergeCell ref="C23:D23"/>
    <mergeCell ref="C24:D24"/>
    <mergeCell ref="C18:D18"/>
    <mergeCell ref="C15:D15"/>
    <mergeCell ref="A31:B31"/>
    <mergeCell ref="A33:B33"/>
    <mergeCell ref="C26:D26"/>
    <mergeCell ref="C28:D28"/>
    <mergeCell ref="C16:D16"/>
    <mergeCell ref="C19:D19"/>
    <mergeCell ref="C20:D20"/>
    <mergeCell ref="C21:D21"/>
    <mergeCell ref="A30:B30"/>
  </mergeCells>
  <pageMargins left="0.70866141732283472" right="0.70866141732283472" top="0.74803149606299213" bottom="0.74803149606299213" header="0.31496062992125984" footer="0.31496062992125984"/>
  <pageSetup paperSize="9" scale="92" fitToHeight="0" orientation="portrait" verticalDpi="300"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view="pageBreakPreview" topLeftCell="A4" zoomScale="60" zoomScaleNormal="100" workbookViewId="0">
      <selection activeCell="T13" sqref="T13"/>
    </sheetView>
  </sheetViews>
  <sheetFormatPr defaultRowHeight="15" x14ac:dyDescent="0.25"/>
  <cols>
    <col min="1" max="1" width="19.5703125" customWidth="1"/>
    <col min="2" max="2" width="52.42578125" customWidth="1"/>
    <col min="3" max="3" width="12.85546875" style="7" customWidth="1"/>
    <col min="4" max="4" width="7.42578125" customWidth="1"/>
    <col min="5" max="5" width="25.85546875" style="9" customWidth="1"/>
    <col min="8" max="8" width="7.42578125" bestFit="1" customWidth="1"/>
  </cols>
  <sheetData>
    <row r="1" spans="1:5" ht="15.75" x14ac:dyDescent="0.25">
      <c r="A1" s="1"/>
    </row>
    <row r="2" spans="1:5" ht="14.45" customHeight="1" x14ac:dyDescent="0.25">
      <c r="A2" s="251" t="s">
        <v>0</v>
      </c>
      <c r="B2" s="251"/>
      <c r="C2" s="251"/>
      <c r="D2" s="251"/>
    </row>
    <row r="3" spans="1:5" ht="15.75" x14ac:dyDescent="0.25">
      <c r="D3" s="1"/>
    </row>
    <row r="4" spans="1:5" ht="15.75" customHeight="1" x14ac:dyDescent="0.25">
      <c r="A4" s="252" t="s">
        <v>22</v>
      </c>
      <c r="B4" s="252"/>
      <c r="C4" s="252"/>
      <c r="D4" s="252"/>
    </row>
    <row r="5" spans="1:5" ht="15.75" x14ac:dyDescent="0.25">
      <c r="D5" s="5"/>
    </row>
    <row r="6" spans="1:5" ht="48.75" customHeight="1" x14ac:dyDescent="0.25">
      <c r="A6" s="253" t="s">
        <v>250</v>
      </c>
      <c r="B6" s="253"/>
      <c r="C6" s="253"/>
      <c r="D6" s="253"/>
    </row>
    <row r="7" spans="1:5" ht="15.75" x14ac:dyDescent="0.25">
      <c r="D7" s="6"/>
    </row>
    <row r="8" spans="1:5" ht="16.5" thickBot="1" x14ac:dyDescent="0.3">
      <c r="A8" s="254" t="s">
        <v>1</v>
      </c>
      <c r="B8" s="254"/>
      <c r="C8" s="254"/>
      <c r="D8" s="254"/>
    </row>
    <row r="9" spans="1:5" ht="71.25" customHeight="1" thickBot="1" x14ac:dyDescent="0.3">
      <c r="A9" s="16" t="s">
        <v>2</v>
      </c>
      <c r="B9" s="17" t="s">
        <v>3</v>
      </c>
      <c r="C9" s="255" t="s">
        <v>4</v>
      </c>
      <c r="D9" s="256"/>
    </row>
    <row r="10" spans="1:5" ht="16.5" thickBot="1" x14ac:dyDescent="0.3">
      <c r="A10" s="26"/>
      <c r="B10" s="20" t="s">
        <v>9</v>
      </c>
      <c r="C10" s="262">
        <f>0</f>
        <v>0</v>
      </c>
      <c r="D10" s="263"/>
      <c r="E10" s="10"/>
    </row>
    <row r="11" spans="1:5" ht="16.5" thickBot="1" x14ac:dyDescent="0.3">
      <c r="A11" s="26"/>
      <c r="B11" s="20" t="s">
        <v>10</v>
      </c>
      <c r="C11" s="262"/>
      <c r="D11" s="263"/>
    </row>
    <row r="12" spans="1:5" ht="16.5" thickBot="1" x14ac:dyDescent="0.3">
      <c r="A12" s="26" t="s">
        <v>11</v>
      </c>
      <c r="B12" s="19" t="s">
        <v>24</v>
      </c>
      <c r="C12" s="262"/>
      <c r="D12" s="263"/>
    </row>
    <row r="13" spans="1:5" ht="162.75" customHeight="1" thickBot="1" x14ac:dyDescent="0.3">
      <c r="A13" s="26" t="s">
        <v>12</v>
      </c>
      <c r="B13" s="92" t="s">
        <v>659</v>
      </c>
      <c r="C13" s="262">
        <f>695.41+1418.85+89.79</f>
        <v>2204.0499999999997</v>
      </c>
      <c r="D13" s="263"/>
    </row>
    <row r="14" spans="1:5" ht="48" thickBot="1" x14ac:dyDescent="0.3">
      <c r="A14" s="26" t="s">
        <v>13</v>
      </c>
      <c r="B14" s="102" t="s">
        <v>695</v>
      </c>
      <c r="C14" s="222">
        <f>8360.92/6600*3000</f>
        <v>3800.4181818181823</v>
      </c>
      <c r="D14" s="223"/>
    </row>
    <row r="15" spans="1:5" ht="16.5" thickBot="1" x14ac:dyDescent="0.3">
      <c r="A15" s="3"/>
      <c r="B15" s="18" t="s">
        <v>18</v>
      </c>
      <c r="C15" s="262">
        <f>SUM(C12:C14)</f>
        <v>6004.4681818181816</v>
      </c>
      <c r="D15" s="263"/>
      <c r="E15" s="11"/>
    </row>
    <row r="16" spans="1:5" ht="16.5" thickBot="1" x14ac:dyDescent="0.3">
      <c r="A16" s="3"/>
      <c r="B16" s="21" t="s">
        <v>19</v>
      </c>
      <c r="C16" s="267">
        <f>SUM(C10,C15)</f>
        <v>6004.4681818181816</v>
      </c>
      <c r="D16" s="268"/>
      <c r="E16" s="12"/>
    </row>
    <row r="17" spans="1:5" x14ac:dyDescent="0.25">
      <c r="A17" s="4"/>
      <c r="C17" s="8"/>
      <c r="E17" s="13"/>
    </row>
    <row r="18" spans="1:5" ht="15.75" x14ac:dyDescent="0.25">
      <c r="A18" s="269" t="s">
        <v>20</v>
      </c>
      <c r="B18" s="270"/>
      <c r="C18" s="271">
        <v>3000</v>
      </c>
      <c r="D18" s="271"/>
      <c r="E18" s="14"/>
    </row>
    <row r="19" spans="1:5" ht="33" customHeight="1" x14ac:dyDescent="0.25">
      <c r="A19" s="264" t="s">
        <v>21</v>
      </c>
      <c r="B19" s="265"/>
      <c r="C19" s="225">
        <f>C16/C18</f>
        <v>2.0014893939393938</v>
      </c>
      <c r="D19" s="225"/>
      <c r="E19" s="15"/>
    </row>
    <row r="20" spans="1:5" ht="15.75" x14ac:dyDescent="0.25">
      <c r="A20" s="2"/>
    </row>
    <row r="21" spans="1:5" x14ac:dyDescent="0.25">
      <c r="A21" s="78"/>
      <c r="B21" s="78"/>
      <c r="C21" s="203"/>
      <c r="D21" s="203"/>
    </row>
    <row r="22" spans="1:5" x14ac:dyDescent="0.25">
      <c r="A22" s="78"/>
      <c r="B22" s="78"/>
      <c r="C22" s="79"/>
      <c r="D22" s="78"/>
    </row>
    <row r="23" spans="1:5" x14ac:dyDescent="0.25">
      <c r="A23" s="78"/>
      <c r="B23" s="78"/>
      <c r="C23" s="203"/>
      <c r="D23" s="203"/>
    </row>
    <row r="24" spans="1:5" x14ac:dyDescent="0.25">
      <c r="A24" s="78"/>
      <c r="B24" s="78"/>
      <c r="C24" s="78"/>
      <c r="D24" s="78"/>
    </row>
    <row r="25" spans="1:5" x14ac:dyDescent="0.25">
      <c r="A25" s="202"/>
      <c r="B25" s="202"/>
      <c r="C25" s="80"/>
      <c r="D25" s="80"/>
    </row>
    <row r="26" spans="1:5" x14ac:dyDescent="0.25">
      <c r="A26" s="201"/>
      <c r="B26" s="202"/>
      <c r="C26" s="80"/>
      <c r="D26" s="80"/>
    </row>
    <row r="27" spans="1:5" x14ac:dyDescent="0.25">
      <c r="A27" s="57"/>
      <c r="B27" s="80"/>
      <c r="C27" s="81"/>
      <c r="D27" s="81"/>
    </row>
    <row r="28" spans="1:5" x14ac:dyDescent="0.25">
      <c r="A28" s="201"/>
      <c r="B28" s="201"/>
      <c r="C28" s="81"/>
      <c r="D28" s="81"/>
    </row>
  </sheetData>
  <mergeCells count="21">
    <mergeCell ref="C12:D12"/>
    <mergeCell ref="A2:D2"/>
    <mergeCell ref="A4:D4"/>
    <mergeCell ref="A6:D6"/>
    <mergeCell ref="A8:D8"/>
    <mergeCell ref="C9:D9"/>
    <mergeCell ref="C10:D10"/>
    <mergeCell ref="C11:D11"/>
    <mergeCell ref="A19:B19"/>
    <mergeCell ref="C19:D19"/>
    <mergeCell ref="C13:D13"/>
    <mergeCell ref="C14:D14"/>
    <mergeCell ref="C15:D15"/>
    <mergeCell ref="C16:D16"/>
    <mergeCell ref="A18:B18"/>
    <mergeCell ref="C18:D18"/>
    <mergeCell ref="C21:D21"/>
    <mergeCell ref="C23:D23"/>
    <mergeCell ref="A25:B25"/>
    <mergeCell ref="A26:B26"/>
    <mergeCell ref="A28:B28"/>
  </mergeCells>
  <pageMargins left="0.70866141732283472" right="0.70866141732283472" top="0.74803149606299213" bottom="0.74803149606299213" header="0.31496062992125984" footer="0.31496062992125984"/>
  <pageSetup paperSize="9" scale="95" fitToHeight="0" orientation="portrait"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view="pageBreakPreview" zoomScale="60" zoomScaleNormal="100" workbookViewId="0">
      <selection activeCell="T13" sqref="T13"/>
    </sheetView>
  </sheetViews>
  <sheetFormatPr defaultRowHeight="15" x14ac:dyDescent="0.25"/>
  <cols>
    <col min="1" max="1" width="19.5703125" customWidth="1"/>
    <col min="2" max="2" width="52.42578125" customWidth="1"/>
    <col min="3" max="3" width="10.85546875" style="7" customWidth="1"/>
    <col min="4" max="4" width="6.5703125" customWidth="1"/>
    <col min="5" max="5" width="25.85546875" style="9" customWidth="1"/>
    <col min="8" max="8" width="7.42578125" bestFit="1" customWidth="1"/>
  </cols>
  <sheetData>
    <row r="1" spans="1:7" ht="14.45" customHeight="1" x14ac:dyDescent="0.25">
      <c r="A1" s="251" t="s">
        <v>0</v>
      </c>
      <c r="B1" s="251"/>
      <c r="C1" s="251"/>
      <c r="D1" s="251"/>
    </row>
    <row r="2" spans="1:7" ht="15.75" x14ac:dyDescent="0.25">
      <c r="D2" s="1"/>
    </row>
    <row r="3" spans="1:7" ht="17.25" customHeight="1" x14ac:dyDescent="0.25">
      <c r="A3" s="252" t="s">
        <v>22</v>
      </c>
      <c r="B3" s="252"/>
      <c r="C3" s="252"/>
      <c r="D3" s="252"/>
    </row>
    <row r="4" spans="1:7" ht="15.75" x14ac:dyDescent="0.25">
      <c r="D4" s="5"/>
    </row>
    <row r="5" spans="1:7" ht="49.5" customHeight="1" x14ac:dyDescent="0.25">
      <c r="A5" s="253" t="s">
        <v>251</v>
      </c>
      <c r="B5" s="253"/>
      <c r="C5" s="253"/>
      <c r="D5" s="253"/>
    </row>
    <row r="6" spans="1:7" ht="15.75" x14ac:dyDescent="0.25">
      <c r="D6" s="6"/>
    </row>
    <row r="7" spans="1:7" ht="16.5" thickBot="1" x14ac:dyDescent="0.3">
      <c r="A7" s="254" t="s">
        <v>1</v>
      </c>
      <c r="B7" s="254"/>
      <c r="C7" s="254"/>
      <c r="D7" s="254"/>
    </row>
    <row r="8" spans="1:7" ht="82.5" customHeight="1" thickBot="1" x14ac:dyDescent="0.3">
      <c r="A8" s="16" t="s">
        <v>2</v>
      </c>
      <c r="B8" s="17" t="s">
        <v>3</v>
      </c>
      <c r="C8" s="255" t="s">
        <v>4</v>
      </c>
      <c r="D8" s="256"/>
    </row>
    <row r="9" spans="1:7" ht="16.5" thickBot="1" x14ac:dyDescent="0.3">
      <c r="A9" s="3"/>
      <c r="B9" s="18" t="s">
        <v>5</v>
      </c>
      <c r="C9" s="257"/>
      <c r="D9" s="258"/>
    </row>
    <row r="10" spans="1:7" ht="78.75" x14ac:dyDescent="0.25">
      <c r="A10" s="259" t="s">
        <v>6</v>
      </c>
      <c r="B10" s="22" t="s">
        <v>661</v>
      </c>
      <c r="C10" s="262">
        <f>50+20</f>
        <v>70</v>
      </c>
      <c r="D10" s="263"/>
    </row>
    <row r="11" spans="1:7" ht="78.75" x14ac:dyDescent="0.25">
      <c r="A11" s="260"/>
      <c r="B11" s="23" t="s">
        <v>527</v>
      </c>
      <c r="C11" s="262"/>
      <c r="D11" s="263"/>
    </row>
    <row r="12" spans="1:7" ht="16.5" thickBot="1" x14ac:dyDescent="0.3">
      <c r="A12" s="261"/>
      <c r="B12" s="19" t="s">
        <v>376</v>
      </c>
      <c r="C12" s="262"/>
      <c r="D12" s="263"/>
    </row>
    <row r="13" spans="1:7" ht="48" thickBot="1" x14ac:dyDescent="0.3">
      <c r="A13" s="26" t="s">
        <v>7</v>
      </c>
      <c r="B13" s="19" t="s">
        <v>209</v>
      </c>
      <c r="C13" s="262">
        <f>C10*0.2359</f>
        <v>16.512999999999998</v>
      </c>
      <c r="D13" s="263"/>
    </row>
    <row r="14" spans="1:7" ht="16.5" thickBot="1" x14ac:dyDescent="0.3">
      <c r="A14" s="26"/>
      <c r="B14" s="20" t="s">
        <v>9</v>
      </c>
      <c r="C14" s="262">
        <f>SUM(C10:D13)</f>
        <v>86.513000000000005</v>
      </c>
      <c r="D14" s="263"/>
      <c r="E14" s="10"/>
    </row>
    <row r="15" spans="1:7" ht="16.5" thickBot="1" x14ac:dyDescent="0.3">
      <c r="A15" s="26"/>
      <c r="B15" s="20" t="s">
        <v>10</v>
      </c>
      <c r="C15" s="262"/>
      <c r="D15" s="263"/>
    </row>
    <row r="16" spans="1:7" ht="144" customHeight="1" thickBot="1" x14ac:dyDescent="0.3">
      <c r="A16" s="26" t="s">
        <v>12</v>
      </c>
      <c r="B16" s="92" t="s">
        <v>660</v>
      </c>
      <c r="C16" s="262">
        <f>23+47+3</f>
        <v>73</v>
      </c>
      <c r="D16" s="263"/>
      <c r="E16" s="156"/>
      <c r="G16" s="7"/>
    </row>
    <row r="17" spans="1:5" ht="47.25" x14ac:dyDescent="0.25">
      <c r="A17" s="159" t="s">
        <v>13</v>
      </c>
      <c r="B17" s="164" t="s">
        <v>214</v>
      </c>
      <c r="C17" s="321">
        <f>9145.92/6600*100</f>
        <v>138.57454545454547</v>
      </c>
      <c r="D17" s="322"/>
    </row>
    <row r="18" spans="1:5" ht="47.25" x14ac:dyDescent="0.25">
      <c r="A18" s="165" t="s">
        <v>17</v>
      </c>
      <c r="B18" s="166" t="s">
        <v>528</v>
      </c>
      <c r="C18" s="323">
        <v>102</v>
      </c>
      <c r="D18" s="323"/>
    </row>
    <row r="19" spans="1:5" ht="16.5" thickBot="1" x14ac:dyDescent="0.3">
      <c r="A19" s="3"/>
      <c r="B19" s="18" t="s">
        <v>18</v>
      </c>
      <c r="C19" s="324">
        <f>SUM(C16:C18)</f>
        <v>313.5745454545455</v>
      </c>
      <c r="D19" s="325"/>
      <c r="E19" s="11"/>
    </row>
    <row r="20" spans="1:5" ht="16.5" thickBot="1" x14ac:dyDescent="0.3">
      <c r="A20" s="3"/>
      <c r="B20" s="21" t="s">
        <v>19</v>
      </c>
      <c r="C20" s="267">
        <f>SUM(C14,C19)</f>
        <v>400.08754545454553</v>
      </c>
      <c r="D20" s="268"/>
      <c r="E20" s="12"/>
    </row>
    <row r="21" spans="1:5" x14ac:dyDescent="0.25">
      <c r="A21" s="4"/>
      <c r="C21" s="8"/>
      <c r="E21" s="13"/>
    </row>
    <row r="22" spans="1:5" ht="15.75" x14ac:dyDescent="0.25">
      <c r="A22" s="269" t="s">
        <v>20</v>
      </c>
      <c r="B22" s="270"/>
      <c r="C22" s="271">
        <v>100</v>
      </c>
      <c r="D22" s="271"/>
      <c r="E22" s="14"/>
    </row>
    <row r="23" spans="1:5" ht="33" customHeight="1" x14ac:dyDescent="0.25">
      <c r="A23" s="264" t="s">
        <v>21</v>
      </c>
      <c r="B23" s="265"/>
      <c r="C23" s="320">
        <f>C20/C22</f>
        <v>4.0008754545454552</v>
      </c>
      <c r="D23" s="320"/>
      <c r="E23" s="15"/>
    </row>
    <row r="24" spans="1:5" ht="15.75" x14ac:dyDescent="0.25">
      <c r="A24" s="2"/>
    </row>
    <row r="25" spans="1:5" x14ac:dyDescent="0.25">
      <c r="A25" s="78"/>
      <c r="B25" s="78"/>
      <c r="C25" s="203"/>
      <c r="D25" s="203"/>
    </row>
    <row r="26" spans="1:5" x14ac:dyDescent="0.25">
      <c r="A26" s="78"/>
      <c r="B26" s="78"/>
      <c r="C26" s="79"/>
      <c r="D26" s="78"/>
    </row>
    <row r="27" spans="1:5" x14ac:dyDescent="0.25">
      <c r="A27" s="78"/>
      <c r="B27" s="78"/>
      <c r="C27" s="203"/>
      <c r="D27" s="203"/>
    </row>
    <row r="28" spans="1:5" x14ac:dyDescent="0.25">
      <c r="A28" s="78"/>
      <c r="B28" s="78"/>
      <c r="C28" s="78"/>
      <c r="D28" s="78"/>
    </row>
    <row r="29" spans="1:5" x14ac:dyDescent="0.25">
      <c r="A29" s="202"/>
      <c r="B29" s="202"/>
      <c r="C29" s="80"/>
      <c r="D29" s="80"/>
    </row>
    <row r="30" spans="1:5" x14ac:dyDescent="0.25">
      <c r="A30" s="201"/>
      <c r="B30" s="202"/>
      <c r="C30" s="80"/>
      <c r="D30" s="80"/>
    </row>
    <row r="31" spans="1:5" x14ac:dyDescent="0.25">
      <c r="A31" s="57"/>
      <c r="B31" s="80"/>
      <c r="C31" s="81"/>
      <c r="D31" s="81"/>
    </row>
    <row r="32" spans="1:5" x14ac:dyDescent="0.25">
      <c r="A32" s="201"/>
      <c r="B32" s="201"/>
      <c r="C32" s="81"/>
      <c r="D32" s="81"/>
    </row>
  </sheetData>
  <mergeCells count="25">
    <mergeCell ref="A1:D1"/>
    <mergeCell ref="A3:D3"/>
    <mergeCell ref="A5:D5"/>
    <mergeCell ref="A7:D7"/>
    <mergeCell ref="C8:D8"/>
    <mergeCell ref="C9:D9"/>
    <mergeCell ref="A10:A12"/>
    <mergeCell ref="C10:D12"/>
    <mergeCell ref="C13:D13"/>
    <mergeCell ref="C14:D14"/>
    <mergeCell ref="C15:D15"/>
    <mergeCell ref="A23:B23"/>
    <mergeCell ref="C23:D23"/>
    <mergeCell ref="C16:D16"/>
    <mergeCell ref="C17:D17"/>
    <mergeCell ref="C18:D18"/>
    <mergeCell ref="C19:D19"/>
    <mergeCell ref="C20:D20"/>
    <mergeCell ref="A22:B22"/>
    <mergeCell ref="C22:D22"/>
    <mergeCell ref="C25:D25"/>
    <mergeCell ref="C27:D27"/>
    <mergeCell ref="A29:B29"/>
    <mergeCell ref="A30:B30"/>
    <mergeCell ref="A32:B32"/>
  </mergeCells>
  <pageMargins left="0.70866141732283472" right="0.70866141732283472" top="0.74803149606299213" bottom="0.74803149606299213" header="0.31496062992125984" footer="0.31496062992125984"/>
  <pageSetup paperSize="9" scale="97" fitToHeight="0" orientation="portrait" r:id="rId1"/>
  <headerFooter>
    <oddFooter>&amp;C&amp;P</oddFooter>
  </headerFooter>
  <rowBreaks count="1" manualBreakCount="1">
    <brk id="17" max="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60" zoomScaleNormal="100" workbookViewId="0">
      <selection activeCell="T13" sqref="T13"/>
    </sheetView>
  </sheetViews>
  <sheetFormatPr defaultRowHeight="15" x14ac:dyDescent="0.25"/>
  <cols>
    <col min="1" max="1" width="19.5703125" customWidth="1"/>
    <col min="2" max="2" width="52.42578125" customWidth="1"/>
    <col min="3" max="3" width="12.5703125" style="7" customWidth="1"/>
    <col min="4" max="4" width="6" customWidth="1"/>
    <col min="5" max="5" width="25.85546875" style="9" customWidth="1"/>
    <col min="8" max="8" width="7.42578125" bestFit="1" customWidth="1"/>
  </cols>
  <sheetData>
    <row r="1" spans="1:5" ht="15.75" x14ac:dyDescent="0.25">
      <c r="A1" s="1"/>
    </row>
    <row r="2" spans="1:5" ht="14.45" customHeight="1" x14ac:dyDescent="0.25">
      <c r="A2" s="251" t="s">
        <v>0</v>
      </c>
      <c r="B2" s="251"/>
      <c r="C2" s="251"/>
      <c r="D2" s="251"/>
    </row>
    <row r="3" spans="1:5" ht="15.75" x14ac:dyDescent="0.25">
      <c r="D3" s="1"/>
    </row>
    <row r="4" spans="1:5" ht="15.75" customHeight="1" x14ac:dyDescent="0.25">
      <c r="A4" s="319" t="s">
        <v>22</v>
      </c>
      <c r="B4" s="319"/>
      <c r="C4" s="319"/>
      <c r="D4" s="319"/>
    </row>
    <row r="5" spans="1:5" ht="15.75" x14ac:dyDescent="0.25">
      <c r="D5" s="5"/>
    </row>
    <row r="6" spans="1:5" ht="48.75" customHeight="1" x14ac:dyDescent="0.25">
      <c r="A6" s="253" t="s">
        <v>252</v>
      </c>
      <c r="B6" s="253"/>
      <c r="C6" s="253"/>
      <c r="D6" s="253"/>
    </row>
    <row r="7" spans="1:5" ht="15.75" x14ac:dyDescent="0.25">
      <c r="D7" s="6"/>
    </row>
    <row r="8" spans="1:5" ht="16.5" thickBot="1" x14ac:dyDescent="0.3">
      <c r="A8" s="254" t="s">
        <v>1</v>
      </c>
      <c r="B8" s="254"/>
      <c r="C8" s="254"/>
      <c r="D8" s="254"/>
    </row>
    <row r="9" spans="1:5" ht="80.25" customHeight="1" thickBot="1" x14ac:dyDescent="0.3">
      <c r="A9" s="16" t="s">
        <v>2</v>
      </c>
      <c r="B9" s="17" t="s">
        <v>3</v>
      </c>
      <c r="C9" s="255" t="s">
        <v>4</v>
      </c>
      <c r="D9" s="256"/>
    </row>
    <row r="10" spans="1:5" ht="16.5" thickBot="1" x14ac:dyDescent="0.3">
      <c r="A10" s="3"/>
      <c r="B10" s="18" t="s">
        <v>5</v>
      </c>
      <c r="C10" s="257"/>
      <c r="D10" s="258"/>
    </row>
    <row r="11" spans="1:5" ht="78.75" x14ac:dyDescent="0.25">
      <c r="A11" s="259" t="s">
        <v>6</v>
      </c>
      <c r="B11" s="22" t="s">
        <v>529</v>
      </c>
      <c r="C11" s="262">
        <v>90</v>
      </c>
      <c r="D11" s="263"/>
    </row>
    <row r="12" spans="1:5" ht="78.75" x14ac:dyDescent="0.25">
      <c r="A12" s="260"/>
      <c r="B12" s="23" t="s">
        <v>530</v>
      </c>
      <c r="C12" s="262"/>
      <c r="D12" s="263"/>
    </row>
    <row r="13" spans="1:5" ht="16.5" thickBot="1" x14ac:dyDescent="0.3">
      <c r="A13" s="261"/>
      <c r="B13" s="19" t="s">
        <v>330</v>
      </c>
      <c r="C13" s="262"/>
      <c r="D13" s="263"/>
    </row>
    <row r="14" spans="1:5" ht="48" thickBot="1" x14ac:dyDescent="0.3">
      <c r="A14" s="26" t="s">
        <v>7</v>
      </c>
      <c r="B14" s="19" t="s">
        <v>209</v>
      </c>
      <c r="C14" s="262">
        <f>C11*0.2359</f>
        <v>21.231000000000002</v>
      </c>
      <c r="D14" s="263"/>
    </row>
    <row r="15" spans="1:5" ht="16.5" thickBot="1" x14ac:dyDescent="0.3">
      <c r="A15" s="26"/>
      <c r="B15" s="20" t="s">
        <v>9</v>
      </c>
      <c r="C15" s="262">
        <f>SUM(C11:D14)</f>
        <v>111.23099999999999</v>
      </c>
      <c r="D15" s="263"/>
      <c r="E15" s="10"/>
    </row>
    <row r="16" spans="1:5" ht="16.5" thickBot="1" x14ac:dyDescent="0.3">
      <c r="A16" s="26"/>
      <c r="B16" s="20" t="s">
        <v>10</v>
      </c>
      <c r="C16" s="262"/>
      <c r="D16" s="263"/>
    </row>
    <row r="17" spans="1:5" ht="30.75" customHeight="1" thickBot="1" x14ac:dyDescent="0.3">
      <c r="A17" s="26" t="s">
        <v>12</v>
      </c>
      <c r="B17" s="87" t="s">
        <v>459</v>
      </c>
      <c r="C17" s="262">
        <v>40.79</v>
      </c>
      <c r="D17" s="263"/>
    </row>
    <row r="18" spans="1:5" ht="16.5" thickBot="1" x14ac:dyDescent="0.3">
      <c r="A18" s="3"/>
      <c r="B18" s="18" t="s">
        <v>18</v>
      </c>
      <c r="C18" s="262">
        <f>SUM(C17:C17)</f>
        <v>40.79</v>
      </c>
      <c r="D18" s="263"/>
      <c r="E18" s="11"/>
    </row>
    <row r="19" spans="1:5" ht="16.5" thickBot="1" x14ac:dyDescent="0.3">
      <c r="A19" s="3"/>
      <c r="B19" s="21" t="s">
        <v>19</v>
      </c>
      <c r="C19" s="267">
        <f>SUM(C15,C18)</f>
        <v>152.02099999999999</v>
      </c>
      <c r="D19" s="268"/>
      <c r="E19" s="12"/>
    </row>
    <row r="20" spans="1:5" x14ac:dyDescent="0.25">
      <c r="A20" s="4"/>
      <c r="C20" s="8"/>
      <c r="E20" s="13"/>
    </row>
    <row r="21" spans="1:5" ht="15.75" x14ac:dyDescent="0.25">
      <c r="A21" s="269" t="s">
        <v>20</v>
      </c>
      <c r="B21" s="270"/>
      <c r="C21" s="271">
        <v>500</v>
      </c>
      <c r="D21" s="271"/>
      <c r="E21" s="14"/>
    </row>
    <row r="22" spans="1:5" ht="32.25" customHeight="1" x14ac:dyDescent="0.25">
      <c r="A22" s="264" t="s">
        <v>21</v>
      </c>
      <c r="B22" s="312"/>
      <c r="C22" s="225">
        <f>C19/C21</f>
        <v>0.30404199999999998</v>
      </c>
      <c r="D22" s="225"/>
      <c r="E22" s="15"/>
    </row>
    <row r="23" spans="1:5" ht="15.75" x14ac:dyDescent="0.25">
      <c r="A23" s="2"/>
    </row>
    <row r="24" spans="1:5" x14ac:dyDescent="0.25">
      <c r="A24" s="78"/>
      <c r="B24" s="78"/>
      <c r="C24" s="203"/>
      <c r="D24" s="203"/>
    </row>
    <row r="25" spans="1:5" x14ac:dyDescent="0.25">
      <c r="A25" s="78"/>
      <c r="B25" s="78"/>
      <c r="C25" s="79"/>
      <c r="D25" s="78"/>
    </row>
    <row r="26" spans="1:5" x14ac:dyDescent="0.25">
      <c r="A26" s="78"/>
      <c r="B26" s="78"/>
      <c r="C26" s="203"/>
      <c r="D26" s="203"/>
    </row>
    <row r="27" spans="1:5" x14ac:dyDescent="0.25">
      <c r="A27" s="78"/>
      <c r="B27" s="78"/>
      <c r="C27" s="78"/>
      <c r="D27" s="78"/>
    </row>
    <row r="28" spans="1:5" x14ac:dyDescent="0.25">
      <c r="A28" s="202"/>
      <c r="B28" s="202"/>
      <c r="C28" s="80"/>
      <c r="D28" s="80"/>
    </row>
    <row r="29" spans="1:5" x14ac:dyDescent="0.25">
      <c r="A29" s="201"/>
      <c r="B29" s="202"/>
      <c r="C29" s="80"/>
      <c r="D29" s="80"/>
    </row>
    <row r="30" spans="1:5" x14ac:dyDescent="0.25">
      <c r="A30" s="57"/>
      <c r="B30" s="80"/>
      <c r="C30" s="81"/>
      <c r="D30" s="81"/>
    </row>
    <row r="31" spans="1:5" x14ac:dyDescent="0.25">
      <c r="A31" s="201"/>
      <c r="B31" s="201"/>
      <c r="C31" s="81"/>
      <c r="D31" s="81"/>
    </row>
  </sheetData>
  <mergeCells count="23">
    <mergeCell ref="A2:D2"/>
    <mergeCell ref="A4:D4"/>
    <mergeCell ref="A6:D6"/>
    <mergeCell ref="A8:D8"/>
    <mergeCell ref="C9:D9"/>
    <mergeCell ref="C10:D10"/>
    <mergeCell ref="A11:A13"/>
    <mergeCell ref="C11:D13"/>
    <mergeCell ref="C14:D14"/>
    <mergeCell ref="C15:D15"/>
    <mergeCell ref="C16:D16"/>
    <mergeCell ref="A22:B22"/>
    <mergeCell ref="C22:D22"/>
    <mergeCell ref="C17:D17"/>
    <mergeCell ref="C18:D18"/>
    <mergeCell ref="C19:D19"/>
    <mergeCell ref="A21:B21"/>
    <mergeCell ref="C21:D21"/>
    <mergeCell ref="C24:D24"/>
    <mergeCell ref="C26:D26"/>
    <mergeCell ref="A28:B28"/>
    <mergeCell ref="A29:B29"/>
    <mergeCell ref="A31:B31"/>
  </mergeCells>
  <pageMargins left="0.70866141732283472" right="0.70866141732283472" top="0.74803149606299213" bottom="0.74803149606299213" header="0.31496062992125984" footer="0.31496062992125984"/>
  <pageSetup paperSize="9" scale="96" fitToHeight="0" orientation="portrait"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60" zoomScaleNormal="100" workbookViewId="0">
      <selection activeCell="T13" sqref="T13"/>
    </sheetView>
  </sheetViews>
  <sheetFormatPr defaultRowHeight="15" x14ac:dyDescent="0.25"/>
  <cols>
    <col min="1" max="1" width="14.5703125" customWidth="1"/>
    <col min="2" max="2" width="49.85546875" customWidth="1"/>
    <col min="3" max="3" width="11.140625" style="7" customWidth="1"/>
    <col min="4" max="4" width="10.5703125" customWidth="1"/>
    <col min="5" max="5" width="25.85546875" style="9" customWidth="1"/>
    <col min="8" max="8" width="7.42578125" bestFit="1" customWidth="1"/>
  </cols>
  <sheetData>
    <row r="1" spans="1:5" ht="15.75" x14ac:dyDescent="0.25">
      <c r="A1" s="1"/>
    </row>
    <row r="2" spans="1:5" ht="14.45" customHeight="1" x14ac:dyDescent="0.25">
      <c r="A2" s="251" t="s">
        <v>0</v>
      </c>
      <c r="B2" s="251"/>
      <c r="C2" s="251"/>
      <c r="D2" s="251"/>
    </row>
    <row r="3" spans="1:5" ht="15.75" x14ac:dyDescent="0.25">
      <c r="D3" s="1"/>
    </row>
    <row r="4" spans="1:5" ht="16.5" customHeight="1" x14ac:dyDescent="0.25">
      <c r="A4" s="252" t="s">
        <v>22</v>
      </c>
      <c r="B4" s="252"/>
      <c r="C4" s="252"/>
      <c r="D4" s="252"/>
    </row>
    <row r="5" spans="1:5" ht="15.75" x14ac:dyDescent="0.25">
      <c r="D5" s="5"/>
    </row>
    <row r="6" spans="1:5" ht="51" customHeight="1" x14ac:dyDescent="0.25">
      <c r="A6" s="253" t="s">
        <v>253</v>
      </c>
      <c r="B6" s="253"/>
      <c r="C6" s="253"/>
      <c r="D6" s="253"/>
    </row>
    <row r="7" spans="1:5" ht="15.75" x14ac:dyDescent="0.25">
      <c r="D7" s="6"/>
    </row>
    <row r="8" spans="1:5" ht="16.5" thickBot="1" x14ac:dyDescent="0.3">
      <c r="A8" s="254" t="s">
        <v>1</v>
      </c>
      <c r="B8" s="254"/>
      <c r="C8" s="254"/>
      <c r="D8" s="254"/>
    </row>
    <row r="9" spans="1:5" ht="59.25" customHeight="1" thickBot="1" x14ac:dyDescent="0.3">
      <c r="A9" s="16" t="s">
        <v>2</v>
      </c>
      <c r="B9" s="17" t="s">
        <v>3</v>
      </c>
      <c r="C9" s="255" t="s">
        <v>4</v>
      </c>
      <c r="D9" s="256"/>
    </row>
    <row r="10" spans="1:5" ht="16.5" thickBot="1" x14ac:dyDescent="0.3">
      <c r="A10" s="3"/>
      <c r="B10" s="18" t="s">
        <v>5</v>
      </c>
      <c r="C10" s="257"/>
      <c r="D10" s="258"/>
    </row>
    <row r="11" spans="1:5" ht="78.75" x14ac:dyDescent="0.25">
      <c r="A11" s="259" t="s">
        <v>6</v>
      </c>
      <c r="B11" s="22" t="s">
        <v>534</v>
      </c>
      <c r="C11" s="262">
        <v>68</v>
      </c>
      <c r="D11" s="263"/>
    </row>
    <row r="12" spans="1:5" ht="94.5" x14ac:dyDescent="0.25">
      <c r="A12" s="260"/>
      <c r="B12" s="23" t="s">
        <v>531</v>
      </c>
      <c r="C12" s="262"/>
      <c r="D12" s="263"/>
    </row>
    <row r="13" spans="1:5" ht="16.5" thickBot="1" x14ac:dyDescent="0.3">
      <c r="A13" s="261"/>
      <c r="B13" s="19" t="s">
        <v>377</v>
      </c>
      <c r="C13" s="262"/>
      <c r="D13" s="263"/>
    </row>
    <row r="14" spans="1:5" ht="48" thickBot="1" x14ac:dyDescent="0.3">
      <c r="A14" s="26" t="s">
        <v>7</v>
      </c>
      <c r="B14" s="19" t="s">
        <v>209</v>
      </c>
      <c r="C14" s="262">
        <f>C11*0.2359</f>
        <v>16.0412</v>
      </c>
      <c r="D14" s="263"/>
    </row>
    <row r="15" spans="1:5" ht="16.5" thickBot="1" x14ac:dyDescent="0.3">
      <c r="A15" s="26"/>
      <c r="B15" s="20" t="s">
        <v>9</v>
      </c>
      <c r="C15" s="262">
        <f>SUM(C11:D14)</f>
        <v>84.041200000000003</v>
      </c>
      <c r="D15" s="263"/>
      <c r="E15" s="10"/>
    </row>
    <row r="16" spans="1:5" ht="16.5" thickBot="1" x14ac:dyDescent="0.3">
      <c r="A16" s="26"/>
      <c r="B16" s="20" t="s">
        <v>10</v>
      </c>
      <c r="C16" s="262"/>
      <c r="D16" s="263"/>
    </row>
    <row r="17" spans="1:5" ht="32.25" thickBot="1" x14ac:dyDescent="0.3">
      <c r="A17" s="26" t="s">
        <v>12</v>
      </c>
      <c r="B17" s="102" t="s">
        <v>460</v>
      </c>
      <c r="C17" s="222">
        <v>16.32</v>
      </c>
      <c r="D17" s="223"/>
    </row>
    <row r="18" spans="1:5" ht="16.5" thickBot="1" x14ac:dyDescent="0.3">
      <c r="A18" s="3"/>
      <c r="B18" s="18" t="s">
        <v>18</v>
      </c>
      <c r="C18" s="262">
        <f>SUM(C17:C17)</f>
        <v>16.32</v>
      </c>
      <c r="D18" s="263"/>
      <c r="E18" s="11"/>
    </row>
    <row r="19" spans="1:5" ht="16.5" thickBot="1" x14ac:dyDescent="0.3">
      <c r="A19" s="3"/>
      <c r="B19" s="21" t="s">
        <v>19</v>
      </c>
      <c r="C19" s="267">
        <f>SUM(C15,C18)</f>
        <v>100.3612</v>
      </c>
      <c r="D19" s="268"/>
      <c r="E19" s="12"/>
    </row>
    <row r="20" spans="1:5" x14ac:dyDescent="0.25">
      <c r="A20" s="4"/>
      <c r="C20" s="8"/>
      <c r="E20" s="13"/>
    </row>
    <row r="21" spans="1:5" ht="15.75" x14ac:dyDescent="0.25">
      <c r="A21" s="269" t="s">
        <v>20</v>
      </c>
      <c r="B21" s="270"/>
      <c r="C21" s="271">
        <v>200</v>
      </c>
      <c r="D21" s="271"/>
      <c r="E21" s="14"/>
    </row>
    <row r="22" spans="1:5" ht="31.5" customHeight="1" x14ac:dyDescent="0.25">
      <c r="A22" s="264" t="s">
        <v>21</v>
      </c>
      <c r="B22" s="265"/>
      <c r="C22" s="225">
        <f>C19/C21</f>
        <v>0.50180599999999997</v>
      </c>
      <c r="D22" s="225"/>
      <c r="E22" s="15"/>
    </row>
    <row r="23" spans="1:5" ht="15.75" x14ac:dyDescent="0.25">
      <c r="A23" s="2"/>
    </row>
    <row r="24" spans="1:5" x14ac:dyDescent="0.25">
      <c r="A24" s="78"/>
      <c r="B24" s="78"/>
      <c r="C24" s="203"/>
      <c r="D24" s="203"/>
    </row>
    <row r="25" spans="1:5" x14ac:dyDescent="0.25">
      <c r="A25" s="78"/>
      <c r="B25" s="78"/>
      <c r="C25" s="79"/>
      <c r="D25" s="78"/>
    </row>
    <row r="26" spans="1:5" x14ac:dyDescent="0.25">
      <c r="A26" s="78"/>
      <c r="B26" s="78"/>
      <c r="C26" s="203"/>
      <c r="D26" s="203"/>
    </row>
    <row r="27" spans="1:5" x14ac:dyDescent="0.25">
      <c r="A27" s="78"/>
      <c r="B27" s="78"/>
      <c r="C27" s="78"/>
      <c r="D27" s="78"/>
    </row>
    <row r="28" spans="1:5" x14ac:dyDescent="0.25">
      <c r="A28" s="202"/>
      <c r="B28" s="202"/>
      <c r="C28" s="80"/>
      <c r="D28" s="80"/>
    </row>
    <row r="29" spans="1:5" x14ac:dyDescent="0.25">
      <c r="A29" s="201"/>
      <c r="B29" s="202"/>
      <c r="C29" s="80"/>
      <c r="D29" s="80"/>
    </row>
    <row r="30" spans="1:5" x14ac:dyDescent="0.25">
      <c r="A30" s="57"/>
      <c r="B30" s="80"/>
      <c r="C30" s="81"/>
      <c r="D30" s="81"/>
    </row>
    <row r="31" spans="1:5" x14ac:dyDescent="0.25">
      <c r="A31" s="201"/>
      <c r="B31" s="201"/>
      <c r="C31" s="81"/>
      <c r="D31" s="81"/>
    </row>
  </sheetData>
  <mergeCells count="23">
    <mergeCell ref="A2:D2"/>
    <mergeCell ref="A4:D4"/>
    <mergeCell ref="A6:D6"/>
    <mergeCell ref="A8:D8"/>
    <mergeCell ref="C9:D9"/>
    <mergeCell ref="C10:D10"/>
    <mergeCell ref="A11:A13"/>
    <mergeCell ref="C11:D13"/>
    <mergeCell ref="C14:D14"/>
    <mergeCell ref="C15:D15"/>
    <mergeCell ref="C16:D16"/>
    <mergeCell ref="A22:B22"/>
    <mergeCell ref="C22:D22"/>
    <mergeCell ref="C17:D17"/>
    <mergeCell ref="C18:D18"/>
    <mergeCell ref="C19:D19"/>
    <mergeCell ref="A21:B21"/>
    <mergeCell ref="C21:D21"/>
    <mergeCell ref="C24:D24"/>
    <mergeCell ref="C26:D26"/>
    <mergeCell ref="A28:B28"/>
    <mergeCell ref="A29:B29"/>
    <mergeCell ref="A31:B31"/>
  </mergeCells>
  <pageMargins left="0.70866141732283472" right="0.70866141732283472" top="0.74803149606299213" bottom="0.74803149606299213" header="0.31496062992125984" footer="0.31496062992125984"/>
  <pageSetup paperSize="9" fitToHeight="0" orientation="portrait" verticalDpi="0" r:id="rId1"/>
  <headerFoot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60" zoomScaleNormal="100" workbookViewId="0">
      <selection activeCell="T13" sqref="T13"/>
    </sheetView>
  </sheetViews>
  <sheetFormatPr defaultRowHeight="15" x14ac:dyDescent="0.25"/>
  <cols>
    <col min="1" max="1" width="19.5703125" customWidth="1"/>
    <col min="2" max="2" width="52.42578125" customWidth="1"/>
    <col min="3" max="3" width="9.85546875" style="7" customWidth="1"/>
    <col min="4" max="4" width="7.28515625" customWidth="1"/>
    <col min="5" max="5" width="25.85546875" style="9" customWidth="1"/>
    <col min="8" max="8" width="7.42578125" bestFit="1" customWidth="1"/>
  </cols>
  <sheetData>
    <row r="1" spans="1:5" ht="15.75" x14ac:dyDescent="0.25">
      <c r="A1" s="1"/>
    </row>
    <row r="2" spans="1:5" ht="14.45" customHeight="1" x14ac:dyDescent="0.25">
      <c r="A2" s="251" t="s">
        <v>0</v>
      </c>
      <c r="B2" s="251"/>
      <c r="C2" s="251"/>
      <c r="D2" s="251"/>
    </row>
    <row r="3" spans="1:5" ht="15.75" x14ac:dyDescent="0.25">
      <c r="D3" s="1"/>
    </row>
    <row r="4" spans="1:5" ht="16.5" customHeight="1" x14ac:dyDescent="0.25">
      <c r="A4" s="252" t="s">
        <v>22</v>
      </c>
      <c r="B4" s="252"/>
      <c r="C4" s="252"/>
      <c r="D4" s="252"/>
    </row>
    <row r="5" spans="1:5" ht="15.75" x14ac:dyDescent="0.25">
      <c r="D5" s="5"/>
    </row>
    <row r="6" spans="1:5" ht="50.25" customHeight="1" x14ac:dyDescent="0.25">
      <c r="A6" s="253" t="s">
        <v>254</v>
      </c>
      <c r="B6" s="253"/>
      <c r="C6" s="253"/>
      <c r="D6" s="253"/>
    </row>
    <row r="7" spans="1:5" ht="15.75" x14ac:dyDescent="0.25">
      <c r="D7" s="6"/>
    </row>
    <row r="8" spans="1:5" ht="16.5" thickBot="1" x14ac:dyDescent="0.3">
      <c r="A8" s="254" t="s">
        <v>1</v>
      </c>
      <c r="B8" s="254"/>
      <c r="C8" s="254"/>
      <c r="D8" s="254"/>
    </row>
    <row r="9" spans="1:5" ht="79.5" customHeight="1" thickBot="1" x14ac:dyDescent="0.3">
      <c r="A9" s="16" t="s">
        <v>2</v>
      </c>
      <c r="B9" s="17" t="s">
        <v>3</v>
      </c>
      <c r="C9" s="255" t="s">
        <v>4</v>
      </c>
      <c r="D9" s="256"/>
    </row>
    <row r="10" spans="1:5" ht="16.5" thickBot="1" x14ac:dyDescent="0.3">
      <c r="A10" s="3"/>
      <c r="B10" s="18" t="s">
        <v>5</v>
      </c>
      <c r="C10" s="257"/>
      <c r="D10" s="258"/>
    </row>
    <row r="11" spans="1:5" ht="78.75" x14ac:dyDescent="0.25">
      <c r="A11" s="259" t="s">
        <v>6</v>
      </c>
      <c r="B11" s="22" t="s">
        <v>535</v>
      </c>
      <c r="C11" s="262">
        <v>222</v>
      </c>
      <c r="D11" s="263"/>
    </row>
    <row r="12" spans="1:5" ht="78.75" x14ac:dyDescent="0.25">
      <c r="A12" s="260"/>
      <c r="B12" s="23" t="s">
        <v>532</v>
      </c>
      <c r="C12" s="262"/>
      <c r="D12" s="263"/>
    </row>
    <row r="13" spans="1:5" ht="16.5" thickBot="1" x14ac:dyDescent="0.3">
      <c r="A13" s="261"/>
      <c r="B13" s="19" t="s">
        <v>409</v>
      </c>
      <c r="C13" s="262"/>
      <c r="D13" s="263"/>
    </row>
    <row r="14" spans="1:5" ht="48" thickBot="1" x14ac:dyDescent="0.3">
      <c r="A14" s="27" t="s">
        <v>7</v>
      </c>
      <c r="B14" s="19" t="s">
        <v>8</v>
      </c>
      <c r="C14" s="262">
        <f>C11*0.2359</f>
        <v>52.369799999999998</v>
      </c>
      <c r="D14" s="263"/>
    </row>
    <row r="15" spans="1:5" ht="16.5" thickBot="1" x14ac:dyDescent="0.3">
      <c r="A15" s="27"/>
      <c r="B15" s="20" t="s">
        <v>9</v>
      </c>
      <c r="C15" s="262">
        <f>SUM(C11:D14)</f>
        <v>274.3698</v>
      </c>
      <c r="D15" s="263"/>
      <c r="E15" s="10"/>
    </row>
    <row r="16" spans="1:5" ht="16.5" thickBot="1" x14ac:dyDescent="0.3">
      <c r="A16" s="27"/>
      <c r="B16" s="20" t="s">
        <v>10</v>
      </c>
      <c r="C16" s="262"/>
      <c r="D16" s="263"/>
    </row>
    <row r="17" spans="1:5" ht="32.25" customHeight="1" thickBot="1" x14ac:dyDescent="0.3">
      <c r="A17" s="27" t="s">
        <v>12</v>
      </c>
      <c r="B17" s="87" t="s">
        <v>378</v>
      </c>
      <c r="C17" s="222">
        <v>24.47</v>
      </c>
      <c r="D17" s="223"/>
    </row>
    <row r="18" spans="1:5" ht="16.5" thickBot="1" x14ac:dyDescent="0.3">
      <c r="A18" s="3"/>
      <c r="B18" s="18" t="s">
        <v>18</v>
      </c>
      <c r="C18" s="262">
        <f>SUM(C17:C17)</f>
        <v>24.47</v>
      </c>
      <c r="D18" s="263"/>
      <c r="E18" s="11"/>
    </row>
    <row r="19" spans="1:5" ht="16.5" thickBot="1" x14ac:dyDescent="0.3">
      <c r="A19" s="3"/>
      <c r="B19" s="21" t="s">
        <v>19</v>
      </c>
      <c r="C19" s="267">
        <f>SUM(C15,C18)</f>
        <v>298.83979999999997</v>
      </c>
      <c r="D19" s="268"/>
      <c r="E19" s="12"/>
    </row>
    <row r="20" spans="1:5" x14ac:dyDescent="0.25">
      <c r="A20" s="4"/>
      <c r="C20" s="8"/>
      <c r="E20" s="13"/>
    </row>
    <row r="21" spans="1:5" ht="15.75" x14ac:dyDescent="0.25">
      <c r="A21" s="269" t="s">
        <v>20</v>
      </c>
      <c r="B21" s="270"/>
      <c r="C21" s="271">
        <v>300</v>
      </c>
      <c r="D21" s="271"/>
      <c r="E21" s="14"/>
    </row>
    <row r="22" spans="1:5" ht="30.75" customHeight="1" x14ac:dyDescent="0.25">
      <c r="A22" s="264" t="s">
        <v>21</v>
      </c>
      <c r="B22" s="265"/>
      <c r="C22" s="225">
        <f>C19/C21</f>
        <v>0.99613266666666656</v>
      </c>
      <c r="D22" s="225"/>
      <c r="E22" s="15"/>
    </row>
    <row r="23" spans="1:5" ht="15.75" x14ac:dyDescent="0.25">
      <c r="A23" s="2"/>
    </row>
    <row r="24" spans="1:5" x14ac:dyDescent="0.25">
      <c r="A24" s="78"/>
      <c r="B24" s="78"/>
      <c r="C24" s="203"/>
      <c r="D24" s="203"/>
    </row>
    <row r="25" spans="1:5" x14ac:dyDescent="0.25">
      <c r="A25" s="78"/>
      <c r="B25" s="78"/>
      <c r="C25" s="79"/>
      <c r="D25" s="78"/>
    </row>
    <row r="26" spans="1:5" x14ac:dyDescent="0.25">
      <c r="A26" s="78"/>
      <c r="B26" s="78"/>
      <c r="C26" s="203"/>
      <c r="D26" s="203"/>
    </row>
    <row r="27" spans="1:5" x14ac:dyDescent="0.25">
      <c r="A27" s="78"/>
      <c r="B27" s="78"/>
      <c r="C27" s="78"/>
      <c r="D27" s="78"/>
    </row>
    <row r="28" spans="1:5" x14ac:dyDescent="0.25">
      <c r="A28" s="202"/>
      <c r="B28" s="202"/>
      <c r="C28" s="80"/>
      <c r="D28" s="80"/>
    </row>
    <row r="29" spans="1:5" x14ac:dyDescent="0.25">
      <c r="A29" s="201"/>
      <c r="B29" s="202"/>
      <c r="C29" s="80"/>
      <c r="D29" s="80"/>
    </row>
    <row r="30" spans="1:5" x14ac:dyDescent="0.25">
      <c r="A30" s="57"/>
      <c r="B30" s="80"/>
      <c r="C30" s="81"/>
      <c r="D30" s="81"/>
    </row>
    <row r="31" spans="1:5" x14ac:dyDescent="0.25">
      <c r="A31" s="201"/>
      <c r="B31" s="201"/>
      <c r="C31" s="81"/>
      <c r="D31" s="81"/>
    </row>
  </sheetData>
  <mergeCells count="23">
    <mergeCell ref="A2:D2"/>
    <mergeCell ref="A4:D4"/>
    <mergeCell ref="A6:D6"/>
    <mergeCell ref="A8:D8"/>
    <mergeCell ref="C9:D9"/>
    <mergeCell ref="C10:D10"/>
    <mergeCell ref="A11:A13"/>
    <mergeCell ref="C11:D13"/>
    <mergeCell ref="C14:D14"/>
    <mergeCell ref="C15:D15"/>
    <mergeCell ref="A31:B31"/>
    <mergeCell ref="C16:D16"/>
    <mergeCell ref="C24:D24"/>
    <mergeCell ref="C26:D26"/>
    <mergeCell ref="A28:B28"/>
    <mergeCell ref="A29:B29"/>
    <mergeCell ref="A22:B22"/>
    <mergeCell ref="C22:D22"/>
    <mergeCell ref="C17:D17"/>
    <mergeCell ref="C18:D18"/>
    <mergeCell ref="C19:D19"/>
    <mergeCell ref="A21:B21"/>
    <mergeCell ref="C21:D21"/>
  </mergeCells>
  <pageMargins left="0.70866141732283472" right="0.70866141732283472" top="0.74803149606299213" bottom="0.74803149606299213" header="0.31496062992125984" footer="0.31496062992125984"/>
  <pageSetup paperSize="9" scale="98" fitToHeight="0" orientation="portrait" verticalDpi="0" r:id="rId1"/>
  <headerFoot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view="pageBreakPreview" zoomScale="60" zoomScaleNormal="100" workbookViewId="0">
      <selection activeCell="T13" sqref="T13"/>
    </sheetView>
  </sheetViews>
  <sheetFormatPr defaultRowHeight="15" x14ac:dyDescent="0.25"/>
  <cols>
    <col min="1" max="1" width="19.5703125" customWidth="1"/>
    <col min="2" max="2" width="52.42578125" customWidth="1"/>
    <col min="3" max="3" width="9.5703125" style="7" customWidth="1"/>
    <col min="5" max="5" width="25.85546875" style="9" customWidth="1"/>
    <col min="8" max="8" width="7.42578125" bestFit="1" customWidth="1"/>
  </cols>
  <sheetData>
    <row r="1" spans="1:5" ht="15.75" x14ac:dyDescent="0.25">
      <c r="A1" s="1"/>
    </row>
    <row r="2" spans="1:5" ht="14.45" customHeight="1" x14ac:dyDescent="0.25">
      <c r="A2" s="251" t="s">
        <v>0</v>
      </c>
      <c r="B2" s="251"/>
      <c r="C2" s="251"/>
      <c r="D2" s="251"/>
    </row>
    <row r="3" spans="1:5" ht="15.75" x14ac:dyDescent="0.25">
      <c r="D3" s="1"/>
    </row>
    <row r="4" spans="1:5" ht="18.75" customHeight="1" x14ac:dyDescent="0.25">
      <c r="A4" s="252" t="s">
        <v>22</v>
      </c>
      <c r="B4" s="252"/>
      <c r="C4" s="252"/>
      <c r="D4" s="252"/>
    </row>
    <row r="5" spans="1:5" ht="15.75" x14ac:dyDescent="0.25">
      <c r="D5" s="5"/>
    </row>
    <row r="6" spans="1:5" ht="63.75" customHeight="1" x14ac:dyDescent="0.25">
      <c r="A6" s="253" t="s">
        <v>255</v>
      </c>
      <c r="B6" s="253"/>
      <c r="C6" s="253"/>
      <c r="D6" s="253"/>
    </row>
    <row r="7" spans="1:5" ht="15.75" x14ac:dyDescent="0.25">
      <c r="D7" s="6"/>
    </row>
    <row r="8" spans="1:5" ht="16.5" thickBot="1" x14ac:dyDescent="0.3">
      <c r="A8" s="254" t="s">
        <v>1</v>
      </c>
      <c r="B8" s="254"/>
      <c r="C8" s="254"/>
      <c r="D8" s="254"/>
    </row>
    <row r="9" spans="1:5" ht="75.75" customHeight="1" thickBot="1" x14ac:dyDescent="0.3">
      <c r="A9" s="16" t="s">
        <v>2</v>
      </c>
      <c r="B9" s="17" t="s">
        <v>3</v>
      </c>
      <c r="C9" s="255" t="s">
        <v>4</v>
      </c>
      <c r="D9" s="256"/>
    </row>
    <row r="10" spans="1:5" ht="16.5" thickBot="1" x14ac:dyDescent="0.3">
      <c r="A10" s="3"/>
      <c r="B10" s="18" t="s">
        <v>5</v>
      </c>
      <c r="C10" s="257"/>
      <c r="D10" s="258"/>
    </row>
    <row r="11" spans="1:5" ht="80.25" customHeight="1" x14ac:dyDescent="0.25">
      <c r="A11" s="259" t="s">
        <v>6</v>
      </c>
      <c r="B11" s="66" t="s">
        <v>536</v>
      </c>
      <c r="C11" s="262">
        <f>7.2+4</f>
        <v>11.2</v>
      </c>
      <c r="D11" s="263"/>
    </row>
    <row r="12" spans="1:5" ht="78.75" x14ac:dyDescent="0.25">
      <c r="A12" s="260"/>
      <c r="B12" s="23" t="s">
        <v>533</v>
      </c>
      <c r="C12" s="262"/>
      <c r="D12" s="263"/>
    </row>
    <row r="13" spans="1:5" ht="16.5" thickBot="1" x14ac:dyDescent="0.3">
      <c r="A13" s="261"/>
      <c r="B13" s="19" t="s">
        <v>410</v>
      </c>
      <c r="C13" s="262"/>
      <c r="D13" s="263"/>
    </row>
    <row r="14" spans="1:5" ht="48" thickBot="1" x14ac:dyDescent="0.3">
      <c r="A14" s="27" t="s">
        <v>7</v>
      </c>
      <c r="B14" s="19" t="s">
        <v>209</v>
      </c>
      <c r="C14" s="262">
        <f>C11*0.2359</f>
        <v>2.64208</v>
      </c>
      <c r="D14" s="263"/>
    </row>
    <row r="15" spans="1:5" ht="16.5" thickBot="1" x14ac:dyDescent="0.3">
      <c r="A15" s="27"/>
      <c r="B15" s="20" t="s">
        <v>9</v>
      </c>
      <c r="C15" s="262">
        <f>SUM(C11:D14)</f>
        <v>13.842079999999999</v>
      </c>
      <c r="D15" s="263"/>
      <c r="E15" s="10"/>
    </row>
    <row r="16" spans="1:5" ht="16.5" thickBot="1" x14ac:dyDescent="0.3">
      <c r="A16" s="27"/>
      <c r="B16" s="20" t="s">
        <v>10</v>
      </c>
      <c r="C16" s="262"/>
      <c r="D16" s="263"/>
    </row>
    <row r="17" spans="1:5" ht="32.25" thickBot="1" x14ac:dyDescent="0.3">
      <c r="A17" s="27" t="s">
        <v>12</v>
      </c>
      <c r="B17" s="102" t="s">
        <v>461</v>
      </c>
      <c r="C17" s="262">
        <v>0.82</v>
      </c>
      <c r="D17" s="263"/>
    </row>
    <row r="18" spans="1:5" ht="16.5" thickBot="1" x14ac:dyDescent="0.3">
      <c r="A18" s="100" t="s">
        <v>380</v>
      </c>
      <c r="B18" s="102" t="s">
        <v>411</v>
      </c>
      <c r="C18" s="315">
        <v>2.17</v>
      </c>
      <c r="D18" s="316"/>
    </row>
    <row r="19" spans="1:5" ht="32.25" thickBot="1" x14ac:dyDescent="0.3">
      <c r="A19" s="100" t="s">
        <v>379</v>
      </c>
      <c r="B19" s="102" t="s">
        <v>412</v>
      </c>
      <c r="C19" s="315">
        <v>3.15</v>
      </c>
      <c r="D19" s="316"/>
    </row>
    <row r="20" spans="1:5" ht="16.5" thickBot="1" x14ac:dyDescent="0.3">
      <c r="A20" s="3"/>
      <c r="B20" s="18" t="s">
        <v>18</v>
      </c>
      <c r="C20" s="262">
        <v>6.13</v>
      </c>
      <c r="D20" s="263"/>
      <c r="E20" s="11"/>
    </row>
    <row r="21" spans="1:5" ht="16.5" thickBot="1" x14ac:dyDescent="0.3">
      <c r="A21" s="3"/>
      <c r="B21" s="21" t="s">
        <v>19</v>
      </c>
      <c r="C21" s="267">
        <f>SUM(C15,C20)</f>
        <v>19.972079999999998</v>
      </c>
      <c r="D21" s="268"/>
      <c r="E21" s="12"/>
    </row>
    <row r="22" spans="1:5" x14ac:dyDescent="0.25">
      <c r="A22" s="4"/>
      <c r="C22" s="8"/>
      <c r="E22" s="13"/>
    </row>
    <row r="23" spans="1:5" ht="15.75" x14ac:dyDescent="0.25">
      <c r="A23" s="269" t="s">
        <v>20</v>
      </c>
      <c r="B23" s="270"/>
      <c r="C23" s="271">
        <v>10</v>
      </c>
      <c r="D23" s="271"/>
      <c r="E23" s="14"/>
    </row>
    <row r="24" spans="1:5" ht="32.25" customHeight="1" x14ac:dyDescent="0.25">
      <c r="A24" s="264" t="s">
        <v>21</v>
      </c>
      <c r="B24" s="265"/>
      <c r="C24" s="225">
        <f>C21/C23</f>
        <v>1.9972079999999999</v>
      </c>
      <c r="D24" s="225"/>
      <c r="E24" s="15"/>
    </row>
    <row r="25" spans="1:5" ht="15.75" x14ac:dyDescent="0.25">
      <c r="A25" s="2"/>
    </row>
    <row r="26" spans="1:5" x14ac:dyDescent="0.25">
      <c r="A26" s="78"/>
      <c r="B26" s="78"/>
      <c r="C26" s="203"/>
      <c r="D26" s="203"/>
    </row>
    <row r="27" spans="1:5" x14ac:dyDescent="0.25">
      <c r="A27" s="78"/>
      <c r="B27" s="78"/>
      <c r="C27" s="79"/>
      <c r="D27" s="78"/>
    </row>
    <row r="28" spans="1:5" x14ac:dyDescent="0.25">
      <c r="A28" s="78"/>
      <c r="B28" s="78"/>
      <c r="C28" s="203"/>
      <c r="D28" s="203"/>
    </row>
    <row r="29" spans="1:5" x14ac:dyDescent="0.25">
      <c r="A29" s="78"/>
      <c r="B29" s="78"/>
      <c r="C29" s="78"/>
      <c r="D29" s="78"/>
    </row>
    <row r="30" spans="1:5" x14ac:dyDescent="0.25">
      <c r="A30" s="202"/>
      <c r="B30" s="202"/>
      <c r="C30" s="80"/>
      <c r="D30" s="80"/>
    </row>
    <row r="31" spans="1:5" x14ac:dyDescent="0.25">
      <c r="A31" s="201"/>
      <c r="B31" s="202"/>
      <c r="C31" s="80"/>
      <c r="D31" s="80"/>
    </row>
    <row r="32" spans="1:5" x14ac:dyDescent="0.25">
      <c r="A32" s="57"/>
      <c r="B32" s="80"/>
      <c r="C32" s="81"/>
      <c r="D32" s="81"/>
    </row>
    <row r="33" spans="1:4" x14ac:dyDescent="0.25">
      <c r="A33" s="201"/>
      <c r="B33" s="201"/>
      <c r="C33" s="81"/>
      <c r="D33" s="81"/>
    </row>
  </sheetData>
  <mergeCells count="25">
    <mergeCell ref="A2:D2"/>
    <mergeCell ref="A4:D4"/>
    <mergeCell ref="A6:D6"/>
    <mergeCell ref="A8:D8"/>
    <mergeCell ref="C9:D9"/>
    <mergeCell ref="C10:D10"/>
    <mergeCell ref="A11:A13"/>
    <mergeCell ref="C11:D13"/>
    <mergeCell ref="C14:D14"/>
    <mergeCell ref="C15:D15"/>
    <mergeCell ref="A33:B33"/>
    <mergeCell ref="C16:D16"/>
    <mergeCell ref="C26:D26"/>
    <mergeCell ref="C28:D28"/>
    <mergeCell ref="A30:B30"/>
    <mergeCell ref="A31:B31"/>
    <mergeCell ref="A24:B24"/>
    <mergeCell ref="C24:D24"/>
    <mergeCell ref="C17:D17"/>
    <mergeCell ref="C20:D20"/>
    <mergeCell ref="C21:D21"/>
    <mergeCell ref="A23:B23"/>
    <mergeCell ref="C23:D23"/>
    <mergeCell ref="C18:D18"/>
    <mergeCell ref="C19:D19"/>
  </mergeCells>
  <pageMargins left="0.70866141732283472" right="0.70866141732283472" top="0.74803149606299213" bottom="0.74803149606299213" header="0.31496062992125984" footer="0.31496062992125984"/>
  <pageSetup paperSize="9" scale="96" fitToHeight="0" orientation="portrait" verticalDpi="0" r:id="rId1"/>
  <headerFoot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60" zoomScaleNormal="100" workbookViewId="0">
      <selection activeCell="T13" sqref="T13"/>
    </sheetView>
  </sheetViews>
  <sheetFormatPr defaultRowHeight="15" x14ac:dyDescent="0.25"/>
  <cols>
    <col min="1" max="1" width="19.5703125" customWidth="1"/>
    <col min="2" max="2" width="52.42578125" customWidth="1"/>
    <col min="3" max="3" width="9.28515625" style="7" customWidth="1"/>
    <col min="4" max="4" width="7.5703125" customWidth="1"/>
    <col min="5" max="5" width="25.85546875" style="9" customWidth="1"/>
    <col min="8" max="8" width="7.42578125" bestFit="1" customWidth="1"/>
  </cols>
  <sheetData>
    <row r="1" spans="1:5" ht="15.75" x14ac:dyDescent="0.25">
      <c r="A1" s="1"/>
    </row>
    <row r="2" spans="1:5" ht="14.45" customHeight="1" x14ac:dyDescent="0.25">
      <c r="A2" s="251" t="s">
        <v>0</v>
      </c>
      <c r="B2" s="251"/>
      <c r="C2" s="251"/>
      <c r="D2" s="251"/>
    </row>
    <row r="3" spans="1:5" ht="15.75" x14ac:dyDescent="0.25">
      <c r="D3" s="1"/>
    </row>
    <row r="4" spans="1:5" ht="16.5" customHeight="1" x14ac:dyDescent="0.25">
      <c r="A4" s="252" t="s">
        <v>22</v>
      </c>
      <c r="B4" s="252"/>
      <c r="C4" s="252"/>
      <c r="D4" s="252"/>
    </row>
    <row r="5" spans="1:5" ht="15.75" x14ac:dyDescent="0.25">
      <c r="D5" s="5"/>
    </row>
    <row r="6" spans="1:5" ht="34.5" customHeight="1" x14ac:dyDescent="0.25">
      <c r="A6" s="253" t="s">
        <v>256</v>
      </c>
      <c r="B6" s="253"/>
      <c r="C6" s="253"/>
      <c r="D6" s="253"/>
    </row>
    <row r="7" spans="1:5" ht="15.75" x14ac:dyDescent="0.25">
      <c r="D7" s="6"/>
    </row>
    <row r="8" spans="1:5" ht="16.5" thickBot="1" x14ac:dyDescent="0.3">
      <c r="A8" s="254" t="s">
        <v>1</v>
      </c>
      <c r="B8" s="254"/>
      <c r="C8" s="254"/>
      <c r="D8" s="254"/>
    </row>
    <row r="9" spans="1:5" ht="84" customHeight="1" thickBot="1" x14ac:dyDescent="0.3">
      <c r="A9" s="16" t="s">
        <v>2</v>
      </c>
      <c r="B9" s="17" t="s">
        <v>3</v>
      </c>
      <c r="C9" s="255" t="s">
        <v>4</v>
      </c>
      <c r="D9" s="256"/>
    </row>
    <row r="10" spans="1:5" ht="16.5" thickBot="1" x14ac:dyDescent="0.3">
      <c r="A10" s="3"/>
      <c r="B10" s="18" t="s">
        <v>5</v>
      </c>
      <c r="C10" s="257"/>
      <c r="D10" s="258"/>
    </row>
    <row r="11" spans="1:5" ht="83.25" customHeight="1" x14ac:dyDescent="0.25">
      <c r="A11" s="259" t="s">
        <v>6</v>
      </c>
      <c r="B11" s="123" t="s">
        <v>537</v>
      </c>
      <c r="C11" s="262">
        <v>599.4</v>
      </c>
      <c r="D11" s="263"/>
    </row>
    <row r="12" spans="1:5" ht="63.75" customHeight="1" x14ac:dyDescent="0.25">
      <c r="A12" s="260"/>
      <c r="B12" s="128" t="s">
        <v>538</v>
      </c>
      <c r="C12" s="262"/>
      <c r="D12" s="263"/>
    </row>
    <row r="13" spans="1:5" ht="16.5" thickBot="1" x14ac:dyDescent="0.3">
      <c r="A13" s="261"/>
      <c r="B13" s="104" t="s">
        <v>443</v>
      </c>
      <c r="C13" s="262"/>
      <c r="D13" s="263"/>
    </row>
    <row r="14" spans="1:5" ht="48" thickBot="1" x14ac:dyDescent="0.3">
      <c r="A14" s="27" t="s">
        <v>7</v>
      </c>
      <c r="B14" s="19" t="s">
        <v>209</v>
      </c>
      <c r="C14" s="262">
        <f>C11*0.2359</f>
        <v>141.39846</v>
      </c>
      <c r="D14" s="263"/>
    </row>
    <row r="15" spans="1:5" ht="16.5" thickBot="1" x14ac:dyDescent="0.3">
      <c r="A15" s="27"/>
      <c r="B15" s="20" t="s">
        <v>9</v>
      </c>
      <c r="C15" s="262">
        <f>SUM(C11:D14)</f>
        <v>740.79845999999998</v>
      </c>
      <c r="D15" s="263"/>
      <c r="E15" s="10"/>
    </row>
    <row r="16" spans="1:5" ht="16.5" thickBot="1" x14ac:dyDescent="0.3">
      <c r="A16" s="27"/>
      <c r="B16" s="20" t="s">
        <v>10</v>
      </c>
      <c r="C16" s="262"/>
      <c r="D16" s="263"/>
    </row>
    <row r="17" spans="1:5" ht="142.5" thickBot="1" x14ac:dyDescent="0.3">
      <c r="A17" s="27" t="s">
        <v>12</v>
      </c>
      <c r="B17" s="104" t="s">
        <v>442</v>
      </c>
      <c r="C17" s="262">
        <v>69.66</v>
      </c>
      <c r="D17" s="263"/>
    </row>
    <row r="18" spans="1:5" ht="16.5" thickBot="1" x14ac:dyDescent="0.3">
      <c r="A18" s="3"/>
      <c r="B18" s="18" t="s">
        <v>18</v>
      </c>
      <c r="C18" s="262">
        <f>SUM(C17:C17)</f>
        <v>69.66</v>
      </c>
      <c r="D18" s="263"/>
      <c r="E18" s="11"/>
    </row>
    <row r="19" spans="1:5" ht="16.5" thickBot="1" x14ac:dyDescent="0.3">
      <c r="A19" s="3"/>
      <c r="B19" s="21" t="s">
        <v>19</v>
      </c>
      <c r="C19" s="267">
        <f>SUM(C15,C18)</f>
        <v>810.45845999999995</v>
      </c>
      <c r="D19" s="268"/>
      <c r="E19" s="12"/>
    </row>
    <row r="20" spans="1:5" x14ac:dyDescent="0.25">
      <c r="A20" s="4"/>
      <c r="C20" s="8"/>
      <c r="E20" s="13"/>
    </row>
    <row r="21" spans="1:5" ht="15.75" x14ac:dyDescent="0.25">
      <c r="A21" s="269" t="s">
        <v>20</v>
      </c>
      <c r="B21" s="270"/>
      <c r="C21" s="271">
        <v>162</v>
      </c>
      <c r="D21" s="271"/>
      <c r="E21" s="14"/>
    </row>
    <row r="22" spans="1:5" ht="31.5" customHeight="1" x14ac:dyDescent="0.25">
      <c r="A22" s="326" t="s">
        <v>21</v>
      </c>
      <c r="B22" s="327"/>
      <c r="C22" s="225">
        <f>C19/C21</f>
        <v>5.0028299999999994</v>
      </c>
      <c r="D22" s="225"/>
      <c r="E22" s="15"/>
    </row>
    <row r="23" spans="1:5" ht="15.75" x14ac:dyDescent="0.25">
      <c r="A23" s="2"/>
    </row>
    <row r="24" spans="1:5" x14ac:dyDescent="0.25">
      <c r="A24" s="78"/>
      <c r="B24" s="78"/>
      <c r="C24" s="203"/>
      <c r="D24" s="203"/>
    </row>
    <row r="25" spans="1:5" x14ac:dyDescent="0.25">
      <c r="A25" s="78"/>
      <c r="B25" s="78"/>
      <c r="C25" s="79"/>
      <c r="D25" s="78"/>
    </row>
    <row r="26" spans="1:5" x14ac:dyDescent="0.25">
      <c r="A26" s="78"/>
      <c r="B26" s="78"/>
      <c r="C26" s="203"/>
      <c r="D26" s="203"/>
    </row>
    <row r="27" spans="1:5" x14ac:dyDescent="0.25">
      <c r="A27" s="78"/>
      <c r="B27" s="78"/>
      <c r="C27" s="78"/>
      <c r="D27" s="78"/>
    </row>
    <row r="28" spans="1:5" x14ac:dyDescent="0.25">
      <c r="A28" s="202"/>
      <c r="B28" s="202"/>
      <c r="C28" s="80"/>
      <c r="D28" s="80"/>
    </row>
    <row r="29" spans="1:5" x14ac:dyDescent="0.25">
      <c r="A29" s="201"/>
      <c r="B29" s="202"/>
      <c r="C29" s="80"/>
      <c r="D29" s="80"/>
    </row>
    <row r="30" spans="1:5" x14ac:dyDescent="0.25">
      <c r="A30" s="57"/>
      <c r="B30" s="80"/>
      <c r="C30" s="81"/>
      <c r="D30" s="81"/>
    </row>
    <row r="31" spans="1:5" x14ac:dyDescent="0.25">
      <c r="A31" s="201"/>
      <c r="B31" s="201"/>
      <c r="C31" s="81"/>
      <c r="D31" s="81"/>
    </row>
  </sheetData>
  <mergeCells count="23">
    <mergeCell ref="A2:D2"/>
    <mergeCell ref="A4:D4"/>
    <mergeCell ref="A6:D6"/>
    <mergeCell ref="A8:D8"/>
    <mergeCell ref="C9:D9"/>
    <mergeCell ref="C10:D10"/>
    <mergeCell ref="A11:A13"/>
    <mergeCell ref="C11:D13"/>
    <mergeCell ref="C14:D14"/>
    <mergeCell ref="C15:D15"/>
    <mergeCell ref="A31:B31"/>
    <mergeCell ref="C16:D16"/>
    <mergeCell ref="C24:D24"/>
    <mergeCell ref="C26:D26"/>
    <mergeCell ref="A28:B28"/>
    <mergeCell ref="A29:B29"/>
    <mergeCell ref="A22:B22"/>
    <mergeCell ref="C22:D22"/>
    <mergeCell ref="C17:D17"/>
    <mergeCell ref="C18:D18"/>
    <mergeCell ref="C19:D19"/>
    <mergeCell ref="A21:B21"/>
    <mergeCell ref="C21:D21"/>
  </mergeCells>
  <pageMargins left="0.70866141732283472" right="0.70866141732283472" top="0.74803149606299213" bottom="0.74803149606299213" header="0.31496062992125984" footer="0.31496062992125984"/>
  <pageSetup paperSize="9" scale="98" fitToHeight="0" orientation="portrait" verticalDpi="0" r:id="rId1"/>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60" zoomScaleNormal="100" workbookViewId="0">
      <selection activeCell="T13" sqref="T13"/>
    </sheetView>
  </sheetViews>
  <sheetFormatPr defaultRowHeight="15" x14ac:dyDescent="0.25"/>
  <cols>
    <col min="1" max="1" width="19.5703125" customWidth="1"/>
    <col min="2" max="2" width="52.42578125" customWidth="1"/>
    <col min="3" max="3" width="7.5703125" style="7" customWidth="1"/>
    <col min="4" max="4" width="9.5703125" customWidth="1"/>
    <col min="5" max="5" width="25.85546875" style="9" customWidth="1"/>
    <col min="8" max="8" width="7.42578125" bestFit="1" customWidth="1"/>
  </cols>
  <sheetData>
    <row r="1" spans="1:5" ht="14.45" customHeight="1" x14ac:dyDescent="0.25">
      <c r="A1" s="251" t="s">
        <v>0</v>
      </c>
      <c r="B1" s="251"/>
      <c r="C1" s="251"/>
      <c r="D1" s="251"/>
    </row>
    <row r="2" spans="1:5" ht="15.75" x14ac:dyDescent="0.25">
      <c r="D2" s="1"/>
    </row>
    <row r="3" spans="1:5" ht="16.5" customHeight="1" x14ac:dyDescent="0.25">
      <c r="A3" s="252" t="s">
        <v>22</v>
      </c>
      <c r="B3" s="252"/>
      <c r="C3" s="252"/>
      <c r="D3" s="252"/>
    </row>
    <row r="4" spans="1:5" ht="15.75" x14ac:dyDescent="0.25">
      <c r="D4" s="5"/>
    </row>
    <row r="5" spans="1:5" ht="33" customHeight="1" x14ac:dyDescent="0.25">
      <c r="A5" s="253" t="s">
        <v>257</v>
      </c>
      <c r="B5" s="253"/>
      <c r="C5" s="253"/>
      <c r="D5" s="253"/>
    </row>
    <row r="6" spans="1:5" ht="15.75" x14ac:dyDescent="0.25">
      <c r="D6" s="6"/>
    </row>
    <row r="7" spans="1:5" ht="16.5" thickBot="1" x14ac:dyDescent="0.3">
      <c r="A7" s="254" t="s">
        <v>1</v>
      </c>
      <c r="B7" s="254"/>
      <c r="C7" s="254"/>
      <c r="D7" s="254"/>
    </row>
    <row r="8" spans="1:5" ht="83.25" customHeight="1" thickBot="1" x14ac:dyDescent="0.3">
      <c r="A8" s="16" t="s">
        <v>2</v>
      </c>
      <c r="B8" s="17" t="s">
        <v>3</v>
      </c>
      <c r="C8" s="255" t="s">
        <v>4</v>
      </c>
      <c r="D8" s="256"/>
    </row>
    <row r="9" spans="1:5" ht="16.5" thickBot="1" x14ac:dyDescent="0.3">
      <c r="A9" s="3"/>
      <c r="B9" s="18" t="s">
        <v>5</v>
      </c>
      <c r="C9" s="257"/>
      <c r="D9" s="258"/>
    </row>
    <row r="10" spans="1:5" ht="81" customHeight="1" x14ac:dyDescent="0.25">
      <c r="A10" s="259" t="s">
        <v>6</v>
      </c>
      <c r="B10" s="66" t="s">
        <v>542</v>
      </c>
      <c r="C10" s="262">
        <v>351.12</v>
      </c>
      <c r="D10" s="263"/>
    </row>
    <row r="11" spans="1:5" ht="63.75" customHeight="1" x14ac:dyDescent="0.25">
      <c r="A11" s="260"/>
      <c r="B11" s="64" t="s">
        <v>539</v>
      </c>
      <c r="C11" s="262"/>
      <c r="D11" s="263"/>
    </row>
    <row r="12" spans="1:5" ht="63.75" customHeight="1" x14ac:dyDescent="0.25">
      <c r="A12" s="260"/>
      <c r="B12" s="64" t="s">
        <v>543</v>
      </c>
      <c r="C12" s="262"/>
      <c r="D12" s="263"/>
    </row>
    <row r="13" spans="1:5" ht="16.5" thickBot="1" x14ac:dyDescent="0.3">
      <c r="A13" s="261"/>
      <c r="B13" s="19" t="s">
        <v>445</v>
      </c>
      <c r="C13" s="262"/>
      <c r="D13" s="263"/>
    </row>
    <row r="14" spans="1:5" ht="48" thickBot="1" x14ac:dyDescent="0.3">
      <c r="A14" s="27" t="s">
        <v>7</v>
      </c>
      <c r="B14" s="19" t="s">
        <v>209</v>
      </c>
      <c r="C14" s="262">
        <f>C10*0.2359</f>
        <v>82.829207999999994</v>
      </c>
      <c r="D14" s="263"/>
    </row>
    <row r="15" spans="1:5" ht="16.5" thickBot="1" x14ac:dyDescent="0.3">
      <c r="A15" s="27"/>
      <c r="B15" s="20" t="s">
        <v>9</v>
      </c>
      <c r="C15" s="262">
        <f>SUM(C10:D14)</f>
        <v>433.949208</v>
      </c>
      <c r="D15" s="263"/>
      <c r="E15" s="10"/>
    </row>
    <row r="16" spans="1:5" ht="16.5" thickBot="1" x14ac:dyDescent="0.3">
      <c r="A16" s="27"/>
      <c r="B16" s="20" t="s">
        <v>10</v>
      </c>
      <c r="C16" s="262"/>
      <c r="D16" s="263"/>
    </row>
    <row r="17" spans="1:5" ht="142.5" thickBot="1" x14ac:dyDescent="0.3">
      <c r="A17" s="27" t="s">
        <v>12</v>
      </c>
      <c r="B17" s="103" t="s">
        <v>444</v>
      </c>
      <c r="C17" s="262">
        <v>28.05</v>
      </c>
      <c r="D17" s="263"/>
    </row>
    <row r="18" spans="1:5" ht="16.5" thickBot="1" x14ac:dyDescent="0.3">
      <c r="A18" s="3"/>
      <c r="B18" s="18" t="s">
        <v>18</v>
      </c>
      <c r="C18" s="262">
        <f>SUM(C17:C17)</f>
        <v>28.05</v>
      </c>
      <c r="D18" s="263"/>
      <c r="E18" s="11"/>
    </row>
    <row r="19" spans="1:5" ht="16.5" thickBot="1" x14ac:dyDescent="0.3">
      <c r="A19" s="3"/>
      <c r="B19" s="21" t="s">
        <v>19</v>
      </c>
      <c r="C19" s="267">
        <f>SUM(C15,C18)</f>
        <v>461.99920800000001</v>
      </c>
      <c r="D19" s="268"/>
      <c r="E19" s="12"/>
    </row>
    <row r="20" spans="1:5" x14ac:dyDescent="0.25">
      <c r="A20" s="4"/>
      <c r="C20" s="8"/>
      <c r="E20" s="13"/>
    </row>
    <row r="21" spans="1:5" ht="15.75" x14ac:dyDescent="0.25">
      <c r="A21" s="269" t="s">
        <v>20</v>
      </c>
      <c r="B21" s="270"/>
      <c r="C21" s="271">
        <v>66</v>
      </c>
      <c r="D21" s="271"/>
      <c r="E21" s="14"/>
    </row>
    <row r="22" spans="1:5" ht="32.25" customHeight="1" x14ac:dyDescent="0.25">
      <c r="A22" s="264" t="s">
        <v>21</v>
      </c>
      <c r="B22" s="265"/>
      <c r="C22" s="225">
        <f>C19/C21</f>
        <v>6.9999880000000001</v>
      </c>
      <c r="D22" s="225"/>
      <c r="E22" s="15"/>
    </row>
    <row r="23" spans="1:5" ht="15.75" x14ac:dyDescent="0.25">
      <c r="A23" s="2"/>
    </row>
    <row r="24" spans="1:5" x14ac:dyDescent="0.25">
      <c r="A24" s="78"/>
      <c r="B24" s="78"/>
      <c r="C24" s="203"/>
      <c r="D24" s="203"/>
    </row>
    <row r="25" spans="1:5" x14ac:dyDescent="0.25">
      <c r="A25" s="78"/>
      <c r="B25" s="78"/>
      <c r="C25" s="79"/>
      <c r="D25" s="78"/>
    </row>
    <row r="26" spans="1:5" x14ac:dyDescent="0.25">
      <c r="A26" s="78"/>
      <c r="B26" s="78"/>
      <c r="C26" s="203"/>
      <c r="D26" s="203"/>
    </row>
    <row r="27" spans="1:5" x14ac:dyDescent="0.25">
      <c r="A27" s="78"/>
      <c r="B27" s="78"/>
      <c r="C27" s="78"/>
      <c r="D27" s="78"/>
    </row>
    <row r="28" spans="1:5" x14ac:dyDescent="0.25">
      <c r="A28" s="202"/>
      <c r="B28" s="202"/>
      <c r="C28" s="80"/>
      <c r="D28" s="80"/>
    </row>
    <row r="29" spans="1:5" x14ac:dyDescent="0.25">
      <c r="A29" s="201"/>
      <c r="B29" s="202"/>
      <c r="C29" s="80"/>
      <c r="D29" s="80"/>
    </row>
    <row r="30" spans="1:5" x14ac:dyDescent="0.25">
      <c r="A30" s="57"/>
      <c r="B30" s="80"/>
      <c r="C30" s="81"/>
      <c r="D30" s="81"/>
    </row>
    <row r="31" spans="1:5" x14ac:dyDescent="0.25">
      <c r="A31" s="201"/>
      <c r="B31" s="201"/>
      <c r="C31" s="81"/>
      <c r="D31" s="81"/>
    </row>
  </sheetData>
  <mergeCells count="23">
    <mergeCell ref="A1:D1"/>
    <mergeCell ref="A3:D3"/>
    <mergeCell ref="A5:D5"/>
    <mergeCell ref="A7:D7"/>
    <mergeCell ref="C8:D8"/>
    <mergeCell ref="C9:D9"/>
    <mergeCell ref="A10:A13"/>
    <mergeCell ref="C10:D13"/>
    <mergeCell ref="C14:D14"/>
    <mergeCell ref="C15:D15"/>
    <mergeCell ref="A31:B31"/>
    <mergeCell ref="C16:D16"/>
    <mergeCell ref="C24:D24"/>
    <mergeCell ref="C26:D26"/>
    <mergeCell ref="A28:B28"/>
    <mergeCell ref="A29:B29"/>
    <mergeCell ref="A22:B22"/>
    <mergeCell ref="C22:D22"/>
    <mergeCell ref="C17:D17"/>
    <mergeCell ref="C18:D18"/>
    <mergeCell ref="C19:D19"/>
    <mergeCell ref="A21:B21"/>
    <mergeCell ref="C21:D21"/>
  </mergeCells>
  <pageMargins left="0.70866141732283472" right="0.70866141732283472" top="0.74803149606299213" bottom="0.74803149606299213" header="0.31496062992125984" footer="0.31496062992125984"/>
  <pageSetup paperSize="9" scale="98" fitToHeight="0" orientation="portrait" verticalDpi="0" r:id="rId1"/>
  <headerFoot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60" zoomScaleNormal="100" workbookViewId="0">
      <selection activeCell="T13" sqref="T13"/>
    </sheetView>
  </sheetViews>
  <sheetFormatPr defaultRowHeight="15" x14ac:dyDescent="0.25"/>
  <cols>
    <col min="1" max="1" width="19.5703125" customWidth="1"/>
    <col min="2" max="2" width="52.42578125" customWidth="1"/>
    <col min="3" max="3" width="11.140625" style="7" customWidth="1"/>
    <col min="4" max="4" width="6" customWidth="1"/>
    <col min="5" max="5" width="25.85546875" style="9" customWidth="1"/>
    <col min="8" max="8" width="7.42578125" bestFit="1" customWidth="1"/>
  </cols>
  <sheetData>
    <row r="1" spans="1:5" ht="14.45" customHeight="1" x14ac:dyDescent="0.25">
      <c r="A1" s="251" t="s">
        <v>0</v>
      </c>
      <c r="B1" s="251"/>
      <c r="C1" s="251"/>
      <c r="D1" s="251"/>
    </row>
    <row r="2" spans="1:5" ht="15.75" x14ac:dyDescent="0.25">
      <c r="D2" s="1"/>
    </row>
    <row r="3" spans="1:5" ht="17.25" customHeight="1" x14ac:dyDescent="0.25">
      <c r="A3" s="252" t="s">
        <v>22</v>
      </c>
      <c r="B3" s="252"/>
      <c r="C3" s="252"/>
      <c r="D3" s="252"/>
    </row>
    <row r="4" spans="1:5" ht="15.75" x14ac:dyDescent="0.25">
      <c r="D4" s="5"/>
    </row>
    <row r="5" spans="1:5" ht="33.75" customHeight="1" x14ac:dyDescent="0.25">
      <c r="A5" s="253" t="s">
        <v>258</v>
      </c>
      <c r="B5" s="253"/>
      <c r="C5" s="253"/>
      <c r="D5" s="253"/>
    </row>
    <row r="6" spans="1:5" ht="15.75" x14ac:dyDescent="0.25">
      <c r="D6" s="6"/>
    </row>
    <row r="7" spans="1:5" ht="16.5" thickBot="1" x14ac:dyDescent="0.3">
      <c r="A7" s="254" t="s">
        <v>1</v>
      </c>
      <c r="B7" s="254"/>
      <c r="C7" s="254"/>
      <c r="D7" s="254"/>
    </row>
    <row r="8" spans="1:5" ht="78" customHeight="1" thickBot="1" x14ac:dyDescent="0.3">
      <c r="A8" s="16" t="s">
        <v>2</v>
      </c>
      <c r="B8" s="17" t="s">
        <v>3</v>
      </c>
      <c r="C8" s="255" t="s">
        <v>4</v>
      </c>
      <c r="D8" s="256"/>
    </row>
    <row r="9" spans="1:5" ht="16.5" thickBot="1" x14ac:dyDescent="0.3">
      <c r="A9" s="3"/>
      <c r="B9" s="18" t="s">
        <v>5</v>
      </c>
      <c r="C9" s="257"/>
      <c r="D9" s="258"/>
    </row>
    <row r="10" spans="1:5" ht="64.5" customHeight="1" x14ac:dyDescent="0.25">
      <c r="A10" s="259" t="s">
        <v>6</v>
      </c>
      <c r="B10" s="66" t="s">
        <v>547</v>
      </c>
      <c r="C10" s="262">
        <f>217.21+4.64+2.9</f>
        <v>224.75</v>
      </c>
      <c r="D10" s="263"/>
    </row>
    <row r="11" spans="1:5" ht="64.5" customHeight="1" x14ac:dyDescent="0.25">
      <c r="A11" s="260"/>
      <c r="B11" s="64" t="s">
        <v>548</v>
      </c>
      <c r="C11" s="262"/>
      <c r="D11" s="263"/>
    </row>
    <row r="12" spans="1:5" ht="62.25" customHeight="1" x14ac:dyDescent="0.25">
      <c r="A12" s="260"/>
      <c r="B12" s="64" t="s">
        <v>549</v>
      </c>
      <c r="C12" s="262"/>
      <c r="D12" s="263"/>
    </row>
    <row r="13" spans="1:5" ht="16.5" thickBot="1" x14ac:dyDescent="0.3">
      <c r="A13" s="261"/>
      <c r="B13" s="19" t="s">
        <v>447</v>
      </c>
      <c r="C13" s="262"/>
      <c r="D13" s="263"/>
    </row>
    <row r="14" spans="1:5" ht="48" thickBot="1" x14ac:dyDescent="0.3">
      <c r="A14" s="27" t="s">
        <v>7</v>
      </c>
      <c r="B14" s="19" t="s">
        <v>209</v>
      </c>
      <c r="C14" s="262">
        <f>C10*0.2359</f>
        <v>53.018524999999997</v>
      </c>
      <c r="D14" s="263"/>
    </row>
    <row r="15" spans="1:5" ht="16.5" thickBot="1" x14ac:dyDescent="0.3">
      <c r="A15" s="27"/>
      <c r="B15" s="20" t="s">
        <v>9</v>
      </c>
      <c r="C15" s="262">
        <f>SUM(C10:D14)</f>
        <v>277.76852500000001</v>
      </c>
      <c r="D15" s="263"/>
      <c r="E15" s="10"/>
    </row>
    <row r="16" spans="1:5" ht="16.5" thickBot="1" x14ac:dyDescent="0.3">
      <c r="A16" s="27"/>
      <c r="B16" s="20" t="s">
        <v>10</v>
      </c>
      <c r="C16" s="262"/>
      <c r="D16" s="263"/>
    </row>
    <row r="17" spans="1:5" ht="142.5" thickBot="1" x14ac:dyDescent="0.3">
      <c r="A17" s="27" t="s">
        <v>12</v>
      </c>
      <c r="B17" s="103" t="s">
        <v>446</v>
      </c>
      <c r="C17" s="262">
        <v>12.18</v>
      </c>
      <c r="D17" s="263"/>
    </row>
    <row r="18" spans="1:5" ht="16.5" thickBot="1" x14ac:dyDescent="0.3">
      <c r="A18" s="3"/>
      <c r="B18" s="18" t="s">
        <v>18</v>
      </c>
      <c r="C18" s="262">
        <f>SUM(C17:C17)</f>
        <v>12.18</v>
      </c>
      <c r="D18" s="263"/>
      <c r="E18" s="11"/>
    </row>
    <row r="19" spans="1:5" ht="16.5" thickBot="1" x14ac:dyDescent="0.3">
      <c r="A19" s="3"/>
      <c r="B19" s="21" t="s">
        <v>19</v>
      </c>
      <c r="C19" s="267">
        <f>SUM(C15,C18)</f>
        <v>289.94852500000002</v>
      </c>
      <c r="D19" s="268"/>
      <c r="E19" s="12"/>
    </row>
    <row r="20" spans="1:5" x14ac:dyDescent="0.25">
      <c r="A20" s="4"/>
      <c r="C20" s="8"/>
      <c r="E20" s="13"/>
    </row>
    <row r="21" spans="1:5" ht="15.75" x14ac:dyDescent="0.25">
      <c r="A21" s="269" t="s">
        <v>20</v>
      </c>
      <c r="B21" s="270"/>
      <c r="C21" s="271">
        <v>29</v>
      </c>
      <c r="D21" s="271"/>
      <c r="E21" s="14"/>
    </row>
    <row r="22" spans="1:5" ht="30.75" customHeight="1" x14ac:dyDescent="0.25">
      <c r="A22" s="264" t="s">
        <v>21</v>
      </c>
      <c r="B22" s="265"/>
      <c r="C22" s="225">
        <f>C19/C21</f>
        <v>9.9982250000000015</v>
      </c>
      <c r="D22" s="225"/>
      <c r="E22" s="15"/>
    </row>
    <row r="23" spans="1:5" ht="15.75" x14ac:dyDescent="0.25">
      <c r="A23" s="2"/>
    </row>
    <row r="24" spans="1:5" x14ac:dyDescent="0.25">
      <c r="A24" s="78"/>
      <c r="B24" s="78"/>
      <c r="C24" s="203"/>
      <c r="D24" s="203"/>
    </row>
    <row r="25" spans="1:5" x14ac:dyDescent="0.25">
      <c r="A25" s="78"/>
      <c r="B25" s="78"/>
      <c r="C25" s="79"/>
      <c r="D25" s="78"/>
    </row>
    <row r="26" spans="1:5" x14ac:dyDescent="0.25">
      <c r="A26" s="78"/>
      <c r="B26" s="78"/>
      <c r="C26" s="203"/>
      <c r="D26" s="203"/>
    </row>
    <row r="27" spans="1:5" x14ac:dyDescent="0.25">
      <c r="A27" s="78"/>
      <c r="B27" s="78"/>
      <c r="C27" s="78"/>
      <c r="D27" s="78"/>
    </row>
    <row r="28" spans="1:5" x14ac:dyDescent="0.25">
      <c r="A28" s="202"/>
      <c r="B28" s="202"/>
      <c r="C28" s="80"/>
      <c r="D28" s="80"/>
    </row>
    <row r="29" spans="1:5" x14ac:dyDescent="0.25">
      <c r="A29" s="201"/>
      <c r="B29" s="202"/>
      <c r="C29" s="80"/>
      <c r="D29" s="80"/>
    </row>
    <row r="30" spans="1:5" x14ac:dyDescent="0.25">
      <c r="A30" s="57"/>
      <c r="B30" s="80"/>
      <c r="C30" s="81"/>
      <c r="D30" s="81"/>
    </row>
    <row r="31" spans="1:5" x14ac:dyDescent="0.25">
      <c r="A31" s="201"/>
      <c r="B31" s="201"/>
      <c r="C31" s="81"/>
      <c r="D31" s="81"/>
    </row>
  </sheetData>
  <mergeCells count="23">
    <mergeCell ref="A1:D1"/>
    <mergeCell ref="A3:D3"/>
    <mergeCell ref="A5:D5"/>
    <mergeCell ref="A7:D7"/>
    <mergeCell ref="C8:D8"/>
    <mergeCell ref="C9:D9"/>
    <mergeCell ref="A10:A13"/>
    <mergeCell ref="C10:D13"/>
    <mergeCell ref="C14:D14"/>
    <mergeCell ref="C15:D15"/>
    <mergeCell ref="A31:B31"/>
    <mergeCell ref="C16:D16"/>
    <mergeCell ref="C24:D24"/>
    <mergeCell ref="C26:D26"/>
    <mergeCell ref="A28:B28"/>
    <mergeCell ref="A29:B29"/>
    <mergeCell ref="A22:B22"/>
    <mergeCell ref="C22:D22"/>
    <mergeCell ref="C17:D17"/>
    <mergeCell ref="C18:D18"/>
    <mergeCell ref="C19:D19"/>
    <mergeCell ref="A21:B21"/>
    <mergeCell ref="C21:D21"/>
  </mergeCells>
  <pageMargins left="0.70866141732283472" right="0.70866141732283472" top="0.74803149606299213" bottom="0.74803149606299213" header="0.31496062992125984" footer="0.31496062992125984"/>
  <pageSetup paperSize="9" scale="98" fitToHeight="0" orientation="portrait" r:id="rId1"/>
  <headerFoot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60" zoomScaleNormal="100" workbookViewId="0">
      <selection activeCell="T13" sqref="T13"/>
    </sheetView>
  </sheetViews>
  <sheetFormatPr defaultRowHeight="15" x14ac:dyDescent="0.25"/>
  <cols>
    <col min="1" max="1" width="19.5703125" customWidth="1"/>
    <col min="2" max="2" width="52.42578125" customWidth="1"/>
    <col min="3" max="3" width="9.85546875" style="7" customWidth="1"/>
    <col min="4" max="4" width="7.42578125" customWidth="1"/>
    <col min="5" max="5" width="25.85546875" style="9" customWidth="1"/>
    <col min="8" max="8" width="7.42578125" bestFit="1" customWidth="1"/>
  </cols>
  <sheetData>
    <row r="1" spans="1:5" ht="14.45" customHeight="1" x14ac:dyDescent="0.25">
      <c r="A1" s="251" t="s">
        <v>0</v>
      </c>
      <c r="B1" s="251"/>
      <c r="C1" s="251"/>
      <c r="D1" s="251"/>
    </row>
    <row r="2" spans="1:5" ht="15.75" x14ac:dyDescent="0.25">
      <c r="D2" s="1"/>
    </row>
    <row r="3" spans="1:5" ht="15.75" customHeight="1" x14ac:dyDescent="0.25">
      <c r="A3" s="319" t="s">
        <v>22</v>
      </c>
      <c r="B3" s="319"/>
      <c r="C3" s="319"/>
      <c r="D3" s="319"/>
    </row>
    <row r="4" spans="1:5" ht="15.75" x14ac:dyDescent="0.25">
      <c r="D4" s="5"/>
    </row>
    <row r="5" spans="1:5" ht="32.25" customHeight="1" x14ac:dyDescent="0.25">
      <c r="A5" s="253" t="s">
        <v>259</v>
      </c>
      <c r="B5" s="253"/>
      <c r="C5" s="253"/>
      <c r="D5" s="253"/>
    </row>
    <row r="6" spans="1:5" ht="15.75" x14ac:dyDescent="0.25">
      <c r="D6" s="6"/>
    </row>
    <row r="7" spans="1:5" ht="16.5" thickBot="1" x14ac:dyDescent="0.3">
      <c r="A7" s="254" t="s">
        <v>1</v>
      </c>
      <c r="B7" s="254"/>
      <c r="C7" s="254"/>
      <c r="D7" s="254"/>
    </row>
    <row r="8" spans="1:5" ht="75" customHeight="1" thickBot="1" x14ac:dyDescent="0.3">
      <c r="A8" s="16" t="s">
        <v>2</v>
      </c>
      <c r="B8" s="17" t="s">
        <v>3</v>
      </c>
      <c r="C8" s="255" t="s">
        <v>4</v>
      </c>
      <c r="D8" s="256"/>
    </row>
    <row r="9" spans="1:5" ht="16.5" thickBot="1" x14ac:dyDescent="0.3">
      <c r="A9" s="3"/>
      <c r="B9" s="18" t="s">
        <v>5</v>
      </c>
      <c r="C9" s="257"/>
      <c r="D9" s="258"/>
    </row>
    <row r="10" spans="1:5" ht="81.75" customHeight="1" x14ac:dyDescent="0.25">
      <c r="A10" s="259" t="s">
        <v>6</v>
      </c>
      <c r="B10" s="66" t="s">
        <v>550</v>
      </c>
      <c r="C10" s="262">
        <f>102.66+2.32+2.32</f>
        <v>107.29999999999998</v>
      </c>
      <c r="D10" s="263"/>
    </row>
    <row r="11" spans="1:5" ht="64.5" customHeight="1" x14ac:dyDescent="0.25">
      <c r="A11" s="260"/>
      <c r="B11" s="64" t="s">
        <v>544</v>
      </c>
      <c r="C11" s="262"/>
      <c r="D11" s="263"/>
    </row>
    <row r="12" spans="1:5" ht="63" customHeight="1" x14ac:dyDescent="0.25">
      <c r="A12" s="260"/>
      <c r="B12" s="64" t="s">
        <v>551</v>
      </c>
      <c r="C12" s="262"/>
      <c r="D12" s="263"/>
    </row>
    <row r="13" spans="1:5" ht="16.5" thickBot="1" x14ac:dyDescent="0.3">
      <c r="A13" s="261"/>
      <c r="B13" s="19" t="s">
        <v>449</v>
      </c>
      <c r="C13" s="262"/>
      <c r="D13" s="263"/>
    </row>
    <row r="14" spans="1:5" ht="48" thickBot="1" x14ac:dyDescent="0.3">
      <c r="A14" s="27" t="s">
        <v>7</v>
      </c>
      <c r="B14" s="19" t="s">
        <v>209</v>
      </c>
      <c r="C14" s="262">
        <f>C10*0.2359</f>
        <v>25.312069999999995</v>
      </c>
      <c r="D14" s="263"/>
    </row>
    <row r="15" spans="1:5" ht="16.5" thickBot="1" x14ac:dyDescent="0.3">
      <c r="A15" s="27"/>
      <c r="B15" s="20" t="s">
        <v>9</v>
      </c>
      <c r="C15" s="262">
        <f>SUM(C10:D14)</f>
        <v>132.61206999999999</v>
      </c>
      <c r="D15" s="263"/>
      <c r="E15" s="10"/>
    </row>
    <row r="16" spans="1:5" ht="16.5" thickBot="1" x14ac:dyDescent="0.3">
      <c r="A16" s="27"/>
      <c r="B16" s="20" t="s">
        <v>10</v>
      </c>
      <c r="C16" s="262"/>
      <c r="D16" s="263"/>
    </row>
    <row r="17" spans="1:5" ht="142.5" thickBot="1" x14ac:dyDescent="0.3">
      <c r="A17" s="27" t="s">
        <v>12</v>
      </c>
      <c r="B17" s="97" t="s">
        <v>448</v>
      </c>
      <c r="C17" s="262">
        <v>12.32</v>
      </c>
      <c r="D17" s="263"/>
    </row>
    <row r="18" spans="1:5" ht="16.5" thickBot="1" x14ac:dyDescent="0.3">
      <c r="A18" s="3"/>
      <c r="B18" s="18" t="s">
        <v>18</v>
      </c>
      <c r="C18" s="262">
        <f>SUM(C17:C17)</f>
        <v>12.32</v>
      </c>
      <c r="D18" s="263"/>
      <c r="E18" s="11"/>
    </row>
    <row r="19" spans="1:5" ht="16.5" thickBot="1" x14ac:dyDescent="0.3">
      <c r="A19" s="3"/>
      <c r="B19" s="21" t="s">
        <v>19</v>
      </c>
      <c r="C19" s="267">
        <f>SUM(C15,C18)</f>
        <v>144.93206999999998</v>
      </c>
      <c r="D19" s="268"/>
      <c r="E19" s="12"/>
    </row>
    <row r="20" spans="1:5" x14ac:dyDescent="0.25">
      <c r="A20" s="4"/>
      <c r="C20" s="8"/>
      <c r="E20" s="13"/>
    </row>
    <row r="21" spans="1:5" ht="15.75" x14ac:dyDescent="0.25">
      <c r="A21" s="269" t="s">
        <v>20</v>
      </c>
      <c r="B21" s="270"/>
      <c r="C21" s="271">
        <v>29</v>
      </c>
      <c r="D21" s="271"/>
      <c r="E21" s="14"/>
    </row>
    <row r="22" spans="1:5" ht="31.5" customHeight="1" x14ac:dyDescent="0.25">
      <c r="A22" s="264" t="s">
        <v>21</v>
      </c>
      <c r="B22" s="265"/>
      <c r="C22" s="225">
        <f>C19/C21</f>
        <v>4.9976575862068957</v>
      </c>
      <c r="D22" s="225"/>
      <c r="E22" s="15"/>
    </row>
    <row r="23" spans="1:5" ht="15.75" x14ac:dyDescent="0.25">
      <c r="A23" s="2"/>
    </row>
    <row r="24" spans="1:5" x14ac:dyDescent="0.25">
      <c r="A24" s="78"/>
      <c r="B24" s="78"/>
      <c r="C24" s="203"/>
      <c r="D24" s="203"/>
    </row>
    <row r="25" spans="1:5" x14ac:dyDescent="0.25">
      <c r="A25" s="78"/>
      <c r="B25" s="78"/>
      <c r="C25" s="79"/>
      <c r="D25" s="78"/>
    </row>
    <row r="26" spans="1:5" x14ac:dyDescent="0.25">
      <c r="A26" s="78"/>
      <c r="B26" s="78"/>
      <c r="C26" s="203"/>
      <c r="D26" s="203"/>
    </row>
    <row r="27" spans="1:5" x14ac:dyDescent="0.25">
      <c r="A27" s="78"/>
      <c r="B27" s="78"/>
      <c r="C27" s="78"/>
      <c r="D27" s="78"/>
    </row>
    <row r="28" spans="1:5" x14ac:dyDescent="0.25">
      <c r="A28" s="202"/>
      <c r="B28" s="202"/>
      <c r="C28" s="80"/>
      <c r="D28" s="80"/>
    </row>
    <row r="29" spans="1:5" x14ac:dyDescent="0.25">
      <c r="A29" s="201"/>
      <c r="B29" s="202"/>
      <c r="C29" s="80"/>
      <c r="D29" s="80"/>
    </row>
    <row r="30" spans="1:5" x14ac:dyDescent="0.25">
      <c r="A30" s="57"/>
      <c r="B30" s="80"/>
      <c r="C30" s="81"/>
      <c r="D30" s="81"/>
    </row>
    <row r="31" spans="1:5" x14ac:dyDescent="0.25">
      <c r="A31" s="201"/>
      <c r="B31" s="201"/>
      <c r="C31" s="81"/>
      <c r="D31" s="81"/>
    </row>
  </sheetData>
  <mergeCells count="23">
    <mergeCell ref="A1:D1"/>
    <mergeCell ref="A3:D3"/>
    <mergeCell ref="A5:D5"/>
    <mergeCell ref="A7:D7"/>
    <mergeCell ref="C8:D8"/>
    <mergeCell ref="C9:D9"/>
    <mergeCell ref="A10:A13"/>
    <mergeCell ref="C10:D13"/>
    <mergeCell ref="C14:D14"/>
    <mergeCell ref="C15:D15"/>
    <mergeCell ref="A31:B31"/>
    <mergeCell ref="C16:D16"/>
    <mergeCell ref="C24:D24"/>
    <mergeCell ref="C26:D26"/>
    <mergeCell ref="A28:B28"/>
    <mergeCell ref="A29:B29"/>
    <mergeCell ref="A22:B22"/>
    <mergeCell ref="C22:D22"/>
    <mergeCell ref="C17:D17"/>
    <mergeCell ref="C18:D18"/>
    <mergeCell ref="C19:D19"/>
    <mergeCell ref="A21:B21"/>
    <mergeCell ref="C21:D21"/>
  </mergeCells>
  <pageMargins left="0.70866141732283472" right="0.70866141732283472" top="0.74803149606299213" bottom="0.74803149606299213" header="0.31496062992125984" footer="0.31496062992125984"/>
  <pageSetup paperSize="9" scale="97" fitToHeight="0" orientation="portrait" verticalDpi="0"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view="pageBreakPreview" zoomScale="60" zoomScaleNormal="100" workbookViewId="0">
      <selection activeCell="T13" sqref="T13"/>
    </sheetView>
  </sheetViews>
  <sheetFormatPr defaultColWidth="9.140625" defaultRowHeight="15" x14ac:dyDescent="0.25"/>
  <cols>
    <col min="1" max="1" width="19.5703125" customWidth="1"/>
    <col min="2" max="2" width="52.42578125" customWidth="1"/>
    <col min="3" max="3" width="12" style="7" customWidth="1"/>
    <col min="4" max="4" width="9" customWidth="1"/>
    <col min="5" max="5" width="25.85546875" style="9" customWidth="1"/>
    <col min="8" max="8" width="7.42578125" bestFit="1" customWidth="1"/>
    <col min="257" max="257" width="19.5703125" customWidth="1"/>
    <col min="258" max="258" width="52.42578125" customWidth="1"/>
    <col min="259" max="259" width="18.42578125" customWidth="1"/>
    <col min="261" max="261" width="25.85546875" customWidth="1"/>
    <col min="264" max="264" width="7.42578125" bestFit="1" customWidth="1"/>
    <col min="513" max="513" width="19.5703125" customWidth="1"/>
    <col min="514" max="514" width="52.42578125" customWidth="1"/>
    <col min="515" max="515" width="18.42578125" customWidth="1"/>
    <col min="517" max="517" width="25.85546875" customWidth="1"/>
    <col min="520" max="520" width="7.42578125" bestFit="1" customWidth="1"/>
    <col min="769" max="769" width="19.5703125" customWidth="1"/>
    <col min="770" max="770" width="52.42578125" customWidth="1"/>
    <col min="771" max="771" width="18.42578125" customWidth="1"/>
    <col min="773" max="773" width="25.85546875" customWidth="1"/>
    <col min="776" max="776" width="7.42578125" bestFit="1" customWidth="1"/>
    <col min="1025" max="1025" width="19.5703125" customWidth="1"/>
    <col min="1026" max="1026" width="52.42578125" customWidth="1"/>
    <col min="1027" max="1027" width="18.42578125" customWidth="1"/>
    <col min="1029" max="1029" width="25.85546875" customWidth="1"/>
    <col min="1032" max="1032" width="7.42578125" bestFit="1" customWidth="1"/>
    <col min="1281" max="1281" width="19.5703125" customWidth="1"/>
    <col min="1282" max="1282" width="52.42578125" customWidth="1"/>
    <col min="1283" max="1283" width="18.42578125" customWidth="1"/>
    <col min="1285" max="1285" width="25.85546875" customWidth="1"/>
    <col min="1288" max="1288" width="7.42578125" bestFit="1" customWidth="1"/>
    <col min="1537" max="1537" width="19.5703125" customWidth="1"/>
    <col min="1538" max="1538" width="52.42578125" customWidth="1"/>
    <col min="1539" max="1539" width="18.42578125" customWidth="1"/>
    <col min="1541" max="1541" width="25.85546875" customWidth="1"/>
    <col min="1544" max="1544" width="7.42578125" bestFit="1" customWidth="1"/>
    <col min="1793" max="1793" width="19.5703125" customWidth="1"/>
    <col min="1794" max="1794" width="52.42578125" customWidth="1"/>
    <col min="1795" max="1795" width="18.42578125" customWidth="1"/>
    <col min="1797" max="1797" width="25.85546875" customWidth="1"/>
    <col min="1800" max="1800" width="7.42578125" bestFit="1" customWidth="1"/>
    <col min="2049" max="2049" width="19.5703125" customWidth="1"/>
    <col min="2050" max="2050" width="52.42578125" customWidth="1"/>
    <col min="2051" max="2051" width="18.42578125" customWidth="1"/>
    <col min="2053" max="2053" width="25.85546875" customWidth="1"/>
    <col min="2056" max="2056" width="7.42578125" bestFit="1" customWidth="1"/>
    <col min="2305" max="2305" width="19.5703125" customWidth="1"/>
    <col min="2306" max="2306" width="52.42578125" customWidth="1"/>
    <col min="2307" max="2307" width="18.42578125" customWidth="1"/>
    <col min="2309" max="2309" width="25.85546875" customWidth="1"/>
    <col min="2312" max="2312" width="7.42578125" bestFit="1" customWidth="1"/>
    <col min="2561" max="2561" width="19.5703125" customWidth="1"/>
    <col min="2562" max="2562" width="52.42578125" customWidth="1"/>
    <col min="2563" max="2563" width="18.42578125" customWidth="1"/>
    <col min="2565" max="2565" width="25.85546875" customWidth="1"/>
    <col min="2568" max="2568" width="7.42578125" bestFit="1" customWidth="1"/>
    <col min="2817" max="2817" width="19.5703125" customWidth="1"/>
    <col min="2818" max="2818" width="52.42578125" customWidth="1"/>
    <col min="2819" max="2819" width="18.42578125" customWidth="1"/>
    <col min="2821" max="2821" width="25.85546875" customWidth="1"/>
    <col min="2824" max="2824" width="7.42578125" bestFit="1" customWidth="1"/>
    <col min="3073" max="3073" width="19.5703125" customWidth="1"/>
    <col min="3074" max="3074" width="52.42578125" customWidth="1"/>
    <col min="3075" max="3075" width="18.42578125" customWidth="1"/>
    <col min="3077" max="3077" width="25.85546875" customWidth="1"/>
    <col min="3080" max="3080" width="7.42578125" bestFit="1" customWidth="1"/>
    <col min="3329" max="3329" width="19.5703125" customWidth="1"/>
    <col min="3330" max="3330" width="52.42578125" customWidth="1"/>
    <col min="3331" max="3331" width="18.42578125" customWidth="1"/>
    <col min="3333" max="3333" width="25.85546875" customWidth="1"/>
    <col min="3336" max="3336" width="7.42578125" bestFit="1" customWidth="1"/>
    <col min="3585" max="3585" width="19.5703125" customWidth="1"/>
    <col min="3586" max="3586" width="52.42578125" customWidth="1"/>
    <col min="3587" max="3587" width="18.42578125" customWidth="1"/>
    <col min="3589" max="3589" width="25.85546875" customWidth="1"/>
    <col min="3592" max="3592" width="7.42578125" bestFit="1" customWidth="1"/>
    <col min="3841" max="3841" width="19.5703125" customWidth="1"/>
    <col min="3842" max="3842" width="52.42578125" customWidth="1"/>
    <col min="3843" max="3843" width="18.42578125" customWidth="1"/>
    <col min="3845" max="3845" width="25.85546875" customWidth="1"/>
    <col min="3848" max="3848" width="7.42578125" bestFit="1" customWidth="1"/>
    <col min="4097" max="4097" width="19.5703125" customWidth="1"/>
    <col min="4098" max="4098" width="52.42578125" customWidth="1"/>
    <col min="4099" max="4099" width="18.42578125" customWidth="1"/>
    <col min="4101" max="4101" width="25.85546875" customWidth="1"/>
    <col min="4104" max="4104" width="7.42578125" bestFit="1" customWidth="1"/>
    <col min="4353" max="4353" width="19.5703125" customWidth="1"/>
    <col min="4354" max="4354" width="52.42578125" customWidth="1"/>
    <col min="4355" max="4355" width="18.42578125" customWidth="1"/>
    <col min="4357" max="4357" width="25.85546875" customWidth="1"/>
    <col min="4360" max="4360" width="7.42578125" bestFit="1" customWidth="1"/>
    <col min="4609" max="4609" width="19.5703125" customWidth="1"/>
    <col min="4610" max="4610" width="52.42578125" customWidth="1"/>
    <col min="4611" max="4611" width="18.42578125" customWidth="1"/>
    <col min="4613" max="4613" width="25.85546875" customWidth="1"/>
    <col min="4616" max="4616" width="7.42578125" bestFit="1" customWidth="1"/>
    <col min="4865" max="4865" width="19.5703125" customWidth="1"/>
    <col min="4866" max="4866" width="52.42578125" customWidth="1"/>
    <col min="4867" max="4867" width="18.42578125" customWidth="1"/>
    <col min="4869" max="4869" width="25.85546875" customWidth="1"/>
    <col min="4872" max="4872" width="7.42578125" bestFit="1" customWidth="1"/>
    <col min="5121" max="5121" width="19.5703125" customWidth="1"/>
    <col min="5122" max="5122" width="52.42578125" customWidth="1"/>
    <col min="5123" max="5123" width="18.42578125" customWidth="1"/>
    <col min="5125" max="5125" width="25.85546875" customWidth="1"/>
    <col min="5128" max="5128" width="7.42578125" bestFit="1" customWidth="1"/>
    <col min="5377" max="5377" width="19.5703125" customWidth="1"/>
    <col min="5378" max="5378" width="52.42578125" customWidth="1"/>
    <col min="5379" max="5379" width="18.42578125" customWidth="1"/>
    <col min="5381" max="5381" width="25.85546875" customWidth="1"/>
    <col min="5384" max="5384" width="7.42578125" bestFit="1" customWidth="1"/>
    <col min="5633" max="5633" width="19.5703125" customWidth="1"/>
    <col min="5634" max="5634" width="52.42578125" customWidth="1"/>
    <col min="5635" max="5635" width="18.42578125" customWidth="1"/>
    <col min="5637" max="5637" width="25.85546875" customWidth="1"/>
    <col min="5640" max="5640" width="7.42578125" bestFit="1" customWidth="1"/>
    <col min="5889" max="5889" width="19.5703125" customWidth="1"/>
    <col min="5890" max="5890" width="52.42578125" customWidth="1"/>
    <col min="5891" max="5891" width="18.42578125" customWidth="1"/>
    <col min="5893" max="5893" width="25.85546875" customWidth="1"/>
    <col min="5896" max="5896" width="7.42578125" bestFit="1" customWidth="1"/>
    <col min="6145" max="6145" width="19.5703125" customWidth="1"/>
    <col min="6146" max="6146" width="52.42578125" customWidth="1"/>
    <col min="6147" max="6147" width="18.42578125" customWidth="1"/>
    <col min="6149" max="6149" width="25.85546875" customWidth="1"/>
    <col min="6152" max="6152" width="7.42578125" bestFit="1" customWidth="1"/>
    <col min="6401" max="6401" width="19.5703125" customWidth="1"/>
    <col min="6402" max="6402" width="52.42578125" customWidth="1"/>
    <col min="6403" max="6403" width="18.42578125" customWidth="1"/>
    <col min="6405" max="6405" width="25.85546875" customWidth="1"/>
    <col min="6408" max="6408" width="7.42578125" bestFit="1" customWidth="1"/>
    <col min="6657" max="6657" width="19.5703125" customWidth="1"/>
    <col min="6658" max="6658" width="52.42578125" customWidth="1"/>
    <col min="6659" max="6659" width="18.42578125" customWidth="1"/>
    <col min="6661" max="6661" width="25.85546875" customWidth="1"/>
    <col min="6664" max="6664" width="7.42578125" bestFit="1" customWidth="1"/>
    <col min="6913" max="6913" width="19.5703125" customWidth="1"/>
    <col min="6914" max="6914" width="52.42578125" customWidth="1"/>
    <col min="6915" max="6915" width="18.42578125" customWidth="1"/>
    <col min="6917" max="6917" width="25.85546875" customWidth="1"/>
    <col min="6920" max="6920" width="7.42578125" bestFit="1" customWidth="1"/>
    <col min="7169" max="7169" width="19.5703125" customWidth="1"/>
    <col min="7170" max="7170" width="52.42578125" customWidth="1"/>
    <col min="7171" max="7171" width="18.42578125" customWidth="1"/>
    <col min="7173" max="7173" width="25.85546875" customWidth="1"/>
    <col min="7176" max="7176" width="7.42578125" bestFit="1" customWidth="1"/>
    <col min="7425" max="7425" width="19.5703125" customWidth="1"/>
    <col min="7426" max="7426" width="52.42578125" customWidth="1"/>
    <col min="7427" max="7427" width="18.42578125" customWidth="1"/>
    <col min="7429" max="7429" width="25.85546875" customWidth="1"/>
    <col min="7432" max="7432" width="7.42578125" bestFit="1" customWidth="1"/>
    <col min="7681" max="7681" width="19.5703125" customWidth="1"/>
    <col min="7682" max="7682" width="52.42578125" customWidth="1"/>
    <col min="7683" max="7683" width="18.42578125" customWidth="1"/>
    <col min="7685" max="7685" width="25.85546875" customWidth="1"/>
    <col min="7688" max="7688" width="7.42578125" bestFit="1" customWidth="1"/>
    <col min="7937" max="7937" width="19.5703125" customWidth="1"/>
    <col min="7938" max="7938" width="52.42578125" customWidth="1"/>
    <col min="7939" max="7939" width="18.42578125" customWidth="1"/>
    <col min="7941" max="7941" width="25.85546875" customWidth="1"/>
    <col min="7944" max="7944" width="7.42578125" bestFit="1" customWidth="1"/>
    <col min="8193" max="8193" width="19.5703125" customWidth="1"/>
    <col min="8194" max="8194" width="52.42578125" customWidth="1"/>
    <col min="8195" max="8195" width="18.42578125" customWidth="1"/>
    <col min="8197" max="8197" width="25.85546875" customWidth="1"/>
    <col min="8200" max="8200" width="7.42578125" bestFit="1" customWidth="1"/>
    <col min="8449" max="8449" width="19.5703125" customWidth="1"/>
    <col min="8450" max="8450" width="52.42578125" customWidth="1"/>
    <col min="8451" max="8451" width="18.42578125" customWidth="1"/>
    <col min="8453" max="8453" width="25.85546875" customWidth="1"/>
    <col min="8456" max="8456" width="7.42578125" bestFit="1" customWidth="1"/>
    <col min="8705" max="8705" width="19.5703125" customWidth="1"/>
    <col min="8706" max="8706" width="52.42578125" customWidth="1"/>
    <col min="8707" max="8707" width="18.42578125" customWidth="1"/>
    <col min="8709" max="8709" width="25.85546875" customWidth="1"/>
    <col min="8712" max="8712" width="7.42578125" bestFit="1" customWidth="1"/>
    <col min="8961" max="8961" width="19.5703125" customWidth="1"/>
    <col min="8962" max="8962" width="52.42578125" customWidth="1"/>
    <col min="8963" max="8963" width="18.42578125" customWidth="1"/>
    <col min="8965" max="8965" width="25.85546875" customWidth="1"/>
    <col min="8968" max="8968" width="7.42578125" bestFit="1" customWidth="1"/>
    <col min="9217" max="9217" width="19.5703125" customWidth="1"/>
    <col min="9218" max="9218" width="52.42578125" customWidth="1"/>
    <col min="9219" max="9219" width="18.42578125" customWidth="1"/>
    <col min="9221" max="9221" width="25.85546875" customWidth="1"/>
    <col min="9224" max="9224" width="7.42578125" bestFit="1" customWidth="1"/>
    <col min="9473" max="9473" width="19.5703125" customWidth="1"/>
    <col min="9474" max="9474" width="52.42578125" customWidth="1"/>
    <col min="9475" max="9475" width="18.42578125" customWidth="1"/>
    <col min="9477" max="9477" width="25.85546875" customWidth="1"/>
    <col min="9480" max="9480" width="7.42578125" bestFit="1" customWidth="1"/>
    <col min="9729" max="9729" width="19.5703125" customWidth="1"/>
    <col min="9730" max="9730" width="52.42578125" customWidth="1"/>
    <col min="9731" max="9731" width="18.42578125" customWidth="1"/>
    <col min="9733" max="9733" width="25.85546875" customWidth="1"/>
    <col min="9736" max="9736" width="7.42578125" bestFit="1" customWidth="1"/>
    <col min="9985" max="9985" width="19.5703125" customWidth="1"/>
    <col min="9986" max="9986" width="52.42578125" customWidth="1"/>
    <col min="9987" max="9987" width="18.42578125" customWidth="1"/>
    <col min="9989" max="9989" width="25.85546875" customWidth="1"/>
    <col min="9992" max="9992" width="7.42578125" bestFit="1" customWidth="1"/>
    <col min="10241" max="10241" width="19.5703125" customWidth="1"/>
    <col min="10242" max="10242" width="52.42578125" customWidth="1"/>
    <col min="10243" max="10243" width="18.42578125" customWidth="1"/>
    <col min="10245" max="10245" width="25.85546875" customWidth="1"/>
    <col min="10248" max="10248" width="7.42578125" bestFit="1" customWidth="1"/>
    <col min="10497" max="10497" width="19.5703125" customWidth="1"/>
    <col min="10498" max="10498" width="52.42578125" customWidth="1"/>
    <col min="10499" max="10499" width="18.42578125" customWidth="1"/>
    <col min="10501" max="10501" width="25.85546875" customWidth="1"/>
    <col min="10504" max="10504" width="7.42578125" bestFit="1" customWidth="1"/>
    <col min="10753" max="10753" width="19.5703125" customWidth="1"/>
    <col min="10754" max="10754" width="52.42578125" customWidth="1"/>
    <col min="10755" max="10755" width="18.42578125" customWidth="1"/>
    <col min="10757" max="10757" width="25.85546875" customWidth="1"/>
    <col min="10760" max="10760" width="7.42578125" bestFit="1" customWidth="1"/>
    <col min="11009" max="11009" width="19.5703125" customWidth="1"/>
    <col min="11010" max="11010" width="52.42578125" customWidth="1"/>
    <col min="11011" max="11011" width="18.42578125" customWidth="1"/>
    <col min="11013" max="11013" width="25.85546875" customWidth="1"/>
    <col min="11016" max="11016" width="7.42578125" bestFit="1" customWidth="1"/>
    <col min="11265" max="11265" width="19.5703125" customWidth="1"/>
    <col min="11266" max="11266" width="52.42578125" customWidth="1"/>
    <col min="11267" max="11267" width="18.42578125" customWidth="1"/>
    <col min="11269" max="11269" width="25.85546875" customWidth="1"/>
    <col min="11272" max="11272" width="7.42578125" bestFit="1" customWidth="1"/>
    <col min="11521" max="11521" width="19.5703125" customWidth="1"/>
    <col min="11522" max="11522" width="52.42578125" customWidth="1"/>
    <col min="11523" max="11523" width="18.42578125" customWidth="1"/>
    <col min="11525" max="11525" width="25.85546875" customWidth="1"/>
    <col min="11528" max="11528" width="7.42578125" bestFit="1" customWidth="1"/>
    <col min="11777" max="11777" width="19.5703125" customWidth="1"/>
    <col min="11778" max="11778" width="52.42578125" customWidth="1"/>
    <col min="11779" max="11779" width="18.42578125" customWidth="1"/>
    <col min="11781" max="11781" width="25.85546875" customWidth="1"/>
    <col min="11784" max="11784" width="7.42578125" bestFit="1" customWidth="1"/>
    <col min="12033" max="12033" width="19.5703125" customWidth="1"/>
    <col min="12034" max="12034" width="52.42578125" customWidth="1"/>
    <col min="12035" max="12035" width="18.42578125" customWidth="1"/>
    <col min="12037" max="12037" width="25.85546875" customWidth="1"/>
    <col min="12040" max="12040" width="7.42578125" bestFit="1" customWidth="1"/>
    <col min="12289" max="12289" width="19.5703125" customWidth="1"/>
    <col min="12290" max="12290" width="52.42578125" customWidth="1"/>
    <col min="12291" max="12291" width="18.42578125" customWidth="1"/>
    <col min="12293" max="12293" width="25.85546875" customWidth="1"/>
    <col min="12296" max="12296" width="7.42578125" bestFit="1" customWidth="1"/>
    <col min="12545" max="12545" width="19.5703125" customWidth="1"/>
    <col min="12546" max="12546" width="52.42578125" customWidth="1"/>
    <col min="12547" max="12547" width="18.42578125" customWidth="1"/>
    <col min="12549" max="12549" width="25.85546875" customWidth="1"/>
    <col min="12552" max="12552" width="7.42578125" bestFit="1" customWidth="1"/>
    <col min="12801" max="12801" width="19.5703125" customWidth="1"/>
    <col min="12802" max="12802" width="52.42578125" customWidth="1"/>
    <col min="12803" max="12803" width="18.42578125" customWidth="1"/>
    <col min="12805" max="12805" width="25.85546875" customWidth="1"/>
    <col min="12808" max="12808" width="7.42578125" bestFit="1" customWidth="1"/>
    <col min="13057" max="13057" width="19.5703125" customWidth="1"/>
    <col min="13058" max="13058" width="52.42578125" customWidth="1"/>
    <col min="13059" max="13059" width="18.42578125" customWidth="1"/>
    <col min="13061" max="13061" width="25.85546875" customWidth="1"/>
    <col min="13064" max="13064" width="7.42578125" bestFit="1" customWidth="1"/>
    <col min="13313" max="13313" width="19.5703125" customWidth="1"/>
    <col min="13314" max="13314" width="52.42578125" customWidth="1"/>
    <col min="13315" max="13315" width="18.42578125" customWidth="1"/>
    <col min="13317" max="13317" width="25.85546875" customWidth="1"/>
    <col min="13320" max="13320" width="7.42578125" bestFit="1" customWidth="1"/>
    <col min="13569" max="13569" width="19.5703125" customWidth="1"/>
    <col min="13570" max="13570" width="52.42578125" customWidth="1"/>
    <col min="13571" max="13571" width="18.42578125" customWidth="1"/>
    <col min="13573" max="13573" width="25.85546875" customWidth="1"/>
    <col min="13576" max="13576" width="7.42578125" bestFit="1" customWidth="1"/>
    <col min="13825" max="13825" width="19.5703125" customWidth="1"/>
    <col min="13826" max="13826" width="52.42578125" customWidth="1"/>
    <col min="13827" max="13827" width="18.42578125" customWidth="1"/>
    <col min="13829" max="13829" width="25.85546875" customWidth="1"/>
    <col min="13832" max="13832" width="7.42578125" bestFit="1" customWidth="1"/>
    <col min="14081" max="14081" width="19.5703125" customWidth="1"/>
    <col min="14082" max="14082" width="52.42578125" customWidth="1"/>
    <col min="14083" max="14083" width="18.42578125" customWidth="1"/>
    <col min="14085" max="14085" width="25.85546875" customWidth="1"/>
    <col min="14088" max="14088" width="7.42578125" bestFit="1" customWidth="1"/>
    <col min="14337" max="14337" width="19.5703125" customWidth="1"/>
    <col min="14338" max="14338" width="52.42578125" customWidth="1"/>
    <col min="14339" max="14339" width="18.42578125" customWidth="1"/>
    <col min="14341" max="14341" width="25.85546875" customWidth="1"/>
    <col min="14344" max="14344" width="7.42578125" bestFit="1" customWidth="1"/>
    <col min="14593" max="14593" width="19.5703125" customWidth="1"/>
    <col min="14594" max="14594" width="52.42578125" customWidth="1"/>
    <col min="14595" max="14595" width="18.42578125" customWidth="1"/>
    <col min="14597" max="14597" width="25.85546875" customWidth="1"/>
    <col min="14600" max="14600" width="7.42578125" bestFit="1" customWidth="1"/>
    <col min="14849" max="14849" width="19.5703125" customWidth="1"/>
    <col min="14850" max="14850" width="52.42578125" customWidth="1"/>
    <col min="14851" max="14851" width="18.42578125" customWidth="1"/>
    <col min="14853" max="14853" width="25.85546875" customWidth="1"/>
    <col min="14856" max="14856" width="7.42578125" bestFit="1" customWidth="1"/>
    <col min="15105" max="15105" width="19.5703125" customWidth="1"/>
    <col min="15106" max="15106" width="52.42578125" customWidth="1"/>
    <col min="15107" max="15107" width="18.42578125" customWidth="1"/>
    <col min="15109" max="15109" width="25.85546875" customWidth="1"/>
    <col min="15112" max="15112" width="7.42578125" bestFit="1" customWidth="1"/>
    <col min="15361" max="15361" width="19.5703125" customWidth="1"/>
    <col min="15362" max="15362" width="52.42578125" customWidth="1"/>
    <col min="15363" max="15363" width="18.42578125" customWidth="1"/>
    <col min="15365" max="15365" width="25.85546875" customWidth="1"/>
    <col min="15368" max="15368" width="7.42578125" bestFit="1" customWidth="1"/>
    <col min="15617" max="15617" width="19.5703125" customWidth="1"/>
    <col min="15618" max="15618" width="52.42578125" customWidth="1"/>
    <col min="15619" max="15619" width="18.42578125" customWidth="1"/>
    <col min="15621" max="15621" width="25.85546875" customWidth="1"/>
    <col min="15624" max="15624" width="7.42578125" bestFit="1" customWidth="1"/>
    <col min="15873" max="15873" width="19.5703125" customWidth="1"/>
    <col min="15874" max="15874" width="52.42578125" customWidth="1"/>
    <col min="15875" max="15875" width="18.42578125" customWidth="1"/>
    <col min="15877" max="15877" width="25.85546875" customWidth="1"/>
    <col min="15880" max="15880" width="7.42578125" bestFit="1" customWidth="1"/>
    <col min="16129" max="16129" width="19.5703125" customWidth="1"/>
    <col min="16130" max="16130" width="52.42578125" customWidth="1"/>
    <col min="16131" max="16131" width="18.42578125" customWidth="1"/>
    <col min="16133" max="16133" width="25.85546875" customWidth="1"/>
    <col min="16136" max="16136" width="7.42578125" bestFit="1" customWidth="1"/>
  </cols>
  <sheetData>
    <row r="1" spans="1:7" ht="18.75" customHeight="1" x14ac:dyDescent="0.25">
      <c r="A1" s="217" t="s">
        <v>0</v>
      </c>
      <c r="B1" s="217"/>
      <c r="C1" s="217"/>
      <c r="D1" s="217"/>
    </row>
    <row r="2" spans="1:7" ht="15.75" x14ac:dyDescent="0.25">
      <c r="D2" s="29"/>
    </row>
    <row r="3" spans="1:7" ht="15" customHeight="1" x14ac:dyDescent="0.25">
      <c r="A3" s="218" t="s">
        <v>26</v>
      </c>
      <c r="B3" s="218"/>
      <c r="C3" s="218"/>
      <c r="D3" s="218"/>
    </row>
    <row r="4" spans="1:7" s="59" customFormat="1" ht="47.25" customHeight="1" x14ac:dyDescent="0.25">
      <c r="A4" s="218" t="s">
        <v>236</v>
      </c>
      <c r="B4" s="218"/>
      <c r="C4" s="218"/>
      <c r="D4" s="218"/>
      <c r="E4" s="58"/>
    </row>
    <row r="5" spans="1:7" ht="16.5" thickBot="1" x14ac:dyDescent="0.3">
      <c r="A5" s="219" t="s">
        <v>27</v>
      </c>
      <c r="B5" s="219"/>
      <c r="C5" s="219"/>
      <c r="D5" s="219"/>
    </row>
    <row r="6" spans="1:7" ht="75.75" customHeight="1" thickBot="1" x14ac:dyDescent="0.3">
      <c r="A6" s="31" t="s">
        <v>2</v>
      </c>
      <c r="B6" s="32" t="s">
        <v>3</v>
      </c>
      <c r="C6" s="236" t="s">
        <v>4</v>
      </c>
      <c r="D6" s="237"/>
      <c r="F6" s="238"/>
      <c r="G6" s="239"/>
    </row>
    <row r="7" spans="1:7" ht="16.5" thickBot="1" x14ac:dyDescent="0.3">
      <c r="A7" s="33"/>
      <c r="B7" s="84" t="s">
        <v>5</v>
      </c>
      <c r="C7" s="240"/>
      <c r="D7" s="241"/>
    </row>
    <row r="8" spans="1:7" ht="64.5" customHeight="1" x14ac:dyDescent="0.25">
      <c r="A8" s="242" t="s">
        <v>6</v>
      </c>
      <c r="B8" s="86" t="s">
        <v>494</v>
      </c>
      <c r="C8" s="245">
        <f>1338+88.49+486.71</f>
        <v>1913.2</v>
      </c>
      <c r="D8" s="246"/>
    </row>
    <row r="9" spans="1:7" ht="63" x14ac:dyDescent="0.25">
      <c r="A9" s="243"/>
      <c r="B9" s="85" t="s">
        <v>495</v>
      </c>
      <c r="C9" s="247"/>
      <c r="D9" s="248"/>
    </row>
    <row r="10" spans="1:7" ht="65.25" customHeight="1" x14ac:dyDescent="0.25">
      <c r="A10" s="243"/>
      <c r="B10" s="85" t="s">
        <v>496</v>
      </c>
      <c r="C10" s="247"/>
      <c r="D10" s="248"/>
    </row>
    <row r="11" spans="1:7" ht="16.5" thickBot="1" x14ac:dyDescent="0.3">
      <c r="A11" s="244"/>
      <c r="B11" s="83" t="s">
        <v>439</v>
      </c>
      <c r="C11" s="249"/>
      <c r="D11" s="250"/>
    </row>
    <row r="12" spans="1:7" ht="48" thickBot="1" x14ac:dyDescent="0.3">
      <c r="A12" s="37" t="s">
        <v>7</v>
      </c>
      <c r="B12" s="36" t="s">
        <v>209</v>
      </c>
      <c r="C12" s="229">
        <f>C8*0.2359</f>
        <v>451.32388000000003</v>
      </c>
      <c r="D12" s="230"/>
    </row>
    <row r="13" spans="1:7" ht="16.5" thickBot="1" x14ac:dyDescent="0.3">
      <c r="A13" s="37"/>
      <c r="B13" s="38" t="s">
        <v>9</v>
      </c>
      <c r="C13" s="229">
        <f>SUM(C8:D12)</f>
        <v>2364.5238800000002</v>
      </c>
      <c r="D13" s="230"/>
      <c r="E13" s="39"/>
    </row>
    <row r="14" spans="1:7" ht="16.5" thickBot="1" x14ac:dyDescent="0.3">
      <c r="A14" s="37"/>
      <c r="B14" s="38" t="s">
        <v>10</v>
      </c>
      <c r="C14" s="229"/>
      <c r="D14" s="230"/>
    </row>
    <row r="15" spans="1:7" ht="155.25" customHeight="1" thickBot="1" x14ac:dyDescent="0.3">
      <c r="A15" s="37" t="s">
        <v>12</v>
      </c>
      <c r="B15" s="62" t="s">
        <v>438</v>
      </c>
      <c r="C15" s="229">
        <v>937.2</v>
      </c>
      <c r="D15" s="230"/>
    </row>
    <row r="16" spans="1:7" ht="63.75" thickBot="1" x14ac:dyDescent="0.3">
      <c r="A16" s="37" t="s">
        <v>13</v>
      </c>
      <c r="B16" s="36" t="s">
        <v>437</v>
      </c>
      <c r="C16" s="229">
        <v>44.6</v>
      </c>
      <c r="D16" s="230"/>
      <c r="G16" s="59"/>
    </row>
    <row r="17" spans="1:5" ht="16.5" thickBot="1" x14ac:dyDescent="0.3">
      <c r="A17" s="33"/>
      <c r="B17" s="34" t="s">
        <v>18</v>
      </c>
      <c r="C17" s="229">
        <f>SUM(C15:C16)</f>
        <v>981.80000000000007</v>
      </c>
      <c r="D17" s="230"/>
      <c r="E17" s="40"/>
    </row>
    <row r="18" spans="1:5" ht="16.5" thickBot="1" x14ac:dyDescent="0.3">
      <c r="A18" s="33"/>
      <c r="B18" s="41" t="s">
        <v>19</v>
      </c>
      <c r="C18" s="231">
        <f>SUM(C13,C17)</f>
        <v>3346.3238800000004</v>
      </c>
      <c r="D18" s="232"/>
      <c r="E18" s="42"/>
    </row>
    <row r="19" spans="1:5" x14ac:dyDescent="0.25">
      <c r="A19" s="43"/>
      <c r="C19" s="90"/>
      <c r="D19" s="91"/>
      <c r="E19" s="13"/>
    </row>
    <row r="20" spans="1:5" ht="15.75" x14ac:dyDescent="0.25">
      <c r="A20" s="213" t="s">
        <v>20</v>
      </c>
      <c r="B20" s="233"/>
      <c r="C20" s="234">
        <v>2230</v>
      </c>
      <c r="D20" s="235"/>
      <c r="E20" s="44"/>
    </row>
    <row r="21" spans="1:5" ht="32.25" customHeight="1" x14ac:dyDescent="0.25">
      <c r="A21" s="215" t="s">
        <v>28</v>
      </c>
      <c r="B21" s="226"/>
      <c r="C21" s="227">
        <f>C18/C20</f>
        <v>1.5005936681614351</v>
      </c>
      <c r="D21" s="228"/>
      <c r="E21" s="45"/>
    </row>
    <row r="22" spans="1:5" ht="15.75" x14ac:dyDescent="0.25">
      <c r="A22" s="46"/>
    </row>
    <row r="23" spans="1:5" x14ac:dyDescent="0.25">
      <c r="A23" s="78"/>
      <c r="B23" s="78"/>
      <c r="C23" s="203"/>
      <c r="D23" s="203"/>
    </row>
    <row r="24" spans="1:5" x14ac:dyDescent="0.25">
      <c r="A24" s="78"/>
      <c r="B24" s="78"/>
      <c r="C24" s="79"/>
      <c r="D24" s="78"/>
    </row>
    <row r="25" spans="1:5" x14ac:dyDescent="0.25">
      <c r="A25" s="78"/>
      <c r="B25" s="78"/>
      <c r="C25" s="203"/>
      <c r="D25" s="203"/>
    </row>
    <row r="26" spans="1:5" x14ac:dyDescent="0.25">
      <c r="A26" s="78"/>
      <c r="B26" s="78"/>
      <c r="C26" s="78"/>
      <c r="D26" s="78"/>
    </row>
    <row r="27" spans="1:5" x14ac:dyDescent="0.25">
      <c r="A27" s="202"/>
      <c r="B27" s="202"/>
      <c r="C27" s="80"/>
      <c r="D27" s="80"/>
      <c r="E27" s="82"/>
    </row>
    <row r="28" spans="1:5" x14ac:dyDescent="0.25">
      <c r="A28" s="201"/>
      <c r="B28" s="202"/>
      <c r="C28" s="80"/>
      <c r="D28" s="80"/>
    </row>
    <row r="29" spans="1:5" x14ac:dyDescent="0.25">
      <c r="A29" s="57"/>
      <c r="B29" s="80"/>
      <c r="C29" s="81"/>
      <c r="D29" s="81"/>
    </row>
    <row r="30" spans="1:5" x14ac:dyDescent="0.25">
      <c r="A30" s="201"/>
      <c r="B30" s="201"/>
      <c r="C30" s="81"/>
      <c r="D30" s="81"/>
    </row>
  </sheetData>
  <mergeCells count="25">
    <mergeCell ref="F6:G6"/>
    <mergeCell ref="C14:D14"/>
    <mergeCell ref="C7:D7"/>
    <mergeCell ref="A8:A11"/>
    <mergeCell ref="C8:D11"/>
    <mergeCell ref="C12:D12"/>
    <mergeCell ref="C13:D13"/>
    <mergeCell ref="A1:D1"/>
    <mergeCell ref="A3:D3"/>
    <mergeCell ref="A4:D4"/>
    <mergeCell ref="A5:D5"/>
    <mergeCell ref="C6:D6"/>
    <mergeCell ref="A21:B21"/>
    <mergeCell ref="C21:D21"/>
    <mergeCell ref="C15:D15"/>
    <mergeCell ref="C16:D16"/>
    <mergeCell ref="C17:D17"/>
    <mergeCell ref="C18:D18"/>
    <mergeCell ref="A20:B20"/>
    <mergeCell ref="C20:D20"/>
    <mergeCell ref="C23:D23"/>
    <mergeCell ref="C25:D25"/>
    <mergeCell ref="A27:B27"/>
    <mergeCell ref="A28:B28"/>
    <mergeCell ref="A30:B30"/>
  </mergeCells>
  <pageMargins left="0.70866141732283472" right="0.70866141732283472" top="0.74803149606299213" bottom="0.74803149606299213" header="0.31496062992125984" footer="0.31496062992125984"/>
  <pageSetup paperSize="9" scale="94" fitToHeight="0" orientation="portrait" verticalDpi="300" r:id="rId1"/>
  <headerFoot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view="pageBreakPreview" zoomScale="60" zoomScaleNormal="100" workbookViewId="0">
      <selection activeCell="T13" sqref="T13"/>
    </sheetView>
  </sheetViews>
  <sheetFormatPr defaultRowHeight="15" x14ac:dyDescent="0.25"/>
  <cols>
    <col min="1" max="1" width="19.5703125" customWidth="1"/>
    <col min="2" max="2" width="52.42578125" customWidth="1"/>
    <col min="3" max="3" width="7.140625" style="7" customWidth="1"/>
    <col min="4" max="4" width="9.42578125" customWidth="1"/>
    <col min="5" max="5" width="25.85546875" style="9" customWidth="1"/>
    <col min="8" max="8" width="7.42578125" bestFit="1" customWidth="1"/>
  </cols>
  <sheetData>
    <row r="1" spans="1:5" ht="14.45" customHeight="1" x14ac:dyDescent="0.25">
      <c r="A1" s="251" t="s">
        <v>0</v>
      </c>
      <c r="B1" s="251"/>
      <c r="C1" s="251"/>
      <c r="D1" s="251"/>
    </row>
    <row r="2" spans="1:5" ht="15.75" x14ac:dyDescent="0.25">
      <c r="D2" s="1"/>
    </row>
    <row r="3" spans="1:5" ht="16.5" customHeight="1" x14ac:dyDescent="0.25">
      <c r="A3" s="252" t="s">
        <v>22</v>
      </c>
      <c r="B3" s="252"/>
      <c r="C3" s="252"/>
      <c r="D3" s="252"/>
    </row>
    <row r="4" spans="1:5" ht="33" customHeight="1" x14ac:dyDescent="0.25">
      <c r="A4" s="253" t="s">
        <v>260</v>
      </c>
      <c r="B4" s="253"/>
      <c r="C4" s="253"/>
      <c r="D4" s="253"/>
    </row>
    <row r="5" spans="1:5" ht="16.5" thickBot="1" x14ac:dyDescent="0.3">
      <c r="A5" s="254" t="s">
        <v>1</v>
      </c>
      <c r="B5" s="254"/>
      <c r="C5" s="254"/>
      <c r="D5" s="254"/>
    </row>
    <row r="6" spans="1:5" ht="90.75" customHeight="1" thickBot="1" x14ac:dyDescent="0.3">
      <c r="A6" s="16" t="s">
        <v>2</v>
      </c>
      <c r="B6" s="17" t="s">
        <v>3</v>
      </c>
      <c r="C6" s="255" t="s">
        <v>4</v>
      </c>
      <c r="D6" s="256"/>
    </row>
    <row r="7" spans="1:5" ht="16.5" thickBot="1" x14ac:dyDescent="0.3">
      <c r="A7" s="3"/>
      <c r="B7" s="18" t="s">
        <v>5</v>
      </c>
      <c r="C7" s="257"/>
      <c r="D7" s="258"/>
    </row>
    <row r="8" spans="1:5" ht="78" customHeight="1" x14ac:dyDescent="0.25">
      <c r="A8" s="259" t="s">
        <v>6</v>
      </c>
      <c r="B8" s="66" t="s">
        <v>552</v>
      </c>
      <c r="C8" s="262">
        <f>346.5+4.8+2.4</f>
        <v>353.7</v>
      </c>
      <c r="D8" s="263"/>
    </row>
    <row r="9" spans="1:5" ht="63" x14ac:dyDescent="0.25">
      <c r="A9" s="260"/>
      <c r="B9" s="23" t="s">
        <v>553</v>
      </c>
      <c r="C9" s="262"/>
      <c r="D9" s="263"/>
    </row>
    <row r="10" spans="1:5" ht="62.25" customHeight="1" x14ac:dyDescent="0.25">
      <c r="A10" s="260"/>
      <c r="B10" s="64" t="s">
        <v>545</v>
      </c>
      <c r="C10" s="262"/>
      <c r="D10" s="263"/>
    </row>
    <row r="11" spans="1:5" ht="16.5" thickBot="1" x14ac:dyDescent="0.3">
      <c r="A11" s="261"/>
      <c r="B11" s="19" t="s">
        <v>381</v>
      </c>
      <c r="C11" s="262"/>
      <c r="D11" s="263"/>
    </row>
    <row r="12" spans="1:5" ht="48" thickBot="1" x14ac:dyDescent="0.3">
      <c r="A12" s="27" t="s">
        <v>7</v>
      </c>
      <c r="B12" s="19" t="s">
        <v>209</v>
      </c>
      <c r="C12" s="262">
        <f>C8*0.2359</f>
        <v>83.437829999999991</v>
      </c>
      <c r="D12" s="263"/>
    </row>
    <row r="13" spans="1:5" ht="16.5" thickBot="1" x14ac:dyDescent="0.3">
      <c r="A13" s="27"/>
      <c r="B13" s="20" t="s">
        <v>9</v>
      </c>
      <c r="C13" s="262">
        <f>SUM(C8:D12)</f>
        <v>437.13783000000001</v>
      </c>
      <c r="D13" s="263"/>
      <c r="E13" s="10"/>
    </row>
    <row r="14" spans="1:5" ht="16.5" thickBot="1" x14ac:dyDescent="0.3">
      <c r="A14" s="27"/>
      <c r="B14" s="20" t="s">
        <v>10</v>
      </c>
      <c r="C14" s="262"/>
      <c r="D14" s="263"/>
    </row>
    <row r="15" spans="1:5" ht="142.5" thickBot="1" x14ac:dyDescent="0.3">
      <c r="A15" s="27" t="s">
        <v>12</v>
      </c>
      <c r="B15" s="103" t="s">
        <v>382</v>
      </c>
      <c r="C15" s="262">
        <f>4.35+8.1+0.3</f>
        <v>12.75</v>
      </c>
      <c r="D15" s="263"/>
    </row>
    <row r="16" spans="1:5" ht="16.5" thickBot="1" x14ac:dyDescent="0.3">
      <c r="A16" s="3"/>
      <c r="B16" s="18" t="s">
        <v>18</v>
      </c>
      <c r="C16" s="262">
        <f>SUM(C15:C15)</f>
        <v>12.75</v>
      </c>
      <c r="D16" s="263"/>
      <c r="E16" s="11"/>
    </row>
    <row r="17" spans="1:5" ht="16.5" thickBot="1" x14ac:dyDescent="0.3">
      <c r="A17" s="3"/>
      <c r="B17" s="21" t="s">
        <v>19</v>
      </c>
      <c r="C17" s="267">
        <f>SUM(C13,C16)</f>
        <v>449.88783000000001</v>
      </c>
      <c r="D17" s="268"/>
      <c r="E17" s="12"/>
    </row>
    <row r="18" spans="1:5" x14ac:dyDescent="0.25">
      <c r="A18" s="4"/>
      <c r="C18" s="8"/>
      <c r="E18" s="13"/>
    </row>
    <row r="19" spans="1:5" ht="15.75" x14ac:dyDescent="0.25">
      <c r="A19" s="269" t="s">
        <v>20</v>
      </c>
      <c r="B19" s="270"/>
      <c r="C19" s="271">
        <v>30</v>
      </c>
      <c r="D19" s="271"/>
      <c r="E19" s="14"/>
    </row>
    <row r="20" spans="1:5" ht="35.25" customHeight="1" x14ac:dyDescent="0.25">
      <c r="A20" s="264" t="s">
        <v>21</v>
      </c>
      <c r="B20" s="312"/>
      <c r="C20" s="225">
        <f>C17/C19</f>
        <v>14.996261000000001</v>
      </c>
      <c r="D20" s="225"/>
      <c r="E20" s="15"/>
    </row>
    <row r="21" spans="1:5" ht="15.75" x14ac:dyDescent="0.25">
      <c r="A21" s="2"/>
    </row>
    <row r="22" spans="1:5" x14ac:dyDescent="0.25">
      <c r="A22" s="78"/>
      <c r="B22" s="78"/>
      <c r="C22" s="203"/>
      <c r="D22" s="203"/>
    </row>
    <row r="23" spans="1:5" x14ac:dyDescent="0.25">
      <c r="A23" s="78"/>
      <c r="B23" s="78"/>
      <c r="C23" s="79"/>
      <c r="D23" s="78"/>
    </row>
    <row r="24" spans="1:5" x14ac:dyDescent="0.25">
      <c r="A24" s="78"/>
      <c r="B24" s="78"/>
      <c r="C24" s="203"/>
      <c r="D24" s="203"/>
    </row>
    <row r="25" spans="1:5" x14ac:dyDescent="0.25">
      <c r="A25" s="78"/>
      <c r="B25" s="78"/>
      <c r="C25" s="78"/>
      <c r="D25" s="78"/>
    </row>
    <row r="26" spans="1:5" x14ac:dyDescent="0.25">
      <c r="A26" s="202"/>
      <c r="B26" s="202"/>
      <c r="C26" s="80"/>
      <c r="D26" s="80"/>
    </row>
    <row r="27" spans="1:5" x14ac:dyDescent="0.25">
      <c r="A27" s="201"/>
      <c r="B27" s="202"/>
      <c r="C27" s="80"/>
      <c r="D27" s="80"/>
    </row>
    <row r="28" spans="1:5" x14ac:dyDescent="0.25">
      <c r="A28" s="57"/>
      <c r="B28" s="80"/>
      <c r="C28" s="81"/>
      <c r="D28" s="81"/>
    </row>
    <row r="29" spans="1:5" x14ac:dyDescent="0.25">
      <c r="A29" s="201"/>
      <c r="B29" s="201"/>
      <c r="C29" s="81"/>
      <c r="D29" s="81"/>
    </row>
  </sheetData>
  <mergeCells count="23">
    <mergeCell ref="A1:D1"/>
    <mergeCell ref="A3:D3"/>
    <mergeCell ref="A4:D4"/>
    <mergeCell ref="A5:D5"/>
    <mergeCell ref="C6:D6"/>
    <mergeCell ref="C7:D7"/>
    <mergeCell ref="A8:A11"/>
    <mergeCell ref="C8:D11"/>
    <mergeCell ref="C12:D12"/>
    <mergeCell ref="C13:D13"/>
    <mergeCell ref="A29:B29"/>
    <mergeCell ref="C14:D14"/>
    <mergeCell ref="C22:D22"/>
    <mergeCell ref="C24:D24"/>
    <mergeCell ref="A26:B26"/>
    <mergeCell ref="A27:B27"/>
    <mergeCell ref="A20:B20"/>
    <mergeCell ref="C20:D20"/>
    <mergeCell ref="C15:D15"/>
    <mergeCell ref="C16:D16"/>
    <mergeCell ref="C17:D17"/>
    <mergeCell ref="A19:B19"/>
    <mergeCell ref="C19:D19"/>
  </mergeCells>
  <pageMargins left="0.70866141732283472" right="0.70866141732283472" top="0.74803149606299213" bottom="0.74803149606299213" header="0.31496062992125984" footer="0.31496062992125984"/>
  <pageSetup paperSize="9" scale="99" fitToHeight="0" orientation="portrait" verticalDpi="0" r:id="rId1"/>
  <headerFoot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60" zoomScaleNormal="100" workbookViewId="0">
      <selection activeCell="T13" sqref="T13"/>
    </sheetView>
  </sheetViews>
  <sheetFormatPr defaultRowHeight="15" x14ac:dyDescent="0.25"/>
  <cols>
    <col min="1" max="1" width="19.5703125" customWidth="1"/>
    <col min="2" max="2" width="52.42578125" customWidth="1"/>
    <col min="3" max="3" width="8" style="7" customWidth="1"/>
    <col min="4" max="4" width="8.85546875" customWidth="1"/>
    <col min="5" max="5" width="25.85546875" style="9" customWidth="1"/>
    <col min="8" max="8" width="7.42578125" bestFit="1" customWidth="1"/>
  </cols>
  <sheetData>
    <row r="1" spans="1:5" ht="14.45" customHeight="1" x14ac:dyDescent="0.25">
      <c r="A1" s="251" t="s">
        <v>0</v>
      </c>
      <c r="B1" s="251"/>
      <c r="C1" s="251"/>
      <c r="D1" s="251"/>
    </row>
    <row r="2" spans="1:5" ht="15.75" x14ac:dyDescent="0.25">
      <c r="D2" s="1"/>
    </row>
    <row r="3" spans="1:5" ht="16.5" customHeight="1" x14ac:dyDescent="0.25">
      <c r="A3" s="252" t="s">
        <v>22</v>
      </c>
      <c r="B3" s="252"/>
      <c r="C3" s="252"/>
      <c r="D3" s="252"/>
    </row>
    <row r="4" spans="1:5" ht="15.75" x14ac:dyDescent="0.25">
      <c r="D4" s="5"/>
    </row>
    <row r="5" spans="1:5" ht="33" customHeight="1" x14ac:dyDescent="0.25">
      <c r="A5" s="253" t="s">
        <v>261</v>
      </c>
      <c r="B5" s="253"/>
      <c r="C5" s="253"/>
      <c r="D5" s="253"/>
    </row>
    <row r="6" spans="1:5" ht="15.75" x14ac:dyDescent="0.25">
      <c r="D6" s="6"/>
    </row>
    <row r="7" spans="1:5" ht="16.5" thickBot="1" x14ac:dyDescent="0.3">
      <c r="A7" s="254" t="s">
        <v>1</v>
      </c>
      <c r="B7" s="254"/>
      <c r="C7" s="254"/>
      <c r="D7" s="254"/>
    </row>
    <row r="8" spans="1:5" ht="75.75" customHeight="1" thickBot="1" x14ac:dyDescent="0.3">
      <c r="A8" s="16" t="s">
        <v>2</v>
      </c>
      <c r="B8" s="17" t="s">
        <v>3</v>
      </c>
      <c r="C8" s="255" t="s">
        <v>4</v>
      </c>
      <c r="D8" s="256"/>
    </row>
    <row r="9" spans="1:5" ht="16.5" thickBot="1" x14ac:dyDescent="0.3">
      <c r="A9" s="3"/>
      <c r="B9" s="18" t="s">
        <v>5</v>
      </c>
      <c r="C9" s="257"/>
      <c r="D9" s="258"/>
    </row>
    <row r="10" spans="1:5" ht="79.5" customHeight="1" x14ac:dyDescent="0.25">
      <c r="A10" s="259" t="s">
        <v>6</v>
      </c>
      <c r="B10" s="66" t="s">
        <v>554</v>
      </c>
      <c r="C10" s="262">
        <f>37.8+0.8+0.17</f>
        <v>38.769999999999996</v>
      </c>
      <c r="D10" s="263"/>
    </row>
    <row r="11" spans="1:5" ht="66" customHeight="1" x14ac:dyDescent="0.25">
      <c r="A11" s="260"/>
      <c r="B11" s="64" t="s">
        <v>555</v>
      </c>
      <c r="C11" s="262"/>
      <c r="D11" s="263"/>
    </row>
    <row r="12" spans="1:5" ht="61.5" customHeight="1" x14ac:dyDescent="0.25">
      <c r="A12" s="260"/>
      <c r="B12" s="64" t="s">
        <v>546</v>
      </c>
      <c r="C12" s="262"/>
      <c r="D12" s="263"/>
    </row>
    <row r="13" spans="1:5" ht="16.5" thickBot="1" x14ac:dyDescent="0.3">
      <c r="A13" s="261"/>
      <c r="B13" s="19" t="s">
        <v>413</v>
      </c>
      <c r="C13" s="262"/>
      <c r="D13" s="263"/>
    </row>
    <row r="14" spans="1:5" ht="48" thickBot="1" x14ac:dyDescent="0.3">
      <c r="A14" s="27" t="s">
        <v>7</v>
      </c>
      <c r="B14" s="19" t="s">
        <v>209</v>
      </c>
      <c r="C14" s="262">
        <f>C10*0.2359</f>
        <v>9.1458429999999993</v>
      </c>
      <c r="D14" s="263"/>
    </row>
    <row r="15" spans="1:5" ht="16.5" thickBot="1" x14ac:dyDescent="0.3">
      <c r="A15" s="27"/>
      <c r="B15" s="20" t="s">
        <v>9</v>
      </c>
      <c r="C15" s="262">
        <f>SUM(C10:D14)</f>
        <v>47.915842999999995</v>
      </c>
      <c r="D15" s="263"/>
      <c r="E15" s="10"/>
    </row>
    <row r="16" spans="1:5" ht="16.5" thickBot="1" x14ac:dyDescent="0.3">
      <c r="A16" s="27"/>
      <c r="B16" s="20" t="s">
        <v>10</v>
      </c>
      <c r="C16" s="262"/>
      <c r="D16" s="263"/>
    </row>
    <row r="17" spans="1:5" ht="142.5" thickBot="1" x14ac:dyDescent="0.3">
      <c r="A17" s="27" t="s">
        <v>12</v>
      </c>
      <c r="B17" s="103" t="s">
        <v>331</v>
      </c>
      <c r="C17" s="262">
        <f>0.7+1.35+0.05</f>
        <v>2.0999999999999996</v>
      </c>
      <c r="D17" s="263"/>
    </row>
    <row r="18" spans="1:5" ht="16.5" thickBot="1" x14ac:dyDescent="0.3">
      <c r="A18" s="3"/>
      <c r="B18" s="18" t="s">
        <v>18</v>
      </c>
      <c r="C18" s="262">
        <f>SUM(C17:C17)</f>
        <v>2.0999999999999996</v>
      </c>
      <c r="D18" s="263"/>
      <c r="E18" s="11"/>
    </row>
    <row r="19" spans="1:5" ht="16.5" thickBot="1" x14ac:dyDescent="0.3">
      <c r="A19" s="3"/>
      <c r="B19" s="21" t="s">
        <v>19</v>
      </c>
      <c r="C19" s="267">
        <f>SUM(C15,C18)</f>
        <v>50.015842999999997</v>
      </c>
      <c r="D19" s="268"/>
      <c r="E19" s="12"/>
    </row>
    <row r="20" spans="1:5" x14ac:dyDescent="0.25">
      <c r="A20" s="4"/>
      <c r="C20" s="8"/>
      <c r="E20" s="13"/>
    </row>
    <row r="21" spans="1:5" ht="15.75" x14ac:dyDescent="0.25">
      <c r="A21" s="269" t="s">
        <v>20</v>
      </c>
      <c r="B21" s="270"/>
      <c r="C21" s="271">
        <v>5</v>
      </c>
      <c r="D21" s="271"/>
      <c r="E21" s="14"/>
    </row>
    <row r="22" spans="1:5" ht="37.15" customHeight="1" x14ac:dyDescent="0.25">
      <c r="A22" s="326" t="s">
        <v>21</v>
      </c>
      <c r="B22" s="327"/>
      <c r="C22" s="225">
        <f>C19/C21</f>
        <v>10.003168599999999</v>
      </c>
      <c r="D22" s="225"/>
      <c r="E22" s="15"/>
    </row>
    <row r="23" spans="1:5" ht="15.75" x14ac:dyDescent="0.25">
      <c r="A23" s="2"/>
    </row>
    <row r="24" spans="1:5" x14ac:dyDescent="0.25">
      <c r="A24" s="78"/>
      <c r="B24" s="78"/>
      <c r="C24" s="203"/>
      <c r="D24" s="203"/>
    </row>
    <row r="25" spans="1:5" x14ac:dyDescent="0.25">
      <c r="A25" s="78"/>
      <c r="B25" s="78"/>
      <c r="C25" s="79"/>
      <c r="D25" s="78"/>
    </row>
    <row r="26" spans="1:5" x14ac:dyDescent="0.25">
      <c r="A26" s="78"/>
      <c r="B26" s="78"/>
      <c r="C26" s="203"/>
      <c r="D26" s="203"/>
    </row>
    <row r="27" spans="1:5" x14ac:dyDescent="0.25">
      <c r="A27" s="78"/>
      <c r="B27" s="78"/>
      <c r="C27" s="78"/>
      <c r="D27" s="78"/>
    </row>
    <row r="28" spans="1:5" x14ac:dyDescent="0.25">
      <c r="A28" s="202"/>
      <c r="B28" s="202"/>
      <c r="C28" s="80"/>
      <c r="D28" s="80"/>
    </row>
    <row r="29" spans="1:5" x14ac:dyDescent="0.25">
      <c r="A29" s="201"/>
      <c r="B29" s="202"/>
      <c r="C29" s="80"/>
      <c r="D29" s="80"/>
    </row>
    <row r="30" spans="1:5" x14ac:dyDescent="0.25">
      <c r="A30" s="57"/>
      <c r="B30" s="80"/>
      <c r="C30" s="81"/>
      <c r="D30" s="81"/>
    </row>
    <row r="31" spans="1:5" x14ac:dyDescent="0.25">
      <c r="A31" s="201"/>
      <c r="B31" s="201"/>
      <c r="C31" s="81"/>
      <c r="D31" s="81"/>
    </row>
  </sheetData>
  <mergeCells count="23">
    <mergeCell ref="A1:D1"/>
    <mergeCell ref="A3:D3"/>
    <mergeCell ref="A5:D5"/>
    <mergeCell ref="A7:D7"/>
    <mergeCell ref="C8:D8"/>
    <mergeCell ref="C9:D9"/>
    <mergeCell ref="A10:A13"/>
    <mergeCell ref="C10:D13"/>
    <mergeCell ref="C14:D14"/>
    <mergeCell ref="C15:D15"/>
    <mergeCell ref="A31:B31"/>
    <mergeCell ref="C16:D16"/>
    <mergeCell ref="C24:D24"/>
    <mergeCell ref="C26:D26"/>
    <mergeCell ref="A28:B28"/>
    <mergeCell ref="A29:B29"/>
    <mergeCell ref="A22:B22"/>
    <mergeCell ref="C22:D22"/>
    <mergeCell ref="C17:D17"/>
    <mergeCell ref="C18:D18"/>
    <mergeCell ref="C19:D19"/>
    <mergeCell ref="A21:B21"/>
    <mergeCell ref="C21:D21"/>
  </mergeCells>
  <pageMargins left="0.70866141732283472" right="0.70866141732283472" top="0.74803149606299213" bottom="0.74803149606299213" header="0.31496062992125984" footer="0.31496062992125984"/>
  <pageSetup paperSize="9" scale="98" fitToHeight="0" orientation="portrait" verticalDpi="0" r:id="rId1"/>
  <headerFoot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60" zoomScaleNormal="100" workbookViewId="0">
      <selection activeCell="T13" sqref="T13"/>
    </sheetView>
  </sheetViews>
  <sheetFormatPr defaultRowHeight="15" x14ac:dyDescent="0.25"/>
  <cols>
    <col min="1" max="1" width="19.5703125" customWidth="1"/>
    <col min="2" max="2" width="52.42578125" customWidth="1"/>
    <col min="3" max="3" width="13.5703125" style="7" customWidth="1"/>
    <col min="4" max="4" width="3.7109375" customWidth="1"/>
    <col min="5" max="5" width="25.85546875" style="9" customWidth="1"/>
    <col min="8" max="8" width="7.42578125" bestFit="1" customWidth="1"/>
  </cols>
  <sheetData>
    <row r="1" spans="1:5" ht="14.45" customHeight="1" x14ac:dyDescent="0.25">
      <c r="A1" s="251" t="s">
        <v>0</v>
      </c>
      <c r="B1" s="251"/>
      <c r="C1" s="251"/>
      <c r="D1" s="251"/>
    </row>
    <row r="2" spans="1:5" ht="15.75" x14ac:dyDescent="0.25">
      <c r="D2" s="1"/>
    </row>
    <row r="3" spans="1:5" ht="15.75" customHeight="1" x14ac:dyDescent="0.25">
      <c r="A3" s="252" t="s">
        <v>22</v>
      </c>
      <c r="B3" s="252"/>
      <c r="C3" s="252"/>
      <c r="D3" s="252"/>
    </row>
    <row r="4" spans="1:5" ht="15.75" x14ac:dyDescent="0.25">
      <c r="D4" s="5"/>
    </row>
    <row r="5" spans="1:5" ht="33.75" customHeight="1" x14ac:dyDescent="0.25">
      <c r="A5" s="253" t="s">
        <v>262</v>
      </c>
      <c r="B5" s="253"/>
      <c r="C5" s="253"/>
      <c r="D5" s="253"/>
    </row>
    <row r="6" spans="1:5" ht="15.75" x14ac:dyDescent="0.25">
      <c r="D6" s="6"/>
    </row>
    <row r="7" spans="1:5" ht="16.5" thickBot="1" x14ac:dyDescent="0.3">
      <c r="A7" s="254" t="s">
        <v>1</v>
      </c>
      <c r="B7" s="254"/>
      <c r="C7" s="254"/>
      <c r="D7" s="254"/>
    </row>
    <row r="8" spans="1:5" ht="79.5" customHeight="1" thickBot="1" x14ac:dyDescent="0.3">
      <c r="A8" s="16" t="s">
        <v>2</v>
      </c>
      <c r="B8" s="17" t="s">
        <v>3</v>
      </c>
      <c r="C8" s="255" t="s">
        <v>4</v>
      </c>
      <c r="D8" s="256"/>
    </row>
    <row r="9" spans="1:5" ht="16.5" thickBot="1" x14ac:dyDescent="0.3">
      <c r="A9" s="3"/>
      <c r="B9" s="18" t="s">
        <v>5</v>
      </c>
      <c r="C9" s="257"/>
      <c r="D9" s="258"/>
    </row>
    <row r="10" spans="1:5" ht="81" customHeight="1" x14ac:dyDescent="0.25">
      <c r="A10" s="259" t="s">
        <v>6</v>
      </c>
      <c r="B10" s="66" t="s">
        <v>556</v>
      </c>
      <c r="C10" s="262">
        <f>11.55+0.16+0.09</f>
        <v>11.8</v>
      </c>
      <c r="D10" s="263"/>
    </row>
    <row r="11" spans="1:5" ht="64.5" customHeight="1" x14ac:dyDescent="0.25">
      <c r="A11" s="260"/>
      <c r="B11" s="64" t="s">
        <v>540</v>
      </c>
      <c r="C11" s="262"/>
      <c r="D11" s="263"/>
    </row>
    <row r="12" spans="1:5" ht="63.75" customHeight="1" x14ac:dyDescent="0.25">
      <c r="A12" s="260"/>
      <c r="B12" s="64" t="s">
        <v>557</v>
      </c>
      <c r="C12" s="262"/>
      <c r="D12" s="263"/>
    </row>
    <row r="13" spans="1:5" ht="16.5" thickBot="1" x14ac:dyDescent="0.3">
      <c r="A13" s="261"/>
      <c r="B13" s="19" t="s">
        <v>558</v>
      </c>
      <c r="C13" s="262"/>
      <c r="D13" s="263"/>
    </row>
    <row r="14" spans="1:5" ht="48" thickBot="1" x14ac:dyDescent="0.3">
      <c r="A14" s="27" t="s">
        <v>7</v>
      </c>
      <c r="B14" s="19" t="s">
        <v>209</v>
      </c>
      <c r="C14" s="262">
        <f>C10*0.2359</f>
        <v>2.78362</v>
      </c>
      <c r="D14" s="263"/>
    </row>
    <row r="15" spans="1:5" ht="16.5" thickBot="1" x14ac:dyDescent="0.3">
      <c r="A15" s="27"/>
      <c r="B15" s="20" t="s">
        <v>9</v>
      </c>
      <c r="C15" s="262">
        <f>SUM(C10:D14)</f>
        <v>14.58362</v>
      </c>
      <c r="D15" s="263"/>
      <c r="E15" s="10"/>
    </row>
    <row r="16" spans="1:5" ht="16.5" thickBot="1" x14ac:dyDescent="0.3">
      <c r="A16" s="27"/>
      <c r="B16" s="20" t="s">
        <v>10</v>
      </c>
      <c r="C16" s="262"/>
      <c r="D16" s="263"/>
    </row>
    <row r="17" spans="1:5" ht="142.5" thickBot="1" x14ac:dyDescent="0.3">
      <c r="A17" s="27" t="s">
        <v>12</v>
      </c>
      <c r="B17" s="103" t="s">
        <v>332</v>
      </c>
      <c r="C17" s="262">
        <f>0.14+0.27+0.01</f>
        <v>0.42000000000000004</v>
      </c>
      <c r="D17" s="263"/>
    </row>
    <row r="18" spans="1:5" ht="16.5" thickBot="1" x14ac:dyDescent="0.3">
      <c r="A18" s="3"/>
      <c r="B18" s="18" t="s">
        <v>18</v>
      </c>
      <c r="C18" s="262">
        <f>SUM(C17:C17)</f>
        <v>0.42000000000000004</v>
      </c>
      <c r="D18" s="263"/>
      <c r="E18" s="11"/>
    </row>
    <row r="19" spans="1:5" ht="16.5" thickBot="1" x14ac:dyDescent="0.3">
      <c r="A19" s="3"/>
      <c r="B19" s="21" t="s">
        <v>19</v>
      </c>
      <c r="C19" s="267">
        <f>SUM(C15,C18)</f>
        <v>15.00362</v>
      </c>
      <c r="D19" s="268"/>
      <c r="E19" s="12"/>
    </row>
    <row r="20" spans="1:5" x14ac:dyDescent="0.25">
      <c r="A20" s="4"/>
      <c r="C20" s="8"/>
      <c r="E20" s="13"/>
    </row>
    <row r="21" spans="1:5" ht="15.75" x14ac:dyDescent="0.25">
      <c r="A21" s="269" t="s">
        <v>20</v>
      </c>
      <c r="B21" s="270"/>
      <c r="C21" s="271">
        <v>1</v>
      </c>
      <c r="D21" s="271"/>
      <c r="E21" s="14"/>
    </row>
    <row r="22" spans="1:5" ht="33.75" customHeight="1" x14ac:dyDescent="0.25">
      <c r="A22" s="264" t="s">
        <v>21</v>
      </c>
      <c r="B22" s="312"/>
      <c r="C22" s="320">
        <f>C19/C21</f>
        <v>15.00362</v>
      </c>
      <c r="D22" s="320"/>
      <c r="E22" s="15"/>
    </row>
    <row r="23" spans="1:5" ht="15.75" x14ac:dyDescent="0.25">
      <c r="A23" s="2"/>
    </row>
    <row r="24" spans="1:5" x14ac:dyDescent="0.25">
      <c r="A24" s="78"/>
      <c r="B24" s="78"/>
      <c r="C24" s="203"/>
      <c r="D24" s="203"/>
    </row>
    <row r="25" spans="1:5" x14ac:dyDescent="0.25">
      <c r="A25" s="78"/>
      <c r="B25" s="78"/>
      <c r="C25" s="79"/>
      <c r="D25" s="78"/>
    </row>
    <row r="26" spans="1:5" x14ac:dyDescent="0.25">
      <c r="A26" s="78"/>
      <c r="B26" s="78"/>
      <c r="C26" s="203"/>
      <c r="D26" s="203"/>
    </row>
    <row r="27" spans="1:5" x14ac:dyDescent="0.25">
      <c r="A27" s="78"/>
      <c r="B27" s="78"/>
      <c r="C27" s="78"/>
      <c r="D27" s="78"/>
    </row>
    <row r="28" spans="1:5" x14ac:dyDescent="0.25">
      <c r="A28" s="202"/>
      <c r="B28" s="202"/>
      <c r="C28" s="80"/>
      <c r="D28" s="80"/>
    </row>
    <row r="29" spans="1:5" x14ac:dyDescent="0.25">
      <c r="A29" s="201"/>
      <c r="B29" s="202"/>
      <c r="C29" s="80"/>
      <c r="D29" s="80"/>
    </row>
    <row r="30" spans="1:5" x14ac:dyDescent="0.25">
      <c r="A30" s="57"/>
      <c r="B30" s="80"/>
      <c r="C30" s="81"/>
      <c r="D30" s="81"/>
    </row>
    <row r="31" spans="1:5" x14ac:dyDescent="0.25">
      <c r="A31" s="201"/>
      <c r="B31" s="201"/>
      <c r="C31" s="81"/>
      <c r="D31" s="81"/>
    </row>
  </sheetData>
  <mergeCells count="23">
    <mergeCell ref="A1:D1"/>
    <mergeCell ref="A3:D3"/>
    <mergeCell ref="A5:D5"/>
    <mergeCell ref="A7:D7"/>
    <mergeCell ref="C8:D8"/>
    <mergeCell ref="C9:D9"/>
    <mergeCell ref="A10:A13"/>
    <mergeCell ref="C10:D13"/>
    <mergeCell ref="C14:D14"/>
    <mergeCell ref="C15:D15"/>
    <mergeCell ref="A31:B31"/>
    <mergeCell ref="C16:D16"/>
    <mergeCell ref="C24:D24"/>
    <mergeCell ref="C26:D26"/>
    <mergeCell ref="A28:B28"/>
    <mergeCell ref="A29:B29"/>
    <mergeCell ref="A22:B22"/>
    <mergeCell ref="C22:D22"/>
    <mergeCell ref="C17:D17"/>
    <mergeCell ref="C18:D18"/>
    <mergeCell ref="C19:D19"/>
    <mergeCell ref="A21:B21"/>
    <mergeCell ref="C21:D21"/>
  </mergeCells>
  <pageMargins left="0.70866141732283472" right="0.70866141732283472" top="0.74803149606299213" bottom="0.74803149606299213" header="0.31496062992125984" footer="0.31496062992125984"/>
  <pageSetup paperSize="9" scale="97" fitToHeight="0" orientation="portrait" r:id="rId1"/>
  <headerFoot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60" zoomScaleNormal="100" workbookViewId="0">
      <selection activeCell="T13" sqref="T13"/>
    </sheetView>
  </sheetViews>
  <sheetFormatPr defaultRowHeight="15" x14ac:dyDescent="0.25"/>
  <cols>
    <col min="1" max="1" width="19.5703125" customWidth="1"/>
    <col min="2" max="2" width="52.42578125" customWidth="1"/>
    <col min="3" max="3" width="9.7109375" style="7" customWidth="1"/>
    <col min="4" max="4" width="6.7109375" customWidth="1"/>
    <col min="5" max="5" width="25.85546875" style="9" customWidth="1"/>
    <col min="8" max="8" width="7.42578125" bestFit="1" customWidth="1"/>
  </cols>
  <sheetData>
    <row r="1" spans="1:5" ht="15.75" x14ac:dyDescent="0.25">
      <c r="A1" s="1"/>
    </row>
    <row r="2" spans="1:5" ht="14.45" customHeight="1" x14ac:dyDescent="0.25">
      <c r="A2" s="251" t="s">
        <v>0</v>
      </c>
      <c r="B2" s="251"/>
      <c r="C2" s="251"/>
      <c r="D2" s="251"/>
    </row>
    <row r="3" spans="1:5" ht="15.75" x14ac:dyDescent="0.25">
      <c r="D3" s="1"/>
    </row>
    <row r="4" spans="1:5" ht="18.75" customHeight="1" x14ac:dyDescent="0.25">
      <c r="A4" s="252" t="s">
        <v>22</v>
      </c>
      <c r="B4" s="252"/>
      <c r="C4" s="252"/>
      <c r="D4" s="252"/>
    </row>
    <row r="5" spans="1:5" ht="15.75" x14ac:dyDescent="0.25">
      <c r="D5" s="5"/>
    </row>
    <row r="6" spans="1:5" ht="35.25" customHeight="1" x14ac:dyDescent="0.25">
      <c r="A6" s="253" t="s">
        <v>263</v>
      </c>
      <c r="B6" s="253"/>
      <c r="C6" s="253"/>
      <c r="D6" s="253"/>
    </row>
    <row r="7" spans="1:5" ht="15.75" x14ac:dyDescent="0.25">
      <c r="D7" s="6"/>
    </row>
    <row r="8" spans="1:5" ht="16.5" thickBot="1" x14ac:dyDescent="0.3">
      <c r="A8" s="254" t="s">
        <v>1</v>
      </c>
      <c r="B8" s="254"/>
      <c r="C8" s="254"/>
      <c r="D8" s="254"/>
    </row>
    <row r="9" spans="1:5" ht="82.5" customHeight="1" thickBot="1" x14ac:dyDescent="0.3">
      <c r="A9" s="16" t="s">
        <v>2</v>
      </c>
      <c r="B9" s="17" t="s">
        <v>3</v>
      </c>
      <c r="C9" s="255" t="s">
        <v>4</v>
      </c>
      <c r="D9" s="256"/>
    </row>
    <row r="10" spans="1:5" ht="16.5" thickBot="1" x14ac:dyDescent="0.3">
      <c r="A10" s="3"/>
      <c r="B10" s="18" t="s">
        <v>5</v>
      </c>
      <c r="C10" s="257"/>
      <c r="D10" s="258"/>
    </row>
    <row r="11" spans="1:5" ht="79.5" customHeight="1" x14ac:dyDescent="0.25">
      <c r="A11" s="259" t="s">
        <v>6</v>
      </c>
      <c r="B11" s="66" t="s">
        <v>662</v>
      </c>
      <c r="C11" s="262">
        <v>345</v>
      </c>
      <c r="D11" s="263"/>
    </row>
    <row r="12" spans="1:5" ht="66.75" customHeight="1" x14ac:dyDescent="0.25">
      <c r="A12" s="260"/>
      <c r="B12" s="64" t="s">
        <v>663</v>
      </c>
      <c r="C12" s="262"/>
      <c r="D12" s="263"/>
    </row>
    <row r="13" spans="1:5" ht="16.5" thickBot="1" x14ac:dyDescent="0.3">
      <c r="A13" s="261"/>
      <c r="B13" s="19" t="s">
        <v>664</v>
      </c>
      <c r="C13" s="262"/>
      <c r="D13" s="263"/>
    </row>
    <row r="14" spans="1:5" ht="48" thickBot="1" x14ac:dyDescent="0.3">
      <c r="A14" s="27" t="s">
        <v>7</v>
      </c>
      <c r="B14" s="19" t="s">
        <v>209</v>
      </c>
      <c r="C14" s="262">
        <f>C11*0.2359</f>
        <v>81.385499999999993</v>
      </c>
      <c r="D14" s="263"/>
    </row>
    <row r="15" spans="1:5" ht="16.5" thickBot="1" x14ac:dyDescent="0.3">
      <c r="A15" s="27"/>
      <c r="B15" s="20" t="s">
        <v>9</v>
      </c>
      <c r="C15" s="262">
        <f>SUM(C11:D14)</f>
        <v>426.38549999999998</v>
      </c>
      <c r="D15" s="263"/>
      <c r="E15" s="10"/>
    </row>
    <row r="16" spans="1:5" ht="16.5" thickBot="1" x14ac:dyDescent="0.3">
      <c r="A16" s="27"/>
      <c r="B16" s="20" t="s">
        <v>10</v>
      </c>
      <c r="C16" s="262"/>
      <c r="D16" s="263"/>
    </row>
    <row r="17" spans="1:5" ht="144" customHeight="1" thickBot="1" x14ac:dyDescent="0.3">
      <c r="A17" s="27" t="s">
        <v>12</v>
      </c>
      <c r="B17" s="92" t="s">
        <v>665</v>
      </c>
      <c r="C17" s="262">
        <v>73.2</v>
      </c>
      <c r="D17" s="263"/>
    </row>
    <row r="18" spans="1:5" ht="16.5" thickBot="1" x14ac:dyDescent="0.3">
      <c r="A18" s="3"/>
      <c r="B18" s="18" t="s">
        <v>18</v>
      </c>
      <c r="C18" s="262">
        <f>SUM(C17:C17)</f>
        <v>73.2</v>
      </c>
      <c r="D18" s="263"/>
      <c r="E18" s="11"/>
    </row>
    <row r="19" spans="1:5" ht="16.5" thickBot="1" x14ac:dyDescent="0.3">
      <c r="A19" s="3"/>
      <c r="B19" s="21" t="s">
        <v>19</v>
      </c>
      <c r="C19" s="267">
        <f>SUM(C15,C18)</f>
        <v>499.58549999999997</v>
      </c>
      <c r="D19" s="268"/>
      <c r="E19" s="12"/>
    </row>
    <row r="20" spans="1:5" x14ac:dyDescent="0.25">
      <c r="A20" s="4"/>
      <c r="C20" s="8"/>
      <c r="E20" s="13"/>
    </row>
    <row r="21" spans="1:5" ht="15.75" x14ac:dyDescent="0.25">
      <c r="A21" s="269" t="s">
        <v>20</v>
      </c>
      <c r="B21" s="270"/>
      <c r="C21" s="271">
        <v>100</v>
      </c>
      <c r="D21" s="271"/>
      <c r="E21" s="14"/>
    </row>
    <row r="22" spans="1:5" ht="33" customHeight="1" x14ac:dyDescent="0.25">
      <c r="A22" s="264" t="s">
        <v>21</v>
      </c>
      <c r="B22" s="312"/>
      <c r="C22" s="282">
        <f>C19/C21</f>
        <v>4.9958549999999997</v>
      </c>
      <c r="D22" s="282"/>
      <c r="E22" s="15"/>
    </row>
    <row r="23" spans="1:5" ht="15.75" x14ac:dyDescent="0.25">
      <c r="A23" s="2"/>
    </row>
    <row r="24" spans="1:5" x14ac:dyDescent="0.25">
      <c r="A24" s="78"/>
      <c r="B24" s="78"/>
      <c r="C24" s="203"/>
      <c r="D24" s="203"/>
    </row>
    <row r="25" spans="1:5" x14ac:dyDescent="0.25">
      <c r="A25" s="78"/>
      <c r="B25" s="78"/>
      <c r="C25" s="79"/>
      <c r="D25" s="78"/>
    </row>
    <row r="26" spans="1:5" x14ac:dyDescent="0.25">
      <c r="A26" s="78"/>
      <c r="B26" s="78"/>
      <c r="C26" s="203"/>
      <c r="D26" s="203"/>
    </row>
    <row r="27" spans="1:5" x14ac:dyDescent="0.25">
      <c r="A27" s="78"/>
      <c r="B27" s="78"/>
      <c r="C27" s="78"/>
      <c r="D27" s="78"/>
    </row>
    <row r="28" spans="1:5" x14ac:dyDescent="0.25">
      <c r="A28" s="202"/>
      <c r="B28" s="202"/>
      <c r="C28" s="80"/>
      <c r="D28" s="80"/>
    </row>
    <row r="29" spans="1:5" x14ac:dyDescent="0.25">
      <c r="A29" s="201"/>
      <c r="B29" s="202"/>
      <c r="C29" s="80"/>
      <c r="D29" s="80"/>
    </row>
    <row r="30" spans="1:5" x14ac:dyDescent="0.25">
      <c r="A30" s="57"/>
      <c r="B30" s="80"/>
      <c r="C30" s="81"/>
      <c r="D30" s="81"/>
    </row>
    <row r="31" spans="1:5" x14ac:dyDescent="0.25">
      <c r="A31" s="201"/>
      <c r="B31" s="201"/>
      <c r="C31" s="81"/>
      <c r="D31" s="81"/>
    </row>
  </sheetData>
  <mergeCells count="23">
    <mergeCell ref="A2:D2"/>
    <mergeCell ref="A4:D4"/>
    <mergeCell ref="A6:D6"/>
    <mergeCell ref="A8:D8"/>
    <mergeCell ref="C9:D9"/>
    <mergeCell ref="C10:D10"/>
    <mergeCell ref="A11:A13"/>
    <mergeCell ref="C11:D13"/>
    <mergeCell ref="C14:D14"/>
    <mergeCell ref="C15:D15"/>
    <mergeCell ref="A31:B31"/>
    <mergeCell ref="C16:D16"/>
    <mergeCell ref="C24:D24"/>
    <mergeCell ref="C26:D26"/>
    <mergeCell ref="A28:B28"/>
    <mergeCell ref="A29:B29"/>
    <mergeCell ref="A22:B22"/>
    <mergeCell ref="C22:D22"/>
    <mergeCell ref="C17:D17"/>
    <mergeCell ref="C18:D18"/>
    <mergeCell ref="C19:D19"/>
    <mergeCell ref="A21:B21"/>
    <mergeCell ref="C21:D21"/>
  </mergeCells>
  <pageMargins left="0.70866141732283472" right="0.70866141732283472" top="0.74803149606299213" bottom="0.74803149606299213" header="0.31496062992125984" footer="0.31496062992125984"/>
  <pageSetup paperSize="9" scale="99" fitToHeight="0" orientation="portrait" r:id="rId1"/>
  <headerFoot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60" zoomScaleNormal="100" workbookViewId="0">
      <selection activeCell="T13" sqref="T13"/>
    </sheetView>
  </sheetViews>
  <sheetFormatPr defaultRowHeight="15" x14ac:dyDescent="0.25"/>
  <cols>
    <col min="1" max="1" width="19.5703125" customWidth="1"/>
    <col min="2" max="2" width="52.42578125" customWidth="1"/>
    <col min="3" max="3" width="10.42578125" style="7" customWidth="1"/>
    <col min="4" max="4" width="5.5703125" customWidth="1"/>
    <col min="5" max="5" width="25.85546875" style="9" customWidth="1"/>
    <col min="8" max="8" width="7.42578125" bestFit="1" customWidth="1"/>
  </cols>
  <sheetData>
    <row r="1" spans="1:5" ht="15.75" x14ac:dyDescent="0.25">
      <c r="A1" s="1"/>
    </row>
    <row r="2" spans="1:5" ht="14.45" customHeight="1" x14ac:dyDescent="0.25">
      <c r="A2" s="251" t="s">
        <v>0</v>
      </c>
      <c r="B2" s="251"/>
      <c r="C2" s="251"/>
      <c r="D2" s="251"/>
    </row>
    <row r="3" spans="1:5" ht="15.75" x14ac:dyDescent="0.25">
      <c r="D3" s="1"/>
    </row>
    <row r="4" spans="1:5" ht="17.25" customHeight="1" x14ac:dyDescent="0.25">
      <c r="A4" s="252" t="s">
        <v>22</v>
      </c>
      <c r="B4" s="252"/>
      <c r="C4" s="252"/>
      <c r="D4" s="252"/>
    </row>
    <row r="5" spans="1:5" ht="15.75" x14ac:dyDescent="0.25">
      <c r="D5" s="5"/>
    </row>
    <row r="6" spans="1:5" ht="34.5" customHeight="1" x14ac:dyDescent="0.25">
      <c r="A6" s="253" t="s">
        <v>264</v>
      </c>
      <c r="B6" s="253"/>
      <c r="C6" s="253"/>
      <c r="D6" s="253"/>
    </row>
    <row r="7" spans="1:5" ht="15.75" x14ac:dyDescent="0.25">
      <c r="D7" s="6"/>
    </row>
    <row r="8" spans="1:5" ht="16.5" thickBot="1" x14ac:dyDescent="0.3">
      <c r="A8" s="254" t="s">
        <v>1</v>
      </c>
      <c r="B8" s="254"/>
      <c r="C8" s="254"/>
      <c r="D8" s="254"/>
    </row>
    <row r="9" spans="1:5" ht="81" customHeight="1" thickBot="1" x14ac:dyDescent="0.3">
      <c r="A9" s="16" t="s">
        <v>2</v>
      </c>
      <c r="B9" s="17" t="s">
        <v>3</v>
      </c>
      <c r="C9" s="255" t="s">
        <v>4</v>
      </c>
      <c r="D9" s="256"/>
    </row>
    <row r="10" spans="1:5" ht="16.5" thickBot="1" x14ac:dyDescent="0.3">
      <c r="A10" s="3"/>
      <c r="B10" s="18" t="s">
        <v>5</v>
      </c>
      <c r="C10" s="257"/>
      <c r="D10" s="258"/>
    </row>
    <row r="11" spans="1:5" ht="75.75" customHeight="1" x14ac:dyDescent="0.25">
      <c r="A11" s="259" t="s">
        <v>6</v>
      </c>
      <c r="B11" s="123" t="s">
        <v>666</v>
      </c>
      <c r="C11" s="262">
        <v>253.8</v>
      </c>
      <c r="D11" s="263"/>
    </row>
    <row r="12" spans="1:5" ht="63" customHeight="1" x14ac:dyDescent="0.25">
      <c r="A12" s="260"/>
      <c r="B12" s="128" t="s">
        <v>668</v>
      </c>
      <c r="C12" s="262"/>
      <c r="D12" s="263"/>
    </row>
    <row r="13" spans="1:5" ht="16.5" thickBot="1" x14ac:dyDescent="0.3">
      <c r="A13" s="261"/>
      <c r="B13" s="104" t="s">
        <v>669</v>
      </c>
      <c r="C13" s="262"/>
      <c r="D13" s="263"/>
    </row>
    <row r="14" spans="1:5" ht="48" thickBot="1" x14ac:dyDescent="0.3">
      <c r="A14" s="27" t="s">
        <v>7</v>
      </c>
      <c r="B14" s="19" t="s">
        <v>209</v>
      </c>
      <c r="C14" s="262">
        <f>C11*0.2359</f>
        <v>59.871420000000001</v>
      </c>
      <c r="D14" s="263"/>
    </row>
    <row r="15" spans="1:5" ht="16.5" thickBot="1" x14ac:dyDescent="0.3">
      <c r="A15" s="27"/>
      <c r="B15" s="20" t="s">
        <v>9</v>
      </c>
      <c r="C15" s="262">
        <f>SUM(C11:D14)</f>
        <v>313.67142000000001</v>
      </c>
      <c r="D15" s="263"/>
      <c r="E15" s="10"/>
    </row>
    <row r="16" spans="1:5" ht="16.5" thickBot="1" x14ac:dyDescent="0.3">
      <c r="A16" s="27"/>
      <c r="B16" s="20" t="s">
        <v>10</v>
      </c>
      <c r="C16" s="262"/>
      <c r="D16" s="263"/>
    </row>
    <row r="17" spans="1:5" ht="142.5" customHeight="1" thickBot="1" x14ac:dyDescent="0.3">
      <c r="A17" s="27" t="s">
        <v>12</v>
      </c>
      <c r="B17" s="92" t="s">
        <v>667</v>
      </c>
      <c r="C17" s="262">
        <v>36.5</v>
      </c>
      <c r="D17" s="263"/>
    </row>
    <row r="18" spans="1:5" ht="16.5" thickBot="1" x14ac:dyDescent="0.3">
      <c r="A18" s="3"/>
      <c r="B18" s="18" t="s">
        <v>18</v>
      </c>
      <c r="C18" s="262">
        <f>SUM(C17:C17)</f>
        <v>36.5</v>
      </c>
      <c r="D18" s="263"/>
      <c r="E18" s="11"/>
    </row>
    <row r="19" spans="1:5" ht="16.5" thickBot="1" x14ac:dyDescent="0.3">
      <c r="A19" s="3"/>
      <c r="B19" s="21" t="s">
        <v>19</v>
      </c>
      <c r="C19" s="267">
        <f>SUM(C15,C18)</f>
        <v>350.17142000000001</v>
      </c>
      <c r="D19" s="268"/>
      <c r="E19" s="12"/>
    </row>
    <row r="20" spans="1:5" x14ac:dyDescent="0.25">
      <c r="A20" s="4"/>
      <c r="C20" s="8"/>
      <c r="E20" s="13"/>
    </row>
    <row r="21" spans="1:5" ht="15.75" x14ac:dyDescent="0.25">
      <c r="A21" s="269" t="s">
        <v>20</v>
      </c>
      <c r="B21" s="270"/>
      <c r="C21" s="271">
        <v>50</v>
      </c>
      <c r="D21" s="271"/>
      <c r="E21" s="14"/>
    </row>
    <row r="22" spans="1:5" ht="37.15" customHeight="1" x14ac:dyDescent="0.25">
      <c r="A22" s="326" t="s">
        <v>21</v>
      </c>
      <c r="B22" s="327"/>
      <c r="C22" s="225">
        <f>C19/C21</f>
        <v>7.0034284000000007</v>
      </c>
      <c r="D22" s="225"/>
      <c r="E22" s="15"/>
    </row>
    <row r="23" spans="1:5" ht="15.75" x14ac:dyDescent="0.25">
      <c r="A23" s="2"/>
    </row>
    <row r="24" spans="1:5" x14ac:dyDescent="0.25">
      <c r="A24" s="78"/>
      <c r="B24" s="78"/>
      <c r="C24" s="203"/>
      <c r="D24" s="203"/>
    </row>
    <row r="25" spans="1:5" x14ac:dyDescent="0.25">
      <c r="A25" s="78"/>
      <c r="B25" s="78"/>
      <c r="C25" s="79"/>
      <c r="D25" s="78"/>
    </row>
    <row r="26" spans="1:5" x14ac:dyDescent="0.25">
      <c r="A26" s="78"/>
      <c r="B26" s="78"/>
      <c r="C26" s="203"/>
      <c r="D26" s="203"/>
    </row>
    <row r="27" spans="1:5" x14ac:dyDescent="0.25">
      <c r="A27" s="78"/>
      <c r="B27" s="78"/>
      <c r="C27" s="78"/>
      <c r="D27" s="78"/>
    </row>
    <row r="28" spans="1:5" x14ac:dyDescent="0.25">
      <c r="A28" s="202"/>
      <c r="B28" s="202"/>
      <c r="C28" s="80"/>
      <c r="D28" s="80"/>
    </row>
    <row r="29" spans="1:5" x14ac:dyDescent="0.25">
      <c r="A29" s="201"/>
      <c r="B29" s="202"/>
      <c r="C29" s="80"/>
      <c r="D29" s="80"/>
    </row>
    <row r="30" spans="1:5" x14ac:dyDescent="0.25">
      <c r="A30" s="57"/>
      <c r="B30" s="80"/>
      <c r="C30" s="81"/>
      <c r="D30" s="81"/>
    </row>
    <row r="31" spans="1:5" x14ac:dyDescent="0.25">
      <c r="A31" s="201"/>
      <c r="B31" s="201"/>
      <c r="C31" s="81"/>
      <c r="D31" s="81"/>
    </row>
  </sheetData>
  <mergeCells count="23">
    <mergeCell ref="A2:D2"/>
    <mergeCell ref="A4:D4"/>
    <mergeCell ref="A6:D6"/>
    <mergeCell ref="A8:D8"/>
    <mergeCell ref="C9:D9"/>
    <mergeCell ref="C10:D10"/>
    <mergeCell ref="A11:A13"/>
    <mergeCell ref="C11:D13"/>
    <mergeCell ref="C14:D14"/>
    <mergeCell ref="C15:D15"/>
    <mergeCell ref="A31:B31"/>
    <mergeCell ref="C16:D16"/>
    <mergeCell ref="C24:D24"/>
    <mergeCell ref="C26:D26"/>
    <mergeCell ref="A28:B28"/>
    <mergeCell ref="A29:B29"/>
    <mergeCell ref="A22:B22"/>
    <mergeCell ref="C22:D22"/>
    <mergeCell ref="C17:D17"/>
    <mergeCell ref="C18:D18"/>
    <mergeCell ref="C19:D19"/>
    <mergeCell ref="A21:B21"/>
    <mergeCell ref="C21:D21"/>
  </mergeCells>
  <pageMargins left="0.70866141732283472" right="0.70866141732283472" top="0.74803149606299213" bottom="0.74803149606299213" header="0.31496062992125984" footer="0.31496062992125984"/>
  <pageSetup paperSize="9" scale="99" fitToHeight="0" orientation="portrait" verticalDpi="0" r:id="rId1"/>
  <headerFoot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60" zoomScaleNormal="100" workbookViewId="0">
      <selection activeCell="T13" sqref="T13"/>
    </sheetView>
  </sheetViews>
  <sheetFormatPr defaultRowHeight="15" x14ac:dyDescent="0.25"/>
  <cols>
    <col min="1" max="1" width="19.5703125" customWidth="1"/>
    <col min="2" max="2" width="52.42578125" customWidth="1"/>
    <col min="3" max="3" width="11.42578125" style="7" customWidth="1"/>
    <col min="4" max="4" width="6.28515625" customWidth="1"/>
    <col min="5" max="5" width="25.85546875" style="9" customWidth="1"/>
    <col min="8" max="8" width="7.42578125" bestFit="1" customWidth="1"/>
  </cols>
  <sheetData>
    <row r="1" spans="1:5" ht="14.45" customHeight="1" x14ac:dyDescent="0.25">
      <c r="A1" s="251" t="s">
        <v>0</v>
      </c>
      <c r="B1" s="251"/>
      <c r="C1" s="251"/>
      <c r="D1" s="251"/>
    </row>
    <row r="2" spans="1:5" ht="15.75" x14ac:dyDescent="0.25">
      <c r="D2" s="1"/>
    </row>
    <row r="3" spans="1:5" ht="15.75" customHeight="1" x14ac:dyDescent="0.25">
      <c r="A3" s="252" t="s">
        <v>22</v>
      </c>
      <c r="B3" s="252"/>
      <c r="C3" s="252"/>
      <c r="D3" s="252"/>
    </row>
    <row r="4" spans="1:5" ht="15.75" x14ac:dyDescent="0.25">
      <c r="D4" s="5"/>
    </row>
    <row r="5" spans="1:5" ht="31.5" customHeight="1" x14ac:dyDescent="0.25">
      <c r="A5" s="328" t="s">
        <v>265</v>
      </c>
      <c r="B5" s="328"/>
      <c r="C5" s="328"/>
      <c r="D5" s="328"/>
    </row>
    <row r="6" spans="1:5" ht="15.75" x14ac:dyDescent="0.25">
      <c r="D6" s="6"/>
    </row>
    <row r="7" spans="1:5" ht="16.5" thickBot="1" x14ac:dyDescent="0.3">
      <c r="A7" s="254" t="s">
        <v>1</v>
      </c>
      <c r="B7" s="254"/>
      <c r="C7" s="254"/>
      <c r="D7" s="254"/>
    </row>
    <row r="8" spans="1:5" ht="82.5" customHeight="1" thickBot="1" x14ac:dyDescent="0.3">
      <c r="A8" s="16" t="s">
        <v>2</v>
      </c>
      <c r="B8" s="17" t="s">
        <v>3</v>
      </c>
      <c r="C8" s="255" t="s">
        <v>4</v>
      </c>
      <c r="D8" s="256"/>
    </row>
    <row r="9" spans="1:5" ht="16.5" thickBot="1" x14ac:dyDescent="0.3">
      <c r="A9" s="3"/>
      <c r="B9" s="18" t="s">
        <v>5</v>
      </c>
      <c r="C9" s="257"/>
      <c r="D9" s="258"/>
    </row>
    <row r="10" spans="1:5" ht="81" customHeight="1" x14ac:dyDescent="0.25">
      <c r="A10" s="259" t="s">
        <v>6</v>
      </c>
      <c r="B10" s="66" t="s">
        <v>671</v>
      </c>
      <c r="C10" s="262">
        <v>225.12</v>
      </c>
      <c r="D10" s="263"/>
    </row>
    <row r="11" spans="1:5" ht="64.5" customHeight="1" x14ac:dyDescent="0.25">
      <c r="A11" s="260"/>
      <c r="B11" s="64" t="s">
        <v>541</v>
      </c>
      <c r="C11" s="262"/>
      <c r="D11" s="263"/>
    </row>
    <row r="12" spans="1:5" ht="67.5" customHeight="1" x14ac:dyDescent="0.25">
      <c r="A12" s="260"/>
      <c r="B12" s="64" t="s">
        <v>672</v>
      </c>
      <c r="C12" s="262"/>
      <c r="D12" s="263"/>
    </row>
    <row r="13" spans="1:5" ht="16.5" thickBot="1" x14ac:dyDescent="0.3">
      <c r="A13" s="261"/>
      <c r="B13" s="19" t="s">
        <v>673</v>
      </c>
      <c r="C13" s="262"/>
      <c r="D13" s="263"/>
    </row>
    <row r="14" spans="1:5" ht="48" thickBot="1" x14ac:dyDescent="0.3">
      <c r="A14" s="27" t="s">
        <v>7</v>
      </c>
      <c r="B14" s="19" t="s">
        <v>209</v>
      </c>
      <c r="C14" s="262">
        <f>C10*0.2359</f>
        <v>53.105808000000003</v>
      </c>
      <c r="D14" s="263"/>
    </row>
    <row r="15" spans="1:5" ht="16.5" thickBot="1" x14ac:dyDescent="0.3">
      <c r="A15" s="27"/>
      <c r="B15" s="20" t="s">
        <v>9</v>
      </c>
      <c r="C15" s="262">
        <f>SUM(C10:D14)</f>
        <v>278.22580800000003</v>
      </c>
      <c r="D15" s="263"/>
      <c r="E15" s="10"/>
    </row>
    <row r="16" spans="1:5" ht="16.5" thickBot="1" x14ac:dyDescent="0.3">
      <c r="A16" s="27"/>
      <c r="B16" s="20" t="s">
        <v>10</v>
      </c>
      <c r="C16" s="262"/>
      <c r="D16" s="263"/>
    </row>
    <row r="17" spans="1:5" ht="132.75" customHeight="1" thickBot="1" x14ac:dyDescent="0.3">
      <c r="A17" s="27" t="s">
        <v>12</v>
      </c>
      <c r="B17" s="92" t="s">
        <v>670</v>
      </c>
      <c r="C17" s="262">
        <v>21.9</v>
      </c>
      <c r="D17" s="263"/>
    </row>
    <row r="18" spans="1:5" ht="16.5" thickBot="1" x14ac:dyDescent="0.3">
      <c r="A18" s="3"/>
      <c r="B18" s="18" t="s">
        <v>18</v>
      </c>
      <c r="C18" s="262">
        <f>SUM(C17:C17)</f>
        <v>21.9</v>
      </c>
      <c r="D18" s="263"/>
      <c r="E18" s="11"/>
    </row>
    <row r="19" spans="1:5" ht="16.5" thickBot="1" x14ac:dyDescent="0.3">
      <c r="A19" s="3"/>
      <c r="B19" s="21" t="s">
        <v>19</v>
      </c>
      <c r="C19" s="267">
        <f>SUM(C15,C18)</f>
        <v>300.12580800000001</v>
      </c>
      <c r="D19" s="268"/>
      <c r="E19" s="12"/>
    </row>
    <row r="20" spans="1:5" x14ac:dyDescent="0.25">
      <c r="A20" s="4"/>
      <c r="C20" s="8"/>
      <c r="E20" s="13"/>
    </row>
    <row r="21" spans="1:5" ht="15.75" x14ac:dyDescent="0.25">
      <c r="A21" s="269" t="s">
        <v>20</v>
      </c>
      <c r="B21" s="270"/>
      <c r="C21" s="271">
        <v>30</v>
      </c>
      <c r="D21" s="271"/>
      <c r="E21" s="14"/>
    </row>
    <row r="22" spans="1:5" ht="32.25" customHeight="1" x14ac:dyDescent="0.25">
      <c r="A22" s="326" t="s">
        <v>21</v>
      </c>
      <c r="B22" s="327"/>
      <c r="C22" s="320">
        <f>C19/C21</f>
        <v>10.004193600000001</v>
      </c>
      <c r="D22" s="320"/>
      <c r="E22" s="15"/>
    </row>
    <row r="23" spans="1:5" ht="15.75" x14ac:dyDescent="0.25">
      <c r="A23" s="2"/>
    </row>
    <row r="24" spans="1:5" x14ac:dyDescent="0.25">
      <c r="A24" s="78"/>
      <c r="B24" s="78"/>
      <c r="C24" s="203"/>
      <c r="D24" s="203"/>
    </row>
    <row r="25" spans="1:5" x14ac:dyDescent="0.25">
      <c r="A25" s="78"/>
      <c r="B25" s="78"/>
      <c r="C25" s="79"/>
      <c r="D25" s="78"/>
    </row>
    <row r="26" spans="1:5" x14ac:dyDescent="0.25">
      <c r="A26" s="78"/>
      <c r="B26" s="78"/>
      <c r="C26" s="203"/>
      <c r="D26" s="203"/>
    </row>
    <row r="27" spans="1:5" x14ac:dyDescent="0.25">
      <c r="A27" s="78"/>
      <c r="B27" s="78"/>
      <c r="C27" s="78"/>
      <c r="D27" s="78"/>
    </row>
    <row r="28" spans="1:5" x14ac:dyDescent="0.25">
      <c r="A28" s="202"/>
      <c r="B28" s="202"/>
      <c r="C28" s="80"/>
      <c r="D28" s="80"/>
    </row>
    <row r="29" spans="1:5" x14ac:dyDescent="0.25">
      <c r="A29" s="201"/>
      <c r="B29" s="202"/>
      <c r="C29" s="80"/>
      <c r="D29" s="80"/>
    </row>
    <row r="30" spans="1:5" x14ac:dyDescent="0.25">
      <c r="A30" s="57"/>
      <c r="B30" s="80"/>
      <c r="C30" s="81"/>
      <c r="D30" s="81"/>
    </row>
    <row r="31" spans="1:5" x14ac:dyDescent="0.25">
      <c r="A31" s="201"/>
      <c r="B31" s="201"/>
      <c r="C31" s="81"/>
      <c r="D31" s="81"/>
    </row>
  </sheetData>
  <mergeCells count="23">
    <mergeCell ref="A1:D1"/>
    <mergeCell ref="A3:D3"/>
    <mergeCell ref="A5:D5"/>
    <mergeCell ref="A7:D7"/>
    <mergeCell ref="C8:D8"/>
    <mergeCell ref="C9:D9"/>
    <mergeCell ref="A10:A13"/>
    <mergeCell ref="C10:D13"/>
    <mergeCell ref="C14:D14"/>
    <mergeCell ref="C15:D15"/>
    <mergeCell ref="A31:B31"/>
    <mergeCell ref="C16:D16"/>
    <mergeCell ref="C24:D24"/>
    <mergeCell ref="C26:D26"/>
    <mergeCell ref="A28:B28"/>
    <mergeCell ref="A29:B29"/>
    <mergeCell ref="A22:B22"/>
    <mergeCell ref="C22:D22"/>
    <mergeCell ref="C17:D17"/>
    <mergeCell ref="C18:D18"/>
    <mergeCell ref="C19:D19"/>
    <mergeCell ref="A21:B21"/>
    <mergeCell ref="C21:D21"/>
  </mergeCells>
  <pageMargins left="0.70866141732283472" right="0.70866141732283472" top="0.74803149606299213" bottom="0.74803149606299213" header="0.31496062992125984" footer="0.31496062992125984"/>
  <pageSetup paperSize="9" scale="97" fitToHeight="0" orientation="portrait" verticalDpi="0" r:id="rId1"/>
  <headerFoot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60" zoomScaleNormal="100" workbookViewId="0">
      <selection activeCell="T13" sqref="T13"/>
    </sheetView>
  </sheetViews>
  <sheetFormatPr defaultRowHeight="15" x14ac:dyDescent="0.25"/>
  <cols>
    <col min="1" max="1" width="19.5703125" customWidth="1"/>
    <col min="2" max="2" width="52.42578125" customWidth="1"/>
    <col min="3" max="3" width="18.42578125" style="7" customWidth="1"/>
    <col min="4" max="4" width="5.42578125" customWidth="1"/>
    <col min="5" max="5" width="25.85546875" style="9" customWidth="1"/>
    <col min="8" max="8" width="7.42578125" bestFit="1" customWidth="1"/>
  </cols>
  <sheetData>
    <row r="1" spans="1:5" ht="15.75" x14ac:dyDescent="0.25">
      <c r="A1" s="1"/>
    </row>
    <row r="2" spans="1:5" ht="14.45" customHeight="1" x14ac:dyDescent="0.25">
      <c r="A2" s="251" t="s">
        <v>0</v>
      </c>
      <c r="B2" s="251"/>
      <c r="C2" s="251"/>
      <c r="D2" s="251"/>
    </row>
    <row r="3" spans="1:5" ht="15.75" x14ac:dyDescent="0.25">
      <c r="D3" s="1"/>
    </row>
    <row r="4" spans="1:5" ht="18" customHeight="1" x14ac:dyDescent="0.25">
      <c r="A4" s="252" t="s">
        <v>22</v>
      </c>
      <c r="B4" s="252"/>
      <c r="C4" s="252"/>
      <c r="D4" s="252"/>
    </row>
    <row r="5" spans="1:5" ht="15.75" x14ac:dyDescent="0.25">
      <c r="D5" s="5"/>
    </row>
    <row r="6" spans="1:5" ht="33.75" customHeight="1" x14ac:dyDescent="0.25">
      <c r="A6" s="253" t="s">
        <v>266</v>
      </c>
      <c r="B6" s="253"/>
      <c r="C6" s="253"/>
      <c r="D6" s="253"/>
    </row>
    <row r="7" spans="1:5" ht="15.75" x14ac:dyDescent="0.25">
      <c r="D7" s="6"/>
    </row>
    <row r="8" spans="1:5" ht="16.5" thickBot="1" x14ac:dyDescent="0.3">
      <c r="A8" s="254" t="s">
        <v>1</v>
      </c>
      <c r="B8" s="254"/>
      <c r="C8" s="254"/>
      <c r="D8" s="254"/>
    </row>
    <row r="9" spans="1:5" ht="75.75" customHeight="1" thickBot="1" x14ac:dyDescent="0.3">
      <c r="A9" s="16" t="s">
        <v>2</v>
      </c>
      <c r="B9" s="17" t="s">
        <v>3</v>
      </c>
      <c r="C9" s="255" t="s">
        <v>4</v>
      </c>
      <c r="D9" s="256"/>
    </row>
    <row r="10" spans="1:5" ht="16.5" thickBot="1" x14ac:dyDescent="0.3">
      <c r="A10" s="3"/>
      <c r="B10" s="18" t="s">
        <v>5</v>
      </c>
      <c r="C10" s="257"/>
      <c r="D10" s="258"/>
    </row>
    <row r="11" spans="1:5" ht="81.75" customHeight="1" x14ac:dyDescent="0.25">
      <c r="A11" s="259" t="s">
        <v>6</v>
      </c>
      <c r="B11" s="66" t="s">
        <v>685</v>
      </c>
      <c r="C11" s="262">
        <v>69.12</v>
      </c>
      <c r="D11" s="263"/>
    </row>
    <row r="12" spans="1:5" ht="66.75" customHeight="1" x14ac:dyDescent="0.25">
      <c r="A12" s="260"/>
      <c r="B12" s="64" t="s">
        <v>686</v>
      </c>
      <c r="C12" s="262"/>
      <c r="D12" s="263"/>
    </row>
    <row r="13" spans="1:5" ht="16.5" thickBot="1" x14ac:dyDescent="0.3">
      <c r="A13" s="261"/>
      <c r="B13" s="19" t="s">
        <v>687</v>
      </c>
      <c r="C13" s="262"/>
      <c r="D13" s="263"/>
    </row>
    <row r="14" spans="1:5" ht="48" thickBot="1" x14ac:dyDescent="0.3">
      <c r="A14" s="27" t="s">
        <v>7</v>
      </c>
      <c r="B14" s="19" t="s">
        <v>209</v>
      </c>
      <c r="C14" s="262">
        <f>C11*0.2359</f>
        <v>16.305408</v>
      </c>
      <c r="D14" s="263"/>
    </row>
    <row r="15" spans="1:5" ht="16.5" thickBot="1" x14ac:dyDescent="0.3">
      <c r="A15" s="27"/>
      <c r="B15" s="20" t="s">
        <v>9</v>
      </c>
      <c r="C15" s="262">
        <f>SUM(C11:D14)</f>
        <v>85.425408000000004</v>
      </c>
      <c r="D15" s="263"/>
      <c r="E15" s="10"/>
    </row>
    <row r="16" spans="1:5" ht="16.5" thickBot="1" x14ac:dyDescent="0.3">
      <c r="A16" s="27"/>
      <c r="B16" s="20" t="s">
        <v>10</v>
      </c>
      <c r="C16" s="262"/>
      <c r="D16" s="263"/>
    </row>
    <row r="17" spans="1:5" ht="142.5" thickBot="1" x14ac:dyDescent="0.3">
      <c r="A17" s="27" t="s">
        <v>12</v>
      </c>
      <c r="B17" s="104" t="s">
        <v>684</v>
      </c>
      <c r="C17" s="262">
        <v>14.6</v>
      </c>
      <c r="D17" s="263"/>
    </row>
    <row r="18" spans="1:5" ht="16.5" thickBot="1" x14ac:dyDescent="0.3">
      <c r="A18" s="3"/>
      <c r="B18" s="18" t="s">
        <v>18</v>
      </c>
      <c r="C18" s="262">
        <f>SUM(C17:C17)</f>
        <v>14.6</v>
      </c>
      <c r="D18" s="263"/>
      <c r="E18" s="11"/>
    </row>
    <row r="19" spans="1:5" ht="16.5" thickBot="1" x14ac:dyDescent="0.3">
      <c r="A19" s="3"/>
      <c r="B19" s="21" t="s">
        <v>19</v>
      </c>
      <c r="C19" s="267">
        <f>SUM(C15,C18)</f>
        <v>100.025408</v>
      </c>
      <c r="D19" s="268"/>
      <c r="E19" s="12"/>
    </row>
    <row r="20" spans="1:5" x14ac:dyDescent="0.25">
      <c r="A20" s="4"/>
      <c r="C20" s="8"/>
      <c r="E20" s="13"/>
    </row>
    <row r="21" spans="1:5" ht="15.75" x14ac:dyDescent="0.25">
      <c r="A21" s="269" t="s">
        <v>20</v>
      </c>
      <c r="B21" s="270"/>
      <c r="C21" s="271">
        <v>20</v>
      </c>
      <c r="D21" s="271"/>
      <c r="E21" s="14"/>
    </row>
    <row r="22" spans="1:5" ht="34.5" customHeight="1" x14ac:dyDescent="0.25">
      <c r="A22" s="264" t="s">
        <v>21</v>
      </c>
      <c r="B22" s="265"/>
      <c r="C22" s="225">
        <f>C19/C21</f>
        <v>5.0012704000000001</v>
      </c>
      <c r="D22" s="225"/>
      <c r="E22" s="15"/>
    </row>
    <row r="23" spans="1:5" ht="15.75" x14ac:dyDescent="0.25">
      <c r="A23" s="2"/>
    </row>
    <row r="24" spans="1:5" x14ac:dyDescent="0.25">
      <c r="A24" s="78"/>
      <c r="B24" s="78"/>
      <c r="C24" s="203"/>
      <c r="D24" s="203"/>
    </row>
    <row r="25" spans="1:5" x14ac:dyDescent="0.25">
      <c r="A25" s="78"/>
      <c r="B25" s="78"/>
      <c r="C25" s="79"/>
      <c r="D25" s="78"/>
    </row>
    <row r="26" spans="1:5" x14ac:dyDescent="0.25">
      <c r="A26" s="78"/>
      <c r="B26" s="78"/>
      <c r="C26" s="203"/>
      <c r="D26" s="203"/>
    </row>
    <row r="27" spans="1:5" x14ac:dyDescent="0.25">
      <c r="A27" s="78"/>
      <c r="B27" s="78"/>
      <c r="C27" s="78"/>
      <c r="D27" s="78"/>
    </row>
    <row r="28" spans="1:5" x14ac:dyDescent="0.25">
      <c r="A28" s="202"/>
      <c r="B28" s="202"/>
      <c r="C28" s="80"/>
      <c r="D28" s="80"/>
    </row>
    <row r="29" spans="1:5" x14ac:dyDescent="0.25">
      <c r="A29" s="201"/>
      <c r="B29" s="202"/>
      <c r="C29" s="80"/>
      <c r="D29" s="80"/>
    </row>
    <row r="30" spans="1:5" x14ac:dyDescent="0.25">
      <c r="A30" s="57"/>
      <c r="B30" s="80"/>
      <c r="C30" s="81"/>
      <c r="D30" s="81"/>
    </row>
    <row r="31" spans="1:5" x14ac:dyDescent="0.25">
      <c r="A31" s="201"/>
      <c r="B31" s="201"/>
      <c r="C31" s="81"/>
      <c r="D31" s="81"/>
    </row>
  </sheetData>
  <mergeCells count="23">
    <mergeCell ref="A2:D2"/>
    <mergeCell ref="A4:D4"/>
    <mergeCell ref="A6:D6"/>
    <mergeCell ref="A8:D8"/>
    <mergeCell ref="C9:D9"/>
    <mergeCell ref="C10:D10"/>
    <mergeCell ref="A11:A13"/>
    <mergeCell ref="C11:D13"/>
    <mergeCell ref="C14:D14"/>
    <mergeCell ref="C15:D15"/>
    <mergeCell ref="A31:B31"/>
    <mergeCell ref="C16:D16"/>
    <mergeCell ref="C24:D24"/>
    <mergeCell ref="C26:D26"/>
    <mergeCell ref="A28:B28"/>
    <mergeCell ref="A29:B29"/>
    <mergeCell ref="A22:B22"/>
    <mergeCell ref="C22:D22"/>
    <mergeCell ref="C17:D17"/>
    <mergeCell ref="C18:D18"/>
    <mergeCell ref="C19:D19"/>
    <mergeCell ref="A21:B21"/>
    <mergeCell ref="C21:D21"/>
  </mergeCells>
  <pageMargins left="0.70866141732283472" right="0.70866141732283472" top="0.74803149606299213" bottom="0.74803149606299213" header="0.31496062992125984" footer="0.31496062992125984"/>
  <pageSetup paperSize="9" scale="91" fitToHeight="0" orientation="portrait" verticalDpi="0" r:id="rId1"/>
  <headerFoot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view="pageBreakPreview" zoomScale="60" zoomScaleNormal="100" workbookViewId="0">
      <selection activeCell="T13" sqref="T13"/>
    </sheetView>
  </sheetViews>
  <sheetFormatPr defaultRowHeight="15" x14ac:dyDescent="0.25"/>
  <cols>
    <col min="1" max="1" width="19.5703125" customWidth="1"/>
    <col min="2" max="2" width="52.42578125" customWidth="1"/>
    <col min="3" max="3" width="9.5703125" style="7" customWidth="1"/>
    <col min="5" max="5" width="25.85546875" style="9" customWidth="1"/>
    <col min="8" max="8" width="7.42578125" bestFit="1" customWidth="1"/>
  </cols>
  <sheetData>
    <row r="1" spans="1:5" ht="15.75" x14ac:dyDescent="0.25">
      <c r="A1" s="1"/>
    </row>
    <row r="2" spans="1:5" ht="14.45" customHeight="1" x14ac:dyDescent="0.25">
      <c r="A2" s="251" t="s">
        <v>0</v>
      </c>
      <c r="B2" s="251"/>
      <c r="C2" s="251"/>
      <c r="D2" s="251"/>
    </row>
    <row r="3" spans="1:5" ht="15.75" x14ac:dyDescent="0.25">
      <c r="D3" s="1"/>
    </row>
    <row r="4" spans="1:5" ht="16.5" customHeight="1" x14ac:dyDescent="0.25">
      <c r="A4" s="252" t="s">
        <v>22</v>
      </c>
      <c r="B4" s="252"/>
      <c r="C4" s="252"/>
      <c r="D4" s="252"/>
    </row>
    <row r="5" spans="1:5" ht="15.75" x14ac:dyDescent="0.25">
      <c r="D5" s="5"/>
    </row>
    <row r="6" spans="1:5" ht="37.5" customHeight="1" x14ac:dyDescent="0.25">
      <c r="A6" s="253" t="s">
        <v>267</v>
      </c>
      <c r="B6" s="253"/>
      <c r="C6" s="253"/>
      <c r="D6" s="253"/>
    </row>
    <row r="7" spans="1:5" ht="15.75" x14ac:dyDescent="0.25">
      <c r="D7" s="6"/>
    </row>
    <row r="8" spans="1:5" ht="16.5" thickBot="1" x14ac:dyDescent="0.3">
      <c r="A8" s="254" t="s">
        <v>1</v>
      </c>
      <c r="B8" s="254"/>
      <c r="C8" s="254"/>
      <c r="D8" s="254"/>
    </row>
    <row r="9" spans="1:5" ht="75.75" customHeight="1" thickBot="1" x14ac:dyDescent="0.3">
      <c r="A9" s="16" t="s">
        <v>2</v>
      </c>
      <c r="B9" s="17" t="s">
        <v>3</v>
      </c>
      <c r="C9" s="255" t="s">
        <v>4</v>
      </c>
      <c r="D9" s="256"/>
    </row>
    <row r="10" spans="1:5" ht="16.5" thickBot="1" x14ac:dyDescent="0.3">
      <c r="A10" s="3"/>
      <c r="B10" s="18" t="s">
        <v>5</v>
      </c>
      <c r="C10" s="257"/>
      <c r="D10" s="258"/>
    </row>
    <row r="11" spans="1:5" ht="81" customHeight="1" thickBot="1" x14ac:dyDescent="0.3">
      <c r="A11" s="163" t="s">
        <v>6</v>
      </c>
      <c r="B11" s="66" t="s">
        <v>559</v>
      </c>
      <c r="C11" s="331">
        <v>115.5</v>
      </c>
      <c r="D11" s="332"/>
    </row>
    <row r="12" spans="1:5" ht="48" thickBot="1" x14ac:dyDescent="0.3">
      <c r="A12" s="167" t="s">
        <v>7</v>
      </c>
      <c r="B12" s="168" t="s">
        <v>209</v>
      </c>
      <c r="C12" s="329">
        <f>C11*0.2359</f>
        <v>27.246449999999999</v>
      </c>
      <c r="D12" s="330"/>
    </row>
    <row r="13" spans="1:5" ht="16.5" thickBot="1" x14ac:dyDescent="0.3">
      <c r="A13" s="27"/>
      <c r="B13" s="20" t="s">
        <v>9</v>
      </c>
      <c r="C13" s="324">
        <f>SUM(C11:D12)</f>
        <v>142.74645000000001</v>
      </c>
      <c r="D13" s="325"/>
      <c r="E13" s="10"/>
    </row>
    <row r="14" spans="1:5" ht="16.5" thickBot="1" x14ac:dyDescent="0.3">
      <c r="A14" s="27"/>
      <c r="B14" s="20" t="s">
        <v>10</v>
      </c>
      <c r="C14" s="262"/>
      <c r="D14" s="263"/>
    </row>
    <row r="15" spans="1:5" ht="142.5" thickBot="1" x14ac:dyDescent="0.3">
      <c r="A15" s="27" t="s">
        <v>12</v>
      </c>
      <c r="B15" s="104" t="s">
        <v>688</v>
      </c>
      <c r="C15" s="262">
        <v>7.3</v>
      </c>
      <c r="D15" s="263"/>
    </row>
    <row r="16" spans="1:5" ht="16.5" thickBot="1" x14ac:dyDescent="0.3">
      <c r="A16" s="3"/>
      <c r="B16" s="18" t="s">
        <v>18</v>
      </c>
      <c r="C16" s="262">
        <f>SUM(C15:C15)</f>
        <v>7.3</v>
      </c>
      <c r="D16" s="263"/>
      <c r="E16" s="11"/>
    </row>
    <row r="17" spans="1:5" ht="16.5" thickBot="1" x14ac:dyDescent="0.3">
      <c r="A17" s="3"/>
      <c r="B17" s="21" t="s">
        <v>19</v>
      </c>
      <c r="C17" s="267">
        <f>SUM(C13,C16)</f>
        <v>150.04645000000002</v>
      </c>
      <c r="D17" s="268"/>
      <c r="E17" s="12"/>
    </row>
    <row r="18" spans="1:5" x14ac:dyDescent="0.25">
      <c r="A18" s="4"/>
      <c r="C18" s="8"/>
      <c r="E18" s="13"/>
    </row>
    <row r="19" spans="1:5" ht="15.75" x14ac:dyDescent="0.25">
      <c r="A19" s="269" t="s">
        <v>20</v>
      </c>
      <c r="B19" s="270"/>
      <c r="C19" s="271">
        <v>10</v>
      </c>
      <c r="D19" s="271"/>
      <c r="E19" s="14"/>
    </row>
    <row r="20" spans="1:5" ht="31.5" customHeight="1" x14ac:dyDescent="0.25">
      <c r="A20" s="264" t="s">
        <v>21</v>
      </c>
      <c r="B20" s="265"/>
      <c r="C20" s="225">
        <f>C17/C19</f>
        <v>15.004645000000002</v>
      </c>
      <c r="D20" s="225"/>
      <c r="E20" s="15"/>
    </row>
    <row r="21" spans="1:5" ht="15.75" x14ac:dyDescent="0.25">
      <c r="A21" s="2"/>
    </row>
    <row r="22" spans="1:5" x14ac:dyDescent="0.25">
      <c r="A22" s="78"/>
      <c r="B22" s="78"/>
      <c r="C22" s="203"/>
      <c r="D22" s="203"/>
    </row>
    <row r="23" spans="1:5" x14ac:dyDescent="0.25">
      <c r="A23" s="78"/>
      <c r="B23" s="78"/>
      <c r="C23" s="79"/>
      <c r="D23" s="78"/>
    </row>
    <row r="24" spans="1:5" x14ac:dyDescent="0.25">
      <c r="A24" s="78"/>
      <c r="B24" s="78"/>
      <c r="C24" s="203"/>
      <c r="D24" s="203"/>
    </row>
    <row r="25" spans="1:5" x14ac:dyDescent="0.25">
      <c r="A25" s="78"/>
      <c r="B25" s="78"/>
      <c r="C25" s="78"/>
      <c r="D25" s="78"/>
    </row>
    <row r="26" spans="1:5" x14ac:dyDescent="0.25">
      <c r="A26" s="202"/>
      <c r="B26" s="202"/>
      <c r="C26" s="80"/>
      <c r="D26" s="80"/>
    </row>
    <row r="27" spans="1:5" x14ac:dyDescent="0.25">
      <c r="A27" s="201"/>
      <c r="B27" s="202"/>
      <c r="C27" s="80"/>
      <c r="D27" s="80"/>
    </row>
    <row r="28" spans="1:5" x14ac:dyDescent="0.25">
      <c r="A28" s="57"/>
      <c r="B28" s="80"/>
      <c r="C28" s="81"/>
      <c r="D28" s="81"/>
    </row>
    <row r="29" spans="1:5" x14ac:dyDescent="0.25">
      <c r="A29" s="201"/>
      <c r="B29" s="201"/>
      <c r="C29" s="81"/>
      <c r="D29" s="81"/>
    </row>
  </sheetData>
  <mergeCells count="22">
    <mergeCell ref="C10:D10"/>
    <mergeCell ref="C12:D12"/>
    <mergeCell ref="C13:D13"/>
    <mergeCell ref="A2:D2"/>
    <mergeCell ref="A4:D4"/>
    <mergeCell ref="A6:D6"/>
    <mergeCell ref="A8:D8"/>
    <mergeCell ref="C9:D9"/>
    <mergeCell ref="C11:D11"/>
    <mergeCell ref="A29:B29"/>
    <mergeCell ref="C14:D14"/>
    <mergeCell ref="C22:D22"/>
    <mergeCell ref="C24:D24"/>
    <mergeCell ref="A26:B26"/>
    <mergeCell ref="A27:B27"/>
    <mergeCell ref="A20:B20"/>
    <mergeCell ref="C20:D20"/>
    <mergeCell ref="C15:D15"/>
    <mergeCell ref="C16:D16"/>
    <mergeCell ref="C17:D17"/>
    <mergeCell ref="A19:B19"/>
    <mergeCell ref="C19:D19"/>
  </mergeCells>
  <pageMargins left="0.70866141732283472" right="0.70866141732283472" top="0.74803149606299213" bottom="0.74803149606299213" header="0.31496062992125984" footer="0.31496062992125984"/>
  <pageSetup paperSize="9" scale="96" fitToHeight="0" orientation="portrait" verticalDpi="0" r:id="rId1"/>
  <headerFoot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view="pageBreakPreview" zoomScale="60" zoomScaleNormal="100" workbookViewId="0">
      <selection activeCell="T13" sqref="T13"/>
    </sheetView>
  </sheetViews>
  <sheetFormatPr defaultRowHeight="15" x14ac:dyDescent="0.25"/>
  <cols>
    <col min="1" max="1" width="19.5703125" customWidth="1"/>
    <col min="2" max="2" width="52.42578125" customWidth="1"/>
    <col min="3" max="3" width="12.7109375" style="7" customWidth="1"/>
    <col min="4" max="4" width="6.42578125" customWidth="1"/>
    <col min="5" max="5" width="25.85546875" style="9" customWidth="1"/>
    <col min="8" max="8" width="7.42578125" bestFit="1" customWidth="1"/>
  </cols>
  <sheetData>
    <row r="1" spans="1:5" ht="15.75" x14ac:dyDescent="0.25">
      <c r="A1" s="1"/>
    </row>
    <row r="2" spans="1:5" ht="14.45" customHeight="1" x14ac:dyDescent="0.25">
      <c r="A2" s="251" t="s">
        <v>0</v>
      </c>
      <c r="B2" s="251"/>
      <c r="C2" s="251"/>
      <c r="D2" s="251"/>
    </row>
    <row r="3" spans="1:5" ht="15.75" x14ac:dyDescent="0.25">
      <c r="D3" s="1"/>
    </row>
    <row r="4" spans="1:5" ht="15.75" customHeight="1" x14ac:dyDescent="0.25">
      <c r="A4" s="252" t="s">
        <v>22</v>
      </c>
      <c r="B4" s="252"/>
      <c r="C4" s="252"/>
      <c r="D4" s="252"/>
    </row>
    <row r="5" spans="1:5" ht="15.75" x14ac:dyDescent="0.25">
      <c r="D5" s="5"/>
    </row>
    <row r="6" spans="1:5" ht="31.5" customHeight="1" x14ac:dyDescent="0.25">
      <c r="A6" s="253" t="s">
        <v>268</v>
      </c>
      <c r="B6" s="253"/>
      <c r="C6" s="253"/>
      <c r="D6" s="253"/>
    </row>
    <row r="7" spans="1:5" ht="15.75" x14ac:dyDescent="0.25">
      <c r="D7" s="6"/>
    </row>
    <row r="8" spans="1:5" ht="16.5" thickBot="1" x14ac:dyDescent="0.3">
      <c r="A8" s="254" t="s">
        <v>1</v>
      </c>
      <c r="B8" s="254"/>
      <c r="C8" s="254"/>
      <c r="D8" s="254"/>
    </row>
    <row r="9" spans="1:5" ht="75.75" customHeight="1" thickBot="1" x14ac:dyDescent="0.3">
      <c r="A9" s="16" t="s">
        <v>2</v>
      </c>
      <c r="B9" s="17" t="s">
        <v>3</v>
      </c>
      <c r="C9" s="255" t="s">
        <v>4</v>
      </c>
      <c r="D9" s="256"/>
    </row>
    <row r="10" spans="1:5" ht="16.5" thickBot="1" x14ac:dyDescent="0.3">
      <c r="A10" s="3"/>
      <c r="B10" s="18" t="s">
        <v>5</v>
      </c>
      <c r="C10" s="257"/>
      <c r="D10" s="258"/>
    </row>
    <row r="11" spans="1:5" ht="77.25" customHeight="1" x14ac:dyDescent="0.25">
      <c r="A11" s="259" t="s">
        <v>6</v>
      </c>
      <c r="B11" s="66" t="s">
        <v>560</v>
      </c>
      <c r="C11" s="262">
        <f>104.16+4.48</f>
        <v>108.64</v>
      </c>
      <c r="D11" s="263"/>
    </row>
    <row r="12" spans="1:5" ht="64.5" customHeight="1" x14ac:dyDescent="0.25">
      <c r="A12" s="260"/>
      <c r="B12" s="106" t="s">
        <v>561</v>
      </c>
      <c r="C12" s="262"/>
      <c r="D12" s="263"/>
    </row>
    <row r="13" spans="1:5" ht="16.5" thickBot="1" x14ac:dyDescent="0.3">
      <c r="A13" s="261"/>
      <c r="B13" s="19" t="s">
        <v>463</v>
      </c>
      <c r="C13" s="262"/>
      <c r="D13" s="263"/>
    </row>
    <row r="14" spans="1:5" ht="48" thickBot="1" x14ac:dyDescent="0.3">
      <c r="A14" s="27" t="s">
        <v>7</v>
      </c>
      <c r="B14" s="19" t="s">
        <v>209</v>
      </c>
      <c r="C14" s="262">
        <f>C11*0.2359</f>
        <v>25.628176</v>
      </c>
      <c r="D14" s="263"/>
    </row>
    <row r="15" spans="1:5" ht="16.5" thickBot="1" x14ac:dyDescent="0.3">
      <c r="A15" s="27"/>
      <c r="B15" s="20" t="s">
        <v>9</v>
      </c>
      <c r="C15" s="262">
        <f>SUM(C11:D14)</f>
        <v>134.26817600000001</v>
      </c>
      <c r="D15" s="263"/>
      <c r="E15" s="10"/>
    </row>
    <row r="16" spans="1:5" ht="16.5" thickBot="1" x14ac:dyDescent="0.3">
      <c r="A16" s="27"/>
      <c r="B16" s="20" t="s">
        <v>10</v>
      </c>
      <c r="C16" s="262"/>
      <c r="D16" s="263"/>
    </row>
    <row r="17" spans="1:5" ht="32.25" thickBot="1" x14ac:dyDescent="0.3">
      <c r="A17" s="105" t="s">
        <v>12</v>
      </c>
      <c r="B17" s="102" t="s">
        <v>462</v>
      </c>
      <c r="C17" s="262">
        <f>155/1900*28</f>
        <v>2.2842105263157895</v>
      </c>
      <c r="D17" s="263"/>
    </row>
    <row r="18" spans="1:5" ht="32.25" thickBot="1" x14ac:dyDescent="0.3">
      <c r="A18" s="105" t="s">
        <v>379</v>
      </c>
      <c r="B18" s="98" t="s">
        <v>562</v>
      </c>
      <c r="C18" s="262">
        <f>655/1900*10</f>
        <v>3.4473684210526319</v>
      </c>
      <c r="D18" s="263"/>
    </row>
    <row r="19" spans="1:5" ht="16.5" thickBot="1" x14ac:dyDescent="0.3">
      <c r="A19" s="3"/>
      <c r="B19" s="18" t="s">
        <v>18</v>
      </c>
      <c r="C19" s="262">
        <f>SUM(C17:C18)</f>
        <v>5.7315789473684209</v>
      </c>
      <c r="D19" s="263"/>
      <c r="E19" s="11"/>
    </row>
    <row r="20" spans="1:5" ht="16.5" thickBot="1" x14ac:dyDescent="0.3">
      <c r="A20" s="3"/>
      <c r="B20" s="21" t="s">
        <v>19</v>
      </c>
      <c r="C20" s="267">
        <f>SUM(C15,C19)</f>
        <v>139.99975494736844</v>
      </c>
      <c r="D20" s="268"/>
      <c r="E20" s="12"/>
    </row>
    <row r="21" spans="1:5" x14ac:dyDescent="0.25">
      <c r="A21" s="4"/>
      <c r="C21" s="8"/>
      <c r="E21" s="13"/>
    </row>
    <row r="22" spans="1:5" ht="15.75" x14ac:dyDescent="0.25">
      <c r="A22" s="269" t="s">
        <v>20</v>
      </c>
      <c r="B22" s="270"/>
      <c r="C22" s="271">
        <v>28</v>
      </c>
      <c r="D22" s="271"/>
      <c r="E22" s="14"/>
    </row>
    <row r="23" spans="1:5" ht="33.75" customHeight="1" x14ac:dyDescent="0.25">
      <c r="A23" s="264" t="s">
        <v>21</v>
      </c>
      <c r="B23" s="265"/>
      <c r="C23" s="225">
        <f>C20/C22</f>
        <v>4.9999912481203017</v>
      </c>
      <c r="D23" s="225"/>
      <c r="E23" s="15"/>
    </row>
    <row r="24" spans="1:5" ht="15.75" x14ac:dyDescent="0.25">
      <c r="A24" s="2"/>
      <c r="C24" s="139"/>
    </row>
    <row r="25" spans="1:5" x14ac:dyDescent="0.25">
      <c r="A25" s="78"/>
      <c r="B25" s="78"/>
      <c r="C25" s="203"/>
      <c r="D25" s="203"/>
    </row>
    <row r="26" spans="1:5" x14ac:dyDescent="0.25">
      <c r="A26" s="78"/>
      <c r="B26" s="78"/>
      <c r="C26" s="79"/>
      <c r="D26" s="78"/>
    </row>
    <row r="27" spans="1:5" x14ac:dyDescent="0.25">
      <c r="A27" s="78"/>
      <c r="B27" s="78"/>
      <c r="C27" s="203"/>
      <c r="D27" s="203"/>
    </row>
    <row r="28" spans="1:5" x14ac:dyDescent="0.25">
      <c r="A28" s="78"/>
      <c r="B28" s="78"/>
      <c r="C28" s="78"/>
      <c r="D28" s="78"/>
    </row>
    <row r="29" spans="1:5" x14ac:dyDescent="0.25">
      <c r="A29" s="202"/>
      <c r="B29" s="202"/>
      <c r="C29" s="80"/>
      <c r="D29" s="80"/>
    </row>
    <row r="30" spans="1:5" x14ac:dyDescent="0.25">
      <c r="A30" s="201"/>
      <c r="B30" s="202"/>
      <c r="C30" s="80"/>
      <c r="D30" s="80"/>
    </row>
    <row r="31" spans="1:5" x14ac:dyDescent="0.25">
      <c r="A31" s="57"/>
      <c r="B31" s="80"/>
      <c r="C31" s="81"/>
      <c r="D31" s="81"/>
    </row>
    <row r="32" spans="1:5" x14ac:dyDescent="0.25">
      <c r="A32" s="201"/>
      <c r="B32" s="201"/>
      <c r="C32" s="81"/>
      <c r="D32" s="81"/>
    </row>
  </sheetData>
  <mergeCells count="24">
    <mergeCell ref="A2:D2"/>
    <mergeCell ref="A4:D4"/>
    <mergeCell ref="A6:D6"/>
    <mergeCell ref="A8:D8"/>
    <mergeCell ref="C9:D9"/>
    <mergeCell ref="C10:D10"/>
    <mergeCell ref="A11:A13"/>
    <mergeCell ref="C11:D13"/>
    <mergeCell ref="C14:D14"/>
    <mergeCell ref="C15:D15"/>
    <mergeCell ref="A32:B32"/>
    <mergeCell ref="C16:D16"/>
    <mergeCell ref="C25:D25"/>
    <mergeCell ref="C27:D27"/>
    <mergeCell ref="A29:B29"/>
    <mergeCell ref="A30:B30"/>
    <mergeCell ref="A23:B23"/>
    <mergeCell ref="C23:D23"/>
    <mergeCell ref="C18:D18"/>
    <mergeCell ref="C19:D19"/>
    <mergeCell ref="C20:D20"/>
    <mergeCell ref="A22:B22"/>
    <mergeCell ref="C22:D22"/>
    <mergeCell ref="C17:D17"/>
  </mergeCells>
  <pageMargins left="0.70866141732283472" right="0.70866141732283472" top="0.74803149606299213" bottom="0.74803149606299213" header="0.31496062992125984" footer="0.31496062992125984"/>
  <pageSetup paperSize="9" scale="96" fitToHeight="0" orientation="portrait" verticalDpi="0" r:id="rId1"/>
  <headerFoot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60" zoomScaleNormal="100" workbookViewId="0">
      <selection activeCell="T13" sqref="T13"/>
    </sheetView>
  </sheetViews>
  <sheetFormatPr defaultRowHeight="15" x14ac:dyDescent="0.25"/>
  <cols>
    <col min="1" max="1" width="19.5703125" customWidth="1"/>
    <col min="2" max="2" width="52.42578125" customWidth="1"/>
    <col min="3" max="3" width="18.42578125" style="7" customWidth="1"/>
    <col min="4" max="4" width="3.42578125" customWidth="1"/>
    <col min="5" max="5" width="25.85546875" style="9" customWidth="1"/>
    <col min="8" max="8" width="7.42578125" bestFit="1" customWidth="1"/>
  </cols>
  <sheetData>
    <row r="1" spans="1:5" ht="15.75" x14ac:dyDescent="0.25">
      <c r="A1" s="1"/>
    </row>
    <row r="2" spans="1:5" ht="14.45" customHeight="1" x14ac:dyDescent="0.25">
      <c r="A2" s="251" t="s">
        <v>0</v>
      </c>
      <c r="B2" s="251"/>
      <c r="C2" s="251"/>
      <c r="D2" s="251"/>
    </row>
    <row r="3" spans="1:5" ht="15.75" x14ac:dyDescent="0.25">
      <c r="D3" s="1"/>
    </row>
    <row r="4" spans="1:5" ht="15.75" customHeight="1" x14ac:dyDescent="0.25">
      <c r="A4" s="252" t="s">
        <v>22</v>
      </c>
      <c r="B4" s="252"/>
      <c r="C4" s="252"/>
      <c r="D4" s="252"/>
    </row>
    <row r="5" spans="1:5" ht="15.75" x14ac:dyDescent="0.25">
      <c r="D5" s="5"/>
    </row>
    <row r="6" spans="1:5" ht="33" customHeight="1" x14ac:dyDescent="0.25">
      <c r="A6" s="253" t="s">
        <v>269</v>
      </c>
      <c r="B6" s="253"/>
      <c r="C6" s="253"/>
      <c r="D6" s="253"/>
    </row>
    <row r="7" spans="1:5" ht="15.75" x14ac:dyDescent="0.25">
      <c r="D7" s="6"/>
    </row>
    <row r="8" spans="1:5" ht="16.5" thickBot="1" x14ac:dyDescent="0.3">
      <c r="A8" s="254" t="s">
        <v>1</v>
      </c>
      <c r="B8" s="254"/>
      <c r="C8" s="254"/>
      <c r="D8" s="254"/>
    </row>
    <row r="9" spans="1:5" ht="61.5" customHeight="1" thickBot="1" x14ac:dyDescent="0.3">
      <c r="A9" s="16" t="s">
        <v>2</v>
      </c>
      <c r="B9" s="17" t="s">
        <v>3</v>
      </c>
      <c r="C9" s="255" t="s">
        <v>4</v>
      </c>
      <c r="D9" s="256"/>
    </row>
    <row r="10" spans="1:5" ht="16.5" thickBot="1" x14ac:dyDescent="0.3">
      <c r="A10" s="3"/>
      <c r="B10" s="18" t="s">
        <v>5</v>
      </c>
      <c r="C10" s="257"/>
      <c r="D10" s="258"/>
    </row>
    <row r="11" spans="1:5" ht="65.25" customHeight="1" x14ac:dyDescent="0.25">
      <c r="A11" s="259" t="s">
        <v>6</v>
      </c>
      <c r="B11" s="123" t="s">
        <v>689</v>
      </c>
      <c r="C11" s="262">
        <f>21+6</f>
        <v>27</v>
      </c>
      <c r="D11" s="263"/>
    </row>
    <row r="12" spans="1:5" ht="81.75" customHeight="1" x14ac:dyDescent="0.25">
      <c r="A12" s="260"/>
      <c r="B12" s="123" t="s">
        <v>690</v>
      </c>
      <c r="C12" s="262"/>
      <c r="D12" s="263"/>
    </row>
    <row r="13" spans="1:5" ht="16.5" thickBot="1" x14ac:dyDescent="0.3">
      <c r="A13" s="261"/>
      <c r="B13" s="104" t="s">
        <v>691</v>
      </c>
      <c r="C13" s="262"/>
      <c r="D13" s="263"/>
    </row>
    <row r="14" spans="1:5" ht="48" thickBot="1" x14ac:dyDescent="0.3">
      <c r="A14" s="27" t="s">
        <v>7</v>
      </c>
      <c r="B14" s="19" t="s">
        <v>209</v>
      </c>
      <c r="C14" s="262">
        <f>C11*0.2359</f>
        <v>6.3693</v>
      </c>
      <c r="D14" s="263"/>
    </row>
    <row r="15" spans="1:5" ht="16.5" thickBot="1" x14ac:dyDescent="0.3">
      <c r="A15" s="27"/>
      <c r="B15" s="20" t="s">
        <v>9</v>
      </c>
      <c r="C15" s="262">
        <f>SUM(C11:D14)</f>
        <v>33.369300000000003</v>
      </c>
      <c r="D15" s="263"/>
      <c r="E15" s="10"/>
    </row>
    <row r="16" spans="1:5" ht="16.5" thickBot="1" x14ac:dyDescent="0.3">
      <c r="A16" s="27"/>
      <c r="B16" s="20" t="s">
        <v>10</v>
      </c>
      <c r="C16" s="262"/>
      <c r="D16" s="263"/>
    </row>
    <row r="17" spans="1:5" ht="32.25" thickBot="1" x14ac:dyDescent="0.3">
      <c r="A17" s="27" t="s">
        <v>12</v>
      </c>
      <c r="B17" s="98" t="s">
        <v>563</v>
      </c>
      <c r="C17" s="262">
        <f>111/1900*28</f>
        <v>1.6357894736842107</v>
      </c>
      <c r="D17" s="263"/>
    </row>
    <row r="18" spans="1:5" ht="16.5" thickBot="1" x14ac:dyDescent="0.3">
      <c r="A18" s="3"/>
      <c r="B18" s="18" t="s">
        <v>18</v>
      </c>
      <c r="C18" s="262">
        <f>SUM(C17:C17)</f>
        <v>1.6357894736842107</v>
      </c>
      <c r="D18" s="263"/>
      <c r="E18" s="11"/>
    </row>
    <row r="19" spans="1:5" ht="16.5" thickBot="1" x14ac:dyDescent="0.3">
      <c r="A19" s="3"/>
      <c r="B19" s="21" t="s">
        <v>19</v>
      </c>
      <c r="C19" s="267">
        <f>SUM(C15,C18)</f>
        <v>35.005089473684215</v>
      </c>
      <c r="D19" s="268"/>
      <c r="E19" s="12"/>
    </row>
    <row r="20" spans="1:5" x14ac:dyDescent="0.25">
      <c r="A20" s="4"/>
      <c r="C20" s="8"/>
      <c r="E20" s="13"/>
    </row>
    <row r="21" spans="1:5" ht="15.75" x14ac:dyDescent="0.25">
      <c r="A21" s="269" t="s">
        <v>20</v>
      </c>
      <c r="B21" s="270"/>
      <c r="C21" s="271">
        <v>5</v>
      </c>
      <c r="D21" s="271"/>
      <c r="E21" s="14"/>
    </row>
    <row r="22" spans="1:5" ht="32.25" customHeight="1" x14ac:dyDescent="0.25">
      <c r="A22" s="264" t="s">
        <v>21</v>
      </c>
      <c r="B22" s="265"/>
      <c r="C22" s="225">
        <f>C19/C21</f>
        <v>7.0010178947368429</v>
      </c>
      <c r="D22" s="225"/>
      <c r="E22" s="15"/>
    </row>
    <row r="23" spans="1:5" ht="15.75" x14ac:dyDescent="0.25">
      <c r="A23" s="2"/>
    </row>
    <row r="24" spans="1:5" x14ac:dyDescent="0.25">
      <c r="A24" s="78"/>
      <c r="B24" s="78"/>
      <c r="C24" s="203"/>
      <c r="D24" s="203"/>
    </row>
    <row r="25" spans="1:5" x14ac:dyDescent="0.25">
      <c r="A25" s="78"/>
      <c r="B25" s="78"/>
      <c r="C25" s="79"/>
      <c r="D25" s="78"/>
    </row>
    <row r="26" spans="1:5" x14ac:dyDescent="0.25">
      <c r="A26" s="78"/>
      <c r="B26" s="78"/>
      <c r="C26" s="203"/>
      <c r="D26" s="203"/>
    </row>
    <row r="27" spans="1:5" x14ac:dyDescent="0.25">
      <c r="A27" s="78"/>
      <c r="B27" s="78"/>
      <c r="C27" s="78"/>
      <c r="D27" s="78"/>
    </row>
    <row r="28" spans="1:5" x14ac:dyDescent="0.25">
      <c r="A28" s="202"/>
      <c r="B28" s="202"/>
      <c r="C28" s="80"/>
      <c r="D28" s="80"/>
    </row>
    <row r="29" spans="1:5" x14ac:dyDescent="0.25">
      <c r="A29" s="201"/>
      <c r="B29" s="202"/>
      <c r="C29" s="80"/>
      <c r="D29" s="80"/>
    </row>
    <row r="30" spans="1:5" x14ac:dyDescent="0.25">
      <c r="A30" s="57"/>
      <c r="B30" s="80"/>
      <c r="C30" s="81"/>
      <c r="D30" s="81"/>
    </row>
    <row r="31" spans="1:5" x14ac:dyDescent="0.25">
      <c r="A31" s="201"/>
      <c r="B31" s="201"/>
      <c r="C31" s="81"/>
      <c r="D31" s="81"/>
    </row>
  </sheetData>
  <mergeCells count="23">
    <mergeCell ref="A2:D2"/>
    <mergeCell ref="A4:D4"/>
    <mergeCell ref="A6:D6"/>
    <mergeCell ref="A8:D8"/>
    <mergeCell ref="C9:D9"/>
    <mergeCell ref="C10:D10"/>
    <mergeCell ref="A11:A13"/>
    <mergeCell ref="C11:D13"/>
    <mergeCell ref="C14:D14"/>
    <mergeCell ref="C15:D15"/>
    <mergeCell ref="A31:B31"/>
    <mergeCell ref="C16:D16"/>
    <mergeCell ref="C24:D24"/>
    <mergeCell ref="C26:D26"/>
    <mergeCell ref="A28:B28"/>
    <mergeCell ref="A29:B29"/>
    <mergeCell ref="A22:B22"/>
    <mergeCell ref="C22:D22"/>
    <mergeCell ref="C17:D17"/>
    <mergeCell ref="C18:D18"/>
    <mergeCell ref="C19:D19"/>
    <mergeCell ref="A21:B21"/>
    <mergeCell ref="C21:D21"/>
  </mergeCells>
  <pageMargins left="0.70866141732283472" right="0.70866141732283472" top="0.74803149606299213" bottom="0.74803149606299213" header="0.31496062992125984" footer="0.31496062992125984"/>
  <pageSetup paperSize="9" scale="93" fitToHeight="0" orientation="portrait" verticalDpi="0"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view="pageBreakPreview" topLeftCell="A4" zoomScale="70" zoomScaleNormal="100" zoomScaleSheetLayoutView="70" workbookViewId="0">
      <selection activeCell="A5" sqref="A5:XFD5"/>
    </sheetView>
  </sheetViews>
  <sheetFormatPr defaultRowHeight="15" x14ac:dyDescent="0.25"/>
  <cols>
    <col min="1" max="1" width="19.5703125" customWidth="1"/>
    <col min="2" max="2" width="52.42578125" customWidth="1"/>
    <col min="3" max="3" width="12" style="7" customWidth="1"/>
    <col min="4" max="4" width="7" customWidth="1"/>
    <col min="5" max="5" width="25.85546875" style="9" customWidth="1"/>
    <col min="8" max="8" width="7.42578125" bestFit="1" customWidth="1"/>
  </cols>
  <sheetData>
    <row r="1" spans="1:5" ht="14.45" customHeight="1" x14ac:dyDescent="0.25">
      <c r="A1" s="251" t="s">
        <v>0</v>
      </c>
      <c r="B1" s="251"/>
      <c r="C1" s="251"/>
      <c r="D1" s="251"/>
    </row>
    <row r="2" spans="1:5" ht="15.75" x14ac:dyDescent="0.25">
      <c r="D2" s="1"/>
    </row>
    <row r="3" spans="1:5" ht="17.25" customHeight="1" x14ac:dyDescent="0.25">
      <c r="A3" s="252" t="s">
        <v>22</v>
      </c>
      <c r="B3" s="252"/>
      <c r="C3" s="252"/>
      <c r="D3" s="252"/>
    </row>
    <row r="4" spans="1:5" ht="47.25" customHeight="1" x14ac:dyDescent="0.25">
      <c r="A4" s="253" t="s">
        <v>237</v>
      </c>
      <c r="B4" s="253"/>
      <c r="C4" s="253"/>
      <c r="D4" s="253"/>
    </row>
    <row r="5" spans="1:5" ht="16.5" thickBot="1" x14ac:dyDescent="0.3">
      <c r="A5" s="254" t="s">
        <v>1</v>
      </c>
      <c r="B5" s="254"/>
      <c r="C5" s="254"/>
      <c r="D5" s="254"/>
    </row>
    <row r="6" spans="1:5" ht="75.75" customHeight="1" thickBot="1" x14ac:dyDescent="0.3">
      <c r="A6" s="16" t="s">
        <v>2</v>
      </c>
      <c r="B6" s="17" t="s">
        <v>3</v>
      </c>
      <c r="C6" s="255" t="s">
        <v>4</v>
      </c>
      <c r="D6" s="256"/>
    </row>
    <row r="7" spans="1:5" ht="16.5" thickBot="1" x14ac:dyDescent="0.3">
      <c r="A7" s="3"/>
      <c r="B7" s="18" t="s">
        <v>5</v>
      </c>
      <c r="C7" s="257"/>
      <c r="D7" s="258"/>
    </row>
    <row r="8" spans="1:5" ht="63" customHeight="1" x14ac:dyDescent="0.25">
      <c r="A8" s="259" t="s">
        <v>6</v>
      </c>
      <c r="B8" s="66" t="s">
        <v>497</v>
      </c>
      <c r="C8" s="262">
        <v>1351.24</v>
      </c>
      <c r="D8" s="263"/>
    </row>
    <row r="9" spans="1:5" ht="65.25" customHeight="1" x14ac:dyDescent="0.25">
      <c r="A9" s="260"/>
      <c r="B9" s="64" t="s">
        <v>498</v>
      </c>
      <c r="C9" s="262"/>
      <c r="D9" s="263"/>
    </row>
    <row r="10" spans="1:5" ht="16.5" thickBot="1" x14ac:dyDescent="0.3">
      <c r="A10" s="261"/>
      <c r="B10" s="19" t="s">
        <v>455</v>
      </c>
      <c r="C10" s="262"/>
      <c r="D10" s="263"/>
    </row>
    <row r="11" spans="1:5" ht="48" thickBot="1" x14ac:dyDescent="0.3">
      <c r="A11" s="24" t="s">
        <v>7</v>
      </c>
      <c r="B11" s="19" t="s">
        <v>209</v>
      </c>
      <c r="C11" s="262">
        <f>C8*0.2359</f>
        <v>318.75751600000001</v>
      </c>
      <c r="D11" s="263"/>
    </row>
    <row r="12" spans="1:5" ht="16.5" thickBot="1" x14ac:dyDescent="0.3">
      <c r="A12" s="24"/>
      <c r="B12" s="20" t="s">
        <v>9</v>
      </c>
      <c r="C12" s="262">
        <f>SUM(C8:D11)</f>
        <v>1669.9975159999999</v>
      </c>
      <c r="D12" s="263"/>
      <c r="E12" s="10"/>
    </row>
    <row r="13" spans="1:5" ht="16.5" thickBot="1" x14ac:dyDescent="0.3">
      <c r="A13" s="24"/>
      <c r="B13" s="20" t="s">
        <v>10</v>
      </c>
      <c r="C13" s="262"/>
      <c r="D13" s="263"/>
    </row>
    <row r="14" spans="1:5" ht="144.75" customHeight="1" thickBot="1" x14ac:dyDescent="0.3">
      <c r="A14" s="24" t="s">
        <v>12</v>
      </c>
      <c r="B14" s="67" t="s">
        <v>454</v>
      </c>
      <c r="C14" s="262">
        <f>859.88+1658.34+61.42</f>
        <v>2579.64</v>
      </c>
      <c r="D14" s="263"/>
    </row>
    <row r="15" spans="1:5" ht="63.75" thickBot="1" x14ac:dyDescent="0.3">
      <c r="A15" s="24" t="s">
        <v>13</v>
      </c>
      <c r="B15" s="19" t="s">
        <v>441</v>
      </c>
      <c r="C15" s="262">
        <v>5036.4399999999996</v>
      </c>
      <c r="D15" s="263"/>
    </row>
    <row r="16" spans="1:5" ht="32.25" thickBot="1" x14ac:dyDescent="0.3">
      <c r="A16" s="24" t="s">
        <v>17</v>
      </c>
      <c r="B16" s="19" t="s">
        <v>440</v>
      </c>
      <c r="C16" s="262">
        <v>6080.58</v>
      </c>
      <c r="D16" s="263"/>
    </row>
    <row r="17" spans="1:5" ht="16.5" thickBot="1" x14ac:dyDescent="0.3">
      <c r="A17" s="3"/>
      <c r="B17" s="18" t="s">
        <v>18</v>
      </c>
      <c r="C17" s="262">
        <f>SUM(C14:C16)</f>
        <v>13696.66</v>
      </c>
      <c r="D17" s="263"/>
      <c r="E17" s="11"/>
    </row>
    <row r="18" spans="1:5" ht="16.5" thickBot="1" x14ac:dyDescent="0.3">
      <c r="A18" s="3"/>
      <c r="B18" s="21" t="s">
        <v>19</v>
      </c>
      <c r="C18" s="267">
        <f>SUM(C12,C17)</f>
        <v>15366.657515999999</v>
      </c>
      <c r="D18" s="268"/>
      <c r="E18" s="12"/>
    </row>
    <row r="19" spans="1:5" x14ac:dyDescent="0.25">
      <c r="A19" s="4"/>
      <c r="C19" s="8"/>
      <c r="E19" s="13"/>
    </row>
    <row r="20" spans="1:5" ht="15.75" x14ac:dyDescent="0.25">
      <c r="A20" s="269" t="s">
        <v>20</v>
      </c>
      <c r="B20" s="270"/>
      <c r="C20" s="271">
        <v>6142</v>
      </c>
      <c r="D20" s="271"/>
      <c r="E20" s="14"/>
    </row>
    <row r="21" spans="1:5" ht="31.5" customHeight="1" x14ac:dyDescent="0.25">
      <c r="A21" s="264" t="s">
        <v>21</v>
      </c>
      <c r="B21" s="265"/>
      <c r="C21" s="266">
        <f>C18/C20</f>
        <v>2.5018979999999997</v>
      </c>
      <c r="D21" s="266"/>
      <c r="E21" s="15"/>
    </row>
    <row r="22" spans="1:5" ht="15.75" x14ac:dyDescent="0.25">
      <c r="A22" s="2"/>
    </row>
    <row r="23" spans="1:5" x14ac:dyDescent="0.25">
      <c r="A23" s="78"/>
      <c r="B23" s="78"/>
      <c r="C23" s="203"/>
      <c r="D23" s="203"/>
    </row>
    <row r="24" spans="1:5" x14ac:dyDescent="0.25">
      <c r="A24" s="78"/>
      <c r="B24" s="78"/>
      <c r="C24" s="79"/>
      <c r="D24" s="78"/>
    </row>
    <row r="25" spans="1:5" x14ac:dyDescent="0.25">
      <c r="A25" s="78"/>
      <c r="B25" s="78"/>
      <c r="C25" s="203"/>
      <c r="D25" s="203"/>
    </row>
    <row r="26" spans="1:5" x14ac:dyDescent="0.25">
      <c r="A26" s="78"/>
      <c r="B26" s="78"/>
      <c r="C26" s="78"/>
      <c r="D26" s="78"/>
    </row>
    <row r="27" spans="1:5" x14ac:dyDescent="0.25">
      <c r="A27" s="202"/>
      <c r="B27" s="202"/>
      <c r="C27" s="80"/>
      <c r="D27" s="80"/>
    </row>
    <row r="28" spans="1:5" x14ac:dyDescent="0.25">
      <c r="A28" s="201"/>
      <c r="B28" s="202"/>
      <c r="C28" s="80"/>
      <c r="D28" s="80"/>
    </row>
    <row r="29" spans="1:5" x14ac:dyDescent="0.25">
      <c r="A29" s="57"/>
      <c r="B29" s="80"/>
      <c r="C29" s="81"/>
      <c r="D29" s="81"/>
    </row>
    <row r="30" spans="1:5" x14ac:dyDescent="0.25">
      <c r="A30" s="201"/>
      <c r="B30" s="201"/>
      <c r="C30" s="81"/>
      <c r="D30" s="81"/>
    </row>
  </sheetData>
  <mergeCells count="25">
    <mergeCell ref="C13:D13"/>
    <mergeCell ref="A21:B21"/>
    <mergeCell ref="C21:D21"/>
    <mergeCell ref="C14:D14"/>
    <mergeCell ref="C15:D15"/>
    <mergeCell ref="C16:D16"/>
    <mergeCell ref="C17:D17"/>
    <mergeCell ref="C18:D18"/>
    <mergeCell ref="A20:B20"/>
    <mergeCell ref="C20:D20"/>
    <mergeCell ref="C7:D7"/>
    <mergeCell ref="A8:A10"/>
    <mergeCell ref="C8:D10"/>
    <mergeCell ref="C11:D11"/>
    <mergeCell ref="C12:D12"/>
    <mergeCell ref="A1:D1"/>
    <mergeCell ref="A3:D3"/>
    <mergeCell ref="A4:D4"/>
    <mergeCell ref="A5:D5"/>
    <mergeCell ref="C6:D6"/>
    <mergeCell ref="C23:D23"/>
    <mergeCell ref="C25:D25"/>
    <mergeCell ref="A27:B27"/>
    <mergeCell ref="A28:B28"/>
    <mergeCell ref="A30:B30"/>
  </mergeCells>
  <pageMargins left="0.70866141732283472" right="0.70866141732283472" top="0.74803149606299213" bottom="0.74803149606299213" header="0.31496062992125984" footer="0.31496062992125984"/>
  <pageSetup paperSize="9" scale="96" fitToHeight="0" orientation="portrait" r:id="rId1"/>
  <headerFoot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60" zoomScaleNormal="100" workbookViewId="0">
      <selection activeCell="T13" sqref="T13"/>
    </sheetView>
  </sheetViews>
  <sheetFormatPr defaultRowHeight="15" x14ac:dyDescent="0.25"/>
  <cols>
    <col min="1" max="1" width="19.5703125" customWidth="1"/>
    <col min="2" max="2" width="52.42578125" customWidth="1"/>
    <col min="3" max="3" width="10.7109375" style="7" customWidth="1"/>
    <col min="4" max="4" width="6.5703125" customWidth="1"/>
    <col min="5" max="5" width="25.85546875" style="9" customWidth="1"/>
    <col min="8" max="8" width="7.42578125" bestFit="1" customWidth="1"/>
  </cols>
  <sheetData>
    <row r="1" spans="1:5" ht="15.75" x14ac:dyDescent="0.25">
      <c r="A1" s="1"/>
    </row>
    <row r="2" spans="1:5" ht="14.45" customHeight="1" x14ac:dyDescent="0.25">
      <c r="A2" s="251" t="s">
        <v>0</v>
      </c>
      <c r="B2" s="251"/>
      <c r="C2" s="251"/>
      <c r="D2" s="251"/>
    </row>
    <row r="3" spans="1:5" ht="15.75" x14ac:dyDescent="0.25">
      <c r="D3" s="1"/>
    </row>
    <row r="4" spans="1:5" ht="15" customHeight="1" x14ac:dyDescent="0.25">
      <c r="A4" s="252" t="s">
        <v>22</v>
      </c>
      <c r="B4" s="252"/>
      <c r="C4" s="252"/>
      <c r="D4" s="252"/>
    </row>
    <row r="5" spans="1:5" ht="15.75" x14ac:dyDescent="0.25">
      <c r="D5" s="5"/>
    </row>
    <row r="6" spans="1:5" ht="32.25" customHeight="1" x14ac:dyDescent="0.25">
      <c r="A6" s="328" t="s">
        <v>270</v>
      </c>
      <c r="B6" s="328"/>
      <c r="C6" s="328"/>
      <c r="D6" s="328"/>
    </row>
    <row r="7" spans="1:5" ht="15.75" x14ac:dyDescent="0.25">
      <c r="D7" s="6"/>
    </row>
    <row r="8" spans="1:5" ht="16.5" thickBot="1" x14ac:dyDescent="0.3">
      <c r="A8" s="254" t="s">
        <v>1</v>
      </c>
      <c r="B8" s="254"/>
      <c r="C8" s="254"/>
      <c r="D8" s="254"/>
    </row>
    <row r="9" spans="1:5" ht="82.5" customHeight="1" thickBot="1" x14ac:dyDescent="0.3">
      <c r="A9" s="16" t="s">
        <v>2</v>
      </c>
      <c r="B9" s="17" t="s">
        <v>3</v>
      </c>
      <c r="C9" s="255" t="s">
        <v>4</v>
      </c>
      <c r="D9" s="256"/>
    </row>
    <row r="10" spans="1:5" ht="16.5" thickBot="1" x14ac:dyDescent="0.3">
      <c r="A10" s="3"/>
      <c r="B10" s="18" t="s">
        <v>5</v>
      </c>
      <c r="C10" s="257"/>
      <c r="D10" s="258"/>
    </row>
    <row r="11" spans="1:5" ht="63.75" customHeight="1" x14ac:dyDescent="0.25">
      <c r="A11" s="259" t="s">
        <v>6</v>
      </c>
      <c r="B11" s="66" t="s">
        <v>565</v>
      </c>
      <c r="C11" s="262">
        <f>3.9+0.08</f>
        <v>3.98</v>
      </c>
      <c r="D11" s="263"/>
    </row>
    <row r="12" spans="1:5" ht="64.5" customHeight="1" x14ac:dyDescent="0.25">
      <c r="A12" s="260"/>
      <c r="B12" s="64" t="s">
        <v>564</v>
      </c>
      <c r="C12" s="262"/>
      <c r="D12" s="263"/>
    </row>
    <row r="13" spans="1:5" ht="16.5" thickBot="1" x14ac:dyDescent="0.3">
      <c r="A13" s="261"/>
      <c r="B13" s="19" t="s">
        <v>384</v>
      </c>
      <c r="C13" s="262"/>
      <c r="D13" s="263"/>
    </row>
    <row r="14" spans="1:5" ht="48" thickBot="1" x14ac:dyDescent="0.3">
      <c r="A14" s="28" t="s">
        <v>7</v>
      </c>
      <c r="B14" s="19" t="s">
        <v>209</v>
      </c>
      <c r="C14" s="262">
        <f>C11*0.2359</f>
        <v>0.93888199999999999</v>
      </c>
      <c r="D14" s="263"/>
    </row>
    <row r="15" spans="1:5" ht="16.5" thickBot="1" x14ac:dyDescent="0.3">
      <c r="A15" s="28"/>
      <c r="B15" s="20" t="s">
        <v>9</v>
      </c>
      <c r="C15" s="262">
        <f>SUM(C11:D14)</f>
        <v>4.918882</v>
      </c>
      <c r="D15" s="263"/>
      <c r="E15" s="10"/>
    </row>
    <row r="16" spans="1:5" ht="16.5" thickBot="1" x14ac:dyDescent="0.3">
      <c r="A16" s="28"/>
      <c r="B16" s="20" t="s">
        <v>10</v>
      </c>
      <c r="C16" s="262"/>
      <c r="D16" s="263"/>
    </row>
    <row r="17" spans="1:5" ht="32.25" thickBot="1" x14ac:dyDescent="0.3">
      <c r="A17" s="28" t="s">
        <v>12</v>
      </c>
      <c r="B17" s="102" t="s">
        <v>383</v>
      </c>
      <c r="C17" s="262">
        <f>155/1900*1</f>
        <v>8.1578947368421056E-2</v>
      </c>
      <c r="D17" s="263"/>
    </row>
    <row r="18" spans="1:5" ht="16.5" thickBot="1" x14ac:dyDescent="0.3">
      <c r="A18" s="3"/>
      <c r="B18" s="18" t="s">
        <v>18</v>
      </c>
      <c r="C18" s="262">
        <f>SUM(C17:C17)</f>
        <v>8.1578947368421056E-2</v>
      </c>
      <c r="D18" s="263"/>
      <c r="E18" s="11"/>
    </row>
    <row r="19" spans="1:5" ht="16.5" thickBot="1" x14ac:dyDescent="0.3">
      <c r="A19" s="3"/>
      <c r="B19" s="21" t="s">
        <v>19</v>
      </c>
      <c r="C19" s="267">
        <f>SUM(C15,C18)</f>
        <v>5.0004609473684214</v>
      </c>
      <c r="D19" s="268"/>
      <c r="E19" s="12"/>
    </row>
    <row r="20" spans="1:5" x14ac:dyDescent="0.25">
      <c r="A20" s="4"/>
      <c r="C20" s="8"/>
      <c r="E20" s="13"/>
    </row>
    <row r="21" spans="1:5" ht="15.75" x14ac:dyDescent="0.25">
      <c r="A21" s="269" t="s">
        <v>20</v>
      </c>
      <c r="B21" s="270"/>
      <c r="C21" s="333">
        <v>1</v>
      </c>
      <c r="D21" s="333"/>
      <c r="E21" s="14"/>
    </row>
    <row r="22" spans="1:5" ht="33.75" customHeight="1" x14ac:dyDescent="0.25">
      <c r="A22" s="264" t="s">
        <v>21</v>
      </c>
      <c r="B22" s="265"/>
      <c r="C22" s="225">
        <f>C19/C21</f>
        <v>5.0004609473684214</v>
      </c>
      <c r="D22" s="225"/>
      <c r="E22" s="15"/>
    </row>
    <row r="23" spans="1:5" ht="15.75" x14ac:dyDescent="0.25">
      <c r="A23" s="2"/>
    </row>
    <row r="24" spans="1:5" x14ac:dyDescent="0.25">
      <c r="A24" s="78"/>
      <c r="B24" s="78"/>
      <c r="C24" s="203"/>
      <c r="D24" s="203"/>
    </row>
    <row r="25" spans="1:5" x14ac:dyDescent="0.25">
      <c r="A25" s="78"/>
      <c r="B25" s="78"/>
      <c r="C25" s="79"/>
      <c r="D25" s="78"/>
    </row>
    <row r="26" spans="1:5" x14ac:dyDescent="0.25">
      <c r="A26" s="78"/>
      <c r="B26" s="78"/>
      <c r="C26" s="203"/>
      <c r="D26" s="203"/>
    </row>
    <row r="27" spans="1:5" x14ac:dyDescent="0.25">
      <c r="A27" s="78"/>
      <c r="B27" s="78"/>
      <c r="C27" s="78"/>
      <c r="D27" s="78"/>
    </row>
    <row r="28" spans="1:5" x14ac:dyDescent="0.25">
      <c r="A28" s="202"/>
      <c r="B28" s="202"/>
      <c r="C28" s="80"/>
      <c r="D28" s="80"/>
    </row>
    <row r="29" spans="1:5" x14ac:dyDescent="0.25">
      <c r="A29" s="201"/>
      <c r="B29" s="202"/>
      <c r="C29" s="80"/>
      <c r="D29" s="80"/>
    </row>
    <row r="30" spans="1:5" x14ac:dyDescent="0.25">
      <c r="A30" s="57"/>
      <c r="B30" s="80"/>
      <c r="C30" s="81"/>
      <c r="D30" s="81"/>
    </row>
    <row r="31" spans="1:5" x14ac:dyDescent="0.25">
      <c r="A31" s="201"/>
      <c r="B31" s="201"/>
      <c r="C31" s="81"/>
      <c r="D31" s="81"/>
    </row>
  </sheetData>
  <mergeCells count="23">
    <mergeCell ref="C16:D16"/>
    <mergeCell ref="A22:B22"/>
    <mergeCell ref="C22:D22"/>
    <mergeCell ref="C17:D17"/>
    <mergeCell ref="C18:D18"/>
    <mergeCell ref="C19:D19"/>
    <mergeCell ref="A21:B21"/>
    <mergeCell ref="C21:D21"/>
    <mergeCell ref="C10:D10"/>
    <mergeCell ref="A11:A13"/>
    <mergeCell ref="C11:D13"/>
    <mergeCell ref="C14:D14"/>
    <mergeCell ref="C15:D15"/>
    <mergeCell ref="A2:D2"/>
    <mergeCell ref="A4:D4"/>
    <mergeCell ref="A6:D6"/>
    <mergeCell ref="A8:D8"/>
    <mergeCell ref="C9:D9"/>
    <mergeCell ref="C24:D24"/>
    <mergeCell ref="C26:D26"/>
    <mergeCell ref="A28:B28"/>
    <mergeCell ref="A29:B29"/>
    <mergeCell ref="A31:B31"/>
  </mergeCells>
  <pageMargins left="0.70866141732283472" right="0.70866141732283472" top="0.74803149606299213" bottom="0.74803149606299213" header="0.31496062992125984" footer="0.31496062992125984"/>
  <pageSetup paperSize="9" scale="97" fitToHeight="0" orientation="portrait" verticalDpi="0" r:id="rId1"/>
  <headerFoot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view="pageBreakPreview" zoomScale="60" zoomScaleNormal="100" workbookViewId="0">
      <selection activeCell="T13" sqref="T13"/>
    </sheetView>
  </sheetViews>
  <sheetFormatPr defaultRowHeight="15" x14ac:dyDescent="0.25"/>
  <cols>
    <col min="1" max="1" width="19.5703125" customWidth="1"/>
    <col min="2" max="2" width="52.42578125" customWidth="1"/>
    <col min="3" max="3" width="11" style="7" customWidth="1"/>
    <col min="4" max="4" width="5.7109375" customWidth="1"/>
    <col min="5" max="5" width="25.85546875" style="9" customWidth="1"/>
    <col min="8" max="8" width="7.42578125" bestFit="1" customWidth="1"/>
  </cols>
  <sheetData>
    <row r="1" spans="1:5" ht="15.75" x14ac:dyDescent="0.25">
      <c r="A1" s="1"/>
    </row>
    <row r="2" spans="1:5" ht="14.45" customHeight="1" x14ac:dyDescent="0.25">
      <c r="A2" s="251" t="s">
        <v>0</v>
      </c>
      <c r="B2" s="251"/>
      <c r="C2" s="251"/>
      <c r="D2" s="251"/>
    </row>
    <row r="3" spans="1:5" ht="15.75" x14ac:dyDescent="0.25">
      <c r="D3" s="1"/>
    </row>
    <row r="4" spans="1:5" ht="15.75" customHeight="1" x14ac:dyDescent="0.25">
      <c r="A4" s="252" t="s">
        <v>22</v>
      </c>
      <c r="B4" s="252"/>
      <c r="C4" s="252"/>
      <c r="D4" s="252"/>
    </row>
    <row r="5" spans="1:5" ht="15.75" x14ac:dyDescent="0.25">
      <c r="D5" s="5"/>
    </row>
    <row r="6" spans="1:5" ht="51" customHeight="1" x14ac:dyDescent="0.25">
      <c r="A6" s="253" t="s">
        <v>271</v>
      </c>
      <c r="B6" s="253"/>
      <c r="C6" s="253"/>
      <c r="D6" s="253"/>
    </row>
    <row r="7" spans="1:5" ht="15.75" x14ac:dyDescent="0.25">
      <c r="D7" s="6"/>
    </row>
    <row r="8" spans="1:5" ht="16.5" thickBot="1" x14ac:dyDescent="0.3">
      <c r="A8" s="254" t="s">
        <v>1</v>
      </c>
      <c r="B8" s="254"/>
      <c r="C8" s="254"/>
      <c r="D8" s="254"/>
    </row>
    <row r="9" spans="1:5" ht="78" customHeight="1" thickBot="1" x14ac:dyDescent="0.3">
      <c r="A9" s="16" t="s">
        <v>2</v>
      </c>
      <c r="B9" s="17" t="s">
        <v>3</v>
      </c>
      <c r="C9" s="255" t="s">
        <v>4</v>
      </c>
      <c r="D9" s="256"/>
    </row>
    <row r="10" spans="1:5" ht="16.5" thickBot="1" x14ac:dyDescent="0.3">
      <c r="A10" s="3"/>
      <c r="B10" s="18" t="s">
        <v>5</v>
      </c>
      <c r="C10" s="257"/>
      <c r="D10" s="258"/>
    </row>
    <row r="11" spans="1:5" ht="81.75" customHeight="1" x14ac:dyDescent="0.25">
      <c r="A11" s="259" t="s">
        <v>6</v>
      </c>
      <c r="B11" s="66" t="s">
        <v>566</v>
      </c>
      <c r="C11" s="262">
        <f>7.2+0.2+0.2</f>
        <v>7.6000000000000005</v>
      </c>
      <c r="D11" s="263"/>
    </row>
    <row r="12" spans="1:5" ht="63" customHeight="1" x14ac:dyDescent="0.25">
      <c r="A12" s="260"/>
      <c r="B12" s="64" t="s">
        <v>567</v>
      </c>
      <c r="C12" s="262"/>
      <c r="D12" s="263"/>
    </row>
    <row r="13" spans="1:5" ht="78" customHeight="1" x14ac:dyDescent="0.25">
      <c r="A13" s="260"/>
      <c r="B13" s="66" t="s">
        <v>568</v>
      </c>
      <c r="C13" s="262"/>
      <c r="D13" s="263"/>
    </row>
    <row r="14" spans="1:5" ht="16.5" thickBot="1" x14ac:dyDescent="0.3">
      <c r="A14" s="261"/>
      <c r="B14" s="19" t="s">
        <v>385</v>
      </c>
      <c r="C14" s="262"/>
      <c r="D14" s="263"/>
    </row>
    <row r="15" spans="1:5" ht="48" thickBot="1" x14ac:dyDescent="0.3">
      <c r="A15" s="28" t="s">
        <v>7</v>
      </c>
      <c r="B15" s="19" t="s">
        <v>209</v>
      </c>
      <c r="C15" s="262">
        <f>C11*0.2359</f>
        <v>1.7928400000000002</v>
      </c>
      <c r="D15" s="263"/>
    </row>
    <row r="16" spans="1:5" ht="16.5" thickBot="1" x14ac:dyDescent="0.3">
      <c r="A16" s="28"/>
      <c r="B16" s="20" t="s">
        <v>9</v>
      </c>
      <c r="C16" s="262">
        <f>SUM(C11:D15)</f>
        <v>9.3928400000000014</v>
      </c>
      <c r="D16" s="263"/>
      <c r="E16" s="10"/>
    </row>
    <row r="17" spans="1:5" ht="16.5" thickBot="1" x14ac:dyDescent="0.3">
      <c r="A17" s="28"/>
      <c r="B17" s="20" t="s">
        <v>10</v>
      </c>
      <c r="C17" s="262"/>
      <c r="D17" s="263"/>
    </row>
    <row r="18" spans="1:5" ht="32.25" thickBot="1" x14ac:dyDescent="0.3">
      <c r="A18" s="28" t="s">
        <v>12</v>
      </c>
      <c r="B18" s="102" t="s">
        <v>383</v>
      </c>
      <c r="C18" s="262">
        <v>0.08</v>
      </c>
      <c r="D18" s="263"/>
    </row>
    <row r="19" spans="1:5" ht="16.5" thickBot="1" x14ac:dyDescent="0.3">
      <c r="A19" s="105" t="s">
        <v>380</v>
      </c>
      <c r="B19" s="102" t="s">
        <v>414</v>
      </c>
      <c r="C19" s="315">
        <f>413/1900*1</f>
        <v>0.21736842105263157</v>
      </c>
      <c r="D19" s="316"/>
    </row>
    <row r="20" spans="1:5" ht="32.25" thickBot="1" x14ac:dyDescent="0.3">
      <c r="A20" s="105" t="s">
        <v>379</v>
      </c>
      <c r="B20" s="102" t="s">
        <v>415</v>
      </c>
      <c r="C20" s="262">
        <f>598/1900*1</f>
        <v>0.31473684210526315</v>
      </c>
      <c r="D20" s="263"/>
    </row>
    <row r="21" spans="1:5" ht="16.5" thickBot="1" x14ac:dyDescent="0.3">
      <c r="A21" s="3"/>
      <c r="B21" s="18" t="s">
        <v>18</v>
      </c>
      <c r="C21" s="262">
        <f>SUM(C18:C20)</f>
        <v>0.61210526315789471</v>
      </c>
      <c r="D21" s="263"/>
      <c r="E21" s="11"/>
    </row>
    <row r="22" spans="1:5" ht="16.5" thickBot="1" x14ac:dyDescent="0.3">
      <c r="A22" s="3"/>
      <c r="B22" s="21" t="s">
        <v>19</v>
      </c>
      <c r="C22" s="267">
        <f>SUM(C16,C21)</f>
        <v>10.004945263157897</v>
      </c>
      <c r="D22" s="268"/>
      <c r="E22" s="12"/>
    </row>
    <row r="23" spans="1:5" x14ac:dyDescent="0.25">
      <c r="A23" s="4"/>
      <c r="C23" s="8"/>
      <c r="E23" s="13"/>
    </row>
    <row r="24" spans="1:5" ht="15.75" x14ac:dyDescent="0.25">
      <c r="A24" s="269" t="s">
        <v>20</v>
      </c>
      <c r="B24" s="270"/>
      <c r="C24" s="271">
        <v>1</v>
      </c>
      <c r="D24" s="271"/>
      <c r="E24" s="14"/>
    </row>
    <row r="25" spans="1:5" ht="37.15" customHeight="1" x14ac:dyDescent="0.25">
      <c r="A25" s="264" t="s">
        <v>21</v>
      </c>
      <c r="B25" s="265"/>
      <c r="C25" s="225">
        <f>C22/C24</f>
        <v>10.004945263157897</v>
      </c>
      <c r="D25" s="225"/>
      <c r="E25" s="15"/>
    </row>
    <row r="26" spans="1:5" ht="15.75" x14ac:dyDescent="0.25">
      <c r="A26" s="2"/>
    </row>
    <row r="27" spans="1:5" x14ac:dyDescent="0.25">
      <c r="A27" s="78"/>
      <c r="B27" s="78"/>
      <c r="C27" s="203"/>
      <c r="D27" s="203"/>
    </row>
    <row r="28" spans="1:5" x14ac:dyDescent="0.25">
      <c r="A28" s="78"/>
      <c r="B28" s="78"/>
      <c r="C28" s="79"/>
      <c r="D28" s="78"/>
    </row>
    <row r="29" spans="1:5" x14ac:dyDescent="0.25">
      <c r="A29" s="78"/>
      <c r="B29" s="78"/>
      <c r="C29" s="203"/>
      <c r="D29" s="203"/>
    </row>
    <row r="30" spans="1:5" x14ac:dyDescent="0.25">
      <c r="A30" s="78"/>
      <c r="B30" s="78"/>
      <c r="C30" s="78"/>
      <c r="D30" s="78"/>
    </row>
    <row r="31" spans="1:5" x14ac:dyDescent="0.25">
      <c r="A31" s="202"/>
      <c r="B31" s="202"/>
      <c r="C31" s="80"/>
      <c r="D31" s="80"/>
    </row>
    <row r="32" spans="1:5" x14ac:dyDescent="0.25">
      <c r="A32" s="201"/>
      <c r="B32" s="202"/>
      <c r="C32" s="80"/>
      <c r="D32" s="80"/>
    </row>
    <row r="33" spans="1:4" x14ac:dyDescent="0.25">
      <c r="A33" s="57"/>
      <c r="B33" s="80"/>
      <c r="C33" s="81"/>
      <c r="D33" s="81"/>
    </row>
    <row r="34" spans="1:4" x14ac:dyDescent="0.25">
      <c r="A34" s="201"/>
      <c r="B34" s="201"/>
      <c r="C34" s="81"/>
      <c r="D34" s="81"/>
    </row>
  </sheetData>
  <mergeCells count="25">
    <mergeCell ref="C17:D17"/>
    <mergeCell ref="A25:B25"/>
    <mergeCell ref="C25:D25"/>
    <mergeCell ref="C18:D18"/>
    <mergeCell ref="C21:D21"/>
    <mergeCell ref="C22:D22"/>
    <mergeCell ref="A24:B24"/>
    <mergeCell ref="C24:D24"/>
    <mergeCell ref="C20:D20"/>
    <mergeCell ref="C19:D19"/>
    <mergeCell ref="C10:D10"/>
    <mergeCell ref="A11:A14"/>
    <mergeCell ref="C11:D14"/>
    <mergeCell ref="C15:D15"/>
    <mergeCell ref="C16:D16"/>
    <mergeCell ref="A2:D2"/>
    <mergeCell ref="A4:D4"/>
    <mergeCell ref="A6:D6"/>
    <mergeCell ref="A8:D8"/>
    <mergeCell ref="C9:D9"/>
    <mergeCell ref="C27:D27"/>
    <mergeCell ref="C29:D29"/>
    <mergeCell ref="A31:B31"/>
    <mergeCell ref="A32:B32"/>
    <mergeCell ref="A34:B34"/>
  </mergeCells>
  <pageMargins left="0.70866141732283472" right="0.70866141732283472" top="0.74803149606299213" bottom="0.74803149606299213" header="0.31496062992125984" footer="0.31496062992125984"/>
  <pageSetup paperSize="9" scale="98" fitToHeight="0" orientation="portrait" verticalDpi="0" r:id="rId1"/>
  <headerFoot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view="pageBreakPreview" zoomScale="60" zoomScaleNormal="100" workbookViewId="0">
      <selection activeCell="T13" sqref="T13"/>
    </sheetView>
  </sheetViews>
  <sheetFormatPr defaultRowHeight="15" x14ac:dyDescent="0.25"/>
  <cols>
    <col min="1" max="1" width="19.5703125" customWidth="1"/>
    <col min="2" max="2" width="52.42578125" customWidth="1"/>
    <col min="3" max="3" width="9" style="7" customWidth="1"/>
    <col min="4" max="4" width="7.28515625" customWidth="1"/>
    <col min="5" max="5" width="25.85546875" style="9" customWidth="1"/>
    <col min="8" max="8" width="7.42578125" bestFit="1" customWidth="1"/>
    <col min="257" max="257" width="19.5703125" customWidth="1"/>
    <col min="258" max="258" width="52.42578125" customWidth="1"/>
    <col min="259" max="259" width="18.42578125" customWidth="1"/>
    <col min="261" max="261" width="25.85546875" customWidth="1"/>
    <col min="264" max="264" width="7.42578125" bestFit="1" customWidth="1"/>
    <col min="513" max="513" width="19.5703125" customWidth="1"/>
    <col min="514" max="514" width="52.42578125" customWidth="1"/>
    <col min="515" max="515" width="18.42578125" customWidth="1"/>
    <col min="517" max="517" width="25.85546875" customWidth="1"/>
    <col min="520" max="520" width="7.42578125" bestFit="1" customWidth="1"/>
    <col min="769" max="769" width="19.5703125" customWidth="1"/>
    <col min="770" max="770" width="52.42578125" customWidth="1"/>
    <col min="771" max="771" width="18.42578125" customWidth="1"/>
    <col min="773" max="773" width="25.85546875" customWidth="1"/>
    <col min="776" max="776" width="7.42578125" bestFit="1" customWidth="1"/>
    <col min="1025" max="1025" width="19.5703125" customWidth="1"/>
    <col min="1026" max="1026" width="52.42578125" customWidth="1"/>
    <col min="1027" max="1027" width="18.42578125" customWidth="1"/>
    <col min="1029" max="1029" width="25.85546875" customWidth="1"/>
    <col min="1032" max="1032" width="7.42578125" bestFit="1" customWidth="1"/>
    <col min="1281" max="1281" width="19.5703125" customWidth="1"/>
    <col min="1282" max="1282" width="52.42578125" customWidth="1"/>
    <col min="1283" max="1283" width="18.42578125" customWidth="1"/>
    <col min="1285" max="1285" width="25.85546875" customWidth="1"/>
    <col min="1288" max="1288" width="7.42578125" bestFit="1" customWidth="1"/>
    <col min="1537" max="1537" width="19.5703125" customWidth="1"/>
    <col min="1538" max="1538" width="52.42578125" customWidth="1"/>
    <col min="1539" max="1539" width="18.42578125" customWidth="1"/>
    <col min="1541" max="1541" width="25.85546875" customWidth="1"/>
    <col min="1544" max="1544" width="7.42578125" bestFit="1" customWidth="1"/>
    <col min="1793" max="1793" width="19.5703125" customWidth="1"/>
    <col min="1794" max="1794" width="52.42578125" customWidth="1"/>
    <col min="1795" max="1795" width="18.42578125" customWidth="1"/>
    <col min="1797" max="1797" width="25.85546875" customWidth="1"/>
    <col min="1800" max="1800" width="7.42578125" bestFit="1" customWidth="1"/>
    <col min="2049" max="2049" width="19.5703125" customWidth="1"/>
    <col min="2050" max="2050" width="52.42578125" customWidth="1"/>
    <col min="2051" max="2051" width="18.42578125" customWidth="1"/>
    <col min="2053" max="2053" width="25.85546875" customWidth="1"/>
    <col min="2056" max="2056" width="7.42578125" bestFit="1" customWidth="1"/>
    <col min="2305" max="2305" width="19.5703125" customWidth="1"/>
    <col min="2306" max="2306" width="52.42578125" customWidth="1"/>
    <col min="2307" max="2307" width="18.42578125" customWidth="1"/>
    <col min="2309" max="2309" width="25.85546875" customWidth="1"/>
    <col min="2312" max="2312" width="7.42578125" bestFit="1" customWidth="1"/>
    <col min="2561" max="2561" width="19.5703125" customWidth="1"/>
    <col min="2562" max="2562" width="52.42578125" customWidth="1"/>
    <col min="2563" max="2563" width="18.42578125" customWidth="1"/>
    <col min="2565" max="2565" width="25.85546875" customWidth="1"/>
    <col min="2568" max="2568" width="7.42578125" bestFit="1" customWidth="1"/>
    <col min="2817" max="2817" width="19.5703125" customWidth="1"/>
    <col min="2818" max="2818" width="52.42578125" customWidth="1"/>
    <col min="2819" max="2819" width="18.42578125" customWidth="1"/>
    <col min="2821" max="2821" width="25.85546875" customWidth="1"/>
    <col min="2824" max="2824" width="7.42578125" bestFit="1" customWidth="1"/>
    <col min="3073" max="3073" width="19.5703125" customWidth="1"/>
    <col min="3074" max="3074" width="52.42578125" customWidth="1"/>
    <col min="3075" max="3075" width="18.42578125" customWidth="1"/>
    <col min="3077" max="3077" width="25.85546875" customWidth="1"/>
    <col min="3080" max="3080" width="7.42578125" bestFit="1" customWidth="1"/>
    <col min="3329" max="3329" width="19.5703125" customWidth="1"/>
    <col min="3330" max="3330" width="52.42578125" customWidth="1"/>
    <col min="3331" max="3331" width="18.42578125" customWidth="1"/>
    <col min="3333" max="3333" width="25.85546875" customWidth="1"/>
    <col min="3336" max="3336" width="7.42578125" bestFit="1" customWidth="1"/>
    <col min="3585" max="3585" width="19.5703125" customWidth="1"/>
    <col min="3586" max="3586" width="52.42578125" customWidth="1"/>
    <col min="3587" max="3587" width="18.42578125" customWidth="1"/>
    <col min="3589" max="3589" width="25.85546875" customWidth="1"/>
    <col min="3592" max="3592" width="7.42578125" bestFit="1" customWidth="1"/>
    <col min="3841" max="3841" width="19.5703125" customWidth="1"/>
    <col min="3842" max="3842" width="52.42578125" customWidth="1"/>
    <col min="3843" max="3843" width="18.42578125" customWidth="1"/>
    <col min="3845" max="3845" width="25.85546875" customWidth="1"/>
    <col min="3848" max="3848" width="7.42578125" bestFit="1" customWidth="1"/>
    <col min="4097" max="4097" width="19.5703125" customWidth="1"/>
    <col min="4098" max="4098" width="52.42578125" customWidth="1"/>
    <col min="4099" max="4099" width="18.42578125" customWidth="1"/>
    <col min="4101" max="4101" width="25.85546875" customWidth="1"/>
    <col min="4104" max="4104" width="7.42578125" bestFit="1" customWidth="1"/>
    <col min="4353" max="4353" width="19.5703125" customWidth="1"/>
    <col min="4354" max="4354" width="52.42578125" customWidth="1"/>
    <col min="4355" max="4355" width="18.42578125" customWidth="1"/>
    <col min="4357" max="4357" width="25.85546875" customWidth="1"/>
    <col min="4360" max="4360" width="7.42578125" bestFit="1" customWidth="1"/>
    <col min="4609" max="4609" width="19.5703125" customWidth="1"/>
    <col min="4610" max="4610" width="52.42578125" customWidth="1"/>
    <col min="4611" max="4611" width="18.42578125" customWidth="1"/>
    <col min="4613" max="4613" width="25.85546875" customWidth="1"/>
    <col min="4616" max="4616" width="7.42578125" bestFit="1" customWidth="1"/>
    <col min="4865" max="4865" width="19.5703125" customWidth="1"/>
    <col min="4866" max="4866" width="52.42578125" customWidth="1"/>
    <col min="4867" max="4867" width="18.42578125" customWidth="1"/>
    <col min="4869" max="4869" width="25.85546875" customWidth="1"/>
    <col min="4872" max="4872" width="7.42578125" bestFit="1" customWidth="1"/>
    <col min="5121" max="5121" width="19.5703125" customWidth="1"/>
    <col min="5122" max="5122" width="52.42578125" customWidth="1"/>
    <col min="5123" max="5123" width="18.42578125" customWidth="1"/>
    <col min="5125" max="5125" width="25.85546875" customWidth="1"/>
    <col min="5128" max="5128" width="7.42578125" bestFit="1" customWidth="1"/>
    <col min="5377" max="5377" width="19.5703125" customWidth="1"/>
    <col min="5378" max="5378" width="52.42578125" customWidth="1"/>
    <col min="5379" max="5379" width="18.42578125" customWidth="1"/>
    <col min="5381" max="5381" width="25.85546875" customWidth="1"/>
    <col min="5384" max="5384" width="7.42578125" bestFit="1" customWidth="1"/>
    <col min="5633" max="5633" width="19.5703125" customWidth="1"/>
    <col min="5634" max="5634" width="52.42578125" customWidth="1"/>
    <col min="5635" max="5635" width="18.42578125" customWidth="1"/>
    <col min="5637" max="5637" width="25.85546875" customWidth="1"/>
    <col min="5640" max="5640" width="7.42578125" bestFit="1" customWidth="1"/>
    <col min="5889" max="5889" width="19.5703125" customWidth="1"/>
    <col min="5890" max="5890" width="52.42578125" customWidth="1"/>
    <col min="5891" max="5891" width="18.42578125" customWidth="1"/>
    <col min="5893" max="5893" width="25.85546875" customWidth="1"/>
    <col min="5896" max="5896" width="7.42578125" bestFit="1" customWidth="1"/>
    <col min="6145" max="6145" width="19.5703125" customWidth="1"/>
    <col min="6146" max="6146" width="52.42578125" customWidth="1"/>
    <col min="6147" max="6147" width="18.42578125" customWidth="1"/>
    <col min="6149" max="6149" width="25.85546875" customWidth="1"/>
    <col min="6152" max="6152" width="7.42578125" bestFit="1" customWidth="1"/>
    <col min="6401" max="6401" width="19.5703125" customWidth="1"/>
    <col min="6402" max="6402" width="52.42578125" customWidth="1"/>
    <col min="6403" max="6403" width="18.42578125" customWidth="1"/>
    <col min="6405" max="6405" width="25.85546875" customWidth="1"/>
    <col min="6408" max="6408" width="7.42578125" bestFit="1" customWidth="1"/>
    <col min="6657" max="6657" width="19.5703125" customWidth="1"/>
    <col min="6658" max="6658" width="52.42578125" customWidth="1"/>
    <col min="6659" max="6659" width="18.42578125" customWidth="1"/>
    <col min="6661" max="6661" width="25.85546875" customWidth="1"/>
    <col min="6664" max="6664" width="7.42578125" bestFit="1" customWidth="1"/>
    <col min="6913" max="6913" width="19.5703125" customWidth="1"/>
    <col min="6914" max="6914" width="52.42578125" customWidth="1"/>
    <col min="6915" max="6915" width="18.42578125" customWidth="1"/>
    <col min="6917" max="6917" width="25.85546875" customWidth="1"/>
    <col min="6920" max="6920" width="7.42578125" bestFit="1" customWidth="1"/>
    <col min="7169" max="7169" width="19.5703125" customWidth="1"/>
    <col min="7170" max="7170" width="52.42578125" customWidth="1"/>
    <col min="7171" max="7171" width="18.42578125" customWidth="1"/>
    <col min="7173" max="7173" width="25.85546875" customWidth="1"/>
    <col min="7176" max="7176" width="7.42578125" bestFit="1" customWidth="1"/>
    <col min="7425" max="7425" width="19.5703125" customWidth="1"/>
    <col min="7426" max="7426" width="52.42578125" customWidth="1"/>
    <col min="7427" max="7427" width="18.42578125" customWidth="1"/>
    <col min="7429" max="7429" width="25.85546875" customWidth="1"/>
    <col min="7432" max="7432" width="7.42578125" bestFit="1" customWidth="1"/>
    <col min="7681" max="7681" width="19.5703125" customWidth="1"/>
    <col min="7682" max="7682" width="52.42578125" customWidth="1"/>
    <col min="7683" max="7683" width="18.42578125" customWidth="1"/>
    <col min="7685" max="7685" width="25.85546875" customWidth="1"/>
    <col min="7688" max="7688" width="7.42578125" bestFit="1" customWidth="1"/>
    <col min="7937" max="7937" width="19.5703125" customWidth="1"/>
    <col min="7938" max="7938" width="52.42578125" customWidth="1"/>
    <col min="7939" max="7939" width="18.42578125" customWidth="1"/>
    <col min="7941" max="7941" width="25.85546875" customWidth="1"/>
    <col min="7944" max="7944" width="7.42578125" bestFit="1" customWidth="1"/>
    <col min="8193" max="8193" width="19.5703125" customWidth="1"/>
    <col min="8194" max="8194" width="52.42578125" customWidth="1"/>
    <col min="8195" max="8195" width="18.42578125" customWidth="1"/>
    <col min="8197" max="8197" width="25.85546875" customWidth="1"/>
    <col min="8200" max="8200" width="7.42578125" bestFit="1" customWidth="1"/>
    <col min="8449" max="8449" width="19.5703125" customWidth="1"/>
    <col min="8450" max="8450" width="52.42578125" customWidth="1"/>
    <col min="8451" max="8451" width="18.42578125" customWidth="1"/>
    <col min="8453" max="8453" width="25.85546875" customWidth="1"/>
    <col min="8456" max="8456" width="7.42578125" bestFit="1" customWidth="1"/>
    <col min="8705" max="8705" width="19.5703125" customWidth="1"/>
    <col min="8706" max="8706" width="52.42578125" customWidth="1"/>
    <col min="8707" max="8707" width="18.42578125" customWidth="1"/>
    <col min="8709" max="8709" width="25.85546875" customWidth="1"/>
    <col min="8712" max="8712" width="7.42578125" bestFit="1" customWidth="1"/>
    <col min="8961" max="8961" width="19.5703125" customWidth="1"/>
    <col min="8962" max="8962" width="52.42578125" customWidth="1"/>
    <col min="8963" max="8963" width="18.42578125" customWidth="1"/>
    <col min="8965" max="8965" width="25.85546875" customWidth="1"/>
    <col min="8968" max="8968" width="7.42578125" bestFit="1" customWidth="1"/>
    <col min="9217" max="9217" width="19.5703125" customWidth="1"/>
    <col min="9218" max="9218" width="52.42578125" customWidth="1"/>
    <col min="9219" max="9219" width="18.42578125" customWidth="1"/>
    <col min="9221" max="9221" width="25.85546875" customWidth="1"/>
    <col min="9224" max="9224" width="7.42578125" bestFit="1" customWidth="1"/>
    <col min="9473" max="9473" width="19.5703125" customWidth="1"/>
    <col min="9474" max="9474" width="52.42578125" customWidth="1"/>
    <col min="9475" max="9475" width="18.42578125" customWidth="1"/>
    <col min="9477" max="9477" width="25.85546875" customWidth="1"/>
    <col min="9480" max="9480" width="7.42578125" bestFit="1" customWidth="1"/>
    <col min="9729" max="9729" width="19.5703125" customWidth="1"/>
    <col min="9730" max="9730" width="52.42578125" customWidth="1"/>
    <col min="9731" max="9731" width="18.42578125" customWidth="1"/>
    <col min="9733" max="9733" width="25.85546875" customWidth="1"/>
    <col min="9736" max="9736" width="7.42578125" bestFit="1" customWidth="1"/>
    <col min="9985" max="9985" width="19.5703125" customWidth="1"/>
    <col min="9986" max="9986" width="52.42578125" customWidth="1"/>
    <col min="9987" max="9987" width="18.42578125" customWidth="1"/>
    <col min="9989" max="9989" width="25.85546875" customWidth="1"/>
    <col min="9992" max="9992" width="7.42578125" bestFit="1" customWidth="1"/>
    <col min="10241" max="10241" width="19.5703125" customWidth="1"/>
    <col min="10242" max="10242" width="52.42578125" customWidth="1"/>
    <col min="10243" max="10243" width="18.42578125" customWidth="1"/>
    <col min="10245" max="10245" width="25.85546875" customWidth="1"/>
    <col min="10248" max="10248" width="7.42578125" bestFit="1" customWidth="1"/>
    <col min="10497" max="10497" width="19.5703125" customWidth="1"/>
    <col min="10498" max="10498" width="52.42578125" customWidth="1"/>
    <col min="10499" max="10499" width="18.42578125" customWidth="1"/>
    <col min="10501" max="10501" width="25.85546875" customWidth="1"/>
    <col min="10504" max="10504" width="7.42578125" bestFit="1" customWidth="1"/>
    <col min="10753" max="10753" width="19.5703125" customWidth="1"/>
    <col min="10754" max="10754" width="52.42578125" customWidth="1"/>
    <col min="10755" max="10755" width="18.42578125" customWidth="1"/>
    <col min="10757" max="10757" width="25.85546875" customWidth="1"/>
    <col min="10760" max="10760" width="7.42578125" bestFit="1" customWidth="1"/>
    <col min="11009" max="11009" width="19.5703125" customWidth="1"/>
    <col min="11010" max="11010" width="52.42578125" customWidth="1"/>
    <col min="11011" max="11011" width="18.42578125" customWidth="1"/>
    <col min="11013" max="11013" width="25.85546875" customWidth="1"/>
    <col min="11016" max="11016" width="7.42578125" bestFit="1" customWidth="1"/>
    <col min="11265" max="11265" width="19.5703125" customWidth="1"/>
    <col min="11266" max="11266" width="52.42578125" customWidth="1"/>
    <col min="11267" max="11267" width="18.42578125" customWidth="1"/>
    <col min="11269" max="11269" width="25.85546875" customWidth="1"/>
    <col min="11272" max="11272" width="7.42578125" bestFit="1" customWidth="1"/>
    <col min="11521" max="11521" width="19.5703125" customWidth="1"/>
    <col min="11522" max="11522" width="52.42578125" customWidth="1"/>
    <col min="11523" max="11523" width="18.42578125" customWidth="1"/>
    <col min="11525" max="11525" width="25.85546875" customWidth="1"/>
    <col min="11528" max="11528" width="7.42578125" bestFit="1" customWidth="1"/>
    <col min="11777" max="11777" width="19.5703125" customWidth="1"/>
    <col min="11778" max="11778" width="52.42578125" customWidth="1"/>
    <col min="11779" max="11779" width="18.42578125" customWidth="1"/>
    <col min="11781" max="11781" width="25.85546875" customWidth="1"/>
    <col min="11784" max="11784" width="7.42578125" bestFit="1" customWidth="1"/>
    <col min="12033" max="12033" width="19.5703125" customWidth="1"/>
    <col min="12034" max="12034" width="52.42578125" customWidth="1"/>
    <col min="12035" max="12035" width="18.42578125" customWidth="1"/>
    <col min="12037" max="12037" width="25.85546875" customWidth="1"/>
    <col min="12040" max="12040" width="7.42578125" bestFit="1" customWidth="1"/>
    <col min="12289" max="12289" width="19.5703125" customWidth="1"/>
    <col min="12290" max="12290" width="52.42578125" customWidth="1"/>
    <col min="12291" max="12291" width="18.42578125" customWidth="1"/>
    <col min="12293" max="12293" width="25.85546875" customWidth="1"/>
    <col min="12296" max="12296" width="7.42578125" bestFit="1" customWidth="1"/>
    <col min="12545" max="12545" width="19.5703125" customWidth="1"/>
    <col min="12546" max="12546" width="52.42578125" customWidth="1"/>
    <col min="12547" max="12547" width="18.42578125" customWidth="1"/>
    <col min="12549" max="12549" width="25.85546875" customWidth="1"/>
    <col min="12552" max="12552" width="7.42578125" bestFit="1" customWidth="1"/>
    <col min="12801" max="12801" width="19.5703125" customWidth="1"/>
    <col min="12802" max="12802" width="52.42578125" customWidth="1"/>
    <col min="12803" max="12803" width="18.42578125" customWidth="1"/>
    <col min="12805" max="12805" width="25.85546875" customWidth="1"/>
    <col min="12808" max="12808" width="7.42578125" bestFit="1" customWidth="1"/>
    <col min="13057" max="13057" width="19.5703125" customWidth="1"/>
    <col min="13058" max="13058" width="52.42578125" customWidth="1"/>
    <col min="13059" max="13059" width="18.42578125" customWidth="1"/>
    <col min="13061" max="13061" width="25.85546875" customWidth="1"/>
    <col min="13064" max="13064" width="7.42578125" bestFit="1" customWidth="1"/>
    <col min="13313" max="13313" width="19.5703125" customWidth="1"/>
    <col min="13314" max="13314" width="52.42578125" customWidth="1"/>
    <col min="13315" max="13315" width="18.42578125" customWidth="1"/>
    <col min="13317" max="13317" width="25.85546875" customWidth="1"/>
    <col min="13320" max="13320" width="7.42578125" bestFit="1" customWidth="1"/>
    <col min="13569" max="13569" width="19.5703125" customWidth="1"/>
    <col min="13570" max="13570" width="52.42578125" customWidth="1"/>
    <col min="13571" max="13571" width="18.42578125" customWidth="1"/>
    <col min="13573" max="13573" width="25.85546875" customWidth="1"/>
    <col min="13576" max="13576" width="7.42578125" bestFit="1" customWidth="1"/>
    <col min="13825" max="13825" width="19.5703125" customWidth="1"/>
    <col min="13826" max="13826" width="52.42578125" customWidth="1"/>
    <col min="13827" max="13827" width="18.42578125" customWidth="1"/>
    <col min="13829" max="13829" width="25.85546875" customWidth="1"/>
    <col min="13832" max="13832" width="7.42578125" bestFit="1" customWidth="1"/>
    <col min="14081" max="14081" width="19.5703125" customWidth="1"/>
    <col min="14082" max="14082" width="52.42578125" customWidth="1"/>
    <col min="14083" max="14083" width="18.42578125" customWidth="1"/>
    <col min="14085" max="14085" width="25.85546875" customWidth="1"/>
    <col min="14088" max="14088" width="7.42578125" bestFit="1" customWidth="1"/>
    <col min="14337" max="14337" width="19.5703125" customWidth="1"/>
    <col min="14338" max="14338" width="52.42578125" customWidth="1"/>
    <col min="14339" max="14339" width="18.42578125" customWidth="1"/>
    <col min="14341" max="14341" width="25.85546875" customWidth="1"/>
    <col min="14344" max="14344" width="7.42578125" bestFit="1" customWidth="1"/>
    <col min="14593" max="14593" width="19.5703125" customWidth="1"/>
    <col min="14594" max="14594" width="52.42578125" customWidth="1"/>
    <col min="14595" max="14595" width="18.42578125" customWidth="1"/>
    <col min="14597" max="14597" width="25.85546875" customWidth="1"/>
    <col min="14600" max="14600" width="7.42578125" bestFit="1" customWidth="1"/>
    <col min="14849" max="14849" width="19.5703125" customWidth="1"/>
    <col min="14850" max="14850" width="52.42578125" customWidth="1"/>
    <col min="14851" max="14851" width="18.42578125" customWidth="1"/>
    <col min="14853" max="14853" width="25.85546875" customWidth="1"/>
    <col min="14856" max="14856" width="7.42578125" bestFit="1" customWidth="1"/>
    <col min="15105" max="15105" width="19.5703125" customWidth="1"/>
    <col min="15106" max="15106" width="52.42578125" customWidth="1"/>
    <col min="15107" max="15107" width="18.42578125" customWidth="1"/>
    <col min="15109" max="15109" width="25.85546875" customWidth="1"/>
    <col min="15112" max="15112" width="7.42578125" bestFit="1" customWidth="1"/>
    <col min="15361" max="15361" width="19.5703125" customWidth="1"/>
    <col min="15362" max="15362" width="52.42578125" customWidth="1"/>
    <col min="15363" max="15363" width="18.42578125" customWidth="1"/>
    <col min="15365" max="15365" width="25.85546875" customWidth="1"/>
    <col min="15368" max="15368" width="7.42578125" bestFit="1" customWidth="1"/>
    <col min="15617" max="15617" width="19.5703125" customWidth="1"/>
    <col min="15618" max="15618" width="52.42578125" customWidth="1"/>
    <col min="15619" max="15619" width="18.42578125" customWidth="1"/>
    <col min="15621" max="15621" width="25.85546875" customWidth="1"/>
    <col min="15624" max="15624" width="7.42578125" bestFit="1" customWidth="1"/>
    <col min="15873" max="15873" width="19.5703125" customWidth="1"/>
    <col min="15874" max="15874" width="52.42578125" customWidth="1"/>
    <col min="15875" max="15875" width="18.42578125" customWidth="1"/>
    <col min="15877" max="15877" width="25.85546875" customWidth="1"/>
    <col min="15880" max="15880" width="7.42578125" bestFit="1" customWidth="1"/>
    <col min="16129" max="16129" width="19.5703125" customWidth="1"/>
    <col min="16130" max="16130" width="52.42578125" customWidth="1"/>
    <col min="16131" max="16131" width="18.42578125" customWidth="1"/>
    <col min="16133" max="16133" width="25.85546875" customWidth="1"/>
    <col min="16136" max="16136" width="7.42578125" bestFit="1" customWidth="1"/>
  </cols>
  <sheetData>
    <row r="1" spans="1:5" ht="14.45" customHeight="1" x14ac:dyDescent="0.25">
      <c r="A1" s="217" t="s">
        <v>0</v>
      </c>
      <c r="B1" s="217"/>
      <c r="C1" s="217"/>
      <c r="D1" s="217"/>
    </row>
    <row r="2" spans="1:5" ht="15.75" x14ac:dyDescent="0.25">
      <c r="D2" s="29"/>
    </row>
    <row r="3" spans="1:5" ht="15.75" customHeight="1" x14ac:dyDescent="0.25">
      <c r="A3" s="218" t="s">
        <v>26</v>
      </c>
      <c r="B3" s="218"/>
      <c r="C3" s="218"/>
      <c r="D3" s="218"/>
    </row>
    <row r="4" spans="1:5" ht="52.5" customHeight="1" x14ac:dyDescent="0.25">
      <c r="A4" s="218" t="s">
        <v>272</v>
      </c>
      <c r="B4" s="218"/>
      <c r="C4" s="218"/>
      <c r="D4" s="218"/>
    </row>
    <row r="5" spans="1:5" ht="16.5" thickBot="1" x14ac:dyDescent="0.3">
      <c r="A5" s="219" t="s">
        <v>27</v>
      </c>
      <c r="B5" s="219"/>
      <c r="C5" s="219"/>
      <c r="D5" s="219"/>
    </row>
    <row r="6" spans="1:5" ht="83.25" customHeight="1" thickBot="1" x14ac:dyDescent="0.3">
      <c r="A6" s="31" t="s">
        <v>2</v>
      </c>
      <c r="B6" s="32" t="s">
        <v>3</v>
      </c>
      <c r="C6" s="272" t="s">
        <v>4</v>
      </c>
      <c r="D6" s="273"/>
    </row>
    <row r="7" spans="1:5" ht="16.5" thickBot="1" x14ac:dyDescent="0.3">
      <c r="A7" s="33"/>
      <c r="B7" s="34" t="s">
        <v>5</v>
      </c>
      <c r="C7" s="220"/>
      <c r="D7" s="221"/>
    </row>
    <row r="8" spans="1:5" ht="78.75" x14ac:dyDescent="0.25">
      <c r="A8" s="210" t="s">
        <v>6</v>
      </c>
      <c r="B8" s="35" t="s">
        <v>570</v>
      </c>
      <c r="C8" s="204">
        <f>1328.25+14.26+13.8</f>
        <v>1356.31</v>
      </c>
      <c r="D8" s="205"/>
    </row>
    <row r="9" spans="1:5" ht="64.5" customHeight="1" x14ac:dyDescent="0.25">
      <c r="A9" s="211"/>
      <c r="B9" s="63" t="s">
        <v>571</v>
      </c>
      <c r="C9" s="204"/>
      <c r="D9" s="205"/>
    </row>
    <row r="10" spans="1:5" ht="65.25" customHeight="1" x14ac:dyDescent="0.25">
      <c r="A10" s="211"/>
      <c r="B10" s="63" t="s">
        <v>572</v>
      </c>
      <c r="C10" s="204"/>
      <c r="D10" s="205"/>
    </row>
    <row r="11" spans="1:5" ht="16.5" thickBot="1" x14ac:dyDescent="0.3">
      <c r="A11" s="212"/>
      <c r="B11" s="36" t="s">
        <v>569</v>
      </c>
      <c r="C11" s="204"/>
      <c r="D11" s="205"/>
    </row>
    <row r="12" spans="1:5" ht="48" thickBot="1" x14ac:dyDescent="0.3">
      <c r="A12" s="53" t="s">
        <v>7</v>
      </c>
      <c r="B12" s="36" t="s">
        <v>209</v>
      </c>
      <c r="C12" s="204">
        <f>C8*0.2359</f>
        <v>319.953529</v>
      </c>
      <c r="D12" s="205"/>
    </row>
    <row r="13" spans="1:5" ht="16.5" thickBot="1" x14ac:dyDescent="0.3">
      <c r="A13" s="53"/>
      <c r="B13" s="38" t="s">
        <v>9</v>
      </c>
      <c r="C13" s="204">
        <f>SUM(C8:D12)</f>
        <v>1676.2635289999998</v>
      </c>
      <c r="D13" s="205"/>
      <c r="E13" s="39"/>
    </row>
    <row r="14" spans="1:5" ht="16.5" thickBot="1" x14ac:dyDescent="0.3">
      <c r="A14" s="53"/>
      <c r="B14" s="38" t="s">
        <v>10</v>
      </c>
      <c r="C14" s="204"/>
      <c r="D14" s="205"/>
    </row>
    <row r="15" spans="1:5" ht="142.5" thickBot="1" x14ac:dyDescent="0.3">
      <c r="A15" s="53" t="s">
        <v>12</v>
      </c>
      <c r="B15" s="103" t="s">
        <v>450</v>
      </c>
      <c r="C15" s="204">
        <f>16.1+31.05+1.15</f>
        <v>48.300000000000004</v>
      </c>
      <c r="D15" s="205"/>
    </row>
    <row r="16" spans="1:5" ht="16.5" thickBot="1" x14ac:dyDescent="0.3">
      <c r="A16" s="33"/>
      <c r="B16" s="34" t="s">
        <v>18</v>
      </c>
      <c r="C16" s="204">
        <f>SUM(C15:C15)</f>
        <v>48.300000000000004</v>
      </c>
      <c r="D16" s="205"/>
      <c r="E16" s="54"/>
    </row>
    <row r="17" spans="1:5" ht="16.5" thickBot="1" x14ac:dyDescent="0.3">
      <c r="A17" s="33"/>
      <c r="B17" s="41" t="s">
        <v>19</v>
      </c>
      <c r="C17" s="206">
        <f>SUM(C13,C16)</f>
        <v>1724.5635289999998</v>
      </c>
      <c r="D17" s="207"/>
      <c r="E17" s="42"/>
    </row>
    <row r="18" spans="1:5" x14ac:dyDescent="0.25">
      <c r="A18" s="43"/>
      <c r="C18" s="8"/>
      <c r="E18" s="13"/>
    </row>
    <row r="19" spans="1:5" ht="15.75" x14ac:dyDescent="0.25">
      <c r="A19" s="213" t="s">
        <v>20</v>
      </c>
      <c r="B19" s="214"/>
      <c r="C19" s="224">
        <v>115</v>
      </c>
      <c r="D19" s="224"/>
      <c r="E19" s="44"/>
    </row>
    <row r="20" spans="1:5" ht="37.15" customHeight="1" x14ac:dyDescent="0.25">
      <c r="A20" s="298" t="s">
        <v>28</v>
      </c>
      <c r="B20" s="299"/>
      <c r="C20" s="320">
        <f>C17/C19</f>
        <v>14.996204599999999</v>
      </c>
      <c r="D20" s="320"/>
      <c r="E20" s="45"/>
    </row>
    <row r="21" spans="1:5" ht="15.75" x14ac:dyDescent="0.25">
      <c r="A21" s="46"/>
    </row>
    <row r="22" spans="1:5" x14ac:dyDescent="0.25">
      <c r="A22" s="78"/>
      <c r="B22" s="78"/>
      <c r="C22" s="203"/>
      <c r="D22" s="203"/>
    </row>
    <row r="23" spans="1:5" x14ac:dyDescent="0.25">
      <c r="A23" s="78"/>
      <c r="B23" s="78"/>
      <c r="C23" s="79"/>
      <c r="D23" s="78"/>
    </row>
    <row r="24" spans="1:5" x14ac:dyDescent="0.25">
      <c r="A24" s="78"/>
      <c r="B24" s="78"/>
      <c r="C24" s="203"/>
      <c r="D24" s="203"/>
    </row>
    <row r="25" spans="1:5" x14ac:dyDescent="0.25">
      <c r="A25" s="78"/>
      <c r="B25" s="78"/>
      <c r="C25" s="78"/>
      <c r="D25" s="78"/>
    </row>
    <row r="26" spans="1:5" x14ac:dyDescent="0.25">
      <c r="A26" s="202"/>
      <c r="B26" s="202"/>
      <c r="C26" s="80"/>
      <c r="D26" s="80"/>
    </row>
    <row r="27" spans="1:5" x14ac:dyDescent="0.25">
      <c r="A27" s="201"/>
      <c r="B27" s="202"/>
      <c r="C27" s="80"/>
      <c r="D27" s="80"/>
    </row>
    <row r="28" spans="1:5" x14ac:dyDescent="0.25">
      <c r="A28" s="57"/>
      <c r="B28" s="80"/>
      <c r="C28" s="81"/>
      <c r="D28" s="81"/>
    </row>
    <row r="29" spans="1:5" x14ac:dyDescent="0.25">
      <c r="A29" s="201"/>
      <c r="B29" s="201"/>
      <c r="C29" s="81"/>
      <c r="D29" s="81"/>
    </row>
  </sheetData>
  <mergeCells count="23">
    <mergeCell ref="C14:D14"/>
    <mergeCell ref="A20:B20"/>
    <mergeCell ref="C20:D20"/>
    <mergeCell ref="C15:D15"/>
    <mergeCell ref="C16:D16"/>
    <mergeCell ref="C17:D17"/>
    <mergeCell ref="A19:B19"/>
    <mergeCell ref="C19:D19"/>
    <mergeCell ref="C7:D7"/>
    <mergeCell ref="A8:A11"/>
    <mergeCell ref="C8:D11"/>
    <mergeCell ref="C12:D12"/>
    <mergeCell ref="C13:D13"/>
    <mergeCell ref="A1:D1"/>
    <mergeCell ref="A3:D3"/>
    <mergeCell ref="A4:D4"/>
    <mergeCell ref="A5:D5"/>
    <mergeCell ref="C6:D6"/>
    <mergeCell ref="C22:D22"/>
    <mergeCell ref="C24:D24"/>
    <mergeCell ref="A26:B26"/>
    <mergeCell ref="A27:B27"/>
    <mergeCell ref="A29:B29"/>
  </mergeCells>
  <pageMargins left="0.70866141732283472" right="0.70866141732283472" top="0.74803149606299213" bottom="0.74803149606299213" header="0.31496062992125984" footer="0.31496062992125984"/>
  <pageSetup paperSize="9" scale="99" fitToHeight="0" orientation="portrait" verticalDpi="0" r:id="rId1"/>
  <headerFoot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view="pageBreakPreview" topLeftCell="A7" zoomScale="60" zoomScaleNormal="100" workbookViewId="0">
      <selection activeCell="T13" sqref="T13"/>
    </sheetView>
  </sheetViews>
  <sheetFormatPr defaultRowHeight="15" x14ac:dyDescent="0.25"/>
  <cols>
    <col min="1" max="1" width="19.5703125" customWidth="1"/>
    <col min="2" max="2" width="49.85546875" customWidth="1"/>
    <col min="3" max="3" width="12.85546875" style="7" customWidth="1"/>
    <col min="4" max="4" width="3.28515625" customWidth="1"/>
    <col min="5" max="5" width="25.85546875" style="9" customWidth="1"/>
    <col min="8" max="8" width="7.42578125" bestFit="1" customWidth="1"/>
  </cols>
  <sheetData>
    <row r="1" spans="1:5" ht="14.45" customHeight="1" x14ac:dyDescent="0.25">
      <c r="A1" s="251" t="s">
        <v>0</v>
      </c>
      <c r="B1" s="251"/>
      <c r="C1" s="251"/>
      <c r="D1" s="251"/>
    </row>
    <row r="2" spans="1:5" ht="15.75" x14ac:dyDescent="0.25">
      <c r="D2" s="1"/>
    </row>
    <row r="3" spans="1:5" ht="15" customHeight="1" x14ac:dyDescent="0.25">
      <c r="A3" s="252" t="s">
        <v>22</v>
      </c>
      <c r="B3" s="252"/>
      <c r="C3" s="252"/>
      <c r="D3" s="252"/>
    </row>
    <row r="4" spans="1:5" ht="15.75" x14ac:dyDescent="0.25">
      <c r="D4" s="5"/>
    </row>
    <row r="5" spans="1:5" ht="62.25" customHeight="1" x14ac:dyDescent="0.25">
      <c r="A5" s="253" t="s">
        <v>273</v>
      </c>
      <c r="B5" s="253"/>
      <c r="C5" s="253"/>
      <c r="D5" s="253"/>
    </row>
    <row r="6" spans="1:5" ht="9.75" customHeight="1" x14ac:dyDescent="0.25">
      <c r="D6" s="6"/>
    </row>
    <row r="7" spans="1:5" ht="16.5" thickBot="1" x14ac:dyDescent="0.3">
      <c r="A7" s="254" t="s">
        <v>1</v>
      </c>
      <c r="B7" s="254"/>
      <c r="C7" s="254"/>
      <c r="D7" s="254"/>
    </row>
    <row r="8" spans="1:5" ht="74.25" customHeight="1" thickBot="1" x14ac:dyDescent="0.3">
      <c r="A8" s="16" t="s">
        <v>2</v>
      </c>
      <c r="B8" s="17" t="s">
        <v>3</v>
      </c>
      <c r="C8" s="255" t="s">
        <v>4</v>
      </c>
      <c r="D8" s="256"/>
    </row>
    <row r="9" spans="1:5" ht="16.5" thickBot="1" x14ac:dyDescent="0.3">
      <c r="A9" s="3"/>
      <c r="B9" s="18" t="s">
        <v>5</v>
      </c>
      <c r="C9" s="257"/>
      <c r="D9" s="258"/>
    </row>
    <row r="10" spans="1:5" ht="189.75" customHeight="1" x14ac:dyDescent="0.25">
      <c r="A10" s="259" t="s">
        <v>6</v>
      </c>
      <c r="B10" s="123" t="s">
        <v>573</v>
      </c>
      <c r="C10" s="262">
        <f>242.8+6.4+11.6</f>
        <v>260.8</v>
      </c>
      <c r="D10" s="263"/>
    </row>
    <row r="11" spans="1:5" ht="65.25" customHeight="1" x14ac:dyDescent="0.25">
      <c r="A11" s="260"/>
      <c r="B11" s="64" t="s">
        <v>574</v>
      </c>
      <c r="C11" s="262"/>
      <c r="D11" s="263"/>
    </row>
    <row r="12" spans="1:5" ht="80.25" customHeight="1" x14ac:dyDescent="0.25">
      <c r="A12" s="260"/>
      <c r="B12" s="64" t="s">
        <v>575</v>
      </c>
      <c r="C12" s="262"/>
      <c r="D12" s="263"/>
    </row>
    <row r="13" spans="1:5" ht="16.5" thickBot="1" x14ac:dyDescent="0.3">
      <c r="A13" s="261"/>
      <c r="B13" s="19" t="s">
        <v>576</v>
      </c>
      <c r="C13" s="262"/>
      <c r="D13" s="263"/>
    </row>
    <row r="14" spans="1:5" ht="48" thickBot="1" x14ac:dyDescent="0.3">
      <c r="A14" s="28" t="s">
        <v>7</v>
      </c>
      <c r="B14" s="19" t="s">
        <v>209</v>
      </c>
      <c r="C14" s="262">
        <f>C10*0.2359</f>
        <v>61.52272</v>
      </c>
      <c r="D14" s="263"/>
    </row>
    <row r="15" spans="1:5" ht="16.5" thickBot="1" x14ac:dyDescent="0.3">
      <c r="A15" s="28"/>
      <c r="B15" s="20" t="s">
        <v>9</v>
      </c>
      <c r="C15" s="262">
        <f>SUM(C10:D14)</f>
        <v>322.32272</v>
      </c>
      <c r="D15" s="263"/>
      <c r="E15" s="10"/>
    </row>
    <row r="16" spans="1:5" ht="16.5" thickBot="1" x14ac:dyDescent="0.3">
      <c r="A16" s="28"/>
      <c r="B16" s="20" t="s">
        <v>10</v>
      </c>
      <c r="C16" s="262"/>
      <c r="D16" s="263"/>
    </row>
    <row r="17" spans="1:5" ht="142.5" thickBot="1" x14ac:dyDescent="0.3">
      <c r="A17" s="28" t="s">
        <v>12</v>
      </c>
      <c r="B17" s="124" t="s">
        <v>464</v>
      </c>
      <c r="C17" s="262">
        <v>8.4</v>
      </c>
      <c r="D17" s="263"/>
    </row>
    <row r="18" spans="1:5" ht="20.25" customHeight="1" thickBot="1" x14ac:dyDescent="0.3">
      <c r="A18" s="118" t="s">
        <v>387</v>
      </c>
      <c r="B18" s="86" t="s">
        <v>453</v>
      </c>
      <c r="C18" s="315">
        <f>37645/25710*20</f>
        <v>29.284325165305329</v>
      </c>
      <c r="D18" s="316"/>
    </row>
    <row r="19" spans="1:5" ht="33.75" customHeight="1" thickBot="1" x14ac:dyDescent="0.3">
      <c r="A19" s="118" t="s">
        <v>386</v>
      </c>
      <c r="B19" s="125" t="s">
        <v>452</v>
      </c>
      <c r="C19" s="315">
        <f>10204/25710*20</f>
        <v>7.9377674056787235</v>
      </c>
      <c r="D19" s="316"/>
    </row>
    <row r="20" spans="1:5" ht="48.75" customHeight="1" thickBot="1" x14ac:dyDescent="0.3">
      <c r="A20" s="28" t="s">
        <v>14</v>
      </c>
      <c r="B20" s="92" t="s">
        <v>451</v>
      </c>
      <c r="C20" s="262">
        <f>0.33*20*20</f>
        <v>132</v>
      </c>
      <c r="D20" s="263"/>
    </row>
    <row r="21" spans="1:5" ht="16.5" thickBot="1" x14ac:dyDescent="0.3">
      <c r="A21" s="3"/>
      <c r="B21" s="18" t="s">
        <v>18</v>
      </c>
      <c r="C21" s="262">
        <f>SUM(C17:C20)</f>
        <v>177.62209257098405</v>
      </c>
      <c r="D21" s="263"/>
      <c r="E21" s="11"/>
    </row>
    <row r="22" spans="1:5" ht="16.5" thickBot="1" x14ac:dyDescent="0.3">
      <c r="A22" s="3"/>
      <c r="B22" s="21" t="s">
        <v>19</v>
      </c>
      <c r="C22" s="267">
        <f>SUM(C15,C21)</f>
        <v>499.94481257098403</v>
      </c>
      <c r="D22" s="268"/>
      <c r="E22" s="12"/>
    </row>
    <row r="23" spans="1:5" x14ac:dyDescent="0.25">
      <c r="A23" s="4"/>
      <c r="C23" s="8"/>
      <c r="E23" s="13"/>
    </row>
    <row r="24" spans="1:5" ht="15.75" x14ac:dyDescent="0.25">
      <c r="A24" s="269" t="s">
        <v>20</v>
      </c>
      <c r="B24" s="270"/>
      <c r="C24" s="271">
        <v>20</v>
      </c>
      <c r="D24" s="271"/>
      <c r="E24" s="14"/>
    </row>
    <row r="25" spans="1:5" ht="37.15" customHeight="1" x14ac:dyDescent="0.25">
      <c r="A25" s="264" t="s">
        <v>21</v>
      </c>
      <c r="B25" s="312"/>
      <c r="C25" s="225">
        <f>C22/C24</f>
        <v>24.9972406285492</v>
      </c>
      <c r="D25" s="225"/>
      <c r="E25" s="15"/>
    </row>
    <row r="26" spans="1:5" ht="15.75" x14ac:dyDescent="0.25">
      <c r="A26" s="2"/>
    </row>
    <row r="27" spans="1:5" x14ac:dyDescent="0.25">
      <c r="A27" s="78"/>
      <c r="B27" s="78"/>
      <c r="C27" s="203"/>
      <c r="D27" s="203"/>
    </row>
    <row r="28" spans="1:5" x14ac:dyDescent="0.25">
      <c r="A28" s="78"/>
      <c r="B28" s="78"/>
      <c r="C28" s="79"/>
      <c r="D28" s="78"/>
    </row>
    <row r="29" spans="1:5" x14ac:dyDescent="0.25">
      <c r="A29" s="78"/>
      <c r="B29" s="78"/>
      <c r="C29" s="203"/>
      <c r="D29" s="203"/>
    </row>
    <row r="30" spans="1:5" x14ac:dyDescent="0.25">
      <c r="A30" s="78"/>
      <c r="B30" s="78"/>
      <c r="C30" s="78"/>
      <c r="D30" s="78"/>
    </row>
    <row r="31" spans="1:5" x14ac:dyDescent="0.25">
      <c r="A31" s="202"/>
      <c r="B31" s="202"/>
      <c r="C31" s="80"/>
      <c r="D31" s="80"/>
    </row>
    <row r="32" spans="1:5" x14ac:dyDescent="0.25">
      <c r="A32" s="201"/>
      <c r="B32" s="202"/>
      <c r="C32" s="80"/>
      <c r="D32" s="80"/>
    </row>
    <row r="33" spans="1:4" x14ac:dyDescent="0.25">
      <c r="A33" s="57"/>
      <c r="B33" s="80"/>
      <c r="C33" s="81"/>
      <c r="D33" s="81"/>
    </row>
    <row r="34" spans="1:4" x14ac:dyDescent="0.25">
      <c r="A34" s="201"/>
      <c r="B34" s="201"/>
      <c r="C34" s="81"/>
      <c r="D34" s="81"/>
    </row>
  </sheetData>
  <mergeCells count="26">
    <mergeCell ref="C16:D16"/>
    <mergeCell ref="A25:B25"/>
    <mergeCell ref="C25:D25"/>
    <mergeCell ref="C17:D17"/>
    <mergeCell ref="C20:D20"/>
    <mergeCell ref="C21:D21"/>
    <mergeCell ref="C22:D22"/>
    <mergeCell ref="A24:B24"/>
    <mergeCell ref="C24:D24"/>
    <mergeCell ref="C18:D18"/>
    <mergeCell ref="C19:D19"/>
    <mergeCell ref="C9:D9"/>
    <mergeCell ref="A10:A13"/>
    <mergeCell ref="C10:D13"/>
    <mergeCell ref="C14:D14"/>
    <mergeCell ref="C15:D15"/>
    <mergeCell ref="A1:D1"/>
    <mergeCell ref="A3:D3"/>
    <mergeCell ref="A5:D5"/>
    <mergeCell ref="A7:D7"/>
    <mergeCell ref="C8:D8"/>
    <mergeCell ref="C27:D27"/>
    <mergeCell ref="C29:D29"/>
    <mergeCell ref="A31:B31"/>
    <mergeCell ref="A32:B32"/>
    <mergeCell ref="A34:B34"/>
  </mergeCells>
  <pageMargins left="0.70866141732283472" right="0.70866141732283472" top="0.74803149606299213" bottom="0.74803149606299213" header="0.31496062992125984" footer="0.31496062992125984"/>
  <pageSetup paperSize="9" fitToHeight="0" orientation="portrait" verticalDpi="0" r:id="rId1"/>
  <headerFooter>
    <oddFooter>&amp;C&amp;P</oddFooter>
  </headerFooter>
  <rowBreaks count="1" manualBreakCount="1">
    <brk id="15" max="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view="pageBreakPreview" topLeftCell="A10" zoomScale="60" zoomScaleNormal="100" workbookViewId="0">
      <selection activeCell="T13" sqref="T13"/>
    </sheetView>
  </sheetViews>
  <sheetFormatPr defaultRowHeight="15" x14ac:dyDescent="0.25"/>
  <cols>
    <col min="1" max="1" width="12.85546875" customWidth="1"/>
    <col min="2" max="2" width="54.140625" customWidth="1"/>
    <col min="3" max="3" width="12.5703125" style="7" customWidth="1"/>
    <col min="4" max="4" width="5.28515625" customWidth="1"/>
    <col min="5" max="5" width="25.85546875" style="9" customWidth="1"/>
    <col min="8" max="8" width="7.42578125" bestFit="1" customWidth="1"/>
  </cols>
  <sheetData>
    <row r="1" spans="1:7" ht="14.45" customHeight="1" x14ac:dyDescent="0.25">
      <c r="A1" s="251" t="s">
        <v>0</v>
      </c>
      <c r="B1" s="251"/>
      <c r="C1" s="251"/>
      <c r="D1" s="251"/>
    </row>
    <row r="2" spans="1:7" ht="15.75" x14ac:dyDescent="0.25">
      <c r="D2" s="1"/>
    </row>
    <row r="3" spans="1:7" ht="15.75" customHeight="1" x14ac:dyDescent="0.25">
      <c r="A3" s="252" t="s">
        <v>22</v>
      </c>
      <c r="B3" s="252"/>
      <c r="C3" s="252"/>
      <c r="D3" s="252"/>
    </row>
    <row r="4" spans="1:7" ht="15.75" x14ac:dyDescent="0.25">
      <c r="D4" s="5"/>
    </row>
    <row r="5" spans="1:7" ht="47.25" customHeight="1" x14ac:dyDescent="0.25">
      <c r="A5" s="253" t="s">
        <v>274</v>
      </c>
      <c r="B5" s="253"/>
      <c r="C5" s="253"/>
      <c r="D5" s="253"/>
    </row>
    <row r="6" spans="1:7" ht="15.75" x14ac:dyDescent="0.25">
      <c r="D6" s="6"/>
    </row>
    <row r="7" spans="1:7" ht="16.5" thickBot="1" x14ac:dyDescent="0.3">
      <c r="A7" s="254" t="s">
        <v>1</v>
      </c>
      <c r="B7" s="254"/>
      <c r="C7" s="254"/>
      <c r="D7" s="254"/>
    </row>
    <row r="8" spans="1:7" ht="81" customHeight="1" thickBot="1" x14ac:dyDescent="0.3">
      <c r="A8" s="16" t="s">
        <v>2</v>
      </c>
      <c r="B8" s="17" t="s">
        <v>3</v>
      </c>
      <c r="C8" s="255" t="s">
        <v>4</v>
      </c>
      <c r="D8" s="256"/>
    </row>
    <row r="9" spans="1:7" ht="16.5" thickBot="1" x14ac:dyDescent="0.3">
      <c r="A9" s="3"/>
      <c r="B9" s="18" t="s">
        <v>5</v>
      </c>
      <c r="C9" s="257"/>
      <c r="D9" s="258"/>
    </row>
    <row r="10" spans="1:7" ht="174" customHeight="1" x14ac:dyDescent="0.25">
      <c r="A10" s="259" t="s">
        <v>6</v>
      </c>
      <c r="B10" s="66" t="s">
        <v>578</v>
      </c>
      <c r="C10" s="262">
        <f>735+420+64+31</f>
        <v>1250</v>
      </c>
      <c r="D10" s="263"/>
      <c r="E10" s="82"/>
      <c r="G10" s="7"/>
    </row>
    <row r="11" spans="1:7" ht="128.25" customHeight="1" x14ac:dyDescent="0.25">
      <c r="A11" s="260"/>
      <c r="B11" s="66" t="s">
        <v>579</v>
      </c>
      <c r="C11" s="262"/>
      <c r="D11" s="263"/>
    </row>
    <row r="12" spans="1:7" ht="63" customHeight="1" x14ac:dyDescent="0.25">
      <c r="A12" s="260"/>
      <c r="B12" s="66" t="s">
        <v>577</v>
      </c>
      <c r="C12" s="262"/>
      <c r="D12" s="263"/>
    </row>
    <row r="13" spans="1:7" ht="16.5" thickBot="1" x14ac:dyDescent="0.3">
      <c r="A13" s="261"/>
      <c r="B13" s="19" t="s">
        <v>465</v>
      </c>
      <c r="C13" s="262"/>
      <c r="D13" s="263"/>
    </row>
    <row r="14" spans="1:7" ht="48" thickBot="1" x14ac:dyDescent="0.3">
      <c r="A14" s="28" t="s">
        <v>7</v>
      </c>
      <c r="B14" s="19" t="s">
        <v>209</v>
      </c>
      <c r="C14" s="262">
        <f>C10*0.2359</f>
        <v>294.875</v>
      </c>
      <c r="D14" s="263"/>
    </row>
    <row r="15" spans="1:7" ht="16.5" thickBot="1" x14ac:dyDescent="0.3">
      <c r="A15" s="28"/>
      <c r="B15" s="20" t="s">
        <v>9</v>
      </c>
      <c r="C15" s="262">
        <f>SUM(C10:D14)</f>
        <v>1544.875</v>
      </c>
      <c r="D15" s="263"/>
      <c r="E15" s="10"/>
    </row>
    <row r="16" spans="1:7" ht="16.5" thickBot="1" x14ac:dyDescent="0.3">
      <c r="A16" s="28"/>
      <c r="B16" s="20" t="s">
        <v>10</v>
      </c>
      <c r="C16" s="315"/>
      <c r="D16" s="316"/>
    </row>
    <row r="17" spans="1:5" ht="142.5" customHeight="1" thickBot="1" x14ac:dyDescent="0.3">
      <c r="A17" s="28" t="s">
        <v>12</v>
      </c>
      <c r="B17" s="107" t="s">
        <v>333</v>
      </c>
      <c r="C17" s="262">
        <f>7+13.5+0.5</f>
        <v>21</v>
      </c>
      <c r="D17" s="263"/>
    </row>
    <row r="18" spans="1:5" ht="18.75" customHeight="1" thickBot="1" x14ac:dyDescent="0.3">
      <c r="A18" s="118" t="s">
        <v>387</v>
      </c>
      <c r="B18" s="119" t="s">
        <v>416</v>
      </c>
      <c r="C18" s="315">
        <v>36.61</v>
      </c>
      <c r="D18" s="316"/>
    </row>
    <row r="19" spans="1:5" ht="48" customHeight="1" thickBot="1" x14ac:dyDescent="0.3">
      <c r="A19" s="28" t="s">
        <v>14</v>
      </c>
      <c r="B19" s="92" t="s">
        <v>334</v>
      </c>
      <c r="C19" s="262">
        <f>6.6*50</f>
        <v>330</v>
      </c>
      <c r="D19" s="263"/>
    </row>
    <row r="20" spans="1:5" ht="36.75" customHeight="1" thickBot="1" x14ac:dyDescent="0.3">
      <c r="A20" s="105" t="s">
        <v>386</v>
      </c>
      <c r="B20" s="92" t="s">
        <v>403</v>
      </c>
      <c r="C20" s="315">
        <v>19.84</v>
      </c>
      <c r="D20" s="316"/>
    </row>
    <row r="21" spans="1:5" ht="63.75" thickBot="1" x14ac:dyDescent="0.3">
      <c r="A21" s="28" t="s">
        <v>17</v>
      </c>
      <c r="B21" s="104" t="s">
        <v>404</v>
      </c>
      <c r="C21" s="262">
        <f>465+582.67</f>
        <v>1047.67</v>
      </c>
      <c r="D21" s="263"/>
    </row>
    <row r="22" spans="1:5" ht="16.5" thickBot="1" x14ac:dyDescent="0.3">
      <c r="A22" s="3"/>
      <c r="B22" s="18" t="s">
        <v>18</v>
      </c>
      <c r="C22" s="262">
        <f>SUM(C17:C21)</f>
        <v>1455.1200000000001</v>
      </c>
      <c r="D22" s="263"/>
      <c r="E22" s="11"/>
    </row>
    <row r="23" spans="1:5" ht="16.5" thickBot="1" x14ac:dyDescent="0.3">
      <c r="A23" s="3"/>
      <c r="B23" s="21" t="s">
        <v>19</v>
      </c>
      <c r="C23" s="267">
        <f>SUM(C15,C22)</f>
        <v>2999.9949999999999</v>
      </c>
      <c r="D23" s="268"/>
      <c r="E23" s="12"/>
    </row>
    <row r="24" spans="1:5" x14ac:dyDescent="0.25">
      <c r="A24" s="4"/>
      <c r="C24" s="8"/>
      <c r="E24" s="13"/>
    </row>
    <row r="25" spans="1:5" ht="15.75" x14ac:dyDescent="0.25">
      <c r="A25" s="269" t="s">
        <v>20</v>
      </c>
      <c r="B25" s="270"/>
      <c r="C25" s="271">
        <v>50</v>
      </c>
      <c r="D25" s="271"/>
      <c r="E25" s="14"/>
    </row>
    <row r="26" spans="1:5" ht="32.25" customHeight="1" x14ac:dyDescent="0.25">
      <c r="A26" s="264" t="s">
        <v>21</v>
      </c>
      <c r="B26" s="265"/>
      <c r="C26" s="320">
        <f>C23/C25</f>
        <v>59.999899999999997</v>
      </c>
      <c r="D26" s="320"/>
      <c r="E26" s="15"/>
    </row>
    <row r="27" spans="1:5" ht="15.75" x14ac:dyDescent="0.25">
      <c r="A27" s="2"/>
    </row>
    <row r="28" spans="1:5" x14ac:dyDescent="0.25">
      <c r="A28" s="78"/>
      <c r="B28" s="78"/>
      <c r="C28" s="203"/>
      <c r="D28" s="203"/>
    </row>
    <row r="29" spans="1:5" x14ac:dyDescent="0.25">
      <c r="A29" s="78"/>
      <c r="B29" s="78"/>
      <c r="C29" s="79"/>
      <c r="D29" s="78"/>
    </row>
    <row r="30" spans="1:5" x14ac:dyDescent="0.25">
      <c r="A30" s="78"/>
      <c r="B30" s="78"/>
      <c r="C30" s="203"/>
      <c r="D30" s="203"/>
    </row>
    <row r="31" spans="1:5" x14ac:dyDescent="0.25">
      <c r="A31" s="78"/>
      <c r="B31" s="78"/>
      <c r="C31" s="78"/>
      <c r="D31" s="78"/>
    </row>
    <row r="32" spans="1:5" x14ac:dyDescent="0.25">
      <c r="A32" s="202"/>
      <c r="B32" s="202"/>
      <c r="C32" s="80"/>
      <c r="D32" s="80"/>
    </row>
    <row r="33" spans="1:4" x14ac:dyDescent="0.25">
      <c r="A33" s="201"/>
      <c r="B33" s="202"/>
      <c r="C33" s="80"/>
      <c r="D33" s="80"/>
    </row>
    <row r="34" spans="1:4" x14ac:dyDescent="0.25">
      <c r="A34" s="57"/>
      <c r="B34" s="80"/>
      <c r="C34" s="81"/>
      <c r="D34" s="81"/>
    </row>
    <row r="35" spans="1:4" x14ac:dyDescent="0.25">
      <c r="A35" s="201"/>
      <c r="B35" s="201"/>
      <c r="C35" s="81"/>
      <c r="D35" s="81"/>
    </row>
  </sheetData>
  <mergeCells count="27">
    <mergeCell ref="C16:D16"/>
    <mergeCell ref="A26:B26"/>
    <mergeCell ref="C26:D26"/>
    <mergeCell ref="C17:D17"/>
    <mergeCell ref="C19:D19"/>
    <mergeCell ref="C21:D21"/>
    <mergeCell ref="C22:D22"/>
    <mergeCell ref="C23:D23"/>
    <mergeCell ref="A25:B25"/>
    <mergeCell ref="C25:D25"/>
    <mergeCell ref="C18:D18"/>
    <mergeCell ref="C20:D20"/>
    <mergeCell ref="C9:D9"/>
    <mergeCell ref="A10:A13"/>
    <mergeCell ref="C10:D13"/>
    <mergeCell ref="C14:D14"/>
    <mergeCell ref="C15:D15"/>
    <mergeCell ref="A1:D1"/>
    <mergeCell ref="A3:D3"/>
    <mergeCell ref="A5:D5"/>
    <mergeCell ref="A7:D7"/>
    <mergeCell ref="C8:D8"/>
    <mergeCell ref="C28:D28"/>
    <mergeCell ref="C30:D30"/>
    <mergeCell ref="A32:B32"/>
    <mergeCell ref="A33:B33"/>
    <mergeCell ref="A35:B35"/>
  </mergeCells>
  <pageMargins left="0.70866141732283472" right="0.70866141732283472" top="0.74803149606299213" bottom="0.74803149606299213" header="0.31496062992125984" footer="0.31496062992125984"/>
  <pageSetup paperSize="9" fitToHeight="0" orientation="portrait" verticalDpi="0" r:id="rId1"/>
  <headerFooter>
    <oddFooter>&amp;C&amp;P</oddFooter>
  </headerFooter>
  <rowBreaks count="1" manualBreakCount="1">
    <brk id="15" max="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view="pageBreakPreview" zoomScale="60" zoomScaleNormal="100" workbookViewId="0">
      <selection activeCell="T13" sqref="T13"/>
    </sheetView>
  </sheetViews>
  <sheetFormatPr defaultRowHeight="15" x14ac:dyDescent="0.25"/>
  <cols>
    <col min="1" max="1" width="12.42578125" customWidth="1"/>
    <col min="2" max="2" width="56.42578125" customWidth="1"/>
    <col min="3" max="3" width="8.140625" style="7" customWidth="1"/>
    <col min="5" max="5" width="25.85546875" style="9" customWidth="1"/>
    <col min="8" max="8" width="7.42578125" bestFit="1" customWidth="1"/>
  </cols>
  <sheetData>
    <row r="1" spans="1:5" ht="15.75" x14ac:dyDescent="0.25">
      <c r="A1" s="1"/>
    </row>
    <row r="2" spans="1:5" ht="14.45" customHeight="1" x14ac:dyDescent="0.25">
      <c r="A2" s="251" t="s">
        <v>0</v>
      </c>
      <c r="B2" s="251"/>
      <c r="C2" s="251"/>
      <c r="D2" s="251"/>
    </row>
    <row r="3" spans="1:5" ht="15.75" x14ac:dyDescent="0.25">
      <c r="D3" s="1"/>
    </row>
    <row r="4" spans="1:5" ht="15.75" customHeight="1" x14ac:dyDescent="0.25">
      <c r="A4" s="252" t="s">
        <v>22</v>
      </c>
      <c r="B4" s="252"/>
      <c r="C4" s="252"/>
      <c r="D4" s="252"/>
    </row>
    <row r="5" spans="1:5" ht="15.75" x14ac:dyDescent="0.25">
      <c r="D5" s="5"/>
    </row>
    <row r="6" spans="1:5" ht="48" customHeight="1" x14ac:dyDescent="0.25">
      <c r="A6" s="253" t="s">
        <v>275</v>
      </c>
      <c r="B6" s="253"/>
      <c r="C6" s="253"/>
      <c r="D6" s="253"/>
    </row>
    <row r="7" spans="1:5" ht="15.75" x14ac:dyDescent="0.25">
      <c r="D7" s="6"/>
    </row>
    <row r="8" spans="1:5" ht="16.5" thickBot="1" x14ac:dyDescent="0.3">
      <c r="A8" s="254" t="s">
        <v>1</v>
      </c>
      <c r="B8" s="254"/>
      <c r="C8" s="254"/>
      <c r="D8" s="254"/>
    </row>
    <row r="9" spans="1:5" ht="75.75" customHeight="1" thickBot="1" x14ac:dyDescent="0.3">
      <c r="A9" s="16" t="s">
        <v>2</v>
      </c>
      <c r="B9" s="17" t="s">
        <v>3</v>
      </c>
      <c r="C9" s="255" t="s">
        <v>4</v>
      </c>
      <c r="D9" s="256"/>
    </row>
    <row r="10" spans="1:5" ht="16.5" thickBot="1" x14ac:dyDescent="0.3">
      <c r="A10" s="3"/>
      <c r="B10" s="18" t="s">
        <v>5</v>
      </c>
      <c r="C10" s="257"/>
      <c r="D10" s="258"/>
    </row>
    <row r="11" spans="1:5" ht="159" customHeight="1" x14ac:dyDescent="0.25">
      <c r="A11" s="259" t="s">
        <v>6</v>
      </c>
      <c r="B11" s="66" t="s">
        <v>580</v>
      </c>
      <c r="C11" s="262">
        <f>64.8+1.61+1.32</f>
        <v>67.72999999999999</v>
      </c>
      <c r="D11" s="263"/>
    </row>
    <row r="12" spans="1:5" ht="63" x14ac:dyDescent="0.25">
      <c r="A12" s="260"/>
      <c r="B12" s="22" t="s">
        <v>581</v>
      </c>
      <c r="C12" s="262"/>
      <c r="D12" s="263"/>
      <c r="E12" s="82"/>
    </row>
    <row r="13" spans="1:5" ht="63" x14ac:dyDescent="0.25">
      <c r="A13" s="260"/>
      <c r="B13" s="22" t="s">
        <v>582</v>
      </c>
      <c r="C13" s="262"/>
      <c r="D13" s="263"/>
    </row>
    <row r="14" spans="1:5" ht="16.5" thickBot="1" x14ac:dyDescent="0.3">
      <c r="A14" s="261"/>
      <c r="B14" s="19" t="s">
        <v>466</v>
      </c>
      <c r="C14" s="262"/>
      <c r="D14" s="263"/>
    </row>
    <row r="15" spans="1:5" ht="34.5" customHeight="1" thickBot="1" x14ac:dyDescent="0.3">
      <c r="A15" s="47" t="s">
        <v>7</v>
      </c>
      <c r="B15" s="67" t="s">
        <v>209</v>
      </c>
      <c r="C15" s="262">
        <f>C11*0.2359</f>
        <v>15.977506999999997</v>
      </c>
      <c r="D15" s="263"/>
    </row>
    <row r="16" spans="1:5" ht="16.5" thickBot="1" x14ac:dyDescent="0.3">
      <c r="A16" s="47"/>
      <c r="B16" s="20" t="s">
        <v>9</v>
      </c>
      <c r="C16" s="262">
        <f>SUM(C11:D15)</f>
        <v>83.707506999999993</v>
      </c>
      <c r="D16" s="263"/>
      <c r="E16" s="10"/>
    </row>
    <row r="17" spans="1:5" ht="16.5" thickBot="1" x14ac:dyDescent="0.3">
      <c r="A17" s="47"/>
      <c r="B17" s="170" t="s">
        <v>10</v>
      </c>
      <c r="C17" s="262"/>
      <c r="D17" s="263"/>
    </row>
    <row r="18" spans="1:5" ht="126" customHeight="1" thickBot="1" x14ac:dyDescent="0.3">
      <c r="A18" s="118" t="s">
        <v>12</v>
      </c>
      <c r="B18" s="119" t="s">
        <v>388</v>
      </c>
      <c r="C18" s="334">
        <f>0.42+0.27+0.03</f>
        <v>0.72</v>
      </c>
      <c r="D18" s="263"/>
    </row>
    <row r="19" spans="1:5" ht="18.75" customHeight="1" thickBot="1" x14ac:dyDescent="0.3">
      <c r="A19" s="118" t="s">
        <v>387</v>
      </c>
      <c r="B19" s="172" t="s">
        <v>417</v>
      </c>
      <c r="C19" s="335">
        <f>37645/25710*3</f>
        <v>4.3926487747957994</v>
      </c>
      <c r="D19" s="316"/>
    </row>
    <row r="20" spans="1:5" ht="18" customHeight="1" thickBot="1" x14ac:dyDescent="0.3">
      <c r="A20" s="118" t="s">
        <v>386</v>
      </c>
      <c r="B20" s="126" t="s">
        <v>418</v>
      </c>
      <c r="C20" s="315">
        <f>10204/25710*3</f>
        <v>1.1906651108518087</v>
      </c>
      <c r="D20" s="316"/>
    </row>
    <row r="21" spans="1:5" ht="16.5" thickBot="1" x14ac:dyDescent="0.3">
      <c r="A21" s="169"/>
      <c r="B21" s="171" t="s">
        <v>18</v>
      </c>
      <c r="C21" s="262">
        <f>SUM(C18:C20)</f>
        <v>6.3033138856476079</v>
      </c>
      <c r="D21" s="263"/>
      <c r="E21" s="11"/>
    </row>
    <row r="22" spans="1:5" ht="16.5" thickBot="1" x14ac:dyDescent="0.3">
      <c r="A22" s="3"/>
      <c r="B22" s="21" t="s">
        <v>19</v>
      </c>
      <c r="C22" s="267">
        <f>SUM(C16,C21)</f>
        <v>90.010820885647604</v>
      </c>
      <c r="D22" s="268"/>
      <c r="E22" s="12"/>
    </row>
    <row r="23" spans="1:5" x14ac:dyDescent="0.25">
      <c r="A23" s="4"/>
      <c r="C23" s="8"/>
      <c r="E23" s="13"/>
    </row>
    <row r="24" spans="1:5" ht="15.75" x14ac:dyDescent="0.25">
      <c r="A24" s="269" t="s">
        <v>20</v>
      </c>
      <c r="B24" s="270"/>
      <c r="C24" s="271">
        <v>3</v>
      </c>
      <c r="D24" s="271"/>
      <c r="E24" s="14"/>
    </row>
    <row r="25" spans="1:5" ht="31.5" customHeight="1" x14ac:dyDescent="0.25">
      <c r="A25" s="264" t="s">
        <v>21</v>
      </c>
      <c r="B25" s="265"/>
      <c r="C25" s="225">
        <f>C22/C24</f>
        <v>30.003606961882536</v>
      </c>
      <c r="D25" s="225"/>
      <c r="E25" s="15"/>
    </row>
    <row r="26" spans="1:5" ht="15.75" x14ac:dyDescent="0.25">
      <c r="A26" s="2"/>
    </row>
    <row r="27" spans="1:5" x14ac:dyDescent="0.25">
      <c r="A27" s="78"/>
      <c r="B27" s="78"/>
      <c r="C27" s="203"/>
      <c r="D27" s="203"/>
    </row>
    <row r="28" spans="1:5" x14ac:dyDescent="0.25">
      <c r="A28" s="78"/>
      <c r="B28" s="78"/>
      <c r="C28" s="79"/>
      <c r="D28" s="78"/>
    </row>
    <row r="29" spans="1:5" x14ac:dyDescent="0.25">
      <c r="A29" s="78"/>
      <c r="B29" s="78"/>
      <c r="C29" s="203"/>
      <c r="D29" s="203"/>
    </row>
    <row r="30" spans="1:5" x14ac:dyDescent="0.25">
      <c r="A30" s="78"/>
      <c r="B30" s="78"/>
      <c r="C30" s="78"/>
      <c r="D30" s="78"/>
    </row>
    <row r="31" spans="1:5" x14ac:dyDescent="0.25">
      <c r="A31" s="202"/>
      <c r="B31" s="202"/>
      <c r="C31" s="80"/>
      <c r="D31" s="80"/>
    </row>
    <row r="32" spans="1:5" x14ac:dyDescent="0.25">
      <c r="A32" s="201"/>
      <c r="B32" s="202"/>
      <c r="C32" s="80"/>
      <c r="D32" s="80"/>
    </row>
    <row r="33" spans="1:4" x14ac:dyDescent="0.25">
      <c r="A33" s="57"/>
      <c r="B33" s="80"/>
      <c r="C33" s="81"/>
      <c r="D33" s="81"/>
    </row>
    <row r="34" spans="1:4" x14ac:dyDescent="0.25">
      <c r="A34" s="201"/>
      <c r="B34" s="201"/>
      <c r="C34" s="81"/>
      <c r="D34" s="81"/>
    </row>
  </sheetData>
  <mergeCells count="25">
    <mergeCell ref="C17:D17"/>
    <mergeCell ref="C10:D10"/>
    <mergeCell ref="A11:A14"/>
    <mergeCell ref="C11:D14"/>
    <mergeCell ref="C15:D15"/>
    <mergeCell ref="C16:D16"/>
    <mergeCell ref="A2:D2"/>
    <mergeCell ref="A4:D4"/>
    <mergeCell ref="A6:D6"/>
    <mergeCell ref="A8:D8"/>
    <mergeCell ref="C9:D9"/>
    <mergeCell ref="A25:B25"/>
    <mergeCell ref="C25:D25"/>
    <mergeCell ref="C18:D18"/>
    <mergeCell ref="C21:D21"/>
    <mergeCell ref="C22:D22"/>
    <mergeCell ref="A24:B24"/>
    <mergeCell ref="C24:D24"/>
    <mergeCell ref="C19:D19"/>
    <mergeCell ref="C20:D20"/>
    <mergeCell ref="C27:D27"/>
    <mergeCell ref="C29:D29"/>
    <mergeCell ref="A31:B31"/>
    <mergeCell ref="A32:B32"/>
    <mergeCell ref="A34:B34"/>
  </mergeCells>
  <pageMargins left="0.70866141732283472" right="0.70866141732283472" top="0.74803149606299213" bottom="0.74803149606299213" header="0.31496062992125984" footer="0.31496062992125984"/>
  <pageSetup paperSize="9" fitToHeight="0" orientation="portrait" r:id="rId1"/>
  <headerFooter>
    <oddFooter>&amp;C&amp;P</oddFooter>
  </headerFooter>
  <rowBreaks count="1" manualBreakCount="1">
    <brk id="18" max="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view="pageBreakPreview" zoomScale="60" zoomScaleNormal="100" workbookViewId="0">
      <selection activeCell="T13" sqref="T13"/>
    </sheetView>
  </sheetViews>
  <sheetFormatPr defaultRowHeight="15" x14ac:dyDescent="0.25"/>
  <cols>
    <col min="1" max="1" width="15.28515625" customWidth="1"/>
    <col min="2" max="2" width="50" customWidth="1"/>
    <col min="3" max="3" width="10.85546875" style="7" customWidth="1"/>
    <col min="4" max="4" width="5.7109375" customWidth="1"/>
    <col min="5" max="5" width="25.85546875" style="9" customWidth="1"/>
    <col min="8" max="8" width="7.42578125" bestFit="1" customWidth="1"/>
  </cols>
  <sheetData>
    <row r="1" spans="1:5" ht="15.75" x14ac:dyDescent="0.25">
      <c r="A1" s="1"/>
    </row>
    <row r="2" spans="1:5" ht="14.45" customHeight="1" x14ac:dyDescent="0.25">
      <c r="A2" s="251" t="s">
        <v>0</v>
      </c>
      <c r="B2" s="251"/>
      <c r="C2" s="251"/>
      <c r="D2" s="251"/>
    </row>
    <row r="3" spans="1:5" ht="15.75" x14ac:dyDescent="0.25">
      <c r="D3" s="1"/>
    </row>
    <row r="4" spans="1:5" ht="16.5" customHeight="1" x14ac:dyDescent="0.25">
      <c r="A4" s="252" t="s">
        <v>22</v>
      </c>
      <c r="B4" s="252"/>
      <c r="C4" s="252"/>
      <c r="D4" s="252"/>
    </row>
    <row r="5" spans="1:5" ht="15.75" x14ac:dyDescent="0.25">
      <c r="D5" s="5"/>
    </row>
    <row r="6" spans="1:5" s="59" customFormat="1" ht="62.25" customHeight="1" x14ac:dyDescent="0.25">
      <c r="A6" s="253" t="s">
        <v>276</v>
      </c>
      <c r="B6" s="253"/>
      <c r="C6" s="253"/>
      <c r="D6" s="253"/>
      <c r="E6" s="58"/>
    </row>
    <row r="7" spans="1:5" ht="15.75" x14ac:dyDescent="0.25">
      <c r="D7" s="6"/>
    </row>
    <row r="8" spans="1:5" ht="16.5" thickBot="1" x14ac:dyDescent="0.3">
      <c r="A8" s="254" t="s">
        <v>1</v>
      </c>
      <c r="B8" s="254"/>
      <c r="C8" s="254"/>
      <c r="D8" s="254"/>
    </row>
    <row r="9" spans="1:5" ht="84" customHeight="1" thickBot="1" x14ac:dyDescent="0.3">
      <c r="A9" s="16" t="s">
        <v>2</v>
      </c>
      <c r="B9" s="17" t="s">
        <v>3</v>
      </c>
      <c r="C9" s="255" t="s">
        <v>4</v>
      </c>
      <c r="D9" s="256"/>
    </row>
    <row r="10" spans="1:5" ht="16.5" thickBot="1" x14ac:dyDescent="0.3">
      <c r="A10" s="3"/>
      <c r="B10" s="18" t="s">
        <v>5</v>
      </c>
      <c r="C10" s="257"/>
      <c r="D10" s="258"/>
    </row>
    <row r="11" spans="1:5" ht="222" customHeight="1" x14ac:dyDescent="0.25">
      <c r="A11" s="259" t="s">
        <v>6</v>
      </c>
      <c r="B11" s="66" t="s">
        <v>583</v>
      </c>
      <c r="C11" s="262">
        <f>41+1.61+5.6</f>
        <v>48.21</v>
      </c>
      <c r="D11" s="263"/>
    </row>
    <row r="12" spans="1:5" ht="141.75" x14ac:dyDescent="0.25">
      <c r="A12" s="260"/>
      <c r="B12" s="66" t="s">
        <v>585</v>
      </c>
      <c r="C12" s="262"/>
      <c r="D12" s="263"/>
    </row>
    <row r="13" spans="1:5" ht="96.75" customHeight="1" x14ac:dyDescent="0.25">
      <c r="A13" s="260"/>
      <c r="B13" s="66" t="s">
        <v>584</v>
      </c>
      <c r="C13" s="262"/>
      <c r="D13" s="263"/>
    </row>
    <row r="14" spans="1:5" ht="16.5" thickBot="1" x14ac:dyDescent="0.3">
      <c r="A14" s="261"/>
      <c r="B14" s="19" t="s">
        <v>586</v>
      </c>
      <c r="C14" s="262"/>
      <c r="D14" s="263"/>
    </row>
    <row r="15" spans="1:5" ht="48" thickBot="1" x14ac:dyDescent="0.3">
      <c r="A15" s="47" t="s">
        <v>7</v>
      </c>
      <c r="B15" s="19" t="s">
        <v>209</v>
      </c>
      <c r="C15" s="262">
        <f>C11*0.2359</f>
        <v>11.372738999999999</v>
      </c>
      <c r="D15" s="263"/>
    </row>
    <row r="16" spans="1:5" ht="16.5" thickBot="1" x14ac:dyDescent="0.3">
      <c r="A16" s="47"/>
      <c r="B16" s="20" t="s">
        <v>9</v>
      </c>
      <c r="C16" s="262">
        <f>SUM(C11:D15)</f>
        <v>59.582739000000004</v>
      </c>
      <c r="D16" s="263"/>
      <c r="E16" s="10"/>
    </row>
    <row r="17" spans="1:5" ht="16.5" thickBot="1" x14ac:dyDescent="0.3">
      <c r="A17" s="47"/>
      <c r="B17" s="20" t="s">
        <v>10</v>
      </c>
      <c r="C17" s="262"/>
      <c r="D17" s="263"/>
    </row>
    <row r="18" spans="1:5" ht="145.5" customHeight="1" thickBot="1" x14ac:dyDescent="0.3">
      <c r="A18" s="47" t="s">
        <v>12</v>
      </c>
      <c r="B18" s="62" t="s">
        <v>389</v>
      </c>
      <c r="C18" s="262">
        <f>0.14+0.27+0.01</f>
        <v>0.42000000000000004</v>
      </c>
      <c r="D18" s="263"/>
    </row>
    <row r="19" spans="1:5" ht="16.5" thickBot="1" x14ac:dyDescent="0.3">
      <c r="A19" s="3"/>
      <c r="B19" s="18" t="s">
        <v>18</v>
      </c>
      <c r="C19" s="262">
        <f>SUM(C18:C18)</f>
        <v>0.42000000000000004</v>
      </c>
      <c r="D19" s="263"/>
      <c r="E19" s="11"/>
    </row>
    <row r="20" spans="1:5" ht="16.5" thickBot="1" x14ac:dyDescent="0.3">
      <c r="A20" s="3"/>
      <c r="B20" s="21" t="s">
        <v>19</v>
      </c>
      <c r="C20" s="267">
        <f>SUM(C16,C19)</f>
        <v>60.002739000000005</v>
      </c>
      <c r="D20" s="268"/>
      <c r="E20" s="12"/>
    </row>
    <row r="21" spans="1:5" x14ac:dyDescent="0.25">
      <c r="A21" s="4"/>
      <c r="C21" s="8"/>
      <c r="E21" s="13"/>
    </row>
    <row r="22" spans="1:5" ht="15.75" x14ac:dyDescent="0.25">
      <c r="A22" s="269" t="s">
        <v>20</v>
      </c>
      <c r="B22" s="270"/>
      <c r="C22" s="271">
        <v>1</v>
      </c>
      <c r="D22" s="271"/>
      <c r="E22" s="14"/>
    </row>
    <row r="23" spans="1:5" ht="34.5" customHeight="1" x14ac:dyDescent="0.25">
      <c r="A23" s="264" t="s">
        <v>21</v>
      </c>
      <c r="B23" s="265"/>
      <c r="C23" s="320">
        <f>C20/C22</f>
        <v>60.002739000000005</v>
      </c>
      <c r="D23" s="320"/>
      <c r="E23" s="15"/>
    </row>
    <row r="24" spans="1:5" ht="15.75" x14ac:dyDescent="0.25">
      <c r="A24" s="2"/>
    </row>
    <row r="25" spans="1:5" x14ac:dyDescent="0.25">
      <c r="A25" s="78"/>
      <c r="B25" s="78"/>
      <c r="C25" s="203"/>
      <c r="D25" s="203"/>
    </row>
    <row r="26" spans="1:5" x14ac:dyDescent="0.25">
      <c r="A26" s="78"/>
      <c r="B26" s="78"/>
      <c r="C26" s="79"/>
      <c r="D26" s="78"/>
    </row>
    <row r="27" spans="1:5" x14ac:dyDescent="0.25">
      <c r="A27" s="78"/>
      <c r="B27" s="78"/>
      <c r="C27" s="203"/>
      <c r="D27" s="203"/>
    </row>
    <row r="28" spans="1:5" x14ac:dyDescent="0.25">
      <c r="A28" s="78"/>
      <c r="B28" s="78"/>
      <c r="C28" s="78"/>
      <c r="D28" s="78"/>
    </row>
    <row r="29" spans="1:5" x14ac:dyDescent="0.25">
      <c r="A29" s="202"/>
      <c r="B29" s="202"/>
      <c r="C29" s="80"/>
      <c r="D29" s="80"/>
    </row>
    <row r="30" spans="1:5" x14ac:dyDescent="0.25">
      <c r="A30" s="201"/>
      <c r="B30" s="202"/>
      <c r="C30" s="80"/>
      <c r="D30" s="80"/>
    </row>
    <row r="31" spans="1:5" x14ac:dyDescent="0.25">
      <c r="A31" s="57"/>
      <c r="B31" s="80"/>
      <c r="C31" s="81"/>
      <c r="D31" s="81"/>
    </row>
    <row r="32" spans="1:5" x14ac:dyDescent="0.25">
      <c r="A32" s="201"/>
      <c r="B32" s="201"/>
      <c r="C32" s="81"/>
      <c r="D32" s="81"/>
    </row>
  </sheetData>
  <mergeCells count="23">
    <mergeCell ref="C17:D17"/>
    <mergeCell ref="C10:D10"/>
    <mergeCell ref="A11:A14"/>
    <mergeCell ref="C11:D14"/>
    <mergeCell ref="C15:D15"/>
    <mergeCell ref="C16:D16"/>
    <mergeCell ref="A2:D2"/>
    <mergeCell ref="A4:D4"/>
    <mergeCell ref="A6:D6"/>
    <mergeCell ref="A8:D8"/>
    <mergeCell ref="C9:D9"/>
    <mergeCell ref="A23:B23"/>
    <mergeCell ref="C23:D23"/>
    <mergeCell ref="C18:D18"/>
    <mergeCell ref="C19:D19"/>
    <mergeCell ref="C20:D20"/>
    <mergeCell ref="A22:B22"/>
    <mergeCell ref="C22:D22"/>
    <mergeCell ref="C25:D25"/>
    <mergeCell ref="C27:D27"/>
    <mergeCell ref="A29:B29"/>
    <mergeCell ref="A30:B30"/>
    <mergeCell ref="A32:B32"/>
  </mergeCells>
  <pageMargins left="0.70866141732283472" right="0.70866141732283472" top="0.74803149606299213" bottom="0.74803149606299213" header="0.31496062992125984" footer="0.31496062992125984"/>
  <pageSetup paperSize="9" fitToHeight="0" orientation="portrait" verticalDpi="0" r:id="rId1"/>
  <headerFoot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view="pageBreakPreview" zoomScale="60" zoomScaleNormal="100" workbookViewId="0">
      <selection activeCell="T13" sqref="T13"/>
    </sheetView>
  </sheetViews>
  <sheetFormatPr defaultRowHeight="15" x14ac:dyDescent="0.25"/>
  <cols>
    <col min="1" max="1" width="16.7109375" customWidth="1"/>
    <col min="2" max="2" width="49.28515625" customWidth="1"/>
    <col min="3" max="3" width="13" style="7" customWidth="1"/>
    <col min="4" max="4" width="6.42578125" customWidth="1"/>
    <col min="5" max="5" width="25.85546875" style="9" customWidth="1"/>
    <col min="8" max="8" width="7.42578125" bestFit="1" customWidth="1"/>
  </cols>
  <sheetData>
    <row r="1" spans="1:5" ht="15.75" x14ac:dyDescent="0.25">
      <c r="A1" s="1"/>
    </row>
    <row r="2" spans="1:5" ht="14.45" customHeight="1" x14ac:dyDescent="0.25">
      <c r="A2" s="251" t="s">
        <v>0</v>
      </c>
      <c r="B2" s="251"/>
      <c r="C2" s="251"/>
      <c r="D2" s="251"/>
    </row>
    <row r="3" spans="1:5" ht="15.75" x14ac:dyDescent="0.25">
      <c r="D3" s="1"/>
    </row>
    <row r="4" spans="1:5" ht="16.5" customHeight="1" x14ac:dyDescent="0.25">
      <c r="A4" s="252" t="s">
        <v>22</v>
      </c>
      <c r="B4" s="252"/>
      <c r="C4" s="252"/>
      <c r="D4" s="252"/>
    </row>
    <row r="5" spans="1:5" ht="15.75" x14ac:dyDescent="0.25">
      <c r="D5" s="5"/>
    </row>
    <row r="6" spans="1:5" ht="49.5" customHeight="1" x14ac:dyDescent="0.25">
      <c r="A6" s="253" t="s">
        <v>277</v>
      </c>
      <c r="B6" s="253"/>
      <c r="C6" s="253"/>
      <c r="D6" s="253"/>
    </row>
    <row r="7" spans="1:5" ht="15.75" x14ac:dyDescent="0.25">
      <c r="D7" s="6"/>
    </row>
    <row r="8" spans="1:5" ht="16.5" thickBot="1" x14ac:dyDescent="0.3">
      <c r="A8" s="254" t="s">
        <v>1</v>
      </c>
      <c r="B8" s="254"/>
      <c r="C8" s="254"/>
      <c r="D8" s="254"/>
    </row>
    <row r="9" spans="1:5" ht="78.75" customHeight="1" thickBot="1" x14ac:dyDescent="0.3">
      <c r="A9" s="16" t="s">
        <v>2</v>
      </c>
      <c r="B9" s="17" t="s">
        <v>3</v>
      </c>
      <c r="C9" s="255" t="s">
        <v>4</v>
      </c>
      <c r="D9" s="256"/>
    </row>
    <row r="10" spans="1:5" ht="16.5" thickBot="1" x14ac:dyDescent="0.3">
      <c r="A10" s="3"/>
      <c r="B10" s="18" t="s">
        <v>5</v>
      </c>
      <c r="C10" s="257"/>
      <c r="D10" s="258"/>
    </row>
    <row r="11" spans="1:5" ht="189" x14ac:dyDescent="0.25">
      <c r="A11" s="259" t="s">
        <v>6</v>
      </c>
      <c r="B11" s="22" t="s">
        <v>587</v>
      </c>
      <c r="C11" s="262">
        <f>31+0.8+0.395</f>
        <v>32.195</v>
      </c>
      <c r="D11" s="263"/>
    </row>
    <row r="12" spans="1:5" ht="142.5" customHeight="1" x14ac:dyDescent="0.25">
      <c r="A12" s="260"/>
      <c r="B12" s="66" t="s">
        <v>588</v>
      </c>
      <c r="C12" s="262"/>
      <c r="D12" s="263"/>
    </row>
    <row r="13" spans="1:5" ht="78" customHeight="1" x14ac:dyDescent="0.25">
      <c r="A13" s="260"/>
      <c r="B13" s="66" t="s">
        <v>591</v>
      </c>
      <c r="C13" s="262"/>
      <c r="D13" s="263"/>
    </row>
    <row r="14" spans="1:5" ht="16.5" thickBot="1" x14ac:dyDescent="0.3">
      <c r="A14" s="261"/>
      <c r="B14" s="19" t="s">
        <v>590</v>
      </c>
      <c r="C14" s="262"/>
      <c r="D14" s="263"/>
    </row>
    <row r="15" spans="1:5" ht="48" thickBot="1" x14ac:dyDescent="0.3">
      <c r="A15" s="48" t="s">
        <v>7</v>
      </c>
      <c r="B15" s="19" t="s">
        <v>209</v>
      </c>
      <c r="C15" s="262">
        <f>C11*0.2359</f>
        <v>7.5948004999999998</v>
      </c>
      <c r="D15" s="263"/>
    </row>
    <row r="16" spans="1:5" ht="16.5" thickBot="1" x14ac:dyDescent="0.3">
      <c r="A16" s="48"/>
      <c r="B16" s="20" t="s">
        <v>9</v>
      </c>
      <c r="C16" s="262">
        <f>SUM(C11:D15)</f>
        <v>39.789800499999998</v>
      </c>
      <c r="D16" s="263"/>
      <c r="E16" s="10"/>
    </row>
    <row r="17" spans="1:5" ht="16.5" thickBot="1" x14ac:dyDescent="0.3">
      <c r="A17" s="48"/>
      <c r="B17" s="20" t="s">
        <v>10</v>
      </c>
      <c r="C17" s="262"/>
      <c r="D17" s="263"/>
    </row>
    <row r="18" spans="1:5" ht="144.75" customHeight="1" thickBot="1" x14ac:dyDescent="0.3">
      <c r="A18" s="108" t="s">
        <v>12</v>
      </c>
      <c r="B18" s="62" t="s">
        <v>390</v>
      </c>
      <c r="C18" s="262">
        <f>0.14+0.24+0.01</f>
        <v>0.39</v>
      </c>
      <c r="D18" s="263"/>
    </row>
    <row r="19" spans="1:5" ht="65.25" customHeight="1" thickBot="1" x14ac:dyDescent="0.3">
      <c r="A19" s="116" t="s">
        <v>13</v>
      </c>
      <c r="B19" s="107" t="s">
        <v>589</v>
      </c>
      <c r="C19" s="204">
        <f>20409/24855*1</f>
        <v>0.82112251056125529</v>
      </c>
      <c r="D19" s="205"/>
    </row>
    <row r="20" spans="1:5" ht="17.25" customHeight="1" thickBot="1" x14ac:dyDescent="0.3">
      <c r="A20" s="121" t="s">
        <v>392</v>
      </c>
      <c r="B20" s="120" t="s">
        <v>391</v>
      </c>
      <c r="C20" s="238">
        <v>9</v>
      </c>
      <c r="D20" s="239"/>
    </row>
    <row r="21" spans="1:5" ht="16.5" thickBot="1" x14ac:dyDescent="0.3">
      <c r="A21" s="122"/>
      <c r="B21" s="18" t="s">
        <v>18</v>
      </c>
      <c r="C21" s="262">
        <f>SUM(C18:C20)</f>
        <v>10.211122510561255</v>
      </c>
      <c r="D21" s="263"/>
      <c r="E21" s="11"/>
    </row>
    <row r="22" spans="1:5" ht="16.5" thickBot="1" x14ac:dyDescent="0.3">
      <c r="A22" s="3"/>
      <c r="B22" s="21" t="s">
        <v>19</v>
      </c>
      <c r="C22" s="267">
        <f>SUM(C16,C21)</f>
        <v>50.000923010561252</v>
      </c>
      <c r="D22" s="268"/>
      <c r="E22" s="12"/>
    </row>
    <row r="23" spans="1:5" x14ac:dyDescent="0.25">
      <c r="A23" s="4"/>
      <c r="C23" s="8"/>
      <c r="E23" s="13"/>
    </row>
    <row r="24" spans="1:5" ht="15.75" x14ac:dyDescent="0.25">
      <c r="A24" s="269" t="s">
        <v>20</v>
      </c>
      <c r="B24" s="270"/>
      <c r="C24" s="271">
        <v>1</v>
      </c>
      <c r="D24" s="271"/>
      <c r="E24" s="14"/>
    </row>
    <row r="25" spans="1:5" ht="36" customHeight="1" x14ac:dyDescent="0.25">
      <c r="A25" s="264" t="s">
        <v>21</v>
      </c>
      <c r="B25" s="265"/>
      <c r="C25" s="320">
        <f>C22/C24</f>
        <v>50.000923010561252</v>
      </c>
      <c r="D25" s="320"/>
      <c r="E25" s="15"/>
    </row>
    <row r="26" spans="1:5" ht="15.75" x14ac:dyDescent="0.25">
      <c r="A26" s="2"/>
    </row>
    <row r="27" spans="1:5" x14ac:dyDescent="0.25">
      <c r="A27" s="78"/>
      <c r="B27" s="78"/>
      <c r="C27" s="203"/>
      <c r="D27" s="203"/>
    </row>
    <row r="28" spans="1:5" x14ac:dyDescent="0.25">
      <c r="A28" s="78"/>
      <c r="B28" s="78"/>
      <c r="C28" s="79"/>
      <c r="D28" s="78"/>
    </row>
    <row r="29" spans="1:5" x14ac:dyDescent="0.25">
      <c r="A29" s="78"/>
      <c r="B29" s="78"/>
      <c r="C29" s="203"/>
      <c r="D29" s="203"/>
    </row>
    <row r="30" spans="1:5" x14ac:dyDescent="0.25">
      <c r="A30" s="78"/>
      <c r="B30" s="78"/>
      <c r="C30" s="78"/>
      <c r="D30" s="78"/>
    </row>
    <row r="31" spans="1:5" x14ac:dyDescent="0.25">
      <c r="A31" s="202"/>
      <c r="B31" s="202"/>
      <c r="C31" s="80"/>
      <c r="D31" s="80"/>
    </row>
    <row r="32" spans="1:5" x14ac:dyDescent="0.25">
      <c r="A32" s="201"/>
      <c r="B32" s="202"/>
      <c r="C32" s="80"/>
      <c r="D32" s="80"/>
    </row>
    <row r="33" spans="1:4" x14ac:dyDescent="0.25">
      <c r="A33" s="57"/>
      <c r="B33" s="80"/>
      <c r="C33" s="81"/>
      <c r="D33" s="81"/>
    </row>
    <row r="34" spans="1:4" x14ac:dyDescent="0.25">
      <c r="A34" s="201"/>
      <c r="B34" s="201"/>
      <c r="C34" s="81"/>
      <c r="D34" s="81"/>
    </row>
  </sheetData>
  <mergeCells count="25">
    <mergeCell ref="C17:D17"/>
    <mergeCell ref="A25:B25"/>
    <mergeCell ref="C25:D25"/>
    <mergeCell ref="C19:D19"/>
    <mergeCell ref="C21:D21"/>
    <mergeCell ref="C22:D22"/>
    <mergeCell ref="A24:B24"/>
    <mergeCell ref="C24:D24"/>
    <mergeCell ref="C18:D18"/>
    <mergeCell ref="C20:D20"/>
    <mergeCell ref="C10:D10"/>
    <mergeCell ref="A11:A14"/>
    <mergeCell ref="C11:D14"/>
    <mergeCell ref="C15:D15"/>
    <mergeCell ref="C16:D16"/>
    <mergeCell ref="A2:D2"/>
    <mergeCell ref="A4:D4"/>
    <mergeCell ref="A6:D6"/>
    <mergeCell ref="A8:D8"/>
    <mergeCell ref="C9:D9"/>
    <mergeCell ref="C27:D27"/>
    <mergeCell ref="C29:D29"/>
    <mergeCell ref="A31:B31"/>
    <mergeCell ref="A32:B32"/>
    <mergeCell ref="A34:B34"/>
  </mergeCells>
  <pageMargins left="0.70866141732283472" right="0.70866141732283472" top="0.74803149606299213" bottom="0.74803149606299213" header="0.31496062992125984" footer="0.31496062992125984"/>
  <pageSetup paperSize="9" fitToHeight="0" orientation="portrait" verticalDpi="0" r:id="rId1"/>
  <headerFoot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view="pageBreakPreview" topLeftCell="A4" zoomScale="60" zoomScaleNormal="100" workbookViewId="0">
      <selection activeCell="T13" sqref="T13"/>
    </sheetView>
  </sheetViews>
  <sheetFormatPr defaultColWidth="9.140625" defaultRowHeight="15" x14ac:dyDescent="0.25"/>
  <cols>
    <col min="1" max="1" width="15.7109375" customWidth="1"/>
    <col min="2" max="2" width="50" customWidth="1"/>
    <col min="3" max="3" width="8.28515625" style="7" customWidth="1"/>
    <col min="4" max="4" width="8.42578125" customWidth="1"/>
    <col min="5" max="5" width="25.85546875" style="9" customWidth="1"/>
    <col min="8" max="8" width="7.42578125" bestFit="1" customWidth="1"/>
    <col min="257" max="257" width="19.5703125" customWidth="1"/>
    <col min="258" max="258" width="52.42578125" customWidth="1"/>
    <col min="259" max="259" width="18.42578125" customWidth="1"/>
    <col min="261" max="261" width="25.85546875" customWidth="1"/>
    <col min="264" max="264" width="7.42578125" bestFit="1" customWidth="1"/>
    <col min="513" max="513" width="19.5703125" customWidth="1"/>
    <col min="514" max="514" width="52.42578125" customWidth="1"/>
    <col min="515" max="515" width="18.42578125" customWidth="1"/>
    <col min="517" max="517" width="25.85546875" customWidth="1"/>
    <col min="520" max="520" width="7.42578125" bestFit="1" customWidth="1"/>
    <col min="769" max="769" width="19.5703125" customWidth="1"/>
    <col min="770" max="770" width="52.42578125" customWidth="1"/>
    <col min="771" max="771" width="18.42578125" customWidth="1"/>
    <col min="773" max="773" width="25.85546875" customWidth="1"/>
    <col min="776" max="776" width="7.42578125" bestFit="1" customWidth="1"/>
    <col min="1025" max="1025" width="19.5703125" customWidth="1"/>
    <col min="1026" max="1026" width="52.42578125" customWidth="1"/>
    <col min="1027" max="1027" width="18.42578125" customWidth="1"/>
    <col min="1029" max="1029" width="25.85546875" customWidth="1"/>
    <col min="1032" max="1032" width="7.42578125" bestFit="1" customWidth="1"/>
    <col min="1281" max="1281" width="19.5703125" customWidth="1"/>
    <col min="1282" max="1282" width="52.42578125" customWidth="1"/>
    <col min="1283" max="1283" width="18.42578125" customWidth="1"/>
    <col min="1285" max="1285" width="25.85546875" customWidth="1"/>
    <col min="1288" max="1288" width="7.42578125" bestFit="1" customWidth="1"/>
    <col min="1537" max="1537" width="19.5703125" customWidth="1"/>
    <col min="1538" max="1538" width="52.42578125" customWidth="1"/>
    <col min="1539" max="1539" width="18.42578125" customWidth="1"/>
    <col min="1541" max="1541" width="25.85546875" customWidth="1"/>
    <col min="1544" max="1544" width="7.42578125" bestFit="1" customWidth="1"/>
    <col min="1793" max="1793" width="19.5703125" customWidth="1"/>
    <col min="1794" max="1794" width="52.42578125" customWidth="1"/>
    <col min="1795" max="1795" width="18.42578125" customWidth="1"/>
    <col min="1797" max="1797" width="25.85546875" customWidth="1"/>
    <col min="1800" max="1800" width="7.42578125" bestFit="1" customWidth="1"/>
    <col min="2049" max="2049" width="19.5703125" customWidth="1"/>
    <col min="2050" max="2050" width="52.42578125" customWidth="1"/>
    <col min="2051" max="2051" width="18.42578125" customWidth="1"/>
    <col min="2053" max="2053" width="25.85546875" customWidth="1"/>
    <col min="2056" max="2056" width="7.42578125" bestFit="1" customWidth="1"/>
    <col min="2305" max="2305" width="19.5703125" customWidth="1"/>
    <col min="2306" max="2306" width="52.42578125" customWidth="1"/>
    <col min="2307" max="2307" width="18.42578125" customWidth="1"/>
    <col min="2309" max="2309" width="25.85546875" customWidth="1"/>
    <col min="2312" max="2312" width="7.42578125" bestFit="1" customWidth="1"/>
    <col min="2561" max="2561" width="19.5703125" customWidth="1"/>
    <col min="2562" max="2562" width="52.42578125" customWidth="1"/>
    <col min="2563" max="2563" width="18.42578125" customWidth="1"/>
    <col min="2565" max="2565" width="25.85546875" customWidth="1"/>
    <col min="2568" max="2568" width="7.42578125" bestFit="1" customWidth="1"/>
    <col min="2817" max="2817" width="19.5703125" customWidth="1"/>
    <col min="2818" max="2818" width="52.42578125" customWidth="1"/>
    <col min="2819" max="2819" width="18.42578125" customWidth="1"/>
    <col min="2821" max="2821" width="25.85546875" customWidth="1"/>
    <col min="2824" max="2824" width="7.42578125" bestFit="1" customWidth="1"/>
    <col min="3073" max="3073" width="19.5703125" customWidth="1"/>
    <col min="3074" max="3074" width="52.42578125" customWidth="1"/>
    <col min="3075" max="3075" width="18.42578125" customWidth="1"/>
    <col min="3077" max="3077" width="25.85546875" customWidth="1"/>
    <col min="3080" max="3080" width="7.42578125" bestFit="1" customWidth="1"/>
    <col min="3329" max="3329" width="19.5703125" customWidth="1"/>
    <col min="3330" max="3330" width="52.42578125" customWidth="1"/>
    <col min="3331" max="3331" width="18.42578125" customWidth="1"/>
    <col min="3333" max="3333" width="25.85546875" customWidth="1"/>
    <col min="3336" max="3336" width="7.42578125" bestFit="1" customWidth="1"/>
    <col min="3585" max="3585" width="19.5703125" customWidth="1"/>
    <col min="3586" max="3586" width="52.42578125" customWidth="1"/>
    <col min="3587" max="3587" width="18.42578125" customWidth="1"/>
    <col min="3589" max="3589" width="25.85546875" customWidth="1"/>
    <col min="3592" max="3592" width="7.42578125" bestFit="1" customWidth="1"/>
    <col min="3841" max="3841" width="19.5703125" customWidth="1"/>
    <col min="3842" max="3842" width="52.42578125" customWidth="1"/>
    <col min="3843" max="3843" width="18.42578125" customWidth="1"/>
    <col min="3845" max="3845" width="25.85546875" customWidth="1"/>
    <col min="3848" max="3848" width="7.42578125" bestFit="1" customWidth="1"/>
    <col min="4097" max="4097" width="19.5703125" customWidth="1"/>
    <col min="4098" max="4098" width="52.42578125" customWidth="1"/>
    <col min="4099" max="4099" width="18.42578125" customWidth="1"/>
    <col min="4101" max="4101" width="25.85546875" customWidth="1"/>
    <col min="4104" max="4104" width="7.42578125" bestFit="1" customWidth="1"/>
    <col min="4353" max="4353" width="19.5703125" customWidth="1"/>
    <col min="4354" max="4354" width="52.42578125" customWidth="1"/>
    <col min="4355" max="4355" width="18.42578125" customWidth="1"/>
    <col min="4357" max="4357" width="25.85546875" customWidth="1"/>
    <col min="4360" max="4360" width="7.42578125" bestFit="1" customWidth="1"/>
    <col min="4609" max="4609" width="19.5703125" customWidth="1"/>
    <col min="4610" max="4610" width="52.42578125" customWidth="1"/>
    <col min="4611" max="4611" width="18.42578125" customWidth="1"/>
    <col min="4613" max="4613" width="25.85546875" customWidth="1"/>
    <col min="4616" max="4616" width="7.42578125" bestFit="1" customWidth="1"/>
    <col min="4865" max="4865" width="19.5703125" customWidth="1"/>
    <col min="4866" max="4866" width="52.42578125" customWidth="1"/>
    <col min="4867" max="4867" width="18.42578125" customWidth="1"/>
    <col min="4869" max="4869" width="25.85546875" customWidth="1"/>
    <col min="4872" max="4872" width="7.42578125" bestFit="1" customWidth="1"/>
    <col min="5121" max="5121" width="19.5703125" customWidth="1"/>
    <col min="5122" max="5122" width="52.42578125" customWidth="1"/>
    <col min="5123" max="5123" width="18.42578125" customWidth="1"/>
    <col min="5125" max="5125" width="25.85546875" customWidth="1"/>
    <col min="5128" max="5128" width="7.42578125" bestFit="1" customWidth="1"/>
    <col min="5377" max="5377" width="19.5703125" customWidth="1"/>
    <col min="5378" max="5378" width="52.42578125" customWidth="1"/>
    <col min="5379" max="5379" width="18.42578125" customWidth="1"/>
    <col min="5381" max="5381" width="25.85546875" customWidth="1"/>
    <col min="5384" max="5384" width="7.42578125" bestFit="1" customWidth="1"/>
    <col min="5633" max="5633" width="19.5703125" customWidth="1"/>
    <col min="5634" max="5634" width="52.42578125" customWidth="1"/>
    <col min="5635" max="5635" width="18.42578125" customWidth="1"/>
    <col min="5637" max="5637" width="25.85546875" customWidth="1"/>
    <col min="5640" max="5640" width="7.42578125" bestFit="1" customWidth="1"/>
    <col min="5889" max="5889" width="19.5703125" customWidth="1"/>
    <col min="5890" max="5890" width="52.42578125" customWidth="1"/>
    <col min="5891" max="5891" width="18.42578125" customWidth="1"/>
    <col min="5893" max="5893" width="25.85546875" customWidth="1"/>
    <col min="5896" max="5896" width="7.42578125" bestFit="1" customWidth="1"/>
    <col min="6145" max="6145" width="19.5703125" customWidth="1"/>
    <col min="6146" max="6146" width="52.42578125" customWidth="1"/>
    <col min="6147" max="6147" width="18.42578125" customWidth="1"/>
    <col min="6149" max="6149" width="25.85546875" customWidth="1"/>
    <col min="6152" max="6152" width="7.42578125" bestFit="1" customWidth="1"/>
    <col min="6401" max="6401" width="19.5703125" customWidth="1"/>
    <col min="6402" max="6402" width="52.42578125" customWidth="1"/>
    <col min="6403" max="6403" width="18.42578125" customWidth="1"/>
    <col min="6405" max="6405" width="25.85546875" customWidth="1"/>
    <col min="6408" max="6408" width="7.42578125" bestFit="1" customWidth="1"/>
    <col min="6657" max="6657" width="19.5703125" customWidth="1"/>
    <col min="6658" max="6658" width="52.42578125" customWidth="1"/>
    <col min="6659" max="6659" width="18.42578125" customWidth="1"/>
    <col min="6661" max="6661" width="25.85546875" customWidth="1"/>
    <col min="6664" max="6664" width="7.42578125" bestFit="1" customWidth="1"/>
    <col min="6913" max="6913" width="19.5703125" customWidth="1"/>
    <col min="6914" max="6914" width="52.42578125" customWidth="1"/>
    <col min="6915" max="6915" width="18.42578125" customWidth="1"/>
    <col min="6917" max="6917" width="25.85546875" customWidth="1"/>
    <col min="6920" max="6920" width="7.42578125" bestFit="1" customWidth="1"/>
    <col min="7169" max="7169" width="19.5703125" customWidth="1"/>
    <col min="7170" max="7170" width="52.42578125" customWidth="1"/>
    <col min="7171" max="7171" width="18.42578125" customWidth="1"/>
    <col min="7173" max="7173" width="25.85546875" customWidth="1"/>
    <col min="7176" max="7176" width="7.42578125" bestFit="1" customWidth="1"/>
    <col min="7425" max="7425" width="19.5703125" customWidth="1"/>
    <col min="7426" max="7426" width="52.42578125" customWidth="1"/>
    <col min="7427" max="7427" width="18.42578125" customWidth="1"/>
    <col min="7429" max="7429" width="25.85546875" customWidth="1"/>
    <col min="7432" max="7432" width="7.42578125" bestFit="1" customWidth="1"/>
    <col min="7681" max="7681" width="19.5703125" customWidth="1"/>
    <col min="7682" max="7682" width="52.42578125" customWidth="1"/>
    <col min="7683" max="7683" width="18.42578125" customWidth="1"/>
    <col min="7685" max="7685" width="25.85546875" customWidth="1"/>
    <col min="7688" max="7688" width="7.42578125" bestFit="1" customWidth="1"/>
    <col min="7937" max="7937" width="19.5703125" customWidth="1"/>
    <col min="7938" max="7938" width="52.42578125" customWidth="1"/>
    <col min="7939" max="7939" width="18.42578125" customWidth="1"/>
    <col min="7941" max="7941" width="25.85546875" customWidth="1"/>
    <col min="7944" max="7944" width="7.42578125" bestFit="1" customWidth="1"/>
    <col min="8193" max="8193" width="19.5703125" customWidth="1"/>
    <col min="8194" max="8194" width="52.42578125" customWidth="1"/>
    <col min="8195" max="8195" width="18.42578125" customWidth="1"/>
    <col min="8197" max="8197" width="25.85546875" customWidth="1"/>
    <col min="8200" max="8200" width="7.42578125" bestFit="1" customWidth="1"/>
    <col min="8449" max="8449" width="19.5703125" customWidth="1"/>
    <col min="8450" max="8450" width="52.42578125" customWidth="1"/>
    <col min="8451" max="8451" width="18.42578125" customWidth="1"/>
    <col min="8453" max="8453" width="25.85546875" customWidth="1"/>
    <col min="8456" max="8456" width="7.42578125" bestFit="1" customWidth="1"/>
    <col min="8705" max="8705" width="19.5703125" customWidth="1"/>
    <col min="8706" max="8706" width="52.42578125" customWidth="1"/>
    <col min="8707" max="8707" width="18.42578125" customWidth="1"/>
    <col min="8709" max="8709" width="25.85546875" customWidth="1"/>
    <col min="8712" max="8712" width="7.42578125" bestFit="1" customWidth="1"/>
    <col min="8961" max="8961" width="19.5703125" customWidth="1"/>
    <col min="8962" max="8962" width="52.42578125" customWidth="1"/>
    <col min="8963" max="8963" width="18.42578125" customWidth="1"/>
    <col min="8965" max="8965" width="25.85546875" customWidth="1"/>
    <col min="8968" max="8968" width="7.42578125" bestFit="1" customWidth="1"/>
    <col min="9217" max="9217" width="19.5703125" customWidth="1"/>
    <col min="9218" max="9218" width="52.42578125" customWidth="1"/>
    <col min="9219" max="9219" width="18.42578125" customWidth="1"/>
    <col min="9221" max="9221" width="25.85546875" customWidth="1"/>
    <col min="9224" max="9224" width="7.42578125" bestFit="1" customWidth="1"/>
    <col min="9473" max="9473" width="19.5703125" customWidth="1"/>
    <col min="9474" max="9474" width="52.42578125" customWidth="1"/>
    <col min="9475" max="9475" width="18.42578125" customWidth="1"/>
    <col min="9477" max="9477" width="25.85546875" customWidth="1"/>
    <col min="9480" max="9480" width="7.42578125" bestFit="1" customWidth="1"/>
    <col min="9729" max="9729" width="19.5703125" customWidth="1"/>
    <col min="9730" max="9730" width="52.42578125" customWidth="1"/>
    <col min="9731" max="9731" width="18.42578125" customWidth="1"/>
    <col min="9733" max="9733" width="25.85546875" customWidth="1"/>
    <col min="9736" max="9736" width="7.42578125" bestFit="1" customWidth="1"/>
    <col min="9985" max="9985" width="19.5703125" customWidth="1"/>
    <col min="9986" max="9986" width="52.42578125" customWidth="1"/>
    <col min="9987" max="9987" width="18.42578125" customWidth="1"/>
    <col min="9989" max="9989" width="25.85546875" customWidth="1"/>
    <col min="9992" max="9992" width="7.42578125" bestFit="1" customWidth="1"/>
    <col min="10241" max="10241" width="19.5703125" customWidth="1"/>
    <col min="10242" max="10242" width="52.42578125" customWidth="1"/>
    <col min="10243" max="10243" width="18.42578125" customWidth="1"/>
    <col min="10245" max="10245" width="25.85546875" customWidth="1"/>
    <col min="10248" max="10248" width="7.42578125" bestFit="1" customWidth="1"/>
    <col min="10497" max="10497" width="19.5703125" customWidth="1"/>
    <col min="10498" max="10498" width="52.42578125" customWidth="1"/>
    <col min="10499" max="10499" width="18.42578125" customWidth="1"/>
    <col min="10501" max="10501" width="25.85546875" customWidth="1"/>
    <col min="10504" max="10504" width="7.42578125" bestFit="1" customWidth="1"/>
    <col min="10753" max="10753" width="19.5703125" customWidth="1"/>
    <col min="10754" max="10754" width="52.42578125" customWidth="1"/>
    <col min="10755" max="10755" width="18.42578125" customWidth="1"/>
    <col min="10757" max="10757" width="25.85546875" customWidth="1"/>
    <col min="10760" max="10760" width="7.42578125" bestFit="1" customWidth="1"/>
    <col min="11009" max="11009" width="19.5703125" customWidth="1"/>
    <col min="11010" max="11010" width="52.42578125" customWidth="1"/>
    <col min="11011" max="11011" width="18.42578125" customWidth="1"/>
    <col min="11013" max="11013" width="25.85546875" customWidth="1"/>
    <col min="11016" max="11016" width="7.42578125" bestFit="1" customWidth="1"/>
    <col min="11265" max="11265" width="19.5703125" customWidth="1"/>
    <col min="11266" max="11266" width="52.42578125" customWidth="1"/>
    <col min="11267" max="11267" width="18.42578125" customWidth="1"/>
    <col min="11269" max="11269" width="25.85546875" customWidth="1"/>
    <col min="11272" max="11272" width="7.42578125" bestFit="1" customWidth="1"/>
    <col min="11521" max="11521" width="19.5703125" customWidth="1"/>
    <col min="11522" max="11522" width="52.42578125" customWidth="1"/>
    <col min="11523" max="11523" width="18.42578125" customWidth="1"/>
    <col min="11525" max="11525" width="25.85546875" customWidth="1"/>
    <col min="11528" max="11528" width="7.42578125" bestFit="1" customWidth="1"/>
    <col min="11777" max="11777" width="19.5703125" customWidth="1"/>
    <col min="11778" max="11778" width="52.42578125" customWidth="1"/>
    <col min="11779" max="11779" width="18.42578125" customWidth="1"/>
    <col min="11781" max="11781" width="25.85546875" customWidth="1"/>
    <col min="11784" max="11784" width="7.42578125" bestFit="1" customWidth="1"/>
    <col min="12033" max="12033" width="19.5703125" customWidth="1"/>
    <col min="12034" max="12034" width="52.42578125" customWidth="1"/>
    <col min="12035" max="12035" width="18.42578125" customWidth="1"/>
    <col min="12037" max="12037" width="25.85546875" customWidth="1"/>
    <col min="12040" max="12040" width="7.42578125" bestFit="1" customWidth="1"/>
    <col min="12289" max="12289" width="19.5703125" customWidth="1"/>
    <col min="12290" max="12290" width="52.42578125" customWidth="1"/>
    <col min="12291" max="12291" width="18.42578125" customWidth="1"/>
    <col min="12293" max="12293" width="25.85546875" customWidth="1"/>
    <col min="12296" max="12296" width="7.42578125" bestFit="1" customWidth="1"/>
    <col min="12545" max="12545" width="19.5703125" customWidth="1"/>
    <col min="12546" max="12546" width="52.42578125" customWidth="1"/>
    <col min="12547" max="12547" width="18.42578125" customWidth="1"/>
    <col min="12549" max="12549" width="25.85546875" customWidth="1"/>
    <col min="12552" max="12552" width="7.42578125" bestFit="1" customWidth="1"/>
    <col min="12801" max="12801" width="19.5703125" customWidth="1"/>
    <col min="12802" max="12802" width="52.42578125" customWidth="1"/>
    <col min="12803" max="12803" width="18.42578125" customWidth="1"/>
    <col min="12805" max="12805" width="25.85546875" customWidth="1"/>
    <col min="12808" max="12808" width="7.42578125" bestFit="1" customWidth="1"/>
    <col min="13057" max="13057" width="19.5703125" customWidth="1"/>
    <col min="13058" max="13058" width="52.42578125" customWidth="1"/>
    <col min="13059" max="13059" width="18.42578125" customWidth="1"/>
    <col min="13061" max="13061" width="25.85546875" customWidth="1"/>
    <col min="13064" max="13064" width="7.42578125" bestFit="1" customWidth="1"/>
    <col min="13313" max="13313" width="19.5703125" customWidth="1"/>
    <col min="13314" max="13314" width="52.42578125" customWidth="1"/>
    <col min="13315" max="13315" width="18.42578125" customWidth="1"/>
    <col min="13317" max="13317" width="25.85546875" customWidth="1"/>
    <col min="13320" max="13320" width="7.42578125" bestFit="1" customWidth="1"/>
    <col min="13569" max="13569" width="19.5703125" customWidth="1"/>
    <col min="13570" max="13570" width="52.42578125" customWidth="1"/>
    <col min="13571" max="13571" width="18.42578125" customWidth="1"/>
    <col min="13573" max="13573" width="25.85546875" customWidth="1"/>
    <col min="13576" max="13576" width="7.42578125" bestFit="1" customWidth="1"/>
    <col min="13825" max="13825" width="19.5703125" customWidth="1"/>
    <col min="13826" max="13826" width="52.42578125" customWidth="1"/>
    <col min="13827" max="13827" width="18.42578125" customWidth="1"/>
    <col min="13829" max="13829" width="25.85546875" customWidth="1"/>
    <col min="13832" max="13832" width="7.42578125" bestFit="1" customWidth="1"/>
    <col min="14081" max="14081" width="19.5703125" customWidth="1"/>
    <col min="14082" max="14082" width="52.42578125" customWidth="1"/>
    <col min="14083" max="14083" width="18.42578125" customWidth="1"/>
    <col min="14085" max="14085" width="25.85546875" customWidth="1"/>
    <col min="14088" max="14088" width="7.42578125" bestFit="1" customWidth="1"/>
    <col min="14337" max="14337" width="19.5703125" customWidth="1"/>
    <col min="14338" max="14338" width="52.42578125" customWidth="1"/>
    <col min="14339" max="14339" width="18.42578125" customWidth="1"/>
    <col min="14341" max="14341" width="25.85546875" customWidth="1"/>
    <col min="14344" max="14344" width="7.42578125" bestFit="1" customWidth="1"/>
    <col min="14593" max="14593" width="19.5703125" customWidth="1"/>
    <col min="14594" max="14594" width="52.42578125" customWidth="1"/>
    <col min="14595" max="14595" width="18.42578125" customWidth="1"/>
    <col min="14597" max="14597" width="25.85546875" customWidth="1"/>
    <col min="14600" max="14600" width="7.42578125" bestFit="1" customWidth="1"/>
    <col min="14849" max="14849" width="19.5703125" customWidth="1"/>
    <col min="14850" max="14850" width="52.42578125" customWidth="1"/>
    <col min="14851" max="14851" width="18.42578125" customWidth="1"/>
    <col min="14853" max="14853" width="25.85546875" customWidth="1"/>
    <col min="14856" max="14856" width="7.42578125" bestFit="1" customWidth="1"/>
    <col min="15105" max="15105" width="19.5703125" customWidth="1"/>
    <col min="15106" max="15106" width="52.42578125" customWidth="1"/>
    <col min="15107" max="15107" width="18.42578125" customWidth="1"/>
    <col min="15109" max="15109" width="25.85546875" customWidth="1"/>
    <col min="15112" max="15112" width="7.42578125" bestFit="1" customWidth="1"/>
    <col min="15361" max="15361" width="19.5703125" customWidth="1"/>
    <col min="15362" max="15362" width="52.42578125" customWidth="1"/>
    <col min="15363" max="15363" width="18.42578125" customWidth="1"/>
    <col min="15365" max="15365" width="25.85546875" customWidth="1"/>
    <col min="15368" max="15368" width="7.42578125" bestFit="1" customWidth="1"/>
    <col min="15617" max="15617" width="19.5703125" customWidth="1"/>
    <col min="15618" max="15618" width="52.42578125" customWidth="1"/>
    <col min="15619" max="15619" width="18.42578125" customWidth="1"/>
    <col min="15621" max="15621" width="25.85546875" customWidth="1"/>
    <col min="15624" max="15624" width="7.42578125" bestFit="1" customWidth="1"/>
    <col min="15873" max="15873" width="19.5703125" customWidth="1"/>
    <col min="15874" max="15874" width="52.42578125" customWidth="1"/>
    <col min="15875" max="15875" width="18.42578125" customWidth="1"/>
    <col min="15877" max="15877" width="25.85546875" customWidth="1"/>
    <col min="15880" max="15880" width="7.42578125" bestFit="1" customWidth="1"/>
    <col min="16129" max="16129" width="19.5703125" customWidth="1"/>
    <col min="16130" max="16130" width="52.42578125" customWidth="1"/>
    <col min="16131" max="16131" width="18.42578125" customWidth="1"/>
    <col min="16133" max="16133" width="25.85546875" customWidth="1"/>
    <col min="16136" max="16136" width="7.42578125" bestFit="1" customWidth="1"/>
  </cols>
  <sheetData>
    <row r="1" spans="1:5" ht="15.75" x14ac:dyDescent="0.25">
      <c r="A1" s="29"/>
    </row>
    <row r="2" spans="1:5" ht="14.45" customHeight="1" x14ac:dyDescent="0.25">
      <c r="A2" s="217" t="s">
        <v>0</v>
      </c>
      <c r="B2" s="217"/>
      <c r="C2" s="217"/>
      <c r="D2" s="217"/>
    </row>
    <row r="3" spans="1:5" ht="15.75" x14ac:dyDescent="0.25">
      <c r="D3" s="29"/>
    </row>
    <row r="4" spans="1:5" ht="18.75" customHeight="1" x14ac:dyDescent="0.25">
      <c r="A4" s="218" t="s">
        <v>26</v>
      </c>
      <c r="B4" s="218"/>
      <c r="C4" s="218"/>
      <c r="D4" s="218"/>
    </row>
    <row r="5" spans="1:5" ht="15.75" x14ac:dyDescent="0.25">
      <c r="D5" s="30"/>
    </row>
    <row r="6" spans="1:5" ht="66" customHeight="1" x14ac:dyDescent="0.25">
      <c r="A6" s="218" t="s">
        <v>278</v>
      </c>
      <c r="B6" s="218"/>
      <c r="C6" s="218"/>
      <c r="D6" s="218"/>
    </row>
    <row r="7" spans="1:5" ht="15.75" x14ac:dyDescent="0.25">
      <c r="D7" s="30"/>
    </row>
    <row r="8" spans="1:5" ht="16.5" thickBot="1" x14ac:dyDescent="0.3">
      <c r="A8" s="219" t="s">
        <v>27</v>
      </c>
      <c r="B8" s="219"/>
      <c r="C8" s="219"/>
      <c r="D8" s="219"/>
    </row>
    <row r="9" spans="1:5" ht="81.75" customHeight="1" thickBot="1" x14ac:dyDescent="0.3">
      <c r="A9" s="31" t="s">
        <v>2</v>
      </c>
      <c r="B9" s="32" t="s">
        <v>3</v>
      </c>
      <c r="C9" s="236" t="s">
        <v>4</v>
      </c>
      <c r="D9" s="237"/>
    </row>
    <row r="10" spans="1:5" ht="16.5" thickBot="1" x14ac:dyDescent="0.3">
      <c r="A10" s="33"/>
      <c r="B10" s="84" t="s">
        <v>5</v>
      </c>
      <c r="C10" s="240"/>
      <c r="D10" s="241"/>
    </row>
    <row r="11" spans="1:5" ht="221.25" customHeight="1" x14ac:dyDescent="0.25">
      <c r="A11" s="242" t="s">
        <v>6</v>
      </c>
      <c r="B11" s="129" t="s">
        <v>592</v>
      </c>
      <c r="C11" s="300">
        <f>61.8+11.57+7.2</f>
        <v>80.570000000000007</v>
      </c>
      <c r="D11" s="301"/>
    </row>
    <row r="12" spans="1:5" ht="159" customHeight="1" x14ac:dyDescent="0.25">
      <c r="A12" s="243"/>
      <c r="B12" s="157" t="s">
        <v>594</v>
      </c>
      <c r="C12" s="302"/>
      <c r="D12" s="303"/>
    </row>
    <row r="13" spans="1:5" ht="64.5" customHeight="1" x14ac:dyDescent="0.25">
      <c r="A13" s="243"/>
      <c r="B13" s="157" t="s">
        <v>593</v>
      </c>
      <c r="C13" s="302"/>
      <c r="D13" s="303"/>
    </row>
    <row r="14" spans="1:5" ht="16.5" thickBot="1" x14ac:dyDescent="0.3">
      <c r="A14" s="244"/>
      <c r="B14" s="130" t="s">
        <v>467</v>
      </c>
      <c r="C14" s="304"/>
      <c r="D14" s="305"/>
    </row>
    <row r="15" spans="1:5" ht="48" thickBot="1" x14ac:dyDescent="0.3">
      <c r="A15" s="53" t="s">
        <v>7</v>
      </c>
      <c r="B15" s="62" t="s">
        <v>209</v>
      </c>
      <c r="C15" s="238">
        <f>C11*0.2359</f>
        <v>19.006463</v>
      </c>
      <c r="D15" s="239"/>
    </row>
    <row r="16" spans="1:5" ht="16.5" thickBot="1" x14ac:dyDescent="0.3">
      <c r="A16" s="53"/>
      <c r="B16" s="38" t="s">
        <v>9</v>
      </c>
      <c r="C16" s="238">
        <f>SUM(C11:D15)</f>
        <v>99.576463000000004</v>
      </c>
      <c r="D16" s="239"/>
      <c r="E16" s="39"/>
    </row>
    <row r="17" spans="1:5" ht="16.5" thickBot="1" x14ac:dyDescent="0.3">
      <c r="A17" s="53"/>
      <c r="B17" s="38" t="s">
        <v>10</v>
      </c>
      <c r="C17" s="238"/>
      <c r="D17" s="239"/>
    </row>
    <row r="18" spans="1:5" ht="142.5" customHeight="1" thickBot="1" x14ac:dyDescent="0.3">
      <c r="A18" s="53" t="s">
        <v>12</v>
      </c>
      <c r="B18" s="62" t="s">
        <v>335</v>
      </c>
      <c r="C18" s="238">
        <f>0.14+0.27+0.01</f>
        <v>0.42000000000000004</v>
      </c>
      <c r="D18" s="239"/>
    </row>
    <row r="19" spans="1:5" ht="16.5" thickBot="1" x14ac:dyDescent="0.3">
      <c r="A19" s="33"/>
      <c r="B19" s="34" t="s">
        <v>18</v>
      </c>
      <c r="C19" s="238">
        <f>SUM(C18:C18)</f>
        <v>0.42000000000000004</v>
      </c>
      <c r="D19" s="239"/>
      <c r="E19" s="54"/>
    </row>
    <row r="20" spans="1:5" ht="16.5" thickBot="1" x14ac:dyDescent="0.3">
      <c r="A20" s="33"/>
      <c r="B20" s="41" t="s">
        <v>19</v>
      </c>
      <c r="C20" s="306">
        <f>SUM(C16,C19)</f>
        <v>99.996463000000006</v>
      </c>
      <c r="D20" s="307"/>
      <c r="E20" s="42"/>
    </row>
    <row r="21" spans="1:5" x14ac:dyDescent="0.25">
      <c r="A21" s="43"/>
      <c r="C21" s="8"/>
      <c r="E21" s="13"/>
    </row>
    <row r="22" spans="1:5" ht="15.75" x14ac:dyDescent="0.25">
      <c r="A22" s="213" t="s">
        <v>20</v>
      </c>
      <c r="B22" s="233"/>
      <c r="C22" s="308">
        <v>1</v>
      </c>
      <c r="D22" s="309"/>
      <c r="E22" s="44"/>
    </row>
    <row r="23" spans="1:5" ht="33.75" customHeight="1" x14ac:dyDescent="0.25">
      <c r="A23" s="215" t="s">
        <v>28</v>
      </c>
      <c r="B23" s="226"/>
      <c r="C23" s="336">
        <f>C20/C22</f>
        <v>99.996463000000006</v>
      </c>
      <c r="D23" s="337"/>
      <c r="E23" s="45"/>
    </row>
    <row r="24" spans="1:5" ht="15.75" x14ac:dyDescent="0.25">
      <c r="A24" s="46"/>
    </row>
    <row r="25" spans="1:5" x14ac:dyDescent="0.25">
      <c r="A25" s="78"/>
      <c r="B25" s="78"/>
      <c r="C25" s="203"/>
      <c r="D25" s="203"/>
    </row>
    <row r="26" spans="1:5" x14ac:dyDescent="0.25">
      <c r="A26" s="78"/>
      <c r="B26" s="78"/>
      <c r="C26" s="79"/>
      <c r="D26" s="78"/>
    </row>
    <row r="27" spans="1:5" x14ac:dyDescent="0.25">
      <c r="A27" s="78"/>
      <c r="B27" s="78"/>
      <c r="C27" s="203"/>
      <c r="D27" s="203"/>
    </row>
    <row r="28" spans="1:5" x14ac:dyDescent="0.25">
      <c r="A28" s="78"/>
      <c r="B28" s="78"/>
      <c r="C28" s="78"/>
      <c r="D28" s="78"/>
    </row>
    <row r="29" spans="1:5" x14ac:dyDescent="0.25">
      <c r="A29" s="202"/>
      <c r="B29" s="202"/>
      <c r="C29" s="80"/>
      <c r="D29" s="80"/>
    </row>
    <row r="30" spans="1:5" x14ac:dyDescent="0.25">
      <c r="A30" s="201"/>
      <c r="B30" s="202"/>
      <c r="C30" s="80"/>
      <c r="D30" s="80"/>
    </row>
    <row r="31" spans="1:5" x14ac:dyDescent="0.25">
      <c r="A31" s="57"/>
      <c r="B31" s="80"/>
      <c r="C31" s="81"/>
      <c r="D31" s="81"/>
    </row>
    <row r="32" spans="1:5" x14ac:dyDescent="0.25">
      <c r="A32" s="201"/>
      <c r="B32" s="201"/>
      <c r="C32" s="81"/>
      <c r="D32" s="81"/>
    </row>
  </sheetData>
  <mergeCells count="23">
    <mergeCell ref="C17:D17"/>
    <mergeCell ref="A23:B23"/>
    <mergeCell ref="C23:D23"/>
    <mergeCell ref="C18:D18"/>
    <mergeCell ref="C19:D19"/>
    <mergeCell ref="C20:D20"/>
    <mergeCell ref="A22:B22"/>
    <mergeCell ref="C22:D22"/>
    <mergeCell ref="C10:D10"/>
    <mergeCell ref="A11:A14"/>
    <mergeCell ref="C11:D14"/>
    <mergeCell ref="C15:D15"/>
    <mergeCell ref="C16:D16"/>
    <mergeCell ref="A2:D2"/>
    <mergeCell ref="A4:D4"/>
    <mergeCell ref="A6:D6"/>
    <mergeCell ref="A8:D8"/>
    <mergeCell ref="C9:D9"/>
    <mergeCell ref="C25:D25"/>
    <mergeCell ref="C27:D27"/>
    <mergeCell ref="A29:B29"/>
    <mergeCell ref="A30:B30"/>
    <mergeCell ref="A32:B32"/>
  </mergeCells>
  <pageMargins left="0.70866141732283472" right="0.70866141732283472" top="0.74803149606299213" bottom="0.74803149606299213" header="0.31496062992125984" footer="0.31496062992125984"/>
  <pageSetup paperSize="9" fitToHeight="0" orientation="portrait" verticalDpi="0" r:id="rId1"/>
  <headerFoot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view="pageBreakPreview" zoomScale="60" zoomScaleNormal="100" workbookViewId="0">
      <selection activeCell="T13" sqref="T13"/>
    </sheetView>
  </sheetViews>
  <sheetFormatPr defaultRowHeight="15" x14ac:dyDescent="0.25"/>
  <cols>
    <col min="1" max="1" width="15" customWidth="1"/>
    <col min="2" max="2" width="50.85546875" customWidth="1"/>
    <col min="3" max="3" width="11.42578125" style="7" customWidth="1"/>
    <col min="4" max="4" width="4.7109375" customWidth="1"/>
    <col min="5" max="5" width="25.85546875" style="9" customWidth="1"/>
    <col min="8" max="8" width="7.42578125" bestFit="1" customWidth="1"/>
    <col min="257" max="257" width="19.5703125" customWidth="1"/>
    <col min="258" max="258" width="52.42578125" customWidth="1"/>
    <col min="259" max="259" width="18.42578125" customWidth="1"/>
    <col min="261" max="261" width="25.85546875" customWidth="1"/>
    <col min="264" max="264" width="7.42578125" bestFit="1" customWidth="1"/>
    <col min="513" max="513" width="19.5703125" customWidth="1"/>
    <col min="514" max="514" width="52.42578125" customWidth="1"/>
    <col min="515" max="515" width="18.42578125" customWidth="1"/>
    <col min="517" max="517" width="25.85546875" customWidth="1"/>
    <col min="520" max="520" width="7.42578125" bestFit="1" customWidth="1"/>
    <col min="769" max="769" width="19.5703125" customWidth="1"/>
    <col min="770" max="770" width="52.42578125" customWidth="1"/>
    <col min="771" max="771" width="18.42578125" customWidth="1"/>
    <col min="773" max="773" width="25.85546875" customWidth="1"/>
    <col min="776" max="776" width="7.42578125" bestFit="1" customWidth="1"/>
    <col min="1025" max="1025" width="19.5703125" customWidth="1"/>
    <col min="1026" max="1026" width="52.42578125" customWidth="1"/>
    <col min="1027" max="1027" width="18.42578125" customWidth="1"/>
    <col min="1029" max="1029" width="25.85546875" customWidth="1"/>
    <col min="1032" max="1032" width="7.42578125" bestFit="1" customWidth="1"/>
    <col min="1281" max="1281" width="19.5703125" customWidth="1"/>
    <col min="1282" max="1282" width="52.42578125" customWidth="1"/>
    <col min="1283" max="1283" width="18.42578125" customWidth="1"/>
    <col min="1285" max="1285" width="25.85546875" customWidth="1"/>
    <col min="1288" max="1288" width="7.42578125" bestFit="1" customWidth="1"/>
    <col min="1537" max="1537" width="19.5703125" customWidth="1"/>
    <col min="1538" max="1538" width="52.42578125" customWidth="1"/>
    <col min="1539" max="1539" width="18.42578125" customWidth="1"/>
    <col min="1541" max="1541" width="25.85546875" customWidth="1"/>
    <col min="1544" max="1544" width="7.42578125" bestFit="1" customWidth="1"/>
    <col min="1793" max="1793" width="19.5703125" customWidth="1"/>
    <col min="1794" max="1794" width="52.42578125" customWidth="1"/>
    <col min="1795" max="1795" width="18.42578125" customWidth="1"/>
    <col min="1797" max="1797" width="25.85546875" customWidth="1"/>
    <col min="1800" max="1800" width="7.42578125" bestFit="1" customWidth="1"/>
    <col min="2049" max="2049" width="19.5703125" customWidth="1"/>
    <col min="2050" max="2050" width="52.42578125" customWidth="1"/>
    <col min="2051" max="2051" width="18.42578125" customWidth="1"/>
    <col min="2053" max="2053" width="25.85546875" customWidth="1"/>
    <col min="2056" max="2056" width="7.42578125" bestFit="1" customWidth="1"/>
    <col min="2305" max="2305" width="19.5703125" customWidth="1"/>
    <col min="2306" max="2306" width="52.42578125" customWidth="1"/>
    <col min="2307" max="2307" width="18.42578125" customWidth="1"/>
    <col min="2309" max="2309" width="25.85546875" customWidth="1"/>
    <col min="2312" max="2312" width="7.42578125" bestFit="1" customWidth="1"/>
    <col min="2561" max="2561" width="19.5703125" customWidth="1"/>
    <col min="2562" max="2562" width="52.42578125" customWidth="1"/>
    <col min="2563" max="2563" width="18.42578125" customWidth="1"/>
    <col min="2565" max="2565" width="25.85546875" customWidth="1"/>
    <col min="2568" max="2568" width="7.42578125" bestFit="1" customWidth="1"/>
    <col min="2817" max="2817" width="19.5703125" customWidth="1"/>
    <col min="2818" max="2818" width="52.42578125" customWidth="1"/>
    <col min="2819" max="2819" width="18.42578125" customWidth="1"/>
    <col min="2821" max="2821" width="25.85546875" customWidth="1"/>
    <col min="2824" max="2824" width="7.42578125" bestFit="1" customWidth="1"/>
    <col min="3073" max="3073" width="19.5703125" customWidth="1"/>
    <col min="3074" max="3074" width="52.42578125" customWidth="1"/>
    <col min="3075" max="3075" width="18.42578125" customWidth="1"/>
    <col min="3077" max="3077" width="25.85546875" customWidth="1"/>
    <col min="3080" max="3080" width="7.42578125" bestFit="1" customWidth="1"/>
    <col min="3329" max="3329" width="19.5703125" customWidth="1"/>
    <col min="3330" max="3330" width="52.42578125" customWidth="1"/>
    <col min="3331" max="3331" width="18.42578125" customWidth="1"/>
    <col min="3333" max="3333" width="25.85546875" customWidth="1"/>
    <col min="3336" max="3336" width="7.42578125" bestFit="1" customWidth="1"/>
    <col min="3585" max="3585" width="19.5703125" customWidth="1"/>
    <col min="3586" max="3586" width="52.42578125" customWidth="1"/>
    <col min="3587" max="3587" width="18.42578125" customWidth="1"/>
    <col min="3589" max="3589" width="25.85546875" customWidth="1"/>
    <col min="3592" max="3592" width="7.42578125" bestFit="1" customWidth="1"/>
    <col min="3841" max="3841" width="19.5703125" customWidth="1"/>
    <col min="3842" max="3842" width="52.42578125" customWidth="1"/>
    <col min="3843" max="3843" width="18.42578125" customWidth="1"/>
    <col min="3845" max="3845" width="25.85546875" customWidth="1"/>
    <col min="3848" max="3848" width="7.42578125" bestFit="1" customWidth="1"/>
    <col min="4097" max="4097" width="19.5703125" customWidth="1"/>
    <col min="4098" max="4098" width="52.42578125" customWidth="1"/>
    <col min="4099" max="4099" width="18.42578125" customWidth="1"/>
    <col min="4101" max="4101" width="25.85546875" customWidth="1"/>
    <col min="4104" max="4104" width="7.42578125" bestFit="1" customWidth="1"/>
    <col min="4353" max="4353" width="19.5703125" customWidth="1"/>
    <col min="4354" max="4354" width="52.42578125" customWidth="1"/>
    <col min="4355" max="4355" width="18.42578125" customWidth="1"/>
    <col min="4357" max="4357" width="25.85546875" customWidth="1"/>
    <col min="4360" max="4360" width="7.42578125" bestFit="1" customWidth="1"/>
    <col min="4609" max="4609" width="19.5703125" customWidth="1"/>
    <col min="4610" max="4610" width="52.42578125" customWidth="1"/>
    <col min="4611" max="4611" width="18.42578125" customWidth="1"/>
    <col min="4613" max="4613" width="25.85546875" customWidth="1"/>
    <col min="4616" max="4616" width="7.42578125" bestFit="1" customWidth="1"/>
    <col min="4865" max="4865" width="19.5703125" customWidth="1"/>
    <col min="4866" max="4866" width="52.42578125" customWidth="1"/>
    <col min="4867" max="4867" width="18.42578125" customWidth="1"/>
    <col min="4869" max="4869" width="25.85546875" customWidth="1"/>
    <col min="4872" max="4872" width="7.42578125" bestFit="1" customWidth="1"/>
    <col min="5121" max="5121" width="19.5703125" customWidth="1"/>
    <col min="5122" max="5122" width="52.42578125" customWidth="1"/>
    <col min="5123" max="5123" width="18.42578125" customWidth="1"/>
    <col min="5125" max="5125" width="25.85546875" customWidth="1"/>
    <col min="5128" max="5128" width="7.42578125" bestFit="1" customWidth="1"/>
    <col min="5377" max="5377" width="19.5703125" customWidth="1"/>
    <col min="5378" max="5378" width="52.42578125" customWidth="1"/>
    <col min="5379" max="5379" width="18.42578125" customWidth="1"/>
    <col min="5381" max="5381" width="25.85546875" customWidth="1"/>
    <col min="5384" max="5384" width="7.42578125" bestFit="1" customWidth="1"/>
    <col min="5633" max="5633" width="19.5703125" customWidth="1"/>
    <col min="5634" max="5634" width="52.42578125" customWidth="1"/>
    <col min="5635" max="5635" width="18.42578125" customWidth="1"/>
    <col min="5637" max="5637" width="25.85546875" customWidth="1"/>
    <col min="5640" max="5640" width="7.42578125" bestFit="1" customWidth="1"/>
    <col min="5889" max="5889" width="19.5703125" customWidth="1"/>
    <col min="5890" max="5890" width="52.42578125" customWidth="1"/>
    <col min="5891" max="5891" width="18.42578125" customWidth="1"/>
    <col min="5893" max="5893" width="25.85546875" customWidth="1"/>
    <col min="5896" max="5896" width="7.42578125" bestFit="1" customWidth="1"/>
    <col min="6145" max="6145" width="19.5703125" customWidth="1"/>
    <col min="6146" max="6146" width="52.42578125" customWidth="1"/>
    <col min="6147" max="6147" width="18.42578125" customWidth="1"/>
    <col min="6149" max="6149" width="25.85546875" customWidth="1"/>
    <col min="6152" max="6152" width="7.42578125" bestFit="1" customWidth="1"/>
    <col min="6401" max="6401" width="19.5703125" customWidth="1"/>
    <col min="6402" max="6402" width="52.42578125" customWidth="1"/>
    <col min="6403" max="6403" width="18.42578125" customWidth="1"/>
    <col min="6405" max="6405" width="25.85546875" customWidth="1"/>
    <col min="6408" max="6408" width="7.42578125" bestFit="1" customWidth="1"/>
    <col min="6657" max="6657" width="19.5703125" customWidth="1"/>
    <col min="6658" max="6658" width="52.42578125" customWidth="1"/>
    <col min="6659" max="6659" width="18.42578125" customWidth="1"/>
    <col min="6661" max="6661" width="25.85546875" customWidth="1"/>
    <col min="6664" max="6664" width="7.42578125" bestFit="1" customWidth="1"/>
    <col min="6913" max="6913" width="19.5703125" customWidth="1"/>
    <col min="6914" max="6914" width="52.42578125" customWidth="1"/>
    <col min="6915" max="6915" width="18.42578125" customWidth="1"/>
    <col min="6917" max="6917" width="25.85546875" customWidth="1"/>
    <col min="6920" max="6920" width="7.42578125" bestFit="1" customWidth="1"/>
    <col min="7169" max="7169" width="19.5703125" customWidth="1"/>
    <col min="7170" max="7170" width="52.42578125" customWidth="1"/>
    <col min="7171" max="7171" width="18.42578125" customWidth="1"/>
    <col min="7173" max="7173" width="25.85546875" customWidth="1"/>
    <col min="7176" max="7176" width="7.42578125" bestFit="1" customWidth="1"/>
    <col min="7425" max="7425" width="19.5703125" customWidth="1"/>
    <col min="7426" max="7426" width="52.42578125" customWidth="1"/>
    <col min="7427" max="7427" width="18.42578125" customWidth="1"/>
    <col min="7429" max="7429" width="25.85546875" customWidth="1"/>
    <col min="7432" max="7432" width="7.42578125" bestFit="1" customWidth="1"/>
    <col min="7681" max="7681" width="19.5703125" customWidth="1"/>
    <col min="7682" max="7682" width="52.42578125" customWidth="1"/>
    <col min="7683" max="7683" width="18.42578125" customWidth="1"/>
    <col min="7685" max="7685" width="25.85546875" customWidth="1"/>
    <col min="7688" max="7688" width="7.42578125" bestFit="1" customWidth="1"/>
    <col min="7937" max="7937" width="19.5703125" customWidth="1"/>
    <col min="7938" max="7938" width="52.42578125" customWidth="1"/>
    <col min="7939" max="7939" width="18.42578125" customWidth="1"/>
    <col min="7941" max="7941" width="25.85546875" customWidth="1"/>
    <col min="7944" max="7944" width="7.42578125" bestFit="1" customWidth="1"/>
    <col min="8193" max="8193" width="19.5703125" customWidth="1"/>
    <col min="8194" max="8194" width="52.42578125" customWidth="1"/>
    <col min="8195" max="8195" width="18.42578125" customWidth="1"/>
    <col min="8197" max="8197" width="25.85546875" customWidth="1"/>
    <col min="8200" max="8200" width="7.42578125" bestFit="1" customWidth="1"/>
    <col min="8449" max="8449" width="19.5703125" customWidth="1"/>
    <col min="8450" max="8450" width="52.42578125" customWidth="1"/>
    <col min="8451" max="8451" width="18.42578125" customWidth="1"/>
    <col min="8453" max="8453" width="25.85546875" customWidth="1"/>
    <col min="8456" max="8456" width="7.42578125" bestFit="1" customWidth="1"/>
    <col min="8705" max="8705" width="19.5703125" customWidth="1"/>
    <col min="8706" max="8706" width="52.42578125" customWidth="1"/>
    <col min="8707" max="8707" width="18.42578125" customWidth="1"/>
    <col min="8709" max="8709" width="25.85546875" customWidth="1"/>
    <col min="8712" max="8712" width="7.42578125" bestFit="1" customWidth="1"/>
    <col min="8961" max="8961" width="19.5703125" customWidth="1"/>
    <col min="8962" max="8962" width="52.42578125" customWidth="1"/>
    <col min="8963" max="8963" width="18.42578125" customWidth="1"/>
    <col min="8965" max="8965" width="25.85546875" customWidth="1"/>
    <col min="8968" max="8968" width="7.42578125" bestFit="1" customWidth="1"/>
    <col min="9217" max="9217" width="19.5703125" customWidth="1"/>
    <col min="9218" max="9218" width="52.42578125" customWidth="1"/>
    <col min="9219" max="9219" width="18.42578125" customWidth="1"/>
    <col min="9221" max="9221" width="25.85546875" customWidth="1"/>
    <col min="9224" max="9224" width="7.42578125" bestFit="1" customWidth="1"/>
    <col min="9473" max="9473" width="19.5703125" customWidth="1"/>
    <col min="9474" max="9474" width="52.42578125" customWidth="1"/>
    <col min="9475" max="9475" width="18.42578125" customWidth="1"/>
    <col min="9477" max="9477" width="25.85546875" customWidth="1"/>
    <col min="9480" max="9480" width="7.42578125" bestFit="1" customWidth="1"/>
    <col min="9729" max="9729" width="19.5703125" customWidth="1"/>
    <col min="9730" max="9730" width="52.42578125" customWidth="1"/>
    <col min="9731" max="9731" width="18.42578125" customWidth="1"/>
    <col min="9733" max="9733" width="25.85546875" customWidth="1"/>
    <col min="9736" max="9736" width="7.42578125" bestFit="1" customWidth="1"/>
    <col min="9985" max="9985" width="19.5703125" customWidth="1"/>
    <col min="9986" max="9986" width="52.42578125" customWidth="1"/>
    <col min="9987" max="9987" width="18.42578125" customWidth="1"/>
    <col min="9989" max="9989" width="25.85546875" customWidth="1"/>
    <col min="9992" max="9992" width="7.42578125" bestFit="1" customWidth="1"/>
    <col min="10241" max="10241" width="19.5703125" customWidth="1"/>
    <col min="10242" max="10242" width="52.42578125" customWidth="1"/>
    <col min="10243" max="10243" width="18.42578125" customWidth="1"/>
    <col min="10245" max="10245" width="25.85546875" customWidth="1"/>
    <col min="10248" max="10248" width="7.42578125" bestFit="1" customWidth="1"/>
    <col min="10497" max="10497" width="19.5703125" customWidth="1"/>
    <col min="10498" max="10498" width="52.42578125" customWidth="1"/>
    <col min="10499" max="10499" width="18.42578125" customWidth="1"/>
    <col min="10501" max="10501" width="25.85546875" customWidth="1"/>
    <col min="10504" max="10504" width="7.42578125" bestFit="1" customWidth="1"/>
    <col min="10753" max="10753" width="19.5703125" customWidth="1"/>
    <col min="10754" max="10754" width="52.42578125" customWidth="1"/>
    <col min="10755" max="10755" width="18.42578125" customWidth="1"/>
    <col min="10757" max="10757" width="25.85546875" customWidth="1"/>
    <col min="10760" max="10760" width="7.42578125" bestFit="1" customWidth="1"/>
    <col min="11009" max="11009" width="19.5703125" customWidth="1"/>
    <col min="11010" max="11010" width="52.42578125" customWidth="1"/>
    <col min="11011" max="11011" width="18.42578125" customWidth="1"/>
    <col min="11013" max="11013" width="25.85546875" customWidth="1"/>
    <col min="11016" max="11016" width="7.42578125" bestFit="1" customWidth="1"/>
    <col min="11265" max="11265" width="19.5703125" customWidth="1"/>
    <col min="11266" max="11266" width="52.42578125" customWidth="1"/>
    <col min="11267" max="11267" width="18.42578125" customWidth="1"/>
    <col min="11269" max="11269" width="25.85546875" customWidth="1"/>
    <col min="11272" max="11272" width="7.42578125" bestFit="1" customWidth="1"/>
    <col min="11521" max="11521" width="19.5703125" customWidth="1"/>
    <col min="11522" max="11522" width="52.42578125" customWidth="1"/>
    <col min="11523" max="11523" width="18.42578125" customWidth="1"/>
    <col min="11525" max="11525" width="25.85546875" customWidth="1"/>
    <col min="11528" max="11528" width="7.42578125" bestFit="1" customWidth="1"/>
    <col min="11777" max="11777" width="19.5703125" customWidth="1"/>
    <col min="11778" max="11778" width="52.42578125" customWidth="1"/>
    <col min="11779" max="11779" width="18.42578125" customWidth="1"/>
    <col min="11781" max="11781" width="25.85546875" customWidth="1"/>
    <col min="11784" max="11784" width="7.42578125" bestFit="1" customWidth="1"/>
    <col min="12033" max="12033" width="19.5703125" customWidth="1"/>
    <col min="12034" max="12034" width="52.42578125" customWidth="1"/>
    <col min="12035" max="12035" width="18.42578125" customWidth="1"/>
    <col min="12037" max="12037" width="25.85546875" customWidth="1"/>
    <col min="12040" max="12040" width="7.42578125" bestFit="1" customWidth="1"/>
    <col min="12289" max="12289" width="19.5703125" customWidth="1"/>
    <col min="12290" max="12290" width="52.42578125" customWidth="1"/>
    <col min="12291" max="12291" width="18.42578125" customWidth="1"/>
    <col min="12293" max="12293" width="25.85546875" customWidth="1"/>
    <col min="12296" max="12296" width="7.42578125" bestFit="1" customWidth="1"/>
    <col min="12545" max="12545" width="19.5703125" customWidth="1"/>
    <col min="12546" max="12546" width="52.42578125" customWidth="1"/>
    <col min="12547" max="12547" width="18.42578125" customWidth="1"/>
    <col min="12549" max="12549" width="25.85546875" customWidth="1"/>
    <col min="12552" max="12552" width="7.42578125" bestFit="1" customWidth="1"/>
    <col min="12801" max="12801" width="19.5703125" customWidth="1"/>
    <col min="12802" max="12802" width="52.42578125" customWidth="1"/>
    <col min="12803" max="12803" width="18.42578125" customWidth="1"/>
    <col min="12805" max="12805" width="25.85546875" customWidth="1"/>
    <col min="12808" max="12808" width="7.42578125" bestFit="1" customWidth="1"/>
    <col min="13057" max="13057" width="19.5703125" customWidth="1"/>
    <col min="13058" max="13058" width="52.42578125" customWidth="1"/>
    <col min="13059" max="13059" width="18.42578125" customWidth="1"/>
    <col min="13061" max="13061" width="25.85546875" customWidth="1"/>
    <col min="13064" max="13064" width="7.42578125" bestFit="1" customWidth="1"/>
    <col min="13313" max="13313" width="19.5703125" customWidth="1"/>
    <col min="13314" max="13314" width="52.42578125" customWidth="1"/>
    <col min="13315" max="13315" width="18.42578125" customWidth="1"/>
    <col min="13317" max="13317" width="25.85546875" customWidth="1"/>
    <col min="13320" max="13320" width="7.42578125" bestFit="1" customWidth="1"/>
    <col min="13569" max="13569" width="19.5703125" customWidth="1"/>
    <col min="13570" max="13570" width="52.42578125" customWidth="1"/>
    <col min="13571" max="13571" width="18.42578125" customWidth="1"/>
    <col min="13573" max="13573" width="25.85546875" customWidth="1"/>
    <col min="13576" max="13576" width="7.42578125" bestFit="1" customWidth="1"/>
    <col min="13825" max="13825" width="19.5703125" customWidth="1"/>
    <col min="13826" max="13826" width="52.42578125" customWidth="1"/>
    <col min="13827" max="13827" width="18.42578125" customWidth="1"/>
    <col min="13829" max="13829" width="25.85546875" customWidth="1"/>
    <col min="13832" max="13832" width="7.42578125" bestFit="1" customWidth="1"/>
    <col min="14081" max="14081" width="19.5703125" customWidth="1"/>
    <col min="14082" max="14082" width="52.42578125" customWidth="1"/>
    <col min="14083" max="14083" width="18.42578125" customWidth="1"/>
    <col min="14085" max="14085" width="25.85546875" customWidth="1"/>
    <col min="14088" max="14088" width="7.42578125" bestFit="1" customWidth="1"/>
    <col min="14337" max="14337" width="19.5703125" customWidth="1"/>
    <col min="14338" max="14338" width="52.42578125" customWidth="1"/>
    <col min="14339" max="14339" width="18.42578125" customWidth="1"/>
    <col min="14341" max="14341" width="25.85546875" customWidth="1"/>
    <col min="14344" max="14344" width="7.42578125" bestFit="1" customWidth="1"/>
    <col min="14593" max="14593" width="19.5703125" customWidth="1"/>
    <col min="14594" max="14594" width="52.42578125" customWidth="1"/>
    <col min="14595" max="14595" width="18.42578125" customWidth="1"/>
    <col min="14597" max="14597" width="25.85546875" customWidth="1"/>
    <col min="14600" max="14600" width="7.42578125" bestFit="1" customWidth="1"/>
    <col min="14849" max="14849" width="19.5703125" customWidth="1"/>
    <col min="14850" max="14850" width="52.42578125" customWidth="1"/>
    <col min="14851" max="14851" width="18.42578125" customWidth="1"/>
    <col min="14853" max="14853" width="25.85546875" customWidth="1"/>
    <col min="14856" max="14856" width="7.42578125" bestFit="1" customWidth="1"/>
    <col min="15105" max="15105" width="19.5703125" customWidth="1"/>
    <col min="15106" max="15106" width="52.42578125" customWidth="1"/>
    <col min="15107" max="15107" width="18.42578125" customWidth="1"/>
    <col min="15109" max="15109" width="25.85546875" customWidth="1"/>
    <col min="15112" max="15112" width="7.42578125" bestFit="1" customWidth="1"/>
    <col min="15361" max="15361" width="19.5703125" customWidth="1"/>
    <col min="15362" max="15362" width="52.42578125" customWidth="1"/>
    <col min="15363" max="15363" width="18.42578125" customWidth="1"/>
    <col min="15365" max="15365" width="25.85546875" customWidth="1"/>
    <col min="15368" max="15368" width="7.42578125" bestFit="1" customWidth="1"/>
    <col min="15617" max="15617" width="19.5703125" customWidth="1"/>
    <col min="15618" max="15618" width="52.42578125" customWidth="1"/>
    <col min="15619" max="15619" width="18.42578125" customWidth="1"/>
    <col min="15621" max="15621" width="25.85546875" customWidth="1"/>
    <col min="15624" max="15624" width="7.42578125" bestFit="1" customWidth="1"/>
    <col min="15873" max="15873" width="19.5703125" customWidth="1"/>
    <col min="15874" max="15874" width="52.42578125" customWidth="1"/>
    <col min="15875" max="15875" width="18.42578125" customWidth="1"/>
    <col min="15877" max="15877" width="25.85546875" customWidth="1"/>
    <col min="15880" max="15880" width="7.42578125" bestFit="1" customWidth="1"/>
    <col min="16129" max="16129" width="19.5703125" customWidth="1"/>
    <col min="16130" max="16130" width="52.42578125" customWidth="1"/>
    <col min="16131" max="16131" width="18.42578125" customWidth="1"/>
    <col min="16133" max="16133" width="25.85546875" customWidth="1"/>
    <col min="16136" max="16136" width="7.42578125" bestFit="1" customWidth="1"/>
  </cols>
  <sheetData>
    <row r="1" spans="1:5" ht="15.75" x14ac:dyDescent="0.25">
      <c r="A1" s="29"/>
    </row>
    <row r="2" spans="1:5" ht="14.45" customHeight="1" x14ac:dyDescent="0.25">
      <c r="A2" s="217" t="s">
        <v>0</v>
      </c>
      <c r="B2" s="217"/>
      <c r="C2" s="217"/>
      <c r="D2" s="217"/>
    </row>
    <row r="3" spans="1:5" ht="15.75" x14ac:dyDescent="0.25">
      <c r="D3" s="29"/>
    </row>
    <row r="4" spans="1:5" ht="17.25" customHeight="1" x14ac:dyDescent="0.25">
      <c r="A4" s="218" t="s">
        <v>26</v>
      </c>
      <c r="B4" s="218"/>
      <c r="C4" s="218"/>
      <c r="D4" s="218"/>
    </row>
    <row r="5" spans="1:5" ht="15.75" x14ac:dyDescent="0.25">
      <c r="D5" s="30"/>
    </row>
    <row r="6" spans="1:5" s="59" customFormat="1" ht="66" customHeight="1" x14ac:dyDescent="0.25">
      <c r="A6" s="218" t="s">
        <v>279</v>
      </c>
      <c r="B6" s="218"/>
      <c r="C6" s="218"/>
      <c r="D6" s="218"/>
      <c r="E6" s="58"/>
    </row>
    <row r="7" spans="1:5" ht="15.75" x14ac:dyDescent="0.25">
      <c r="D7" s="30"/>
    </row>
    <row r="8" spans="1:5" ht="16.5" thickBot="1" x14ac:dyDescent="0.3">
      <c r="A8" s="219" t="s">
        <v>27</v>
      </c>
      <c r="B8" s="219"/>
      <c r="C8" s="219"/>
      <c r="D8" s="219"/>
    </row>
    <row r="9" spans="1:5" ht="81.75" customHeight="1" thickBot="1" x14ac:dyDescent="0.3">
      <c r="A9" s="31" t="s">
        <v>2</v>
      </c>
      <c r="B9" s="32" t="s">
        <v>3</v>
      </c>
      <c r="C9" s="272" t="s">
        <v>4</v>
      </c>
      <c r="D9" s="273"/>
    </row>
    <row r="10" spans="1:5" ht="16.5" thickBot="1" x14ac:dyDescent="0.3">
      <c r="A10" s="33"/>
      <c r="B10" s="34" t="s">
        <v>5</v>
      </c>
      <c r="C10" s="220"/>
      <c r="D10" s="221"/>
    </row>
    <row r="11" spans="1:5" ht="78.75" x14ac:dyDescent="0.25">
      <c r="A11" s="210" t="s">
        <v>6</v>
      </c>
      <c r="B11" s="35" t="s">
        <v>676</v>
      </c>
      <c r="C11" s="204">
        <v>808.5</v>
      </c>
      <c r="D11" s="205"/>
    </row>
    <row r="12" spans="1:5" ht="63" x14ac:dyDescent="0.25">
      <c r="A12" s="211"/>
      <c r="B12" s="63" t="s">
        <v>595</v>
      </c>
      <c r="C12" s="204"/>
      <c r="D12" s="205"/>
    </row>
    <row r="13" spans="1:5" ht="79.5" customHeight="1" x14ac:dyDescent="0.25">
      <c r="A13" s="211"/>
      <c r="B13" s="63" t="s">
        <v>675</v>
      </c>
      <c r="C13" s="204"/>
      <c r="D13" s="205"/>
    </row>
    <row r="14" spans="1:5" ht="16.5" thickBot="1" x14ac:dyDescent="0.3">
      <c r="A14" s="212"/>
      <c r="B14" s="36" t="s">
        <v>677</v>
      </c>
      <c r="C14" s="204"/>
      <c r="D14" s="205"/>
    </row>
    <row r="15" spans="1:5" ht="48" thickBot="1" x14ac:dyDescent="0.3">
      <c r="A15" s="53" t="s">
        <v>7</v>
      </c>
      <c r="B15" s="62" t="s">
        <v>209</v>
      </c>
      <c r="C15" s="204">
        <f>C11*0.2359</f>
        <v>190.72514999999999</v>
      </c>
      <c r="D15" s="205"/>
    </row>
    <row r="16" spans="1:5" ht="16.5" thickBot="1" x14ac:dyDescent="0.3">
      <c r="A16" s="53"/>
      <c r="B16" s="38" t="s">
        <v>9</v>
      </c>
      <c r="C16" s="204">
        <f>SUM(C11:D15)</f>
        <v>999.22514999999999</v>
      </c>
      <c r="D16" s="205"/>
      <c r="E16" s="39"/>
    </row>
    <row r="17" spans="1:5" ht="16.5" thickBot="1" x14ac:dyDescent="0.3">
      <c r="A17" s="53"/>
      <c r="B17" s="38" t="s">
        <v>10</v>
      </c>
      <c r="C17" s="204"/>
      <c r="D17" s="205"/>
    </row>
    <row r="18" spans="1:5" ht="143.25" customHeight="1" thickBot="1" x14ac:dyDescent="0.3">
      <c r="A18" s="53" t="s">
        <v>12</v>
      </c>
      <c r="B18" s="104" t="s">
        <v>674</v>
      </c>
      <c r="C18" s="204">
        <v>51.1</v>
      </c>
      <c r="D18" s="205"/>
    </row>
    <row r="19" spans="1:5" ht="16.5" thickBot="1" x14ac:dyDescent="0.3">
      <c r="A19" s="33"/>
      <c r="B19" s="34" t="s">
        <v>18</v>
      </c>
      <c r="C19" s="204">
        <f>SUM(C18:C18)</f>
        <v>51.1</v>
      </c>
      <c r="D19" s="205"/>
      <c r="E19" s="54"/>
    </row>
    <row r="20" spans="1:5" ht="16.5" thickBot="1" x14ac:dyDescent="0.3">
      <c r="A20" s="33"/>
      <c r="B20" s="41" t="s">
        <v>19</v>
      </c>
      <c r="C20" s="206">
        <f>SUM(C16,C19)</f>
        <v>1050.3251499999999</v>
      </c>
      <c r="D20" s="207"/>
      <c r="E20" s="42"/>
    </row>
    <row r="21" spans="1:5" x14ac:dyDescent="0.25">
      <c r="A21" s="43"/>
      <c r="C21" s="8"/>
      <c r="E21" s="13"/>
    </row>
    <row r="22" spans="1:5" ht="15.75" x14ac:dyDescent="0.25">
      <c r="A22" s="213" t="s">
        <v>20</v>
      </c>
      <c r="B22" s="214"/>
      <c r="C22" s="224">
        <v>70</v>
      </c>
      <c r="D22" s="224"/>
      <c r="E22" s="44"/>
    </row>
    <row r="23" spans="1:5" ht="34.5" customHeight="1" x14ac:dyDescent="0.25">
      <c r="A23" s="215" t="s">
        <v>28</v>
      </c>
      <c r="B23" s="216"/>
      <c r="C23" s="225">
        <f>C20/C22</f>
        <v>15.004644999999998</v>
      </c>
      <c r="D23" s="225"/>
      <c r="E23" s="45"/>
    </row>
    <row r="24" spans="1:5" ht="15.75" x14ac:dyDescent="0.25">
      <c r="A24" s="46"/>
    </row>
    <row r="25" spans="1:5" x14ac:dyDescent="0.25">
      <c r="A25" s="78"/>
      <c r="B25" s="78"/>
      <c r="C25" s="203"/>
      <c r="D25" s="203"/>
    </row>
    <row r="26" spans="1:5" x14ac:dyDescent="0.25">
      <c r="A26" s="78"/>
      <c r="B26" s="78"/>
      <c r="C26" s="79"/>
      <c r="D26" s="78"/>
    </row>
    <row r="27" spans="1:5" x14ac:dyDescent="0.25">
      <c r="A27" s="78"/>
      <c r="B27" s="78"/>
      <c r="C27" s="203"/>
      <c r="D27" s="203"/>
    </row>
    <row r="28" spans="1:5" x14ac:dyDescent="0.25">
      <c r="A28" s="78"/>
      <c r="B28" s="78"/>
      <c r="C28" s="78"/>
      <c r="D28" s="78"/>
    </row>
    <row r="29" spans="1:5" x14ac:dyDescent="0.25">
      <c r="A29" s="202"/>
      <c r="B29" s="202"/>
      <c r="C29" s="80"/>
      <c r="D29" s="80"/>
    </row>
    <row r="30" spans="1:5" x14ac:dyDescent="0.25">
      <c r="A30" s="201"/>
      <c r="B30" s="202"/>
      <c r="C30" s="80"/>
      <c r="D30" s="80"/>
    </row>
    <row r="31" spans="1:5" x14ac:dyDescent="0.25">
      <c r="A31" s="57"/>
      <c r="B31" s="80"/>
      <c r="C31" s="81"/>
      <c r="D31" s="81"/>
    </row>
    <row r="32" spans="1:5" x14ac:dyDescent="0.25">
      <c r="A32" s="201"/>
      <c r="B32" s="201"/>
      <c r="C32" s="81"/>
      <c r="D32" s="81"/>
    </row>
  </sheetData>
  <mergeCells count="23">
    <mergeCell ref="C17:D17"/>
    <mergeCell ref="A23:B23"/>
    <mergeCell ref="C23:D23"/>
    <mergeCell ref="C18:D18"/>
    <mergeCell ref="C19:D19"/>
    <mergeCell ref="C20:D20"/>
    <mergeCell ref="A22:B22"/>
    <mergeCell ref="C22:D22"/>
    <mergeCell ref="C10:D10"/>
    <mergeCell ref="A11:A14"/>
    <mergeCell ref="C11:D14"/>
    <mergeCell ref="C15:D15"/>
    <mergeCell ref="C16:D16"/>
    <mergeCell ref="A2:D2"/>
    <mergeCell ref="A4:D4"/>
    <mergeCell ref="A6:D6"/>
    <mergeCell ref="A8:D8"/>
    <mergeCell ref="C9:D9"/>
    <mergeCell ref="C25:D25"/>
    <mergeCell ref="C27:D27"/>
    <mergeCell ref="A29:B29"/>
    <mergeCell ref="A30:B30"/>
    <mergeCell ref="A32:B32"/>
  </mergeCells>
  <pageMargins left="0.70866141732283472" right="0.70866141732283472" top="0.74803149606299213" bottom="0.74803149606299213" header="0.31496062992125984" footer="0.31496062992125984"/>
  <pageSetup paperSize="9" fitToHeight="0" orientation="portrait" verticalDpi="0" r:id="rId1"/>
  <headerFooter>
    <oddFooter>&amp;C&amp;P</oddFooter>
  </headerFooter>
  <rowBreaks count="1" manualBreakCount="1">
    <brk id="18"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60" zoomScaleNormal="100" workbookViewId="0">
      <selection activeCell="T13" sqref="T13"/>
    </sheetView>
  </sheetViews>
  <sheetFormatPr defaultRowHeight="15" x14ac:dyDescent="0.25"/>
  <cols>
    <col min="1" max="1" width="19.5703125" customWidth="1"/>
    <col min="2" max="2" width="52.42578125" customWidth="1"/>
    <col min="3" max="3" width="11.85546875" style="7" customWidth="1"/>
    <col min="5" max="5" width="25.85546875" style="9" customWidth="1"/>
    <col min="8" max="8" width="7.42578125" bestFit="1" customWidth="1"/>
    <col min="257" max="257" width="19.5703125" customWidth="1"/>
    <col min="258" max="258" width="52.42578125" customWidth="1"/>
    <col min="259" max="259" width="18.42578125" customWidth="1"/>
    <col min="261" max="261" width="25.85546875" customWidth="1"/>
    <col min="264" max="264" width="7.42578125" bestFit="1" customWidth="1"/>
    <col min="513" max="513" width="19.5703125" customWidth="1"/>
    <col min="514" max="514" width="52.42578125" customWidth="1"/>
    <col min="515" max="515" width="18.42578125" customWidth="1"/>
    <col min="517" max="517" width="25.85546875" customWidth="1"/>
    <col min="520" max="520" width="7.42578125" bestFit="1" customWidth="1"/>
    <col min="769" max="769" width="19.5703125" customWidth="1"/>
    <col min="770" max="770" width="52.42578125" customWidth="1"/>
    <col min="771" max="771" width="18.42578125" customWidth="1"/>
    <col min="773" max="773" width="25.85546875" customWidth="1"/>
    <col min="776" max="776" width="7.42578125" bestFit="1" customWidth="1"/>
    <col min="1025" max="1025" width="19.5703125" customWidth="1"/>
    <col min="1026" max="1026" width="52.42578125" customWidth="1"/>
    <col min="1027" max="1027" width="18.42578125" customWidth="1"/>
    <col min="1029" max="1029" width="25.85546875" customWidth="1"/>
    <col min="1032" max="1032" width="7.42578125" bestFit="1" customWidth="1"/>
    <col min="1281" max="1281" width="19.5703125" customWidth="1"/>
    <col min="1282" max="1282" width="52.42578125" customWidth="1"/>
    <col min="1283" max="1283" width="18.42578125" customWidth="1"/>
    <col min="1285" max="1285" width="25.85546875" customWidth="1"/>
    <col min="1288" max="1288" width="7.42578125" bestFit="1" customWidth="1"/>
    <col min="1537" max="1537" width="19.5703125" customWidth="1"/>
    <col min="1538" max="1538" width="52.42578125" customWidth="1"/>
    <col min="1539" max="1539" width="18.42578125" customWidth="1"/>
    <col min="1541" max="1541" width="25.85546875" customWidth="1"/>
    <col min="1544" max="1544" width="7.42578125" bestFit="1" customWidth="1"/>
    <col min="1793" max="1793" width="19.5703125" customWidth="1"/>
    <col min="1794" max="1794" width="52.42578125" customWidth="1"/>
    <col min="1795" max="1795" width="18.42578125" customWidth="1"/>
    <col min="1797" max="1797" width="25.85546875" customWidth="1"/>
    <col min="1800" max="1800" width="7.42578125" bestFit="1" customWidth="1"/>
    <col min="2049" max="2049" width="19.5703125" customWidth="1"/>
    <col min="2050" max="2050" width="52.42578125" customWidth="1"/>
    <col min="2051" max="2051" width="18.42578125" customWidth="1"/>
    <col min="2053" max="2053" width="25.85546875" customWidth="1"/>
    <col min="2056" max="2056" width="7.42578125" bestFit="1" customWidth="1"/>
    <col min="2305" max="2305" width="19.5703125" customWidth="1"/>
    <col min="2306" max="2306" width="52.42578125" customWidth="1"/>
    <col min="2307" max="2307" width="18.42578125" customWidth="1"/>
    <col min="2309" max="2309" width="25.85546875" customWidth="1"/>
    <col min="2312" max="2312" width="7.42578125" bestFit="1" customWidth="1"/>
    <col min="2561" max="2561" width="19.5703125" customWidth="1"/>
    <col min="2562" max="2562" width="52.42578125" customWidth="1"/>
    <col min="2563" max="2563" width="18.42578125" customWidth="1"/>
    <col min="2565" max="2565" width="25.85546875" customWidth="1"/>
    <col min="2568" max="2568" width="7.42578125" bestFit="1" customWidth="1"/>
    <col min="2817" max="2817" width="19.5703125" customWidth="1"/>
    <col min="2818" max="2818" width="52.42578125" customWidth="1"/>
    <col min="2819" max="2819" width="18.42578125" customWidth="1"/>
    <col min="2821" max="2821" width="25.85546875" customWidth="1"/>
    <col min="2824" max="2824" width="7.42578125" bestFit="1" customWidth="1"/>
    <col min="3073" max="3073" width="19.5703125" customWidth="1"/>
    <col min="3074" max="3074" width="52.42578125" customWidth="1"/>
    <col min="3075" max="3075" width="18.42578125" customWidth="1"/>
    <col min="3077" max="3077" width="25.85546875" customWidth="1"/>
    <col min="3080" max="3080" width="7.42578125" bestFit="1" customWidth="1"/>
    <col min="3329" max="3329" width="19.5703125" customWidth="1"/>
    <col min="3330" max="3330" width="52.42578125" customWidth="1"/>
    <col min="3331" max="3331" width="18.42578125" customWidth="1"/>
    <col min="3333" max="3333" width="25.85546875" customWidth="1"/>
    <col min="3336" max="3336" width="7.42578125" bestFit="1" customWidth="1"/>
    <col min="3585" max="3585" width="19.5703125" customWidth="1"/>
    <col min="3586" max="3586" width="52.42578125" customWidth="1"/>
    <col min="3587" max="3587" width="18.42578125" customWidth="1"/>
    <col min="3589" max="3589" width="25.85546875" customWidth="1"/>
    <col min="3592" max="3592" width="7.42578125" bestFit="1" customWidth="1"/>
    <col min="3841" max="3841" width="19.5703125" customWidth="1"/>
    <col min="3842" max="3842" width="52.42578125" customWidth="1"/>
    <col min="3843" max="3843" width="18.42578125" customWidth="1"/>
    <col min="3845" max="3845" width="25.85546875" customWidth="1"/>
    <col min="3848" max="3848" width="7.42578125" bestFit="1" customWidth="1"/>
    <col min="4097" max="4097" width="19.5703125" customWidth="1"/>
    <col min="4098" max="4098" width="52.42578125" customWidth="1"/>
    <col min="4099" max="4099" width="18.42578125" customWidth="1"/>
    <col min="4101" max="4101" width="25.85546875" customWidth="1"/>
    <col min="4104" max="4104" width="7.42578125" bestFit="1" customWidth="1"/>
    <col min="4353" max="4353" width="19.5703125" customWidth="1"/>
    <col min="4354" max="4354" width="52.42578125" customWidth="1"/>
    <col min="4355" max="4355" width="18.42578125" customWidth="1"/>
    <col min="4357" max="4357" width="25.85546875" customWidth="1"/>
    <col min="4360" max="4360" width="7.42578125" bestFit="1" customWidth="1"/>
    <col min="4609" max="4609" width="19.5703125" customWidth="1"/>
    <col min="4610" max="4610" width="52.42578125" customWidth="1"/>
    <col min="4611" max="4611" width="18.42578125" customWidth="1"/>
    <col min="4613" max="4613" width="25.85546875" customWidth="1"/>
    <col min="4616" max="4616" width="7.42578125" bestFit="1" customWidth="1"/>
    <col min="4865" max="4865" width="19.5703125" customWidth="1"/>
    <col min="4866" max="4866" width="52.42578125" customWidth="1"/>
    <col min="4867" max="4867" width="18.42578125" customWidth="1"/>
    <col min="4869" max="4869" width="25.85546875" customWidth="1"/>
    <col min="4872" max="4872" width="7.42578125" bestFit="1" customWidth="1"/>
    <col min="5121" max="5121" width="19.5703125" customWidth="1"/>
    <col min="5122" max="5122" width="52.42578125" customWidth="1"/>
    <col min="5123" max="5123" width="18.42578125" customWidth="1"/>
    <col min="5125" max="5125" width="25.85546875" customWidth="1"/>
    <col min="5128" max="5128" width="7.42578125" bestFit="1" customWidth="1"/>
    <col min="5377" max="5377" width="19.5703125" customWidth="1"/>
    <col min="5378" max="5378" width="52.42578125" customWidth="1"/>
    <col min="5379" max="5379" width="18.42578125" customWidth="1"/>
    <col min="5381" max="5381" width="25.85546875" customWidth="1"/>
    <col min="5384" max="5384" width="7.42578125" bestFit="1" customWidth="1"/>
    <col min="5633" max="5633" width="19.5703125" customWidth="1"/>
    <col min="5634" max="5634" width="52.42578125" customWidth="1"/>
    <col min="5635" max="5635" width="18.42578125" customWidth="1"/>
    <col min="5637" max="5637" width="25.85546875" customWidth="1"/>
    <col min="5640" max="5640" width="7.42578125" bestFit="1" customWidth="1"/>
    <col min="5889" max="5889" width="19.5703125" customWidth="1"/>
    <col min="5890" max="5890" width="52.42578125" customWidth="1"/>
    <col min="5891" max="5891" width="18.42578125" customWidth="1"/>
    <col min="5893" max="5893" width="25.85546875" customWidth="1"/>
    <col min="5896" max="5896" width="7.42578125" bestFit="1" customWidth="1"/>
    <col min="6145" max="6145" width="19.5703125" customWidth="1"/>
    <col min="6146" max="6146" width="52.42578125" customWidth="1"/>
    <col min="6147" max="6147" width="18.42578125" customWidth="1"/>
    <col min="6149" max="6149" width="25.85546875" customWidth="1"/>
    <col min="6152" max="6152" width="7.42578125" bestFit="1" customWidth="1"/>
    <col min="6401" max="6401" width="19.5703125" customWidth="1"/>
    <col min="6402" max="6402" width="52.42578125" customWidth="1"/>
    <col min="6403" max="6403" width="18.42578125" customWidth="1"/>
    <col min="6405" max="6405" width="25.85546875" customWidth="1"/>
    <col min="6408" max="6408" width="7.42578125" bestFit="1" customWidth="1"/>
    <col min="6657" max="6657" width="19.5703125" customWidth="1"/>
    <col min="6658" max="6658" width="52.42578125" customWidth="1"/>
    <col min="6659" max="6659" width="18.42578125" customWidth="1"/>
    <col min="6661" max="6661" width="25.85546875" customWidth="1"/>
    <col min="6664" max="6664" width="7.42578125" bestFit="1" customWidth="1"/>
    <col min="6913" max="6913" width="19.5703125" customWidth="1"/>
    <col min="6914" max="6914" width="52.42578125" customWidth="1"/>
    <col min="6915" max="6915" width="18.42578125" customWidth="1"/>
    <col min="6917" max="6917" width="25.85546875" customWidth="1"/>
    <col min="6920" max="6920" width="7.42578125" bestFit="1" customWidth="1"/>
    <col min="7169" max="7169" width="19.5703125" customWidth="1"/>
    <col min="7170" max="7170" width="52.42578125" customWidth="1"/>
    <col min="7171" max="7171" width="18.42578125" customWidth="1"/>
    <col min="7173" max="7173" width="25.85546875" customWidth="1"/>
    <col min="7176" max="7176" width="7.42578125" bestFit="1" customWidth="1"/>
    <col min="7425" max="7425" width="19.5703125" customWidth="1"/>
    <col min="7426" max="7426" width="52.42578125" customWidth="1"/>
    <col min="7427" max="7427" width="18.42578125" customWidth="1"/>
    <col min="7429" max="7429" width="25.85546875" customWidth="1"/>
    <col min="7432" max="7432" width="7.42578125" bestFit="1" customWidth="1"/>
    <col min="7681" max="7681" width="19.5703125" customWidth="1"/>
    <col min="7682" max="7682" width="52.42578125" customWidth="1"/>
    <col min="7683" max="7683" width="18.42578125" customWidth="1"/>
    <col min="7685" max="7685" width="25.85546875" customWidth="1"/>
    <col min="7688" max="7688" width="7.42578125" bestFit="1" customWidth="1"/>
    <col min="7937" max="7937" width="19.5703125" customWidth="1"/>
    <col min="7938" max="7938" width="52.42578125" customWidth="1"/>
    <col min="7939" max="7939" width="18.42578125" customWidth="1"/>
    <col min="7941" max="7941" width="25.85546875" customWidth="1"/>
    <col min="7944" max="7944" width="7.42578125" bestFit="1" customWidth="1"/>
    <col min="8193" max="8193" width="19.5703125" customWidth="1"/>
    <col min="8194" max="8194" width="52.42578125" customWidth="1"/>
    <col min="8195" max="8195" width="18.42578125" customWidth="1"/>
    <col min="8197" max="8197" width="25.85546875" customWidth="1"/>
    <col min="8200" max="8200" width="7.42578125" bestFit="1" customWidth="1"/>
    <col min="8449" max="8449" width="19.5703125" customWidth="1"/>
    <col min="8450" max="8450" width="52.42578125" customWidth="1"/>
    <col min="8451" max="8451" width="18.42578125" customWidth="1"/>
    <col min="8453" max="8453" width="25.85546875" customWidth="1"/>
    <col min="8456" max="8456" width="7.42578125" bestFit="1" customWidth="1"/>
    <col min="8705" max="8705" width="19.5703125" customWidth="1"/>
    <col min="8706" max="8706" width="52.42578125" customWidth="1"/>
    <col min="8707" max="8707" width="18.42578125" customWidth="1"/>
    <col min="8709" max="8709" width="25.85546875" customWidth="1"/>
    <col min="8712" max="8712" width="7.42578125" bestFit="1" customWidth="1"/>
    <col min="8961" max="8961" width="19.5703125" customWidth="1"/>
    <col min="8962" max="8962" width="52.42578125" customWidth="1"/>
    <col min="8963" max="8963" width="18.42578125" customWidth="1"/>
    <col min="8965" max="8965" width="25.85546875" customWidth="1"/>
    <col min="8968" max="8968" width="7.42578125" bestFit="1" customWidth="1"/>
    <col min="9217" max="9217" width="19.5703125" customWidth="1"/>
    <col min="9218" max="9218" width="52.42578125" customWidth="1"/>
    <col min="9219" max="9219" width="18.42578125" customWidth="1"/>
    <col min="9221" max="9221" width="25.85546875" customWidth="1"/>
    <col min="9224" max="9224" width="7.42578125" bestFit="1" customWidth="1"/>
    <col min="9473" max="9473" width="19.5703125" customWidth="1"/>
    <col min="9474" max="9474" width="52.42578125" customWidth="1"/>
    <col min="9475" max="9475" width="18.42578125" customWidth="1"/>
    <col min="9477" max="9477" width="25.85546875" customWidth="1"/>
    <col min="9480" max="9480" width="7.42578125" bestFit="1" customWidth="1"/>
    <col min="9729" max="9729" width="19.5703125" customWidth="1"/>
    <col min="9730" max="9730" width="52.42578125" customWidth="1"/>
    <col min="9731" max="9731" width="18.42578125" customWidth="1"/>
    <col min="9733" max="9733" width="25.85546875" customWidth="1"/>
    <col min="9736" max="9736" width="7.42578125" bestFit="1" customWidth="1"/>
    <col min="9985" max="9985" width="19.5703125" customWidth="1"/>
    <col min="9986" max="9986" width="52.42578125" customWidth="1"/>
    <col min="9987" max="9987" width="18.42578125" customWidth="1"/>
    <col min="9989" max="9989" width="25.85546875" customWidth="1"/>
    <col min="9992" max="9992" width="7.42578125" bestFit="1" customWidth="1"/>
    <col min="10241" max="10241" width="19.5703125" customWidth="1"/>
    <col min="10242" max="10242" width="52.42578125" customWidth="1"/>
    <col min="10243" max="10243" width="18.42578125" customWidth="1"/>
    <col min="10245" max="10245" width="25.85546875" customWidth="1"/>
    <col min="10248" max="10248" width="7.42578125" bestFit="1" customWidth="1"/>
    <col min="10497" max="10497" width="19.5703125" customWidth="1"/>
    <col min="10498" max="10498" width="52.42578125" customWidth="1"/>
    <col min="10499" max="10499" width="18.42578125" customWidth="1"/>
    <col min="10501" max="10501" width="25.85546875" customWidth="1"/>
    <col min="10504" max="10504" width="7.42578125" bestFit="1" customWidth="1"/>
    <col min="10753" max="10753" width="19.5703125" customWidth="1"/>
    <col min="10754" max="10754" width="52.42578125" customWidth="1"/>
    <col min="10755" max="10755" width="18.42578125" customWidth="1"/>
    <col min="10757" max="10757" width="25.85546875" customWidth="1"/>
    <col min="10760" max="10760" width="7.42578125" bestFit="1" customWidth="1"/>
    <col min="11009" max="11009" width="19.5703125" customWidth="1"/>
    <col min="11010" max="11010" width="52.42578125" customWidth="1"/>
    <col min="11011" max="11011" width="18.42578125" customWidth="1"/>
    <col min="11013" max="11013" width="25.85546875" customWidth="1"/>
    <col min="11016" max="11016" width="7.42578125" bestFit="1" customWidth="1"/>
    <col min="11265" max="11265" width="19.5703125" customWidth="1"/>
    <col min="11266" max="11266" width="52.42578125" customWidth="1"/>
    <col min="11267" max="11267" width="18.42578125" customWidth="1"/>
    <col min="11269" max="11269" width="25.85546875" customWidth="1"/>
    <col min="11272" max="11272" width="7.42578125" bestFit="1" customWidth="1"/>
    <col min="11521" max="11521" width="19.5703125" customWidth="1"/>
    <col min="11522" max="11522" width="52.42578125" customWidth="1"/>
    <col min="11523" max="11523" width="18.42578125" customWidth="1"/>
    <col min="11525" max="11525" width="25.85546875" customWidth="1"/>
    <col min="11528" max="11528" width="7.42578125" bestFit="1" customWidth="1"/>
    <col min="11777" max="11777" width="19.5703125" customWidth="1"/>
    <col min="11778" max="11778" width="52.42578125" customWidth="1"/>
    <col min="11779" max="11779" width="18.42578125" customWidth="1"/>
    <col min="11781" max="11781" width="25.85546875" customWidth="1"/>
    <col min="11784" max="11784" width="7.42578125" bestFit="1" customWidth="1"/>
    <col min="12033" max="12033" width="19.5703125" customWidth="1"/>
    <col min="12034" max="12034" width="52.42578125" customWidth="1"/>
    <col min="12035" max="12035" width="18.42578125" customWidth="1"/>
    <col min="12037" max="12037" width="25.85546875" customWidth="1"/>
    <col min="12040" max="12040" width="7.42578125" bestFit="1" customWidth="1"/>
    <col min="12289" max="12289" width="19.5703125" customWidth="1"/>
    <col min="12290" max="12290" width="52.42578125" customWidth="1"/>
    <col min="12291" max="12291" width="18.42578125" customWidth="1"/>
    <col min="12293" max="12293" width="25.85546875" customWidth="1"/>
    <col min="12296" max="12296" width="7.42578125" bestFit="1" customWidth="1"/>
    <col min="12545" max="12545" width="19.5703125" customWidth="1"/>
    <col min="12546" max="12546" width="52.42578125" customWidth="1"/>
    <col min="12547" max="12547" width="18.42578125" customWidth="1"/>
    <col min="12549" max="12549" width="25.85546875" customWidth="1"/>
    <col min="12552" max="12552" width="7.42578125" bestFit="1" customWidth="1"/>
    <col min="12801" max="12801" width="19.5703125" customWidth="1"/>
    <col min="12802" max="12802" width="52.42578125" customWidth="1"/>
    <col min="12803" max="12803" width="18.42578125" customWidth="1"/>
    <col min="12805" max="12805" width="25.85546875" customWidth="1"/>
    <col min="12808" max="12808" width="7.42578125" bestFit="1" customWidth="1"/>
    <col min="13057" max="13057" width="19.5703125" customWidth="1"/>
    <col min="13058" max="13058" width="52.42578125" customWidth="1"/>
    <col min="13059" max="13059" width="18.42578125" customWidth="1"/>
    <col min="13061" max="13061" width="25.85546875" customWidth="1"/>
    <col min="13064" max="13064" width="7.42578125" bestFit="1" customWidth="1"/>
    <col min="13313" max="13313" width="19.5703125" customWidth="1"/>
    <col min="13314" max="13314" width="52.42578125" customWidth="1"/>
    <col min="13315" max="13315" width="18.42578125" customWidth="1"/>
    <col min="13317" max="13317" width="25.85546875" customWidth="1"/>
    <col min="13320" max="13320" width="7.42578125" bestFit="1" customWidth="1"/>
    <col min="13569" max="13569" width="19.5703125" customWidth="1"/>
    <col min="13570" max="13570" width="52.42578125" customWidth="1"/>
    <col min="13571" max="13571" width="18.42578125" customWidth="1"/>
    <col min="13573" max="13573" width="25.85546875" customWidth="1"/>
    <col min="13576" max="13576" width="7.42578125" bestFit="1" customWidth="1"/>
    <col min="13825" max="13825" width="19.5703125" customWidth="1"/>
    <col min="13826" max="13826" width="52.42578125" customWidth="1"/>
    <col min="13827" max="13827" width="18.42578125" customWidth="1"/>
    <col min="13829" max="13829" width="25.85546875" customWidth="1"/>
    <col min="13832" max="13832" width="7.42578125" bestFit="1" customWidth="1"/>
    <col min="14081" max="14081" width="19.5703125" customWidth="1"/>
    <col min="14082" max="14082" width="52.42578125" customWidth="1"/>
    <col min="14083" max="14083" width="18.42578125" customWidth="1"/>
    <col min="14085" max="14085" width="25.85546875" customWidth="1"/>
    <col min="14088" max="14088" width="7.42578125" bestFit="1" customWidth="1"/>
    <col min="14337" max="14337" width="19.5703125" customWidth="1"/>
    <col min="14338" max="14338" width="52.42578125" customWidth="1"/>
    <col min="14339" max="14339" width="18.42578125" customWidth="1"/>
    <col min="14341" max="14341" width="25.85546875" customWidth="1"/>
    <col min="14344" max="14344" width="7.42578125" bestFit="1" customWidth="1"/>
    <col min="14593" max="14593" width="19.5703125" customWidth="1"/>
    <col min="14594" max="14594" width="52.42578125" customWidth="1"/>
    <col min="14595" max="14595" width="18.42578125" customWidth="1"/>
    <col min="14597" max="14597" width="25.85546875" customWidth="1"/>
    <col min="14600" max="14600" width="7.42578125" bestFit="1" customWidth="1"/>
    <col min="14849" max="14849" width="19.5703125" customWidth="1"/>
    <col min="14850" max="14850" width="52.42578125" customWidth="1"/>
    <col min="14851" max="14851" width="18.42578125" customWidth="1"/>
    <col min="14853" max="14853" width="25.85546875" customWidth="1"/>
    <col min="14856" max="14856" width="7.42578125" bestFit="1" customWidth="1"/>
    <col min="15105" max="15105" width="19.5703125" customWidth="1"/>
    <col min="15106" max="15106" width="52.42578125" customWidth="1"/>
    <col min="15107" max="15107" width="18.42578125" customWidth="1"/>
    <col min="15109" max="15109" width="25.85546875" customWidth="1"/>
    <col min="15112" max="15112" width="7.42578125" bestFit="1" customWidth="1"/>
    <col min="15361" max="15361" width="19.5703125" customWidth="1"/>
    <col min="15362" max="15362" width="52.42578125" customWidth="1"/>
    <col min="15363" max="15363" width="18.42578125" customWidth="1"/>
    <col min="15365" max="15365" width="25.85546875" customWidth="1"/>
    <col min="15368" max="15368" width="7.42578125" bestFit="1" customWidth="1"/>
    <col min="15617" max="15617" width="19.5703125" customWidth="1"/>
    <col min="15618" max="15618" width="52.42578125" customWidth="1"/>
    <col min="15619" max="15619" width="18.42578125" customWidth="1"/>
    <col min="15621" max="15621" width="25.85546875" customWidth="1"/>
    <col min="15624" max="15624" width="7.42578125" bestFit="1" customWidth="1"/>
    <col min="15873" max="15873" width="19.5703125" customWidth="1"/>
    <col min="15874" max="15874" width="52.42578125" customWidth="1"/>
    <col min="15875" max="15875" width="18.42578125" customWidth="1"/>
    <col min="15877" max="15877" width="25.85546875" customWidth="1"/>
    <col min="15880" max="15880" width="7.42578125" bestFit="1" customWidth="1"/>
    <col min="16129" max="16129" width="19.5703125" customWidth="1"/>
    <col min="16130" max="16130" width="52.42578125" customWidth="1"/>
    <col min="16131" max="16131" width="18.42578125" customWidth="1"/>
    <col min="16133" max="16133" width="25.85546875" customWidth="1"/>
    <col min="16136" max="16136" width="7.42578125" bestFit="1" customWidth="1"/>
  </cols>
  <sheetData>
    <row r="1" spans="1:5" ht="15.75" x14ac:dyDescent="0.25">
      <c r="A1" s="29"/>
    </row>
    <row r="2" spans="1:5" ht="14.45" customHeight="1" x14ac:dyDescent="0.25">
      <c r="A2" s="217" t="s">
        <v>0</v>
      </c>
      <c r="B2" s="217"/>
      <c r="C2" s="217"/>
      <c r="D2" s="217"/>
    </row>
    <row r="3" spans="1:5" ht="15.75" x14ac:dyDescent="0.25">
      <c r="D3" s="29"/>
    </row>
    <row r="4" spans="1:5" ht="18.75" customHeight="1" x14ac:dyDescent="0.25">
      <c r="A4" s="218" t="s">
        <v>26</v>
      </c>
      <c r="B4" s="218"/>
      <c r="C4" s="218"/>
      <c r="D4" s="218"/>
    </row>
    <row r="5" spans="1:5" ht="15.75" x14ac:dyDescent="0.25">
      <c r="D5" s="30"/>
    </row>
    <row r="6" spans="1:5" ht="33" customHeight="1" x14ac:dyDescent="0.25">
      <c r="A6" s="218" t="s">
        <v>238</v>
      </c>
      <c r="B6" s="218"/>
      <c r="C6" s="218"/>
      <c r="D6" s="218"/>
    </row>
    <row r="7" spans="1:5" ht="15.75" x14ac:dyDescent="0.25">
      <c r="D7" s="30"/>
    </row>
    <row r="8" spans="1:5" ht="16.5" thickBot="1" x14ac:dyDescent="0.3">
      <c r="A8" s="219" t="s">
        <v>27</v>
      </c>
      <c r="B8" s="219"/>
      <c r="C8" s="219"/>
      <c r="D8" s="219"/>
    </row>
    <row r="9" spans="1:5" ht="75.75" customHeight="1" thickBot="1" x14ac:dyDescent="0.3">
      <c r="A9" s="31" t="s">
        <v>2</v>
      </c>
      <c r="B9" s="32" t="s">
        <v>3</v>
      </c>
      <c r="C9" s="272" t="s">
        <v>4</v>
      </c>
      <c r="D9" s="273"/>
    </row>
    <row r="10" spans="1:5" ht="16.5" hidden="1" thickBot="1" x14ac:dyDescent="0.3">
      <c r="A10" s="33"/>
      <c r="B10" s="34" t="s">
        <v>5</v>
      </c>
      <c r="C10" s="220"/>
      <c r="D10" s="221"/>
    </row>
    <row r="11" spans="1:5" ht="64.5" hidden="1" customHeight="1" x14ac:dyDescent="0.25">
      <c r="A11" s="210" t="s">
        <v>6</v>
      </c>
      <c r="B11" s="65"/>
      <c r="C11" s="204"/>
      <c r="D11" s="205"/>
    </row>
    <row r="12" spans="1:5" ht="62.25" hidden="1" customHeight="1" x14ac:dyDescent="0.25">
      <c r="A12" s="211"/>
      <c r="B12" s="63"/>
      <c r="C12" s="204"/>
      <c r="D12" s="205"/>
    </row>
    <row r="13" spans="1:5" ht="16.5" hidden="1" thickBot="1" x14ac:dyDescent="0.3">
      <c r="A13" s="212"/>
      <c r="B13" s="36"/>
      <c r="C13" s="204"/>
      <c r="D13" s="205"/>
    </row>
    <row r="14" spans="1:5" ht="16.5" hidden="1" thickBot="1" x14ac:dyDescent="0.3">
      <c r="A14" s="37" t="s">
        <v>7</v>
      </c>
      <c r="B14" s="36"/>
      <c r="C14" s="204"/>
      <c r="D14" s="205"/>
    </row>
    <row r="15" spans="1:5" ht="16.5" hidden="1" thickBot="1" x14ac:dyDescent="0.3">
      <c r="A15" s="37"/>
      <c r="B15" s="38" t="s">
        <v>9</v>
      </c>
      <c r="C15" s="204">
        <f>SUM(C11:D14)</f>
        <v>0</v>
      </c>
      <c r="D15" s="205"/>
      <c r="E15" s="39"/>
    </row>
    <row r="16" spans="1:5" ht="16.5" thickBot="1" x14ac:dyDescent="0.3">
      <c r="A16" s="37"/>
      <c r="B16" s="38" t="s">
        <v>10</v>
      </c>
      <c r="C16" s="204"/>
      <c r="D16" s="205"/>
    </row>
    <row r="17" spans="1:5" ht="159" customHeight="1" thickBot="1" x14ac:dyDescent="0.3">
      <c r="A17" s="37" t="s">
        <v>12</v>
      </c>
      <c r="B17" s="127" t="s">
        <v>456</v>
      </c>
      <c r="C17" s="222">
        <f>81.2+87+5.8</f>
        <v>174</v>
      </c>
      <c r="D17" s="223"/>
    </row>
    <row r="18" spans="1:5" ht="16.5" thickBot="1" x14ac:dyDescent="0.3">
      <c r="A18" s="33"/>
      <c r="B18" s="34" t="s">
        <v>18</v>
      </c>
      <c r="C18" s="222">
        <f>SUM(C17:C17)</f>
        <v>174</v>
      </c>
      <c r="D18" s="223"/>
      <c r="E18" s="40"/>
    </row>
    <row r="19" spans="1:5" ht="16.5" thickBot="1" x14ac:dyDescent="0.3">
      <c r="A19" s="33"/>
      <c r="B19" s="41" t="s">
        <v>19</v>
      </c>
      <c r="C19" s="274">
        <f>SUM(C15,C18)</f>
        <v>174</v>
      </c>
      <c r="D19" s="275"/>
      <c r="E19" s="42"/>
    </row>
    <row r="20" spans="1:5" x14ac:dyDescent="0.25">
      <c r="A20" s="43"/>
      <c r="C20" s="90"/>
      <c r="D20" s="91"/>
      <c r="E20" s="13"/>
    </row>
    <row r="21" spans="1:5" ht="15.75" x14ac:dyDescent="0.25">
      <c r="A21" s="213" t="s">
        <v>20</v>
      </c>
      <c r="B21" s="214"/>
      <c r="C21" s="276">
        <v>580</v>
      </c>
      <c r="D21" s="276"/>
      <c r="E21" s="44"/>
    </row>
    <row r="22" spans="1:5" ht="31.5" customHeight="1" x14ac:dyDescent="0.25">
      <c r="A22" s="215" t="s">
        <v>28</v>
      </c>
      <c r="B22" s="216"/>
      <c r="C22" s="225">
        <f>C19/C21</f>
        <v>0.3</v>
      </c>
      <c r="D22" s="225"/>
      <c r="E22" s="45"/>
    </row>
    <row r="23" spans="1:5" ht="15.75" x14ac:dyDescent="0.25">
      <c r="A23" s="46"/>
    </row>
    <row r="24" spans="1:5" x14ac:dyDescent="0.25">
      <c r="A24" s="78"/>
      <c r="B24" s="78"/>
      <c r="C24" s="203"/>
      <c r="D24" s="203"/>
    </row>
    <row r="25" spans="1:5" x14ac:dyDescent="0.25">
      <c r="A25" s="78"/>
      <c r="B25" s="78"/>
      <c r="C25" s="79"/>
      <c r="D25" s="78"/>
    </row>
    <row r="26" spans="1:5" x14ac:dyDescent="0.25">
      <c r="A26" s="78"/>
      <c r="B26" s="78"/>
      <c r="C26" s="203"/>
      <c r="D26" s="203"/>
    </row>
    <row r="27" spans="1:5" x14ac:dyDescent="0.25">
      <c r="A27" s="78"/>
      <c r="B27" s="78"/>
      <c r="C27" s="78"/>
      <c r="D27" s="78"/>
    </row>
    <row r="28" spans="1:5" x14ac:dyDescent="0.25">
      <c r="A28" s="202"/>
      <c r="B28" s="202"/>
      <c r="C28" s="80"/>
      <c r="D28" s="80"/>
    </row>
    <row r="29" spans="1:5" x14ac:dyDescent="0.25">
      <c r="A29" s="201"/>
      <c r="B29" s="202"/>
      <c r="C29" s="80"/>
      <c r="D29" s="80"/>
    </row>
    <row r="30" spans="1:5" x14ac:dyDescent="0.25">
      <c r="A30" s="57"/>
      <c r="B30" s="80"/>
      <c r="C30" s="81"/>
      <c r="D30" s="81"/>
    </row>
    <row r="31" spans="1:5" x14ac:dyDescent="0.25">
      <c r="A31" s="201"/>
      <c r="B31" s="201"/>
      <c r="C31" s="81"/>
      <c r="D31" s="81"/>
    </row>
  </sheetData>
  <mergeCells count="23">
    <mergeCell ref="C16:D16"/>
    <mergeCell ref="A22:B22"/>
    <mergeCell ref="C22:D22"/>
    <mergeCell ref="C17:D17"/>
    <mergeCell ref="C18:D18"/>
    <mergeCell ref="C19:D19"/>
    <mergeCell ref="A21:B21"/>
    <mergeCell ref="C21:D21"/>
    <mergeCell ref="C10:D10"/>
    <mergeCell ref="A11:A13"/>
    <mergeCell ref="C11:D13"/>
    <mergeCell ref="C14:D14"/>
    <mergeCell ref="C15:D15"/>
    <mergeCell ref="A2:D2"/>
    <mergeCell ref="A4:D4"/>
    <mergeCell ref="A6:D6"/>
    <mergeCell ref="A8:D8"/>
    <mergeCell ref="C9:D9"/>
    <mergeCell ref="C24:D24"/>
    <mergeCell ref="C26:D26"/>
    <mergeCell ref="A28:B28"/>
    <mergeCell ref="A29:B29"/>
    <mergeCell ref="A31:B31"/>
  </mergeCells>
  <pageMargins left="0.70866141732283472" right="0.70866141732283472" top="0.74803149606299213" bottom="0.74803149606299213" header="0.31496062992125984" footer="0.31496062992125984"/>
  <pageSetup paperSize="9" scale="94" fitToHeight="0" orientation="portrait" r:id="rId1"/>
  <headerFoot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view="pageBreakPreview" topLeftCell="A7" zoomScale="60" zoomScaleNormal="100" workbookViewId="0">
      <selection activeCell="T13" sqref="T13"/>
    </sheetView>
  </sheetViews>
  <sheetFormatPr defaultRowHeight="15" x14ac:dyDescent="0.25"/>
  <cols>
    <col min="1" max="1" width="16" customWidth="1"/>
    <col min="2" max="2" width="50.140625" customWidth="1"/>
    <col min="3" max="3" width="16.42578125" style="7" customWidth="1"/>
    <col min="4" max="4" width="3" customWidth="1"/>
    <col min="5" max="5" width="25.85546875" style="9" customWidth="1"/>
    <col min="8" max="8" width="7.42578125" bestFit="1" customWidth="1"/>
  </cols>
  <sheetData>
    <row r="1" spans="1:5" ht="15.75" x14ac:dyDescent="0.25">
      <c r="A1" s="1"/>
    </row>
    <row r="2" spans="1:5" ht="14.45" customHeight="1" x14ac:dyDescent="0.25">
      <c r="A2" s="251" t="s">
        <v>0</v>
      </c>
      <c r="B2" s="251"/>
      <c r="C2" s="251"/>
      <c r="D2" s="251"/>
    </row>
    <row r="3" spans="1:5" ht="15.75" x14ac:dyDescent="0.25">
      <c r="D3" s="1"/>
    </row>
    <row r="4" spans="1:5" ht="15" customHeight="1" x14ac:dyDescent="0.25">
      <c r="A4" s="252" t="s">
        <v>22</v>
      </c>
      <c r="B4" s="252"/>
      <c r="C4" s="252"/>
      <c r="D4" s="252"/>
    </row>
    <row r="5" spans="1:5" ht="15.75" x14ac:dyDescent="0.25">
      <c r="D5" s="5"/>
    </row>
    <row r="6" spans="1:5" ht="64.5" customHeight="1" x14ac:dyDescent="0.25">
      <c r="A6" s="253" t="s">
        <v>280</v>
      </c>
      <c r="B6" s="253"/>
      <c r="C6" s="253"/>
      <c r="D6" s="253"/>
    </row>
    <row r="7" spans="1:5" ht="15.75" x14ac:dyDescent="0.25">
      <c r="D7" s="6"/>
    </row>
    <row r="8" spans="1:5" ht="16.5" thickBot="1" x14ac:dyDescent="0.3">
      <c r="A8" s="254" t="s">
        <v>1</v>
      </c>
      <c r="B8" s="254"/>
      <c r="C8" s="254"/>
      <c r="D8" s="254"/>
    </row>
    <row r="9" spans="1:5" ht="76.5" customHeight="1" thickBot="1" x14ac:dyDescent="0.3">
      <c r="A9" s="16" t="s">
        <v>2</v>
      </c>
      <c r="B9" s="17" t="s">
        <v>3</v>
      </c>
      <c r="C9" s="255" t="s">
        <v>4</v>
      </c>
      <c r="D9" s="256"/>
    </row>
    <row r="10" spans="1:5" ht="16.5" thickBot="1" x14ac:dyDescent="0.3">
      <c r="A10" s="3"/>
      <c r="B10" s="18" t="s">
        <v>5</v>
      </c>
      <c r="C10" s="257"/>
      <c r="D10" s="258"/>
    </row>
    <row r="11" spans="1:5" ht="94.5" customHeight="1" x14ac:dyDescent="0.25">
      <c r="A11" s="259" t="s">
        <v>6</v>
      </c>
      <c r="B11" s="66" t="s">
        <v>596</v>
      </c>
      <c r="C11" s="262">
        <f>13.3+0.8+1.6</f>
        <v>15.700000000000001</v>
      </c>
      <c r="D11" s="263"/>
    </row>
    <row r="12" spans="1:5" ht="80.25" customHeight="1" x14ac:dyDescent="0.25">
      <c r="A12" s="260"/>
      <c r="B12" s="106" t="s">
        <v>597</v>
      </c>
      <c r="C12" s="262"/>
      <c r="D12" s="263"/>
    </row>
    <row r="13" spans="1:5" ht="79.5" customHeight="1" x14ac:dyDescent="0.25">
      <c r="A13" s="260"/>
      <c r="B13" s="106" t="s">
        <v>598</v>
      </c>
      <c r="C13" s="262"/>
      <c r="D13" s="263"/>
    </row>
    <row r="14" spans="1:5" ht="16.5" thickBot="1" x14ac:dyDescent="0.3">
      <c r="A14" s="261"/>
      <c r="B14" s="19" t="s">
        <v>336</v>
      </c>
      <c r="C14" s="262"/>
      <c r="D14" s="263"/>
    </row>
    <row r="15" spans="1:5" ht="48" thickBot="1" x14ac:dyDescent="0.3">
      <c r="A15" s="48" t="s">
        <v>7</v>
      </c>
      <c r="B15" s="67" t="s">
        <v>209</v>
      </c>
      <c r="C15" s="262">
        <f>C11*0.2359</f>
        <v>3.7036300000000004</v>
      </c>
      <c r="D15" s="263"/>
    </row>
    <row r="16" spans="1:5" ht="16.5" thickBot="1" x14ac:dyDescent="0.3">
      <c r="A16" s="48"/>
      <c r="B16" s="20" t="s">
        <v>9</v>
      </c>
      <c r="C16" s="262">
        <f>SUM(C11:D15)</f>
        <v>19.40363</v>
      </c>
      <c r="D16" s="263"/>
      <c r="E16" s="10"/>
    </row>
    <row r="17" spans="1:5" ht="16.5" thickBot="1" x14ac:dyDescent="0.3">
      <c r="A17" s="48"/>
      <c r="B17" s="20" t="s">
        <v>10</v>
      </c>
      <c r="C17" s="262"/>
      <c r="D17" s="263"/>
    </row>
    <row r="18" spans="1:5" ht="127.5" customHeight="1" thickBot="1" x14ac:dyDescent="0.3">
      <c r="A18" s="48" t="s">
        <v>12</v>
      </c>
      <c r="B18" s="92" t="s">
        <v>678</v>
      </c>
      <c r="C18" s="222">
        <v>0.73</v>
      </c>
      <c r="D18" s="223"/>
    </row>
    <row r="19" spans="1:5" ht="32.25" thickBot="1" x14ac:dyDescent="0.3">
      <c r="A19" s="48" t="s">
        <v>14</v>
      </c>
      <c r="B19" s="137" t="s">
        <v>679</v>
      </c>
      <c r="C19" s="262">
        <v>4.87</v>
      </c>
      <c r="D19" s="263"/>
    </row>
    <row r="20" spans="1:5" ht="16.5" thickBot="1" x14ac:dyDescent="0.3">
      <c r="A20" s="3"/>
      <c r="B20" s="18" t="s">
        <v>18</v>
      </c>
      <c r="C20" s="262">
        <f>SUM(C18:C19)</f>
        <v>5.6</v>
      </c>
      <c r="D20" s="263"/>
      <c r="E20" s="11"/>
    </row>
    <row r="21" spans="1:5" ht="16.5" thickBot="1" x14ac:dyDescent="0.3">
      <c r="A21" s="3"/>
      <c r="B21" s="21" t="s">
        <v>19</v>
      </c>
      <c r="C21" s="267">
        <f>SUM(C16,C20)</f>
        <v>25.003630000000001</v>
      </c>
      <c r="D21" s="268"/>
      <c r="E21" s="12"/>
    </row>
    <row r="22" spans="1:5" x14ac:dyDescent="0.25">
      <c r="A22" s="4"/>
      <c r="C22" s="8"/>
      <c r="E22" s="13"/>
    </row>
    <row r="23" spans="1:5" ht="15.75" x14ac:dyDescent="0.25">
      <c r="A23" s="269" t="s">
        <v>20</v>
      </c>
      <c r="B23" s="270"/>
      <c r="C23" s="271">
        <v>1</v>
      </c>
      <c r="D23" s="271"/>
      <c r="E23" s="14"/>
    </row>
    <row r="24" spans="1:5" ht="32.25" customHeight="1" x14ac:dyDescent="0.25">
      <c r="A24" s="264" t="s">
        <v>21</v>
      </c>
      <c r="B24" s="265"/>
      <c r="C24" s="320">
        <f>C21/C23</f>
        <v>25.003630000000001</v>
      </c>
      <c r="D24" s="320"/>
      <c r="E24" s="15"/>
    </row>
    <row r="25" spans="1:5" ht="15.75" x14ac:dyDescent="0.25">
      <c r="A25" s="2"/>
    </row>
    <row r="26" spans="1:5" x14ac:dyDescent="0.25">
      <c r="A26" s="78"/>
      <c r="B26" s="78"/>
      <c r="C26" s="203"/>
      <c r="D26" s="203"/>
    </row>
    <row r="27" spans="1:5" x14ac:dyDescent="0.25">
      <c r="A27" s="78"/>
      <c r="B27" s="78"/>
      <c r="C27" s="79"/>
      <c r="D27" s="78"/>
    </row>
    <row r="28" spans="1:5" x14ac:dyDescent="0.25">
      <c r="A28" s="78"/>
      <c r="B28" s="78"/>
      <c r="C28" s="203"/>
      <c r="D28" s="203"/>
    </row>
    <row r="29" spans="1:5" x14ac:dyDescent="0.25">
      <c r="A29" s="78"/>
      <c r="B29" s="78"/>
      <c r="C29" s="78"/>
      <c r="D29" s="78"/>
    </row>
    <row r="30" spans="1:5" x14ac:dyDescent="0.25">
      <c r="A30" s="202"/>
      <c r="B30" s="202"/>
      <c r="C30" s="80"/>
      <c r="D30" s="80"/>
    </row>
    <row r="31" spans="1:5" x14ac:dyDescent="0.25">
      <c r="A31" s="201"/>
      <c r="B31" s="202"/>
      <c r="C31" s="80"/>
      <c r="D31" s="80"/>
    </row>
    <row r="32" spans="1:5" x14ac:dyDescent="0.25">
      <c r="A32" s="57"/>
      <c r="B32" s="80"/>
      <c r="C32" s="81"/>
      <c r="D32" s="81"/>
    </row>
    <row r="33" spans="1:4" x14ac:dyDescent="0.25">
      <c r="A33" s="201"/>
      <c r="B33" s="201"/>
      <c r="C33" s="81"/>
      <c r="D33" s="81"/>
    </row>
  </sheetData>
  <mergeCells count="24">
    <mergeCell ref="C17:D17"/>
    <mergeCell ref="A24:B24"/>
    <mergeCell ref="C24:D24"/>
    <mergeCell ref="C18:D18"/>
    <mergeCell ref="C19:D19"/>
    <mergeCell ref="C20:D20"/>
    <mergeCell ref="C21:D21"/>
    <mergeCell ref="A23:B23"/>
    <mergeCell ref="C23:D23"/>
    <mergeCell ref="C10:D10"/>
    <mergeCell ref="A11:A14"/>
    <mergeCell ref="C11:D14"/>
    <mergeCell ref="C15:D15"/>
    <mergeCell ref="C16:D16"/>
    <mergeCell ref="A2:D2"/>
    <mergeCell ref="A4:D4"/>
    <mergeCell ref="A6:D6"/>
    <mergeCell ref="A8:D8"/>
    <mergeCell ref="C9:D9"/>
    <mergeCell ref="C26:D26"/>
    <mergeCell ref="C28:D28"/>
    <mergeCell ref="A30:B30"/>
    <mergeCell ref="A31:B31"/>
    <mergeCell ref="A33:B33"/>
  </mergeCells>
  <pageMargins left="0.70866141732283472" right="0.70866141732283472" top="0.74803149606299213" bottom="0.74803149606299213" header="0.31496062992125984" footer="0.31496062992125984"/>
  <pageSetup paperSize="9" fitToHeight="0" orientation="portrait" verticalDpi="0" r:id="rId1"/>
  <headerFoot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view="pageBreakPreview" zoomScale="60" zoomScaleNormal="100" workbookViewId="0">
      <selection activeCell="T13" sqref="T13"/>
    </sheetView>
  </sheetViews>
  <sheetFormatPr defaultRowHeight="15" x14ac:dyDescent="0.25"/>
  <cols>
    <col min="1" max="1" width="15.42578125" customWidth="1"/>
    <col min="2" max="2" width="52.5703125" customWidth="1"/>
    <col min="3" max="3" width="12.7109375" style="7" customWidth="1"/>
    <col min="4" max="4" width="4.85546875" customWidth="1"/>
    <col min="5" max="5" width="25.85546875" style="9" customWidth="1"/>
    <col min="8" max="8" width="7.42578125" bestFit="1" customWidth="1"/>
  </cols>
  <sheetData>
    <row r="1" spans="1:5" ht="15.75" x14ac:dyDescent="0.25">
      <c r="A1" s="1"/>
    </row>
    <row r="2" spans="1:5" ht="14.45" customHeight="1" x14ac:dyDescent="0.25">
      <c r="A2" s="251" t="s">
        <v>0</v>
      </c>
      <c r="B2" s="251"/>
      <c r="C2" s="251"/>
      <c r="D2" s="251"/>
    </row>
    <row r="3" spans="1:5" ht="15.75" x14ac:dyDescent="0.25">
      <c r="D3" s="1"/>
    </row>
    <row r="4" spans="1:5" ht="17.25" customHeight="1" x14ac:dyDescent="0.25">
      <c r="A4" s="252" t="s">
        <v>22</v>
      </c>
      <c r="B4" s="252"/>
      <c r="C4" s="252"/>
      <c r="D4" s="252"/>
    </row>
    <row r="5" spans="1:5" ht="15.75" x14ac:dyDescent="0.25">
      <c r="D5" s="5"/>
    </row>
    <row r="6" spans="1:5" ht="49.9" customHeight="1" x14ac:dyDescent="0.25">
      <c r="A6" s="253" t="s">
        <v>281</v>
      </c>
      <c r="B6" s="253"/>
      <c r="C6" s="253"/>
      <c r="D6" s="253"/>
    </row>
    <row r="7" spans="1:5" ht="15.75" x14ac:dyDescent="0.25">
      <c r="D7" s="6"/>
    </row>
    <row r="8" spans="1:5" ht="16.5" thickBot="1" x14ac:dyDescent="0.3">
      <c r="A8" s="254" t="s">
        <v>1</v>
      </c>
      <c r="B8" s="254"/>
      <c r="C8" s="254"/>
      <c r="D8" s="254"/>
    </row>
    <row r="9" spans="1:5" ht="83.25" customHeight="1" thickBot="1" x14ac:dyDescent="0.3">
      <c r="A9" s="16" t="s">
        <v>2</v>
      </c>
      <c r="B9" s="17" t="s">
        <v>3</v>
      </c>
      <c r="C9" s="255" t="s">
        <v>4</v>
      </c>
      <c r="D9" s="256"/>
    </row>
    <row r="10" spans="1:5" ht="16.5" thickBot="1" x14ac:dyDescent="0.3">
      <c r="A10" s="3"/>
      <c r="B10" s="18" t="s">
        <v>5</v>
      </c>
      <c r="C10" s="257"/>
      <c r="D10" s="258"/>
    </row>
    <row r="11" spans="1:5" ht="192.75" customHeight="1" x14ac:dyDescent="0.25">
      <c r="A11" s="259" t="s">
        <v>6</v>
      </c>
      <c r="B11" s="66" t="s">
        <v>599</v>
      </c>
      <c r="C11" s="262">
        <f>1190+362+120</f>
        <v>1672</v>
      </c>
      <c r="D11" s="263"/>
    </row>
    <row r="12" spans="1:5" ht="129" customHeight="1" x14ac:dyDescent="0.25">
      <c r="A12" s="260"/>
      <c r="B12" s="66" t="s">
        <v>600</v>
      </c>
      <c r="C12" s="262"/>
      <c r="D12" s="263"/>
    </row>
    <row r="13" spans="1:5" ht="82.5" customHeight="1" x14ac:dyDescent="0.25">
      <c r="A13" s="260"/>
      <c r="B13" s="66" t="s">
        <v>601</v>
      </c>
      <c r="C13" s="262"/>
      <c r="D13" s="263"/>
    </row>
    <row r="14" spans="1:5" ht="16.5" thickBot="1" x14ac:dyDescent="0.3">
      <c r="A14" s="261"/>
      <c r="B14" s="19" t="s">
        <v>393</v>
      </c>
      <c r="C14" s="262"/>
      <c r="D14" s="263"/>
    </row>
    <row r="15" spans="1:5" ht="48" thickBot="1" x14ac:dyDescent="0.3">
      <c r="A15" s="48" t="s">
        <v>7</v>
      </c>
      <c r="B15" s="67" t="s">
        <v>209</v>
      </c>
      <c r="C15" s="262">
        <f>C11*0.2359</f>
        <v>394.4248</v>
      </c>
      <c r="D15" s="263"/>
    </row>
    <row r="16" spans="1:5" ht="16.5" thickBot="1" x14ac:dyDescent="0.3">
      <c r="A16" s="48"/>
      <c r="B16" s="20" t="s">
        <v>9</v>
      </c>
      <c r="C16" s="262">
        <f>SUM(C11:D15)</f>
        <v>2066.4247999999998</v>
      </c>
      <c r="D16" s="263"/>
      <c r="E16" s="10"/>
    </row>
    <row r="17" spans="1:5" ht="16.5" thickBot="1" x14ac:dyDescent="0.3">
      <c r="A17" s="48"/>
      <c r="B17" s="20" t="s">
        <v>10</v>
      </c>
      <c r="C17" s="262"/>
      <c r="D17" s="263"/>
    </row>
    <row r="18" spans="1:5" ht="144" customHeight="1" thickBot="1" x14ac:dyDescent="0.3">
      <c r="A18" s="48" t="s">
        <v>12</v>
      </c>
      <c r="B18" s="140" t="s">
        <v>468</v>
      </c>
      <c r="C18" s="262">
        <f>11.59+23.65+1.5</f>
        <v>36.739999999999995</v>
      </c>
      <c r="D18" s="263"/>
    </row>
    <row r="19" spans="1:5" ht="48.75" customHeight="1" thickBot="1" x14ac:dyDescent="0.3">
      <c r="A19" s="48" t="s">
        <v>14</v>
      </c>
      <c r="B19" s="104" t="s">
        <v>337</v>
      </c>
      <c r="C19" s="321">
        <f>0.33*20*50</f>
        <v>330</v>
      </c>
      <c r="D19" s="322"/>
    </row>
    <row r="20" spans="1:5" ht="30.75" customHeight="1" thickBot="1" x14ac:dyDescent="0.3">
      <c r="A20" s="108" t="s">
        <v>394</v>
      </c>
      <c r="B20" s="92" t="s">
        <v>469</v>
      </c>
      <c r="C20" s="338">
        <f>1.34*50</f>
        <v>67</v>
      </c>
      <c r="D20" s="339"/>
    </row>
    <row r="21" spans="1:5" ht="16.5" thickBot="1" x14ac:dyDescent="0.3">
      <c r="A21" s="3"/>
      <c r="B21" s="18" t="s">
        <v>18</v>
      </c>
      <c r="C21" s="324">
        <f>SUM(C18:C20)</f>
        <v>433.74</v>
      </c>
      <c r="D21" s="325"/>
      <c r="E21" s="11"/>
    </row>
    <row r="22" spans="1:5" ht="16.5" thickBot="1" x14ac:dyDescent="0.3">
      <c r="A22" s="3"/>
      <c r="B22" s="21" t="s">
        <v>19</v>
      </c>
      <c r="C22" s="267">
        <f>SUM(C16,C21)</f>
        <v>2500.1647999999996</v>
      </c>
      <c r="D22" s="268"/>
      <c r="E22" s="12"/>
    </row>
    <row r="23" spans="1:5" x14ac:dyDescent="0.25">
      <c r="A23" s="4"/>
      <c r="C23" s="8"/>
      <c r="E23" s="13"/>
    </row>
    <row r="24" spans="1:5" ht="15.75" x14ac:dyDescent="0.25">
      <c r="A24" s="269" t="s">
        <v>20</v>
      </c>
      <c r="B24" s="270"/>
      <c r="C24" s="271">
        <v>50</v>
      </c>
      <c r="D24" s="271"/>
      <c r="E24" s="14"/>
    </row>
    <row r="25" spans="1:5" ht="32.25" customHeight="1" x14ac:dyDescent="0.25">
      <c r="A25" s="264" t="s">
        <v>21</v>
      </c>
      <c r="B25" s="312"/>
      <c r="C25" s="225">
        <f>C22/C24</f>
        <v>50.003295999999992</v>
      </c>
      <c r="D25" s="225"/>
      <c r="E25" s="15"/>
    </row>
    <row r="26" spans="1:5" ht="15.75" x14ac:dyDescent="0.25">
      <c r="A26" s="2"/>
    </row>
    <row r="27" spans="1:5" x14ac:dyDescent="0.25">
      <c r="A27" s="78"/>
      <c r="B27" s="78"/>
      <c r="C27" s="203"/>
      <c r="D27" s="203"/>
    </row>
    <row r="28" spans="1:5" x14ac:dyDescent="0.25">
      <c r="A28" s="78"/>
      <c r="B28" s="78"/>
      <c r="C28" s="79"/>
      <c r="D28" s="78"/>
    </row>
    <row r="29" spans="1:5" x14ac:dyDescent="0.25">
      <c r="A29" s="78"/>
      <c r="B29" s="78"/>
      <c r="C29" s="203"/>
      <c r="D29" s="203"/>
    </row>
    <row r="30" spans="1:5" x14ac:dyDescent="0.25">
      <c r="A30" s="78"/>
      <c r="B30" s="78"/>
      <c r="C30" s="78"/>
      <c r="D30" s="78"/>
    </row>
    <row r="31" spans="1:5" x14ac:dyDescent="0.25">
      <c r="A31" s="202"/>
      <c r="B31" s="202"/>
      <c r="C31" s="80"/>
      <c r="D31" s="80"/>
    </row>
    <row r="32" spans="1:5" x14ac:dyDescent="0.25">
      <c r="A32" s="201"/>
      <c r="B32" s="202"/>
      <c r="C32" s="80"/>
      <c r="D32" s="80"/>
    </row>
    <row r="33" spans="1:4" x14ac:dyDescent="0.25">
      <c r="A33" s="57"/>
      <c r="B33" s="80"/>
      <c r="C33" s="81"/>
      <c r="D33" s="81"/>
    </row>
    <row r="34" spans="1:4" x14ac:dyDescent="0.25">
      <c r="A34" s="201"/>
      <c r="B34" s="201"/>
      <c r="C34" s="81"/>
      <c r="D34" s="81"/>
    </row>
  </sheetData>
  <mergeCells count="25">
    <mergeCell ref="C17:D17"/>
    <mergeCell ref="A25:B25"/>
    <mergeCell ref="C25:D25"/>
    <mergeCell ref="C18:D18"/>
    <mergeCell ref="C19:D19"/>
    <mergeCell ref="C21:D21"/>
    <mergeCell ref="C22:D22"/>
    <mergeCell ref="A24:B24"/>
    <mergeCell ref="C24:D24"/>
    <mergeCell ref="C20:D20"/>
    <mergeCell ref="C10:D10"/>
    <mergeCell ref="A11:A14"/>
    <mergeCell ref="C11:D14"/>
    <mergeCell ref="C15:D15"/>
    <mergeCell ref="C16:D16"/>
    <mergeCell ref="A2:D2"/>
    <mergeCell ref="A4:D4"/>
    <mergeCell ref="A6:D6"/>
    <mergeCell ref="A8:D8"/>
    <mergeCell ref="C9:D9"/>
    <mergeCell ref="C27:D27"/>
    <mergeCell ref="C29:D29"/>
    <mergeCell ref="A31:B31"/>
    <mergeCell ref="A32:B32"/>
    <mergeCell ref="A34:B34"/>
  </mergeCells>
  <pageMargins left="0.70866141732283472" right="0.70866141732283472" top="0.74803149606299213" bottom="0.74803149606299213" header="0.31496062992125984" footer="0.31496062992125984"/>
  <pageSetup paperSize="9" fitToHeight="0" orientation="portrait" verticalDpi="0" r:id="rId1"/>
  <headerFoot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view="pageBreakPreview" topLeftCell="A7" zoomScale="60" zoomScaleNormal="100" workbookViewId="0">
      <selection activeCell="T13" sqref="T13"/>
    </sheetView>
  </sheetViews>
  <sheetFormatPr defaultRowHeight="15" x14ac:dyDescent="0.25"/>
  <cols>
    <col min="1" max="1" width="16.5703125" customWidth="1"/>
    <col min="2" max="2" width="54.140625" customWidth="1"/>
    <col min="3" max="3" width="11" style="7" customWidth="1"/>
    <col min="4" max="4" width="5.140625" customWidth="1"/>
    <col min="5" max="5" width="25.85546875" style="9" customWidth="1"/>
    <col min="8" max="8" width="7.42578125" bestFit="1" customWidth="1"/>
  </cols>
  <sheetData>
    <row r="1" spans="1:5" ht="15.75" x14ac:dyDescent="0.25">
      <c r="A1" s="1"/>
    </row>
    <row r="2" spans="1:5" ht="14.45" customHeight="1" x14ac:dyDescent="0.25">
      <c r="A2" s="251" t="s">
        <v>0</v>
      </c>
      <c r="B2" s="251"/>
      <c r="C2" s="251"/>
      <c r="D2" s="251"/>
    </row>
    <row r="3" spans="1:5" ht="15.75" x14ac:dyDescent="0.25">
      <c r="D3" s="1"/>
    </row>
    <row r="4" spans="1:5" ht="17.25" customHeight="1" x14ac:dyDescent="0.25">
      <c r="A4" s="252" t="s">
        <v>22</v>
      </c>
      <c r="B4" s="252"/>
      <c r="C4" s="252"/>
      <c r="D4" s="252"/>
    </row>
    <row r="5" spans="1:5" ht="15.75" x14ac:dyDescent="0.25">
      <c r="D5" s="5"/>
    </row>
    <row r="6" spans="1:5" ht="50.25" customHeight="1" x14ac:dyDescent="0.25">
      <c r="A6" s="253" t="s">
        <v>282</v>
      </c>
      <c r="B6" s="253"/>
      <c r="C6" s="253"/>
      <c r="D6" s="253"/>
    </row>
    <row r="7" spans="1:5" ht="15.75" x14ac:dyDescent="0.25">
      <c r="D7" s="6"/>
    </row>
    <row r="8" spans="1:5" ht="16.5" thickBot="1" x14ac:dyDescent="0.3">
      <c r="A8" s="254" t="s">
        <v>1</v>
      </c>
      <c r="B8" s="254"/>
      <c r="C8" s="254"/>
      <c r="D8" s="254"/>
    </row>
    <row r="9" spans="1:5" ht="80.25" customHeight="1" thickBot="1" x14ac:dyDescent="0.3">
      <c r="A9" s="16" t="s">
        <v>2</v>
      </c>
      <c r="B9" s="17" t="s">
        <v>3</v>
      </c>
      <c r="C9" s="255" t="s">
        <v>4</v>
      </c>
      <c r="D9" s="256"/>
    </row>
    <row r="10" spans="1:5" ht="16.5" thickBot="1" x14ac:dyDescent="0.3">
      <c r="A10" s="3"/>
      <c r="B10" s="18" t="s">
        <v>5</v>
      </c>
      <c r="C10" s="257"/>
      <c r="D10" s="258"/>
    </row>
    <row r="11" spans="1:5" ht="160.5" customHeight="1" x14ac:dyDescent="0.25">
      <c r="A11" s="259" t="s">
        <v>6</v>
      </c>
      <c r="B11" s="66" t="s">
        <v>602</v>
      </c>
      <c r="C11" s="262">
        <f>797.5+2+40</f>
        <v>839.5</v>
      </c>
      <c r="D11" s="263"/>
    </row>
    <row r="12" spans="1:5" ht="63" x14ac:dyDescent="0.25">
      <c r="A12" s="260"/>
      <c r="B12" s="66" t="s">
        <v>603</v>
      </c>
      <c r="C12" s="262"/>
      <c r="D12" s="263"/>
    </row>
    <row r="13" spans="1:5" ht="80.25" customHeight="1" x14ac:dyDescent="0.25">
      <c r="A13" s="260"/>
      <c r="B13" s="66" t="s">
        <v>604</v>
      </c>
      <c r="C13" s="262"/>
      <c r="D13" s="263"/>
    </row>
    <row r="14" spans="1:5" ht="16.5" thickBot="1" x14ac:dyDescent="0.3">
      <c r="A14" s="261"/>
      <c r="B14" s="19" t="s">
        <v>338</v>
      </c>
      <c r="C14" s="262"/>
      <c r="D14" s="263"/>
    </row>
    <row r="15" spans="1:5" ht="48" thickBot="1" x14ac:dyDescent="0.3">
      <c r="A15" s="48" t="s">
        <v>7</v>
      </c>
      <c r="B15" s="67" t="s">
        <v>209</v>
      </c>
      <c r="C15" s="262">
        <f>C11*0.2359</f>
        <v>198.03805</v>
      </c>
      <c r="D15" s="263"/>
    </row>
    <row r="16" spans="1:5" ht="16.5" thickBot="1" x14ac:dyDescent="0.3">
      <c r="A16" s="48"/>
      <c r="B16" s="20" t="s">
        <v>9</v>
      </c>
      <c r="C16" s="262">
        <f>SUM(C11:D15)</f>
        <v>1037.5380500000001</v>
      </c>
      <c r="D16" s="263"/>
      <c r="E16" s="10"/>
    </row>
    <row r="17" spans="1:5" ht="16.5" thickBot="1" x14ac:dyDescent="0.3">
      <c r="A17" s="48"/>
      <c r="B17" s="20" t="s">
        <v>10</v>
      </c>
      <c r="C17" s="262"/>
      <c r="D17" s="263"/>
    </row>
    <row r="18" spans="1:5" ht="127.5" customHeight="1" thickBot="1" x14ac:dyDescent="0.3">
      <c r="A18" s="48" t="s">
        <v>12</v>
      </c>
      <c r="B18" s="87" t="s">
        <v>339</v>
      </c>
      <c r="C18" s="262">
        <f>11.5+23.5+1.5</f>
        <v>36.5</v>
      </c>
      <c r="D18" s="263"/>
    </row>
    <row r="19" spans="1:5" ht="48" thickBot="1" x14ac:dyDescent="0.3">
      <c r="A19" s="48" t="s">
        <v>13</v>
      </c>
      <c r="B19" s="19" t="s">
        <v>419</v>
      </c>
      <c r="C19" s="262">
        <f>7620/6896*50</f>
        <v>55.249419953596288</v>
      </c>
      <c r="D19" s="263"/>
    </row>
    <row r="20" spans="1:5" ht="32.25" thickBot="1" x14ac:dyDescent="0.3">
      <c r="A20" s="108" t="s">
        <v>17</v>
      </c>
      <c r="B20" s="19" t="s">
        <v>405</v>
      </c>
      <c r="C20" s="315">
        <f>7.41*50</f>
        <v>370.5</v>
      </c>
      <c r="D20" s="316"/>
    </row>
    <row r="21" spans="1:5" ht="16.5" thickBot="1" x14ac:dyDescent="0.3">
      <c r="A21" s="3"/>
      <c r="B21" s="18" t="s">
        <v>18</v>
      </c>
      <c r="C21" s="262">
        <f>SUM(C18:C20)</f>
        <v>462.24941995359632</v>
      </c>
      <c r="D21" s="263"/>
      <c r="E21" s="11"/>
    </row>
    <row r="22" spans="1:5" ht="16.5" thickBot="1" x14ac:dyDescent="0.3">
      <c r="A22" s="3"/>
      <c r="B22" s="21" t="s">
        <v>19</v>
      </c>
      <c r="C22" s="267">
        <f>SUM(C16,C21)</f>
        <v>1499.7874699535964</v>
      </c>
      <c r="D22" s="268"/>
      <c r="E22" s="12"/>
    </row>
    <row r="23" spans="1:5" x14ac:dyDescent="0.25">
      <c r="A23" s="4"/>
      <c r="C23" s="8"/>
      <c r="E23" s="13"/>
    </row>
    <row r="24" spans="1:5" ht="15.75" x14ac:dyDescent="0.25">
      <c r="A24" s="269" t="s">
        <v>20</v>
      </c>
      <c r="B24" s="270"/>
      <c r="C24" s="271">
        <v>50</v>
      </c>
      <c r="D24" s="271"/>
      <c r="E24" s="14"/>
    </row>
    <row r="25" spans="1:5" ht="32.25" customHeight="1" x14ac:dyDescent="0.25">
      <c r="A25" s="264" t="s">
        <v>21</v>
      </c>
      <c r="B25" s="265"/>
      <c r="C25" s="225">
        <f>C22/C24</f>
        <v>29.995749399071929</v>
      </c>
      <c r="D25" s="225"/>
      <c r="E25" s="15"/>
    </row>
    <row r="26" spans="1:5" ht="15.75" x14ac:dyDescent="0.25">
      <c r="A26" s="2"/>
    </row>
    <row r="27" spans="1:5" x14ac:dyDescent="0.25">
      <c r="A27" s="78"/>
      <c r="B27" s="78"/>
      <c r="C27" s="203"/>
      <c r="D27" s="203"/>
    </row>
    <row r="28" spans="1:5" x14ac:dyDescent="0.25">
      <c r="A28" s="78"/>
      <c r="B28" s="78"/>
      <c r="C28" s="79"/>
      <c r="D28" s="78"/>
    </row>
    <row r="29" spans="1:5" x14ac:dyDescent="0.25">
      <c r="A29" s="78"/>
      <c r="B29" s="78"/>
      <c r="C29" s="203"/>
      <c r="D29" s="203"/>
    </row>
    <row r="30" spans="1:5" x14ac:dyDescent="0.25">
      <c r="A30" s="78"/>
      <c r="B30" s="78"/>
      <c r="C30" s="78"/>
      <c r="D30" s="78"/>
    </row>
    <row r="31" spans="1:5" x14ac:dyDescent="0.25">
      <c r="A31" s="202"/>
      <c r="B31" s="202"/>
      <c r="C31" s="80"/>
      <c r="D31" s="80"/>
    </row>
    <row r="32" spans="1:5" x14ac:dyDescent="0.25">
      <c r="A32" s="201"/>
      <c r="B32" s="202"/>
      <c r="C32" s="80"/>
      <c r="D32" s="80"/>
    </row>
    <row r="33" spans="1:4" x14ac:dyDescent="0.25">
      <c r="A33" s="57"/>
      <c r="B33" s="80"/>
      <c r="C33" s="81"/>
      <c r="D33" s="81"/>
    </row>
    <row r="34" spans="1:4" x14ac:dyDescent="0.25">
      <c r="A34" s="201"/>
      <c r="B34" s="201"/>
      <c r="C34" s="81"/>
      <c r="D34" s="81"/>
    </row>
  </sheetData>
  <mergeCells count="25">
    <mergeCell ref="A2:D2"/>
    <mergeCell ref="A4:D4"/>
    <mergeCell ref="A6:D6"/>
    <mergeCell ref="A8:D8"/>
    <mergeCell ref="C9:D9"/>
    <mergeCell ref="C10:D10"/>
    <mergeCell ref="A11:A14"/>
    <mergeCell ref="C11:D14"/>
    <mergeCell ref="C15:D15"/>
    <mergeCell ref="C16:D16"/>
    <mergeCell ref="A34:B34"/>
    <mergeCell ref="C17:D17"/>
    <mergeCell ref="C27:D27"/>
    <mergeCell ref="C29:D29"/>
    <mergeCell ref="A31:B31"/>
    <mergeCell ref="A32:B32"/>
    <mergeCell ref="A25:B25"/>
    <mergeCell ref="C25:D25"/>
    <mergeCell ref="C18:D18"/>
    <mergeCell ref="C19:D19"/>
    <mergeCell ref="C21:D21"/>
    <mergeCell ref="C22:D22"/>
    <mergeCell ref="A24:B24"/>
    <mergeCell ref="C24:D24"/>
    <mergeCell ref="C20:D20"/>
  </mergeCells>
  <pageMargins left="0.70866141732283472" right="0.70866141732283472" top="0.74803149606299213" bottom="0.74803149606299213" header="0.31496062992125984" footer="0.31496062992125984"/>
  <pageSetup paperSize="9" fitToHeight="0" orientation="portrait" verticalDpi="0" r:id="rId1"/>
  <headerFooter>
    <oddFooter>&amp;C&amp;P</oddFooter>
  </headerFooter>
  <rowBreaks count="1" manualBreakCount="1">
    <brk id="16" max="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view="pageBreakPreview" topLeftCell="A11" zoomScale="60" zoomScaleNormal="100" workbookViewId="0">
      <selection activeCell="T13" sqref="T13"/>
    </sheetView>
  </sheetViews>
  <sheetFormatPr defaultRowHeight="15" x14ac:dyDescent="0.25"/>
  <cols>
    <col min="1" max="1" width="16.85546875" customWidth="1"/>
    <col min="2" max="2" width="53.5703125" customWidth="1"/>
    <col min="3" max="3" width="10.42578125" style="7" customWidth="1"/>
    <col min="4" max="4" width="6.140625" customWidth="1"/>
    <col min="5" max="5" width="25.85546875" style="9" customWidth="1"/>
    <col min="8" max="8" width="7.42578125" bestFit="1" customWidth="1"/>
  </cols>
  <sheetData>
    <row r="1" spans="1:5" ht="15.75" x14ac:dyDescent="0.25">
      <c r="A1" s="1"/>
    </row>
    <row r="2" spans="1:5" ht="14.45" customHeight="1" x14ac:dyDescent="0.25">
      <c r="A2" s="251" t="s">
        <v>0</v>
      </c>
      <c r="B2" s="251"/>
      <c r="C2" s="251"/>
      <c r="D2" s="251"/>
    </row>
    <row r="3" spans="1:5" ht="15.75" x14ac:dyDescent="0.25">
      <c r="D3" s="1"/>
    </row>
    <row r="4" spans="1:5" ht="16.5" customHeight="1" x14ac:dyDescent="0.25">
      <c r="A4" s="252" t="s">
        <v>22</v>
      </c>
      <c r="B4" s="252"/>
      <c r="C4" s="252"/>
      <c r="D4" s="252"/>
    </row>
    <row r="5" spans="1:5" ht="15.75" x14ac:dyDescent="0.25">
      <c r="D5" s="5"/>
    </row>
    <row r="6" spans="1:5" ht="63" customHeight="1" x14ac:dyDescent="0.25">
      <c r="A6" s="253" t="s">
        <v>283</v>
      </c>
      <c r="B6" s="253"/>
      <c r="C6" s="253"/>
      <c r="D6" s="253"/>
    </row>
    <row r="7" spans="1:5" ht="15.75" x14ac:dyDescent="0.25">
      <c r="D7" s="6"/>
    </row>
    <row r="8" spans="1:5" ht="16.5" thickBot="1" x14ac:dyDescent="0.3">
      <c r="A8" s="254" t="s">
        <v>1</v>
      </c>
      <c r="B8" s="254"/>
      <c r="C8" s="254"/>
      <c r="D8" s="254"/>
    </row>
    <row r="9" spans="1:5" ht="76.5" customHeight="1" thickBot="1" x14ac:dyDescent="0.3">
      <c r="A9" s="16" t="s">
        <v>2</v>
      </c>
      <c r="B9" s="17" t="s">
        <v>3</v>
      </c>
      <c r="C9" s="255" t="s">
        <v>4</v>
      </c>
      <c r="D9" s="256"/>
    </row>
    <row r="10" spans="1:5" ht="16.5" thickBot="1" x14ac:dyDescent="0.3">
      <c r="A10" s="3"/>
      <c r="B10" s="18" t="s">
        <v>5</v>
      </c>
      <c r="C10" s="257"/>
      <c r="D10" s="258"/>
    </row>
    <row r="11" spans="1:5" ht="203.25" customHeight="1" x14ac:dyDescent="0.25">
      <c r="A11" s="259" t="s">
        <v>6</v>
      </c>
      <c r="B11" s="123" t="s">
        <v>683</v>
      </c>
      <c r="C11" s="262">
        <v>116.92</v>
      </c>
      <c r="D11" s="263"/>
      <c r="E11" s="141"/>
    </row>
    <row r="12" spans="1:5" ht="78.75" x14ac:dyDescent="0.25">
      <c r="A12" s="260"/>
      <c r="B12" s="110" t="s">
        <v>680</v>
      </c>
      <c r="C12" s="262"/>
      <c r="D12" s="263"/>
    </row>
    <row r="13" spans="1:5" ht="125.25" customHeight="1" x14ac:dyDescent="0.25">
      <c r="A13" s="260"/>
      <c r="B13" s="123" t="s">
        <v>681</v>
      </c>
      <c r="C13" s="262"/>
      <c r="D13" s="263"/>
    </row>
    <row r="14" spans="1:5" ht="16.5" thickBot="1" x14ac:dyDescent="0.3">
      <c r="A14" s="261"/>
      <c r="B14" s="104" t="s">
        <v>682</v>
      </c>
      <c r="C14" s="262"/>
      <c r="D14" s="263"/>
    </row>
    <row r="15" spans="1:5" ht="48" thickBot="1" x14ac:dyDescent="0.3">
      <c r="A15" s="49" t="s">
        <v>7</v>
      </c>
      <c r="B15" s="67" t="s">
        <v>209</v>
      </c>
      <c r="C15" s="262">
        <f>C11*0.2359</f>
        <v>27.581427999999999</v>
      </c>
      <c r="D15" s="263"/>
    </row>
    <row r="16" spans="1:5" ht="16.5" thickBot="1" x14ac:dyDescent="0.3">
      <c r="A16" s="49"/>
      <c r="B16" s="20" t="s">
        <v>9</v>
      </c>
      <c r="C16" s="262">
        <f>SUM(C11:D15)</f>
        <v>144.501428</v>
      </c>
      <c r="D16" s="263"/>
      <c r="E16" s="10"/>
    </row>
    <row r="17" spans="1:5" ht="16.5" thickBot="1" x14ac:dyDescent="0.3">
      <c r="A17" s="49"/>
      <c r="B17" s="20" t="s">
        <v>10</v>
      </c>
      <c r="C17" s="262"/>
      <c r="D17" s="263"/>
    </row>
    <row r="18" spans="1:5" ht="125.25" customHeight="1" thickBot="1" x14ac:dyDescent="0.3">
      <c r="A18" s="49" t="s">
        <v>12</v>
      </c>
      <c r="B18" s="87" t="s">
        <v>420</v>
      </c>
      <c r="C18" s="262">
        <f>0.69+1.41+0.09</f>
        <v>2.1899999999999995</v>
      </c>
      <c r="D18" s="263"/>
    </row>
    <row r="19" spans="1:5" ht="48" thickBot="1" x14ac:dyDescent="0.3">
      <c r="A19" s="49" t="s">
        <v>13</v>
      </c>
      <c r="B19" s="19" t="s">
        <v>340</v>
      </c>
      <c r="C19" s="262">
        <f>7620/6896*3</f>
        <v>3.3149651972157774</v>
      </c>
      <c r="D19" s="263"/>
    </row>
    <row r="20" spans="1:5" ht="32.25" thickBot="1" x14ac:dyDescent="0.3">
      <c r="A20" s="49" t="s">
        <v>17</v>
      </c>
      <c r="B20" s="102" t="s">
        <v>406</v>
      </c>
      <c r="C20" s="262">
        <v>30</v>
      </c>
      <c r="D20" s="263"/>
    </row>
    <row r="21" spans="1:5" ht="16.5" thickBot="1" x14ac:dyDescent="0.3">
      <c r="A21" s="49" t="s">
        <v>23</v>
      </c>
      <c r="B21" s="19" t="s">
        <v>25</v>
      </c>
      <c r="C21" s="262"/>
      <c r="D21" s="263"/>
    </row>
    <row r="22" spans="1:5" ht="16.5" thickBot="1" x14ac:dyDescent="0.3">
      <c r="A22" s="3"/>
      <c r="B22" s="18" t="s">
        <v>18</v>
      </c>
      <c r="C22" s="262">
        <f>SUM(C18:C21)</f>
        <v>35.504965197215775</v>
      </c>
      <c r="D22" s="263"/>
      <c r="E22" s="11"/>
    </row>
    <row r="23" spans="1:5" ht="16.5" thickBot="1" x14ac:dyDescent="0.3">
      <c r="A23" s="3"/>
      <c r="B23" s="21" t="s">
        <v>19</v>
      </c>
      <c r="C23" s="267">
        <f>SUM(C16,C22)</f>
        <v>180.00639319721577</v>
      </c>
      <c r="D23" s="268"/>
      <c r="E23" s="12"/>
    </row>
    <row r="24" spans="1:5" x14ac:dyDescent="0.25">
      <c r="A24" s="4"/>
      <c r="C24" s="8"/>
      <c r="E24" s="13"/>
    </row>
    <row r="25" spans="1:5" ht="15.75" x14ac:dyDescent="0.25">
      <c r="A25" s="269" t="s">
        <v>20</v>
      </c>
      <c r="B25" s="270"/>
      <c r="C25" s="271">
        <v>3</v>
      </c>
      <c r="D25" s="271"/>
      <c r="E25" s="14"/>
    </row>
    <row r="26" spans="1:5" ht="32.25" customHeight="1" x14ac:dyDescent="0.25">
      <c r="A26" s="326" t="s">
        <v>21</v>
      </c>
      <c r="B26" s="327"/>
      <c r="C26" s="225">
        <f>C23/C25</f>
        <v>60.002131065738588</v>
      </c>
      <c r="D26" s="225"/>
      <c r="E26" s="15"/>
    </row>
    <row r="27" spans="1:5" ht="15.75" x14ac:dyDescent="0.25">
      <c r="A27" s="2"/>
    </row>
    <row r="28" spans="1:5" x14ac:dyDescent="0.25">
      <c r="A28" s="78"/>
      <c r="B28" s="78"/>
      <c r="C28" s="203"/>
      <c r="D28" s="203"/>
    </row>
    <row r="29" spans="1:5" x14ac:dyDescent="0.25">
      <c r="A29" s="78"/>
      <c r="B29" s="78"/>
      <c r="C29" s="79"/>
      <c r="D29" s="78"/>
    </row>
    <row r="30" spans="1:5" x14ac:dyDescent="0.25">
      <c r="A30" s="78"/>
      <c r="B30" s="78"/>
      <c r="C30" s="203"/>
      <c r="D30" s="203"/>
    </row>
    <row r="31" spans="1:5" x14ac:dyDescent="0.25">
      <c r="A31" s="78"/>
      <c r="B31" s="78"/>
      <c r="C31" s="78"/>
      <c r="D31" s="78"/>
    </row>
    <row r="32" spans="1:5" x14ac:dyDescent="0.25">
      <c r="A32" s="202"/>
      <c r="B32" s="202"/>
      <c r="C32" s="80"/>
      <c r="D32" s="80"/>
    </row>
    <row r="33" spans="1:4" x14ac:dyDescent="0.25">
      <c r="A33" s="201"/>
      <c r="B33" s="202"/>
      <c r="C33" s="80"/>
      <c r="D33" s="80"/>
    </row>
    <row r="34" spans="1:4" x14ac:dyDescent="0.25">
      <c r="A34" s="57"/>
      <c r="B34" s="80"/>
      <c r="C34" s="81"/>
      <c r="D34" s="81"/>
    </row>
    <row r="35" spans="1:4" x14ac:dyDescent="0.25">
      <c r="A35" s="201"/>
      <c r="B35" s="201"/>
      <c r="C35" s="81"/>
      <c r="D35" s="81"/>
    </row>
  </sheetData>
  <mergeCells count="26">
    <mergeCell ref="A2:D2"/>
    <mergeCell ref="A4:D4"/>
    <mergeCell ref="A6:D6"/>
    <mergeCell ref="A8:D8"/>
    <mergeCell ref="C9:D9"/>
    <mergeCell ref="C10:D10"/>
    <mergeCell ref="A11:A14"/>
    <mergeCell ref="C11:D14"/>
    <mergeCell ref="C15:D15"/>
    <mergeCell ref="C16:D16"/>
    <mergeCell ref="C17:D17"/>
    <mergeCell ref="A26:B26"/>
    <mergeCell ref="C26:D26"/>
    <mergeCell ref="C18:D18"/>
    <mergeCell ref="C19:D19"/>
    <mergeCell ref="C20:D20"/>
    <mergeCell ref="C21:D21"/>
    <mergeCell ref="C22:D22"/>
    <mergeCell ref="C23:D23"/>
    <mergeCell ref="A25:B25"/>
    <mergeCell ref="C25:D25"/>
    <mergeCell ref="C28:D28"/>
    <mergeCell ref="C30:D30"/>
    <mergeCell ref="A32:B32"/>
    <mergeCell ref="A33:B33"/>
    <mergeCell ref="A35:B35"/>
  </mergeCells>
  <pageMargins left="0.70866141732283472" right="0.70866141732283472" top="0.74803149606299213" bottom="0.74803149606299213" header="0.31496062992125984" footer="0.31496062992125984"/>
  <pageSetup paperSize="9" fitToHeight="0" orientation="portrait" r:id="rId1"/>
  <headerFoot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view="pageBreakPreview" topLeftCell="A4" zoomScale="60" zoomScaleNormal="100" workbookViewId="0">
      <selection activeCell="T13" sqref="T13"/>
    </sheetView>
  </sheetViews>
  <sheetFormatPr defaultRowHeight="15" x14ac:dyDescent="0.25"/>
  <cols>
    <col min="1" max="1" width="16.42578125" customWidth="1"/>
    <col min="2" max="2" width="52.7109375" customWidth="1"/>
    <col min="3" max="3" width="9.85546875" style="7" customWidth="1"/>
    <col min="4" max="4" width="9.7109375" customWidth="1"/>
    <col min="5" max="5" width="25.85546875" style="9" customWidth="1"/>
    <col min="8" max="8" width="7.42578125" bestFit="1" customWidth="1"/>
  </cols>
  <sheetData>
    <row r="1" spans="1:5" ht="15.75" x14ac:dyDescent="0.25">
      <c r="A1" s="1"/>
    </row>
    <row r="2" spans="1:5" ht="14.45" customHeight="1" x14ac:dyDescent="0.25">
      <c r="A2" s="251" t="s">
        <v>0</v>
      </c>
      <c r="B2" s="251"/>
      <c r="C2" s="251"/>
      <c r="D2" s="251"/>
    </row>
    <row r="3" spans="1:5" ht="15.75" x14ac:dyDescent="0.25">
      <c r="D3" s="1"/>
    </row>
    <row r="4" spans="1:5" ht="17.25" customHeight="1" x14ac:dyDescent="0.25">
      <c r="A4" s="252" t="s">
        <v>22</v>
      </c>
      <c r="B4" s="252"/>
      <c r="C4" s="252"/>
      <c r="D4" s="252"/>
    </row>
    <row r="5" spans="1:5" ht="15.75" x14ac:dyDescent="0.25">
      <c r="D5" s="5"/>
    </row>
    <row r="6" spans="1:5" ht="62.25" customHeight="1" x14ac:dyDescent="0.25">
      <c r="A6" s="253" t="s">
        <v>284</v>
      </c>
      <c r="B6" s="253"/>
      <c r="C6" s="253"/>
      <c r="D6" s="253"/>
    </row>
    <row r="7" spans="1:5" ht="15.75" x14ac:dyDescent="0.25">
      <c r="D7" s="6"/>
    </row>
    <row r="8" spans="1:5" ht="16.5" thickBot="1" x14ac:dyDescent="0.3">
      <c r="A8" s="254" t="s">
        <v>1</v>
      </c>
      <c r="B8" s="254"/>
      <c r="C8" s="254"/>
      <c r="D8" s="254"/>
    </row>
    <row r="9" spans="1:5" ht="82.5" customHeight="1" thickBot="1" x14ac:dyDescent="0.3">
      <c r="A9" s="16" t="s">
        <v>2</v>
      </c>
      <c r="B9" s="17" t="s">
        <v>3</v>
      </c>
      <c r="C9" s="255" t="s">
        <v>4</v>
      </c>
      <c r="D9" s="256"/>
    </row>
    <row r="10" spans="1:5" ht="16.5" thickBot="1" x14ac:dyDescent="0.3">
      <c r="A10" s="3"/>
      <c r="B10" s="18" t="s">
        <v>5</v>
      </c>
      <c r="C10" s="257"/>
      <c r="D10" s="258"/>
    </row>
    <row r="11" spans="1:5" ht="173.25" x14ac:dyDescent="0.25">
      <c r="A11" s="259" t="s">
        <v>6</v>
      </c>
      <c r="B11" s="66" t="s">
        <v>605</v>
      </c>
      <c r="C11" s="262">
        <f>18.22+0.12</f>
        <v>18.34</v>
      </c>
      <c r="D11" s="263"/>
    </row>
    <row r="12" spans="1:5" ht="142.5" customHeight="1" x14ac:dyDescent="0.25">
      <c r="A12" s="260"/>
      <c r="B12" s="66" t="s">
        <v>606</v>
      </c>
      <c r="C12" s="262"/>
      <c r="D12" s="263"/>
    </row>
    <row r="13" spans="1:5" ht="16.5" thickBot="1" x14ac:dyDescent="0.3">
      <c r="A13" s="261"/>
      <c r="B13" s="19" t="s">
        <v>395</v>
      </c>
      <c r="C13" s="262"/>
      <c r="D13" s="263"/>
    </row>
    <row r="14" spans="1:5" ht="31.5" customHeight="1" thickBot="1" x14ac:dyDescent="0.3">
      <c r="A14" s="49" t="s">
        <v>7</v>
      </c>
      <c r="B14" s="67" t="s">
        <v>209</v>
      </c>
      <c r="C14" s="262">
        <f>C11*0.2359</f>
        <v>4.3264059999999995</v>
      </c>
      <c r="D14" s="263"/>
    </row>
    <row r="15" spans="1:5" ht="16.5" thickBot="1" x14ac:dyDescent="0.3">
      <c r="A15" s="49"/>
      <c r="B15" s="20" t="s">
        <v>9</v>
      </c>
      <c r="C15" s="262">
        <f>SUM(C11:D14)</f>
        <v>22.666405999999998</v>
      </c>
      <c r="D15" s="263"/>
      <c r="E15" s="10"/>
    </row>
    <row r="16" spans="1:5" ht="16.5" thickBot="1" x14ac:dyDescent="0.3">
      <c r="A16" s="49"/>
      <c r="B16" s="20" t="s">
        <v>10</v>
      </c>
      <c r="C16" s="262"/>
      <c r="D16" s="263"/>
    </row>
    <row r="17" spans="1:5" ht="126.75" thickBot="1" x14ac:dyDescent="0.3">
      <c r="A17" s="49" t="s">
        <v>12</v>
      </c>
      <c r="B17" s="67" t="s">
        <v>341</v>
      </c>
      <c r="C17" s="262">
        <f>0.23+0.47+0.03</f>
        <v>0.73</v>
      </c>
      <c r="D17" s="263"/>
    </row>
    <row r="18" spans="1:5" ht="48" thickBot="1" x14ac:dyDescent="0.3">
      <c r="A18" s="114" t="s">
        <v>14</v>
      </c>
      <c r="B18" s="19" t="s">
        <v>421</v>
      </c>
      <c r="C18" s="262">
        <f>0.83*20</f>
        <v>16.599999999999998</v>
      </c>
      <c r="D18" s="263"/>
    </row>
    <row r="19" spans="1:5" ht="32.25" thickBot="1" x14ac:dyDescent="0.3">
      <c r="A19" s="114" t="s">
        <v>17</v>
      </c>
      <c r="B19" s="102" t="s">
        <v>422</v>
      </c>
      <c r="C19" s="262">
        <f>50/5</f>
        <v>10</v>
      </c>
      <c r="D19" s="263"/>
    </row>
    <row r="20" spans="1:5" ht="16.5" thickBot="1" x14ac:dyDescent="0.3">
      <c r="A20" s="3"/>
      <c r="B20" s="18" t="s">
        <v>18</v>
      </c>
      <c r="C20" s="262">
        <f>SUM(C17:C19)</f>
        <v>27.33</v>
      </c>
      <c r="D20" s="263"/>
      <c r="E20" s="11"/>
    </row>
    <row r="21" spans="1:5" ht="16.5" thickBot="1" x14ac:dyDescent="0.3">
      <c r="A21" s="3"/>
      <c r="B21" s="21" t="s">
        <v>19</v>
      </c>
      <c r="C21" s="267">
        <f>SUM(C15,C20)</f>
        <v>49.996405999999993</v>
      </c>
      <c r="D21" s="268"/>
      <c r="E21" s="12"/>
    </row>
    <row r="22" spans="1:5" x14ac:dyDescent="0.25">
      <c r="A22" s="4"/>
      <c r="C22" s="8"/>
      <c r="E22" s="13"/>
    </row>
    <row r="23" spans="1:5" ht="15.75" x14ac:dyDescent="0.25">
      <c r="A23" s="269" t="s">
        <v>20</v>
      </c>
      <c r="B23" s="270"/>
      <c r="C23" s="271">
        <v>1</v>
      </c>
      <c r="D23" s="271"/>
      <c r="E23" s="14"/>
    </row>
    <row r="24" spans="1:5" ht="33.75" customHeight="1" x14ac:dyDescent="0.25">
      <c r="A24" s="264" t="s">
        <v>21</v>
      </c>
      <c r="B24" s="312"/>
      <c r="C24" s="225">
        <f>C21/C23</f>
        <v>49.996405999999993</v>
      </c>
      <c r="D24" s="225"/>
      <c r="E24" s="15"/>
    </row>
    <row r="25" spans="1:5" ht="15.75" x14ac:dyDescent="0.25">
      <c r="A25" s="2"/>
    </row>
    <row r="26" spans="1:5" x14ac:dyDescent="0.25">
      <c r="A26" s="78"/>
      <c r="B26" s="78"/>
      <c r="C26" s="203"/>
      <c r="D26" s="203"/>
    </row>
    <row r="27" spans="1:5" x14ac:dyDescent="0.25">
      <c r="A27" s="78"/>
      <c r="B27" s="78"/>
      <c r="C27" s="79"/>
      <c r="D27" s="78"/>
    </row>
    <row r="28" spans="1:5" x14ac:dyDescent="0.25">
      <c r="A28" s="78"/>
      <c r="B28" s="78"/>
      <c r="C28" s="203"/>
      <c r="D28" s="203"/>
    </row>
    <row r="29" spans="1:5" x14ac:dyDescent="0.25">
      <c r="A29" s="78"/>
      <c r="B29" s="78"/>
      <c r="C29" s="78"/>
      <c r="D29" s="78"/>
    </row>
    <row r="30" spans="1:5" x14ac:dyDescent="0.25">
      <c r="A30" s="202"/>
      <c r="B30" s="202"/>
      <c r="C30" s="80"/>
      <c r="D30" s="80"/>
    </row>
    <row r="31" spans="1:5" x14ac:dyDescent="0.25">
      <c r="A31" s="201"/>
      <c r="B31" s="202"/>
      <c r="C31" s="80"/>
      <c r="D31" s="80"/>
    </row>
    <row r="32" spans="1:5" x14ac:dyDescent="0.25">
      <c r="A32" s="57"/>
      <c r="B32" s="80"/>
      <c r="C32" s="81"/>
      <c r="D32" s="81"/>
    </row>
    <row r="33" spans="1:4" x14ac:dyDescent="0.25">
      <c r="A33" s="201"/>
      <c r="B33" s="201"/>
      <c r="C33" s="81"/>
      <c r="D33" s="81"/>
    </row>
  </sheetData>
  <mergeCells count="25">
    <mergeCell ref="A2:D2"/>
    <mergeCell ref="A4:D4"/>
    <mergeCell ref="A6:D6"/>
    <mergeCell ref="A8:D8"/>
    <mergeCell ref="C9:D9"/>
    <mergeCell ref="C10:D10"/>
    <mergeCell ref="A11:A13"/>
    <mergeCell ref="C11:D13"/>
    <mergeCell ref="C14:D14"/>
    <mergeCell ref="C15:D15"/>
    <mergeCell ref="C16:D16"/>
    <mergeCell ref="A24:B24"/>
    <mergeCell ref="C24:D24"/>
    <mergeCell ref="C17:D17"/>
    <mergeCell ref="C19:D19"/>
    <mergeCell ref="C20:D20"/>
    <mergeCell ref="C21:D21"/>
    <mergeCell ref="A23:B23"/>
    <mergeCell ref="C23:D23"/>
    <mergeCell ref="C18:D18"/>
    <mergeCell ref="C26:D26"/>
    <mergeCell ref="C28:D28"/>
    <mergeCell ref="A30:B30"/>
    <mergeCell ref="A31:B31"/>
    <mergeCell ref="A33:B33"/>
  </mergeCells>
  <pageMargins left="0.70866141732283472" right="0.70866141732283472" top="0.74803149606299213" bottom="0.74803149606299213" header="0.31496062992125984" footer="0.31496062992125984"/>
  <pageSetup paperSize="9" scale="98" fitToHeight="0" orientation="portrait" verticalDpi="0" r:id="rId1"/>
  <headerFooter>
    <oddFooter>&amp;C&amp;P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view="pageBreakPreview" zoomScale="60" zoomScaleNormal="100" workbookViewId="0">
      <selection activeCell="T13" sqref="T13"/>
    </sheetView>
  </sheetViews>
  <sheetFormatPr defaultRowHeight="15" x14ac:dyDescent="0.25"/>
  <cols>
    <col min="1" max="1" width="13.7109375" customWidth="1"/>
    <col min="2" max="2" width="51" customWidth="1"/>
    <col min="3" max="3" width="13.5703125" style="7" customWidth="1"/>
    <col min="4" max="4" width="5" customWidth="1"/>
    <col min="5" max="5" width="25.85546875" style="9" customWidth="1"/>
    <col min="8" max="8" width="7.42578125" bestFit="1" customWidth="1"/>
  </cols>
  <sheetData>
    <row r="1" spans="1:5" ht="15.75" x14ac:dyDescent="0.25">
      <c r="A1" s="1"/>
    </row>
    <row r="2" spans="1:5" ht="14.45" customHeight="1" x14ac:dyDescent="0.25">
      <c r="A2" s="251" t="s">
        <v>0</v>
      </c>
      <c r="B2" s="251"/>
      <c r="C2" s="251"/>
      <c r="D2" s="251"/>
    </row>
    <row r="3" spans="1:5" ht="15.75" x14ac:dyDescent="0.25">
      <c r="D3" s="1"/>
    </row>
    <row r="4" spans="1:5" ht="18" customHeight="1" x14ac:dyDescent="0.25">
      <c r="A4" s="252" t="s">
        <v>22</v>
      </c>
      <c r="B4" s="252"/>
      <c r="C4" s="252"/>
      <c r="D4" s="252"/>
    </row>
    <row r="5" spans="1:5" ht="15.75" x14ac:dyDescent="0.25">
      <c r="D5" s="5"/>
    </row>
    <row r="6" spans="1:5" ht="64.900000000000006" customHeight="1" x14ac:dyDescent="0.25">
      <c r="A6" s="253" t="s">
        <v>285</v>
      </c>
      <c r="B6" s="253"/>
      <c r="C6" s="253"/>
      <c r="D6" s="253"/>
    </row>
    <row r="7" spans="1:5" ht="15.75" x14ac:dyDescent="0.25">
      <c r="D7" s="6"/>
    </row>
    <row r="8" spans="1:5" ht="16.5" thickBot="1" x14ac:dyDescent="0.3">
      <c r="A8" s="254" t="s">
        <v>1</v>
      </c>
      <c r="B8" s="254"/>
      <c r="C8" s="254"/>
      <c r="D8" s="254"/>
    </row>
    <row r="9" spans="1:5" ht="75.75" customHeight="1" thickBot="1" x14ac:dyDescent="0.3">
      <c r="A9" s="16" t="s">
        <v>2</v>
      </c>
      <c r="B9" s="17" t="s">
        <v>3</v>
      </c>
      <c r="C9" s="255" t="s">
        <v>4</v>
      </c>
      <c r="D9" s="256"/>
    </row>
    <row r="10" spans="1:5" ht="16.5" thickBot="1" x14ac:dyDescent="0.3">
      <c r="A10" s="3"/>
      <c r="B10" s="18" t="s">
        <v>5</v>
      </c>
      <c r="C10" s="257"/>
      <c r="D10" s="258"/>
    </row>
    <row r="11" spans="1:5" ht="205.5" customHeight="1" x14ac:dyDescent="0.25">
      <c r="A11" s="259" t="s">
        <v>6</v>
      </c>
      <c r="B11" s="66" t="s">
        <v>607</v>
      </c>
      <c r="C11" s="262">
        <f>32.98+5+7.36</f>
        <v>45.339999999999996</v>
      </c>
      <c r="D11" s="263"/>
    </row>
    <row r="12" spans="1:5" ht="80.25" customHeight="1" x14ac:dyDescent="0.25">
      <c r="A12" s="260"/>
      <c r="B12" s="66" t="s">
        <v>608</v>
      </c>
      <c r="C12" s="262"/>
      <c r="D12" s="263"/>
    </row>
    <row r="13" spans="1:5" ht="127.5" customHeight="1" x14ac:dyDescent="0.25">
      <c r="A13" s="260"/>
      <c r="B13" s="66" t="s">
        <v>609</v>
      </c>
      <c r="C13" s="262"/>
      <c r="D13" s="263"/>
    </row>
    <row r="14" spans="1:5" ht="16.5" thickBot="1" x14ac:dyDescent="0.3">
      <c r="A14" s="261"/>
      <c r="B14" s="67" t="s">
        <v>470</v>
      </c>
      <c r="C14" s="262"/>
      <c r="D14" s="263"/>
    </row>
    <row r="15" spans="1:5" ht="48" thickBot="1" x14ac:dyDescent="0.3">
      <c r="A15" s="50" t="s">
        <v>7</v>
      </c>
      <c r="B15" s="67" t="s">
        <v>209</v>
      </c>
      <c r="C15" s="262">
        <v>11.98</v>
      </c>
      <c r="D15" s="263"/>
    </row>
    <row r="16" spans="1:5" ht="16.5" thickBot="1" x14ac:dyDescent="0.3">
      <c r="A16" s="50"/>
      <c r="B16" s="74" t="s">
        <v>9</v>
      </c>
      <c r="C16" s="262">
        <f>SUM(C11:D15)</f>
        <v>57.319999999999993</v>
      </c>
      <c r="D16" s="263"/>
      <c r="E16" s="10"/>
    </row>
    <row r="17" spans="1:5" ht="16.5" thickBot="1" x14ac:dyDescent="0.3">
      <c r="A17" s="50"/>
      <c r="B17" s="74" t="s">
        <v>10</v>
      </c>
      <c r="C17" s="262"/>
      <c r="D17" s="263"/>
    </row>
    <row r="18" spans="1:5" ht="16.5" thickBot="1" x14ac:dyDescent="0.3">
      <c r="A18" s="50" t="s">
        <v>11</v>
      </c>
      <c r="B18" s="67" t="s">
        <v>24</v>
      </c>
      <c r="C18" s="262"/>
      <c r="D18" s="263"/>
    </row>
    <row r="19" spans="1:5" ht="126.75" customHeight="1" thickBot="1" x14ac:dyDescent="0.3">
      <c r="A19" s="50" t="s">
        <v>12</v>
      </c>
      <c r="B19" s="67" t="s">
        <v>344</v>
      </c>
      <c r="C19" s="262">
        <f>0.23+0.47+0.03</f>
        <v>0.73</v>
      </c>
      <c r="D19" s="263"/>
    </row>
    <row r="20" spans="1:5" ht="49.5" customHeight="1" thickBot="1" x14ac:dyDescent="0.3">
      <c r="A20" s="50" t="s">
        <v>13</v>
      </c>
      <c r="B20" s="67" t="s">
        <v>343</v>
      </c>
      <c r="C20" s="262">
        <f>7620/6896*1</f>
        <v>1.1049883990719258</v>
      </c>
      <c r="D20" s="263"/>
    </row>
    <row r="21" spans="1:5" ht="47.25" customHeight="1" thickBot="1" x14ac:dyDescent="0.3">
      <c r="A21" s="50" t="s">
        <v>14</v>
      </c>
      <c r="B21" s="67" t="s">
        <v>342</v>
      </c>
      <c r="C21" s="262">
        <f>0.33*20</f>
        <v>6.6000000000000005</v>
      </c>
      <c r="D21" s="263"/>
    </row>
    <row r="22" spans="1:5" ht="32.25" thickBot="1" x14ac:dyDescent="0.3">
      <c r="A22" s="50" t="s">
        <v>23</v>
      </c>
      <c r="B22" s="67" t="s">
        <v>471</v>
      </c>
      <c r="C22" s="262">
        <v>34.25</v>
      </c>
      <c r="D22" s="263"/>
    </row>
    <row r="23" spans="1:5" ht="16.5" thickBot="1" x14ac:dyDescent="0.3">
      <c r="A23" s="3"/>
      <c r="B23" s="75" t="s">
        <v>18</v>
      </c>
      <c r="C23" s="262">
        <f>SUM(C18:C22)</f>
        <v>42.684988399071926</v>
      </c>
      <c r="D23" s="263"/>
      <c r="E23" s="11"/>
    </row>
    <row r="24" spans="1:5" ht="16.5" thickBot="1" x14ac:dyDescent="0.3">
      <c r="A24" s="3"/>
      <c r="B24" s="76" t="s">
        <v>19</v>
      </c>
      <c r="C24" s="267">
        <f>SUM(C16,C23)</f>
        <v>100.00498839907192</v>
      </c>
      <c r="D24" s="268"/>
      <c r="E24" s="12"/>
    </row>
    <row r="25" spans="1:5" x14ac:dyDescent="0.25">
      <c r="A25" s="4"/>
      <c r="C25" s="8"/>
      <c r="E25" s="13"/>
    </row>
    <row r="26" spans="1:5" ht="15.75" x14ac:dyDescent="0.25">
      <c r="A26" s="269" t="s">
        <v>20</v>
      </c>
      <c r="B26" s="270"/>
      <c r="C26" s="271">
        <v>1</v>
      </c>
      <c r="D26" s="271"/>
      <c r="E26" s="14"/>
    </row>
    <row r="27" spans="1:5" ht="33.75" customHeight="1" x14ac:dyDescent="0.25">
      <c r="A27" s="264" t="s">
        <v>21</v>
      </c>
      <c r="B27" s="265"/>
      <c r="C27" s="225">
        <f>C24/C26</f>
        <v>100.00498839907192</v>
      </c>
      <c r="D27" s="225"/>
      <c r="E27" s="15"/>
    </row>
    <row r="28" spans="1:5" ht="15.75" x14ac:dyDescent="0.25">
      <c r="A28" s="2"/>
    </row>
    <row r="29" spans="1:5" x14ac:dyDescent="0.25">
      <c r="A29" s="78"/>
      <c r="B29" s="78"/>
      <c r="C29" s="203"/>
      <c r="D29" s="203"/>
    </row>
    <row r="30" spans="1:5" x14ac:dyDescent="0.25">
      <c r="A30" s="78"/>
      <c r="B30" s="78"/>
      <c r="C30" s="79"/>
      <c r="D30" s="78"/>
    </row>
    <row r="31" spans="1:5" x14ac:dyDescent="0.25">
      <c r="A31" s="78"/>
      <c r="B31" s="78"/>
      <c r="C31" s="203"/>
      <c r="D31" s="203"/>
    </row>
    <row r="32" spans="1:5" x14ac:dyDescent="0.25">
      <c r="A32" s="78"/>
      <c r="B32" s="78"/>
      <c r="C32" s="78"/>
      <c r="D32" s="78"/>
    </row>
    <row r="33" spans="1:4" x14ac:dyDescent="0.25">
      <c r="A33" s="202"/>
      <c r="B33" s="202"/>
      <c r="C33" s="80"/>
      <c r="D33" s="80"/>
    </row>
    <row r="34" spans="1:4" x14ac:dyDescent="0.25">
      <c r="A34" s="201"/>
      <c r="B34" s="202"/>
      <c r="C34" s="80"/>
      <c r="D34" s="80"/>
    </row>
    <row r="35" spans="1:4" x14ac:dyDescent="0.25">
      <c r="A35" s="57"/>
      <c r="B35" s="80"/>
      <c r="C35" s="81"/>
      <c r="D35" s="81"/>
    </row>
    <row r="36" spans="1:4" x14ac:dyDescent="0.25">
      <c r="A36" s="201"/>
      <c r="B36" s="201"/>
      <c r="C36" s="81"/>
      <c r="D36" s="81"/>
    </row>
  </sheetData>
  <mergeCells count="27">
    <mergeCell ref="A27:B27"/>
    <mergeCell ref="C27:D27"/>
    <mergeCell ref="C19:D19"/>
    <mergeCell ref="C20:D20"/>
    <mergeCell ref="C21:D21"/>
    <mergeCell ref="C22:D22"/>
    <mergeCell ref="C23:D23"/>
    <mergeCell ref="C24:D24"/>
    <mergeCell ref="A26:B26"/>
    <mergeCell ref="C26:D26"/>
    <mergeCell ref="C18:D18"/>
    <mergeCell ref="A2:D2"/>
    <mergeCell ref="A4:D4"/>
    <mergeCell ref="A6:D6"/>
    <mergeCell ref="A8:D8"/>
    <mergeCell ref="C9:D9"/>
    <mergeCell ref="C10:D10"/>
    <mergeCell ref="A11:A14"/>
    <mergeCell ref="C11:D14"/>
    <mergeCell ref="C15:D15"/>
    <mergeCell ref="C16:D16"/>
    <mergeCell ref="C17:D17"/>
    <mergeCell ref="C29:D29"/>
    <mergeCell ref="C31:D31"/>
    <mergeCell ref="A33:B33"/>
    <mergeCell ref="A34:B34"/>
    <mergeCell ref="A36:B36"/>
  </mergeCells>
  <pageMargins left="0.70866141732283472" right="0.70866141732283472" top="0.74803149606299213" bottom="0.74803149606299213" header="0.31496062992125984" footer="0.31496062992125984"/>
  <pageSetup paperSize="9" fitToHeight="0" orientation="portrait" verticalDpi="0" r:id="rId1"/>
  <headerFoot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view="pageBreakPreview" zoomScale="60" zoomScaleNormal="100" workbookViewId="0">
      <selection activeCell="T13" sqref="T13"/>
    </sheetView>
  </sheetViews>
  <sheetFormatPr defaultRowHeight="15" x14ac:dyDescent="0.25"/>
  <cols>
    <col min="1" max="1" width="16.5703125" customWidth="1"/>
    <col min="2" max="2" width="50.42578125" customWidth="1"/>
    <col min="3" max="3" width="13.5703125" style="7" customWidth="1"/>
    <col min="4" max="4" width="3.140625" customWidth="1"/>
    <col min="5" max="5" width="25.85546875" style="9" customWidth="1"/>
    <col min="8" max="8" width="7.42578125" bestFit="1" customWidth="1"/>
  </cols>
  <sheetData>
    <row r="1" spans="1:5" ht="15.75" x14ac:dyDescent="0.25">
      <c r="A1" s="1"/>
    </row>
    <row r="2" spans="1:5" ht="14.45" customHeight="1" x14ac:dyDescent="0.25">
      <c r="A2" s="251" t="s">
        <v>0</v>
      </c>
      <c r="B2" s="251"/>
      <c r="C2" s="251"/>
      <c r="D2" s="251"/>
    </row>
    <row r="3" spans="1:5" ht="15.75" x14ac:dyDescent="0.25">
      <c r="D3" s="1"/>
    </row>
    <row r="4" spans="1:5" ht="16.5" customHeight="1" x14ac:dyDescent="0.25">
      <c r="A4" s="252" t="s">
        <v>22</v>
      </c>
      <c r="B4" s="252"/>
      <c r="C4" s="252"/>
      <c r="D4" s="252"/>
    </row>
    <row r="5" spans="1:5" ht="15.75" x14ac:dyDescent="0.25">
      <c r="D5" s="5"/>
    </row>
    <row r="6" spans="1:5" ht="61.5" customHeight="1" x14ac:dyDescent="0.25">
      <c r="A6" s="253" t="s">
        <v>286</v>
      </c>
      <c r="B6" s="253"/>
      <c r="C6" s="253"/>
      <c r="D6" s="253"/>
    </row>
    <row r="7" spans="1:5" ht="15.75" x14ac:dyDescent="0.25">
      <c r="D7" s="6"/>
    </row>
    <row r="8" spans="1:5" ht="16.5" thickBot="1" x14ac:dyDescent="0.3">
      <c r="A8" s="254" t="s">
        <v>1</v>
      </c>
      <c r="B8" s="254"/>
      <c r="C8" s="254"/>
      <c r="D8" s="254"/>
    </row>
    <row r="9" spans="1:5" ht="71.25" customHeight="1" thickBot="1" x14ac:dyDescent="0.3">
      <c r="A9" s="16" t="s">
        <v>2</v>
      </c>
      <c r="B9" s="17" t="s">
        <v>3</v>
      </c>
      <c r="C9" s="255" t="s">
        <v>4</v>
      </c>
      <c r="D9" s="256"/>
    </row>
    <row r="10" spans="1:5" ht="16.5" thickBot="1" x14ac:dyDescent="0.3">
      <c r="A10" s="3"/>
      <c r="B10" s="18" t="s">
        <v>5</v>
      </c>
      <c r="C10" s="257"/>
      <c r="D10" s="258"/>
    </row>
    <row r="11" spans="1:5" ht="80.25" customHeight="1" x14ac:dyDescent="0.25">
      <c r="A11" s="259" t="s">
        <v>6</v>
      </c>
      <c r="B11" s="66" t="s">
        <v>611</v>
      </c>
      <c r="C11" s="262">
        <f>23.04+4.8+7.2</f>
        <v>35.04</v>
      </c>
      <c r="D11" s="263"/>
    </row>
    <row r="12" spans="1:5" ht="81" customHeight="1" x14ac:dyDescent="0.25">
      <c r="A12" s="260"/>
      <c r="B12" s="64" t="s">
        <v>612</v>
      </c>
      <c r="C12" s="262"/>
      <c r="D12" s="263"/>
    </row>
    <row r="13" spans="1:5" ht="63.75" customHeight="1" x14ac:dyDescent="0.25">
      <c r="A13" s="260"/>
      <c r="B13" s="64" t="s">
        <v>613</v>
      </c>
      <c r="C13" s="262"/>
      <c r="D13" s="263"/>
    </row>
    <row r="14" spans="1:5" ht="16.5" thickBot="1" x14ac:dyDescent="0.3">
      <c r="A14" s="261"/>
      <c r="B14" s="19" t="s">
        <v>472</v>
      </c>
      <c r="C14" s="262"/>
      <c r="D14" s="263"/>
    </row>
    <row r="15" spans="1:5" ht="48" thickBot="1" x14ac:dyDescent="0.3">
      <c r="A15" s="52" t="s">
        <v>7</v>
      </c>
      <c r="B15" s="67" t="s">
        <v>209</v>
      </c>
      <c r="C15" s="262">
        <f>C11*0.2359</f>
        <v>8.265936</v>
      </c>
      <c r="D15" s="263"/>
    </row>
    <row r="16" spans="1:5" ht="16.5" thickBot="1" x14ac:dyDescent="0.3">
      <c r="A16" s="52"/>
      <c r="B16" s="20" t="s">
        <v>9</v>
      </c>
      <c r="C16" s="262">
        <f>SUM(C11:D15)</f>
        <v>43.305936000000003</v>
      </c>
      <c r="D16" s="263"/>
      <c r="E16" s="10"/>
    </row>
    <row r="17" spans="1:5" ht="16.5" thickBot="1" x14ac:dyDescent="0.3">
      <c r="A17" s="52"/>
      <c r="B17" s="20" t="s">
        <v>10</v>
      </c>
      <c r="C17" s="262"/>
      <c r="D17" s="263"/>
    </row>
    <row r="18" spans="1:5" ht="33" customHeight="1" thickBot="1" x14ac:dyDescent="0.3">
      <c r="A18" s="52" t="s">
        <v>12</v>
      </c>
      <c r="B18" s="67" t="s">
        <v>610</v>
      </c>
      <c r="C18" s="262">
        <f>568/1010*3</f>
        <v>1.6871287128712873</v>
      </c>
      <c r="D18" s="263"/>
    </row>
    <row r="19" spans="1:5" ht="16.5" thickBot="1" x14ac:dyDescent="0.3">
      <c r="A19" s="3"/>
      <c r="B19" s="18" t="s">
        <v>18</v>
      </c>
      <c r="C19" s="262">
        <f>SUM(C18:C18)</f>
        <v>1.6871287128712873</v>
      </c>
      <c r="D19" s="263"/>
      <c r="E19" s="11"/>
    </row>
    <row r="20" spans="1:5" ht="16.5" thickBot="1" x14ac:dyDescent="0.3">
      <c r="A20" s="3"/>
      <c r="B20" s="21" t="s">
        <v>19</v>
      </c>
      <c r="C20" s="267">
        <f>SUM(C16,C19)</f>
        <v>44.993064712871288</v>
      </c>
      <c r="D20" s="268"/>
      <c r="E20" s="12"/>
    </row>
    <row r="21" spans="1:5" x14ac:dyDescent="0.25">
      <c r="A21" s="4"/>
      <c r="C21" s="8"/>
      <c r="E21" s="13"/>
    </row>
    <row r="22" spans="1:5" ht="15.75" x14ac:dyDescent="0.25">
      <c r="A22" s="269" t="s">
        <v>20</v>
      </c>
      <c r="B22" s="270"/>
      <c r="C22" s="271">
        <v>3</v>
      </c>
      <c r="D22" s="271"/>
      <c r="E22" s="14"/>
    </row>
    <row r="23" spans="1:5" ht="33" customHeight="1" x14ac:dyDescent="0.25">
      <c r="A23" s="264" t="s">
        <v>21</v>
      </c>
      <c r="B23" s="265"/>
      <c r="C23" s="320">
        <f>C20/C22</f>
        <v>14.997688237623763</v>
      </c>
      <c r="D23" s="320"/>
      <c r="E23" s="15"/>
    </row>
    <row r="24" spans="1:5" ht="15.75" x14ac:dyDescent="0.25">
      <c r="A24" s="2"/>
    </row>
    <row r="25" spans="1:5" x14ac:dyDescent="0.25">
      <c r="A25" s="78"/>
      <c r="B25" s="78"/>
      <c r="C25" s="203"/>
      <c r="D25" s="203"/>
    </row>
    <row r="26" spans="1:5" x14ac:dyDescent="0.25">
      <c r="A26" s="78"/>
      <c r="B26" s="78"/>
      <c r="C26" s="79"/>
      <c r="D26" s="78"/>
    </row>
    <row r="27" spans="1:5" x14ac:dyDescent="0.25">
      <c r="A27" s="78"/>
      <c r="B27" s="78"/>
      <c r="C27" s="203"/>
      <c r="D27" s="203"/>
    </row>
    <row r="28" spans="1:5" x14ac:dyDescent="0.25">
      <c r="A28" s="78"/>
      <c r="B28" s="78"/>
      <c r="C28" s="78"/>
      <c r="D28" s="78"/>
    </row>
    <row r="29" spans="1:5" x14ac:dyDescent="0.25">
      <c r="A29" s="202"/>
      <c r="B29" s="202"/>
      <c r="C29" s="80"/>
      <c r="D29" s="80"/>
    </row>
    <row r="30" spans="1:5" x14ac:dyDescent="0.25">
      <c r="A30" s="201"/>
      <c r="B30" s="202"/>
      <c r="C30" s="80"/>
      <c r="D30" s="80"/>
    </row>
    <row r="31" spans="1:5" x14ac:dyDescent="0.25">
      <c r="A31" s="57"/>
      <c r="B31" s="80"/>
      <c r="C31" s="81"/>
      <c r="D31" s="81"/>
    </row>
    <row r="32" spans="1:5" x14ac:dyDescent="0.25">
      <c r="A32" s="201"/>
      <c r="B32" s="201"/>
      <c r="C32" s="81"/>
      <c r="D32" s="81"/>
    </row>
  </sheetData>
  <mergeCells count="23">
    <mergeCell ref="A2:D2"/>
    <mergeCell ref="A4:D4"/>
    <mergeCell ref="A6:D6"/>
    <mergeCell ref="A8:D8"/>
    <mergeCell ref="C9:D9"/>
    <mergeCell ref="C10:D10"/>
    <mergeCell ref="A11:A14"/>
    <mergeCell ref="C11:D14"/>
    <mergeCell ref="C15:D15"/>
    <mergeCell ref="C16:D16"/>
    <mergeCell ref="C17:D17"/>
    <mergeCell ref="A23:B23"/>
    <mergeCell ref="C23:D23"/>
    <mergeCell ref="C18:D18"/>
    <mergeCell ref="C19:D19"/>
    <mergeCell ref="C20:D20"/>
    <mergeCell ref="A22:B22"/>
    <mergeCell ref="C22:D22"/>
    <mergeCell ref="C25:D25"/>
    <mergeCell ref="C27:D27"/>
    <mergeCell ref="A29:B29"/>
    <mergeCell ref="A30:B30"/>
    <mergeCell ref="A32:B32"/>
  </mergeCells>
  <pageMargins left="0.70866141732283472" right="0.70866141732283472" top="0.74803149606299213" bottom="0.74803149606299213" header="0.31496062992125984" footer="0.31496062992125984"/>
  <pageSetup paperSize="9" fitToHeight="0" orientation="portrait" verticalDpi="0"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view="pageBreakPreview" zoomScale="60" zoomScaleNormal="100" workbookViewId="0">
      <selection activeCell="T13" sqref="T13"/>
    </sheetView>
  </sheetViews>
  <sheetFormatPr defaultRowHeight="15" x14ac:dyDescent="0.25"/>
  <cols>
    <col min="1" max="1" width="16.28515625" customWidth="1"/>
    <col min="2" max="2" width="48.85546875" customWidth="1"/>
    <col min="3" max="3" width="13.85546875" style="7" customWidth="1"/>
    <col min="4" max="4" width="5.28515625" customWidth="1"/>
    <col min="5" max="5" width="25.85546875" style="9" customWidth="1"/>
    <col min="8" max="8" width="7.42578125" bestFit="1" customWidth="1"/>
  </cols>
  <sheetData>
    <row r="1" spans="1:5" ht="15.75" x14ac:dyDescent="0.25">
      <c r="A1" s="1"/>
    </row>
    <row r="2" spans="1:5" ht="14.45" customHeight="1" x14ac:dyDescent="0.25">
      <c r="A2" s="251" t="s">
        <v>0</v>
      </c>
      <c r="B2" s="251"/>
      <c r="C2" s="251"/>
      <c r="D2" s="251"/>
    </row>
    <row r="3" spans="1:5" ht="15.75" x14ac:dyDescent="0.25">
      <c r="D3" s="1"/>
    </row>
    <row r="4" spans="1:5" ht="16.5" customHeight="1" x14ac:dyDescent="0.25">
      <c r="A4" s="252" t="s">
        <v>22</v>
      </c>
      <c r="B4" s="252"/>
      <c r="C4" s="252"/>
      <c r="D4" s="252"/>
    </row>
    <row r="5" spans="1:5" ht="15.75" x14ac:dyDescent="0.25">
      <c r="D5" s="5"/>
    </row>
    <row r="6" spans="1:5" ht="63.75" customHeight="1" x14ac:dyDescent="0.25">
      <c r="A6" s="253" t="s">
        <v>287</v>
      </c>
      <c r="B6" s="253"/>
      <c r="C6" s="253"/>
      <c r="D6" s="253"/>
    </row>
    <row r="7" spans="1:5" ht="4.5" customHeight="1" x14ac:dyDescent="0.25">
      <c r="D7" s="6"/>
    </row>
    <row r="8" spans="1:5" ht="16.5" thickBot="1" x14ac:dyDescent="0.3">
      <c r="A8" s="254" t="s">
        <v>1</v>
      </c>
      <c r="B8" s="254"/>
      <c r="C8" s="254"/>
      <c r="D8" s="254"/>
    </row>
    <row r="9" spans="1:5" ht="72" customHeight="1" thickBot="1" x14ac:dyDescent="0.3">
      <c r="A9" s="16" t="s">
        <v>2</v>
      </c>
      <c r="B9" s="17" t="s">
        <v>3</v>
      </c>
      <c r="C9" s="255" t="s">
        <v>4</v>
      </c>
      <c r="D9" s="256"/>
    </row>
    <row r="10" spans="1:5" ht="16.5" thickBot="1" x14ac:dyDescent="0.3">
      <c r="A10" s="3"/>
      <c r="B10" s="18" t="s">
        <v>5</v>
      </c>
      <c r="C10" s="257"/>
      <c r="D10" s="258"/>
    </row>
    <row r="11" spans="1:5" ht="78.75" x14ac:dyDescent="0.25">
      <c r="A11" s="259" t="s">
        <v>6</v>
      </c>
      <c r="B11" s="110" t="s">
        <v>614</v>
      </c>
      <c r="C11" s="262">
        <f>9.9+9.6+3.44</f>
        <v>22.94</v>
      </c>
      <c r="D11" s="263"/>
    </row>
    <row r="12" spans="1:5" ht="78" customHeight="1" x14ac:dyDescent="0.25">
      <c r="A12" s="260"/>
      <c r="B12" s="131" t="s">
        <v>615</v>
      </c>
      <c r="C12" s="262"/>
      <c r="D12" s="263"/>
    </row>
    <row r="13" spans="1:5" ht="78.75" customHeight="1" x14ac:dyDescent="0.25">
      <c r="A13" s="260"/>
      <c r="B13" s="128" t="s">
        <v>616</v>
      </c>
      <c r="C13" s="262"/>
      <c r="D13" s="263"/>
    </row>
    <row r="14" spans="1:5" ht="16.5" thickBot="1" x14ac:dyDescent="0.3">
      <c r="A14" s="261"/>
      <c r="B14" s="104" t="s">
        <v>474</v>
      </c>
      <c r="C14" s="262"/>
      <c r="D14" s="263"/>
    </row>
    <row r="15" spans="1:5" ht="51" customHeight="1" thickBot="1" x14ac:dyDescent="0.3">
      <c r="A15" s="52" t="s">
        <v>7</v>
      </c>
      <c r="B15" s="67" t="s">
        <v>209</v>
      </c>
      <c r="C15" s="262">
        <f>C11*0.2359</f>
        <v>5.4115460000000004</v>
      </c>
      <c r="D15" s="263"/>
    </row>
    <row r="16" spans="1:5" ht="16.5" thickBot="1" x14ac:dyDescent="0.3">
      <c r="A16" s="52"/>
      <c r="B16" s="20" t="s">
        <v>9</v>
      </c>
      <c r="C16" s="262">
        <f>SUM(C11:D15)</f>
        <v>28.351546000000003</v>
      </c>
      <c r="D16" s="263"/>
      <c r="E16" s="10"/>
    </row>
    <row r="17" spans="1:5" ht="16.5" thickBot="1" x14ac:dyDescent="0.3">
      <c r="A17" s="52"/>
      <c r="B17" s="20" t="s">
        <v>10</v>
      </c>
      <c r="C17" s="262"/>
      <c r="D17" s="263"/>
    </row>
    <row r="18" spans="1:5" ht="32.25" thickBot="1" x14ac:dyDescent="0.3">
      <c r="A18" s="52" t="s">
        <v>12</v>
      </c>
      <c r="B18" s="19" t="s">
        <v>473</v>
      </c>
      <c r="C18" s="262">
        <v>0.56999999999999995</v>
      </c>
      <c r="D18" s="263"/>
    </row>
    <row r="19" spans="1:5" ht="16.5" thickBot="1" x14ac:dyDescent="0.3">
      <c r="A19" s="109" t="s">
        <v>380</v>
      </c>
      <c r="B19" s="19" t="s">
        <v>397</v>
      </c>
      <c r="C19" s="315">
        <v>0.41</v>
      </c>
      <c r="D19" s="316"/>
    </row>
    <row r="20" spans="1:5" ht="16.5" thickBot="1" x14ac:dyDescent="0.3">
      <c r="A20" s="109" t="s">
        <v>379</v>
      </c>
      <c r="B20" s="19" t="s">
        <v>396</v>
      </c>
      <c r="C20" s="315">
        <v>0.67</v>
      </c>
      <c r="D20" s="316"/>
    </row>
    <row r="21" spans="1:5" ht="16.5" thickBot="1" x14ac:dyDescent="0.3">
      <c r="A21" s="3"/>
      <c r="B21" s="18" t="s">
        <v>18</v>
      </c>
      <c r="C21" s="262">
        <f>SUM(C18:C20)</f>
        <v>1.65</v>
      </c>
      <c r="D21" s="263"/>
      <c r="E21" s="11"/>
    </row>
    <row r="22" spans="1:5" ht="16.5" thickBot="1" x14ac:dyDescent="0.3">
      <c r="A22" s="3"/>
      <c r="B22" s="21" t="s">
        <v>19</v>
      </c>
      <c r="C22" s="267">
        <f>SUM(C16,C21)</f>
        <v>30.001546000000001</v>
      </c>
      <c r="D22" s="268"/>
      <c r="E22" s="12"/>
    </row>
    <row r="23" spans="1:5" x14ac:dyDescent="0.25">
      <c r="A23" s="4"/>
      <c r="C23" s="8"/>
      <c r="E23" s="13"/>
    </row>
    <row r="24" spans="1:5" ht="15.75" x14ac:dyDescent="0.25">
      <c r="A24" s="269" t="s">
        <v>20</v>
      </c>
      <c r="B24" s="270"/>
      <c r="C24" s="271">
        <v>1</v>
      </c>
      <c r="D24" s="271"/>
      <c r="E24" s="14"/>
    </row>
    <row r="25" spans="1:5" ht="32.25" customHeight="1" x14ac:dyDescent="0.25">
      <c r="A25" s="264" t="s">
        <v>21</v>
      </c>
      <c r="B25" s="265"/>
      <c r="C25" s="320">
        <f>C22/C24</f>
        <v>30.001546000000001</v>
      </c>
      <c r="D25" s="320"/>
      <c r="E25" s="15"/>
    </row>
    <row r="26" spans="1:5" ht="15.75" x14ac:dyDescent="0.25">
      <c r="A26" s="2"/>
    </row>
    <row r="27" spans="1:5" x14ac:dyDescent="0.25">
      <c r="A27" s="78"/>
      <c r="B27" s="78"/>
      <c r="C27" s="203"/>
      <c r="D27" s="203"/>
    </row>
    <row r="28" spans="1:5" x14ac:dyDescent="0.25">
      <c r="A28" s="78"/>
      <c r="B28" s="78"/>
      <c r="C28" s="79"/>
      <c r="D28" s="78"/>
    </row>
    <row r="29" spans="1:5" x14ac:dyDescent="0.25">
      <c r="A29" s="78"/>
      <c r="B29" s="78"/>
      <c r="C29" s="203"/>
      <c r="D29" s="203"/>
    </row>
    <row r="30" spans="1:5" x14ac:dyDescent="0.25">
      <c r="A30" s="78"/>
      <c r="B30" s="78"/>
      <c r="C30" s="78"/>
      <c r="D30" s="78"/>
    </row>
    <row r="31" spans="1:5" x14ac:dyDescent="0.25">
      <c r="A31" s="202"/>
      <c r="B31" s="202"/>
      <c r="C31" s="80"/>
      <c r="D31" s="80"/>
    </row>
    <row r="32" spans="1:5" x14ac:dyDescent="0.25">
      <c r="A32" s="201"/>
      <c r="B32" s="202"/>
      <c r="C32" s="80"/>
      <c r="D32" s="80"/>
    </row>
    <row r="33" spans="1:4" x14ac:dyDescent="0.25">
      <c r="A33" s="57"/>
      <c r="B33" s="80"/>
      <c r="C33" s="81"/>
      <c r="D33" s="81"/>
    </row>
    <row r="34" spans="1:4" x14ac:dyDescent="0.25">
      <c r="A34" s="201"/>
      <c r="B34" s="201"/>
      <c r="C34" s="81"/>
      <c r="D34" s="81"/>
    </row>
  </sheetData>
  <mergeCells count="25">
    <mergeCell ref="A2:D2"/>
    <mergeCell ref="A4:D4"/>
    <mergeCell ref="A6:D6"/>
    <mergeCell ref="A8:D8"/>
    <mergeCell ref="C9:D9"/>
    <mergeCell ref="C10:D10"/>
    <mergeCell ref="A11:A14"/>
    <mergeCell ref="C11:D14"/>
    <mergeCell ref="C15:D15"/>
    <mergeCell ref="C16:D16"/>
    <mergeCell ref="C17:D17"/>
    <mergeCell ref="A25:B25"/>
    <mergeCell ref="C25:D25"/>
    <mergeCell ref="C18:D18"/>
    <mergeCell ref="C21:D21"/>
    <mergeCell ref="C22:D22"/>
    <mergeCell ref="A24:B24"/>
    <mergeCell ref="C24:D24"/>
    <mergeCell ref="C19:D19"/>
    <mergeCell ref="C20:D20"/>
    <mergeCell ref="C27:D27"/>
    <mergeCell ref="C29:D29"/>
    <mergeCell ref="A31:B31"/>
    <mergeCell ref="A32:B32"/>
    <mergeCell ref="A34:B34"/>
  </mergeCells>
  <pageMargins left="0.70866141732283472" right="0.70866141732283472" top="0.74803149606299213" bottom="0.74803149606299213" header="0.31496062992125984" footer="0.31496062992125984"/>
  <pageSetup paperSize="9" fitToHeight="0"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view="pageBreakPreview" zoomScale="60" zoomScaleNormal="100" workbookViewId="0">
      <selection activeCell="T13" sqref="T13"/>
    </sheetView>
  </sheetViews>
  <sheetFormatPr defaultRowHeight="15" x14ac:dyDescent="0.25"/>
  <cols>
    <col min="1" max="1" width="16.5703125" customWidth="1"/>
    <col min="2" max="2" width="52" customWidth="1"/>
    <col min="3" max="3" width="11.7109375" style="7" customWidth="1"/>
    <col min="4" max="4" width="5.28515625" customWidth="1"/>
    <col min="5" max="5" width="25.85546875" style="9" customWidth="1"/>
    <col min="8" max="8" width="7.42578125" bestFit="1" customWidth="1"/>
  </cols>
  <sheetData>
    <row r="1" spans="1:5" ht="14.45" customHeight="1" x14ac:dyDescent="0.25">
      <c r="A1" s="251" t="s">
        <v>0</v>
      </c>
      <c r="B1" s="251"/>
      <c r="C1" s="251"/>
      <c r="D1" s="251"/>
    </row>
    <row r="2" spans="1:5" ht="15.75" x14ac:dyDescent="0.25">
      <c r="D2" s="1"/>
    </row>
    <row r="3" spans="1:5" ht="15.75" customHeight="1" x14ac:dyDescent="0.25">
      <c r="A3" s="252" t="s">
        <v>22</v>
      </c>
      <c r="B3" s="252"/>
      <c r="C3" s="252"/>
      <c r="D3" s="252"/>
    </row>
    <row r="4" spans="1:5" ht="50.25" customHeight="1" x14ac:dyDescent="0.25">
      <c r="A4" s="253" t="s">
        <v>288</v>
      </c>
      <c r="B4" s="253"/>
      <c r="C4" s="253"/>
      <c r="D4" s="253"/>
    </row>
    <row r="5" spans="1:5" ht="16.5" thickBot="1" x14ac:dyDescent="0.3">
      <c r="A5" s="254" t="s">
        <v>1</v>
      </c>
      <c r="B5" s="254"/>
      <c r="C5" s="254"/>
      <c r="D5" s="254"/>
    </row>
    <row r="6" spans="1:5" ht="75.75" customHeight="1" thickBot="1" x14ac:dyDescent="0.3">
      <c r="A6" s="16" t="s">
        <v>2</v>
      </c>
      <c r="B6" s="17" t="s">
        <v>3</v>
      </c>
      <c r="C6" s="255" t="s">
        <v>4</v>
      </c>
      <c r="D6" s="256"/>
    </row>
    <row r="7" spans="1:5" ht="16.5" thickBot="1" x14ac:dyDescent="0.3">
      <c r="A7" s="3"/>
      <c r="B7" s="18" t="s">
        <v>5</v>
      </c>
      <c r="C7" s="257"/>
      <c r="D7" s="258"/>
    </row>
    <row r="8" spans="1:5" ht="61.5" customHeight="1" x14ac:dyDescent="0.25">
      <c r="A8" s="259" t="s">
        <v>6</v>
      </c>
      <c r="B8" s="66" t="s">
        <v>617</v>
      </c>
      <c r="C8" s="262">
        <f>36+20.1</f>
        <v>56.1</v>
      </c>
      <c r="D8" s="263"/>
    </row>
    <row r="9" spans="1:5" ht="63" x14ac:dyDescent="0.25">
      <c r="A9" s="260"/>
      <c r="B9" s="22" t="s">
        <v>618</v>
      </c>
      <c r="C9" s="262"/>
      <c r="D9" s="263"/>
    </row>
    <row r="10" spans="1:5" ht="16.5" thickBot="1" x14ac:dyDescent="0.3">
      <c r="A10" s="261"/>
      <c r="B10" s="67" t="s">
        <v>398</v>
      </c>
      <c r="C10" s="262"/>
      <c r="D10" s="263"/>
    </row>
    <row r="11" spans="1:5" ht="48" thickBot="1" x14ac:dyDescent="0.3">
      <c r="A11" s="52" t="s">
        <v>7</v>
      </c>
      <c r="B11" s="67" t="s">
        <v>209</v>
      </c>
      <c r="C11" s="262">
        <f>C8*0.2359</f>
        <v>13.23399</v>
      </c>
      <c r="D11" s="263"/>
    </row>
    <row r="12" spans="1:5" ht="16.5" thickBot="1" x14ac:dyDescent="0.3">
      <c r="A12" s="52"/>
      <c r="B12" s="20" t="s">
        <v>9</v>
      </c>
      <c r="C12" s="262">
        <f>SUM(C8:D11)</f>
        <v>69.33399</v>
      </c>
      <c r="D12" s="263"/>
      <c r="E12" s="10"/>
    </row>
    <row r="13" spans="1:5" ht="16.5" thickBot="1" x14ac:dyDescent="0.3">
      <c r="A13" s="52"/>
      <c r="B13" s="20" t="s">
        <v>10</v>
      </c>
      <c r="C13" s="262"/>
      <c r="D13" s="263"/>
    </row>
    <row r="14" spans="1:5" ht="140.25" customHeight="1" thickBot="1" x14ac:dyDescent="0.3">
      <c r="A14" s="52" t="s">
        <v>12</v>
      </c>
      <c r="B14" s="103" t="s">
        <v>345</v>
      </c>
      <c r="C14" s="262">
        <f>0.6+4.05+0.15</f>
        <v>4.8</v>
      </c>
      <c r="D14" s="263"/>
    </row>
    <row r="15" spans="1:5" ht="16.5" thickBot="1" x14ac:dyDescent="0.3">
      <c r="A15" s="52" t="s">
        <v>17</v>
      </c>
      <c r="B15" s="19" t="s">
        <v>475</v>
      </c>
      <c r="C15" s="262">
        <v>0.8</v>
      </c>
      <c r="D15" s="263"/>
    </row>
    <row r="16" spans="1:5" ht="16.5" thickBot="1" x14ac:dyDescent="0.3">
      <c r="A16" s="3"/>
      <c r="B16" s="18" t="s">
        <v>18</v>
      </c>
      <c r="C16" s="262">
        <f>SUM(C14:C15)</f>
        <v>5.6</v>
      </c>
      <c r="D16" s="263"/>
      <c r="E16" s="11"/>
    </row>
    <row r="17" spans="1:5" ht="16.5" thickBot="1" x14ac:dyDescent="0.3">
      <c r="A17" s="3"/>
      <c r="B17" s="21" t="s">
        <v>19</v>
      </c>
      <c r="C17" s="267">
        <f>SUM(C12,C16)</f>
        <v>74.933989999999994</v>
      </c>
      <c r="D17" s="268"/>
      <c r="E17" s="12"/>
    </row>
    <row r="18" spans="1:5" x14ac:dyDescent="0.25">
      <c r="A18" s="4"/>
      <c r="C18" s="8"/>
      <c r="E18" s="13"/>
    </row>
    <row r="19" spans="1:5" ht="15.75" x14ac:dyDescent="0.25">
      <c r="A19" s="269" t="s">
        <v>20</v>
      </c>
      <c r="B19" s="270"/>
      <c r="C19" s="271">
        <v>15</v>
      </c>
      <c r="D19" s="271"/>
      <c r="E19" s="14"/>
    </row>
    <row r="20" spans="1:5" ht="48" customHeight="1" x14ac:dyDescent="0.25">
      <c r="A20" s="326" t="s">
        <v>21</v>
      </c>
      <c r="B20" s="327"/>
      <c r="C20" s="225">
        <f>C17/C19</f>
        <v>4.9955993333333328</v>
      </c>
      <c r="D20" s="225"/>
      <c r="E20" s="15"/>
    </row>
    <row r="21" spans="1:5" ht="15.75" x14ac:dyDescent="0.25">
      <c r="A21" s="2"/>
    </row>
    <row r="22" spans="1:5" x14ac:dyDescent="0.25">
      <c r="A22" s="78"/>
      <c r="B22" s="78"/>
      <c r="C22" s="203"/>
      <c r="D22" s="203"/>
    </row>
    <row r="23" spans="1:5" x14ac:dyDescent="0.25">
      <c r="A23" s="78"/>
      <c r="B23" s="78"/>
      <c r="C23" s="79"/>
      <c r="D23" s="78"/>
    </row>
    <row r="24" spans="1:5" x14ac:dyDescent="0.25">
      <c r="A24" s="78"/>
      <c r="B24" s="78"/>
      <c r="C24" s="203"/>
      <c r="D24" s="203"/>
    </row>
    <row r="25" spans="1:5" x14ac:dyDescent="0.25">
      <c r="A25" s="78"/>
      <c r="B25" s="78"/>
      <c r="C25" s="78"/>
      <c r="D25" s="78"/>
    </row>
    <row r="26" spans="1:5" x14ac:dyDescent="0.25">
      <c r="A26" s="202"/>
      <c r="B26" s="202"/>
      <c r="C26" s="80"/>
      <c r="D26" s="80"/>
    </row>
    <row r="27" spans="1:5" x14ac:dyDescent="0.25">
      <c r="A27" s="201"/>
      <c r="B27" s="202"/>
      <c r="C27" s="80"/>
      <c r="D27" s="80"/>
    </row>
    <row r="28" spans="1:5" x14ac:dyDescent="0.25">
      <c r="A28" s="57"/>
      <c r="B28" s="80"/>
      <c r="C28" s="81"/>
      <c r="D28" s="81"/>
    </row>
    <row r="29" spans="1:5" x14ac:dyDescent="0.25">
      <c r="A29" s="201"/>
      <c r="B29" s="201"/>
      <c r="C29" s="81"/>
      <c r="D29" s="81"/>
    </row>
  </sheetData>
  <mergeCells count="24">
    <mergeCell ref="A1:D1"/>
    <mergeCell ref="A3:D3"/>
    <mergeCell ref="A4:D4"/>
    <mergeCell ref="A5:D5"/>
    <mergeCell ref="C6:D6"/>
    <mergeCell ref="C7:D7"/>
    <mergeCell ref="A8:A10"/>
    <mergeCell ref="C8:D10"/>
    <mergeCell ref="C11:D11"/>
    <mergeCell ref="C12:D12"/>
    <mergeCell ref="C13:D13"/>
    <mergeCell ref="A20:B20"/>
    <mergeCell ref="C20:D20"/>
    <mergeCell ref="C14:D14"/>
    <mergeCell ref="C15:D15"/>
    <mergeCell ref="C16:D16"/>
    <mergeCell ref="C17:D17"/>
    <mergeCell ref="A19:B19"/>
    <mergeCell ref="C19:D19"/>
    <mergeCell ref="C22:D22"/>
    <mergeCell ref="C24:D24"/>
    <mergeCell ref="A26:B26"/>
    <mergeCell ref="A27:B27"/>
    <mergeCell ref="A29:B29"/>
  </mergeCells>
  <pageMargins left="0.70866141732283472" right="0.70866141732283472" top="0.74803149606299213" bottom="0.74803149606299213" header="0.31496062992125984" footer="0.31496062992125984"/>
  <pageSetup paperSize="9" fitToHeight="0" orientation="portrait" verticalDpi="0" r:id="rId1"/>
  <headerFoot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60" zoomScaleNormal="100" workbookViewId="0">
      <selection activeCell="T13" sqref="T13"/>
    </sheetView>
  </sheetViews>
  <sheetFormatPr defaultRowHeight="15" x14ac:dyDescent="0.25"/>
  <cols>
    <col min="1" max="1" width="16.140625" customWidth="1"/>
    <col min="2" max="2" width="47.5703125" customWidth="1"/>
    <col min="3" max="3" width="11" style="7" customWidth="1"/>
    <col min="4" max="4" width="8.5703125" customWidth="1"/>
    <col min="5" max="5" width="25.85546875" style="9" customWidth="1"/>
    <col min="8" max="8" width="7.42578125" bestFit="1" customWidth="1"/>
  </cols>
  <sheetData>
    <row r="1" spans="1:5" ht="14.45" customHeight="1" x14ac:dyDescent="0.25">
      <c r="A1" s="251" t="s">
        <v>0</v>
      </c>
      <c r="B1" s="251"/>
      <c r="C1" s="251"/>
      <c r="D1" s="251"/>
    </row>
    <row r="2" spans="1:5" ht="15.75" x14ac:dyDescent="0.25">
      <c r="D2" s="1"/>
    </row>
    <row r="3" spans="1:5" ht="18.75" customHeight="1" x14ac:dyDescent="0.25">
      <c r="A3" s="252" t="s">
        <v>22</v>
      </c>
      <c r="B3" s="252"/>
      <c r="C3" s="252"/>
      <c r="D3" s="252"/>
    </row>
    <row r="4" spans="1:5" ht="15.75" x14ac:dyDescent="0.25">
      <c r="D4" s="5"/>
    </row>
    <row r="5" spans="1:5" ht="47.25" customHeight="1" x14ac:dyDescent="0.25">
      <c r="A5" s="253" t="s">
        <v>289</v>
      </c>
      <c r="B5" s="253"/>
      <c r="C5" s="253"/>
      <c r="D5" s="253"/>
    </row>
    <row r="6" spans="1:5" ht="15.75" x14ac:dyDescent="0.25">
      <c r="D6" s="6"/>
    </row>
    <row r="7" spans="1:5" ht="16.5" thickBot="1" x14ac:dyDescent="0.3">
      <c r="A7" s="254" t="s">
        <v>1</v>
      </c>
      <c r="B7" s="254"/>
      <c r="C7" s="254"/>
      <c r="D7" s="254"/>
    </row>
    <row r="8" spans="1:5" ht="84.75" customHeight="1" thickBot="1" x14ac:dyDescent="0.3">
      <c r="A8" s="16" t="s">
        <v>2</v>
      </c>
      <c r="B8" s="17" t="s">
        <v>3</v>
      </c>
      <c r="C8" s="255" t="s">
        <v>4</v>
      </c>
      <c r="D8" s="256"/>
    </row>
    <row r="9" spans="1:5" ht="16.5" thickBot="1" x14ac:dyDescent="0.3">
      <c r="A9" s="3"/>
      <c r="B9" s="18" t="s">
        <v>5</v>
      </c>
      <c r="C9" s="257"/>
      <c r="D9" s="258"/>
    </row>
    <row r="10" spans="1:5" ht="78.75" x14ac:dyDescent="0.25">
      <c r="A10" s="259" t="s">
        <v>6</v>
      </c>
      <c r="B10" s="22" t="s">
        <v>620</v>
      </c>
      <c r="C10" s="262">
        <f>67.2+33.6</f>
        <v>100.80000000000001</v>
      </c>
      <c r="D10" s="263"/>
    </row>
    <row r="11" spans="1:5" ht="63" x14ac:dyDescent="0.25">
      <c r="A11" s="260"/>
      <c r="B11" s="22" t="s">
        <v>619</v>
      </c>
      <c r="C11" s="262"/>
      <c r="D11" s="263"/>
    </row>
    <row r="12" spans="1:5" ht="16.5" thickBot="1" x14ac:dyDescent="0.3">
      <c r="A12" s="261"/>
      <c r="B12" s="19" t="s">
        <v>347</v>
      </c>
      <c r="C12" s="262"/>
      <c r="D12" s="263"/>
    </row>
    <row r="13" spans="1:5" ht="48" thickBot="1" x14ac:dyDescent="0.3">
      <c r="A13" s="52" t="s">
        <v>7</v>
      </c>
      <c r="B13" s="67" t="s">
        <v>209</v>
      </c>
      <c r="C13" s="262">
        <f>C10*0.2359</f>
        <v>23.778720000000003</v>
      </c>
      <c r="D13" s="263"/>
    </row>
    <row r="14" spans="1:5" ht="16.5" thickBot="1" x14ac:dyDescent="0.3">
      <c r="A14" s="52"/>
      <c r="B14" s="20" t="s">
        <v>9</v>
      </c>
      <c r="C14" s="262">
        <f>SUM(C10:D13)</f>
        <v>124.57872000000002</v>
      </c>
      <c r="D14" s="263"/>
      <c r="E14" s="10"/>
    </row>
    <row r="15" spans="1:5" ht="16.5" thickBot="1" x14ac:dyDescent="0.3">
      <c r="A15" s="52"/>
      <c r="B15" s="20" t="s">
        <v>10</v>
      </c>
      <c r="C15" s="262"/>
      <c r="D15" s="263"/>
    </row>
    <row r="16" spans="1:5" ht="142.5" customHeight="1" thickBot="1" x14ac:dyDescent="0.3">
      <c r="A16" s="52" t="s">
        <v>12</v>
      </c>
      <c r="B16" s="103" t="s">
        <v>346</v>
      </c>
      <c r="C16" s="262">
        <f>1.96+3.78+0.14</f>
        <v>5.88</v>
      </c>
      <c r="D16" s="263"/>
    </row>
    <row r="17" spans="1:5" ht="32.25" thickBot="1" x14ac:dyDescent="0.3">
      <c r="A17" s="52" t="s">
        <v>17</v>
      </c>
      <c r="B17" s="19" t="s">
        <v>423</v>
      </c>
      <c r="C17" s="262">
        <f>14*0.68</f>
        <v>9.5200000000000014</v>
      </c>
      <c r="D17" s="263"/>
    </row>
    <row r="18" spans="1:5" ht="16.5" thickBot="1" x14ac:dyDescent="0.3">
      <c r="A18" s="3"/>
      <c r="B18" s="18" t="s">
        <v>18</v>
      </c>
      <c r="C18" s="262">
        <f>SUM(C16:C17)</f>
        <v>15.400000000000002</v>
      </c>
      <c r="D18" s="263"/>
      <c r="E18" s="11"/>
    </row>
    <row r="19" spans="1:5" ht="16.5" thickBot="1" x14ac:dyDescent="0.3">
      <c r="A19" s="3"/>
      <c r="B19" s="21" t="s">
        <v>19</v>
      </c>
      <c r="C19" s="267">
        <f>SUM(C14,C18)</f>
        <v>139.97872000000001</v>
      </c>
      <c r="D19" s="268"/>
      <c r="E19" s="12"/>
    </row>
    <row r="20" spans="1:5" x14ac:dyDescent="0.25">
      <c r="A20" s="4"/>
      <c r="C20" s="8"/>
      <c r="E20" s="13"/>
    </row>
    <row r="21" spans="1:5" ht="15.75" x14ac:dyDescent="0.25">
      <c r="A21" s="269" t="s">
        <v>20</v>
      </c>
      <c r="B21" s="270"/>
      <c r="C21" s="271">
        <v>14</v>
      </c>
      <c r="D21" s="271"/>
      <c r="E21" s="14"/>
    </row>
    <row r="22" spans="1:5" ht="32.25" customHeight="1" x14ac:dyDescent="0.25">
      <c r="A22" s="264" t="s">
        <v>21</v>
      </c>
      <c r="B22" s="265"/>
      <c r="C22" s="225">
        <f>C19/C21</f>
        <v>9.9984800000000007</v>
      </c>
      <c r="D22" s="225"/>
      <c r="E22" s="15"/>
    </row>
    <row r="23" spans="1:5" ht="15.75" x14ac:dyDescent="0.25">
      <c r="A23" s="2"/>
    </row>
    <row r="24" spans="1:5" x14ac:dyDescent="0.25">
      <c r="A24" s="78"/>
      <c r="B24" s="78"/>
      <c r="C24" s="203"/>
      <c r="D24" s="203"/>
    </row>
    <row r="25" spans="1:5" x14ac:dyDescent="0.25">
      <c r="A25" s="78"/>
      <c r="B25" s="78"/>
      <c r="C25" s="79"/>
      <c r="D25" s="78"/>
    </row>
    <row r="26" spans="1:5" x14ac:dyDescent="0.25">
      <c r="A26" s="78"/>
      <c r="B26" s="78"/>
      <c r="C26" s="203"/>
      <c r="D26" s="203"/>
    </row>
    <row r="27" spans="1:5" x14ac:dyDescent="0.25">
      <c r="A27" s="78"/>
      <c r="B27" s="78"/>
      <c r="C27" s="78"/>
      <c r="D27" s="78"/>
    </row>
    <row r="28" spans="1:5" x14ac:dyDescent="0.25">
      <c r="A28" s="202"/>
      <c r="B28" s="202"/>
      <c r="C28" s="80"/>
      <c r="D28" s="80"/>
    </row>
    <row r="29" spans="1:5" x14ac:dyDescent="0.25">
      <c r="A29" s="201"/>
      <c r="B29" s="202"/>
      <c r="C29" s="80"/>
      <c r="D29" s="80"/>
    </row>
    <row r="30" spans="1:5" x14ac:dyDescent="0.25">
      <c r="A30" s="57"/>
      <c r="B30" s="80"/>
      <c r="C30" s="81"/>
      <c r="D30" s="81"/>
    </row>
    <row r="31" spans="1:5" x14ac:dyDescent="0.25">
      <c r="A31" s="201"/>
      <c r="B31" s="201"/>
      <c r="C31" s="81"/>
      <c r="D31" s="81"/>
    </row>
  </sheetData>
  <mergeCells count="24">
    <mergeCell ref="A1:D1"/>
    <mergeCell ref="A3:D3"/>
    <mergeCell ref="A5:D5"/>
    <mergeCell ref="A7:D7"/>
    <mergeCell ref="C8:D8"/>
    <mergeCell ref="C9:D9"/>
    <mergeCell ref="A10:A12"/>
    <mergeCell ref="C10:D12"/>
    <mergeCell ref="C13:D13"/>
    <mergeCell ref="C14:D14"/>
    <mergeCell ref="C15:D15"/>
    <mergeCell ref="A22:B22"/>
    <mergeCell ref="C22:D22"/>
    <mergeCell ref="C16:D16"/>
    <mergeCell ref="C17:D17"/>
    <mergeCell ref="C18:D18"/>
    <mergeCell ref="C19:D19"/>
    <mergeCell ref="A21:B21"/>
    <mergeCell ref="C21:D21"/>
    <mergeCell ref="C24:D24"/>
    <mergeCell ref="C26:D26"/>
    <mergeCell ref="A28:B28"/>
    <mergeCell ref="A29:B29"/>
    <mergeCell ref="A31:B31"/>
  </mergeCells>
  <pageMargins left="0.70866141732283472" right="0.70866141732283472" top="0.74803149606299213" bottom="0.74803149606299213" header="0.31496062992125984" footer="0.31496062992125984"/>
  <pageSetup paperSize="9" fitToHeight="0" orientation="portrait" verticalDpi="0"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view="pageBreakPreview" topLeftCell="A3" zoomScale="60" zoomScaleNormal="100" workbookViewId="0">
      <selection activeCell="T13" sqref="T13"/>
    </sheetView>
  </sheetViews>
  <sheetFormatPr defaultRowHeight="15" x14ac:dyDescent="0.25"/>
  <cols>
    <col min="1" max="1" width="19.5703125" customWidth="1"/>
    <col min="2" max="2" width="52.42578125" customWidth="1"/>
    <col min="3" max="3" width="13.140625" style="7" customWidth="1"/>
    <col min="5" max="5" width="25.85546875" style="9" customWidth="1"/>
    <col min="8" max="8" width="7.42578125" bestFit="1" customWidth="1"/>
  </cols>
  <sheetData>
    <row r="1" spans="1:5" ht="15.75" x14ac:dyDescent="0.25">
      <c r="A1" s="1"/>
    </row>
    <row r="2" spans="1:5" ht="14.45" customHeight="1" x14ac:dyDescent="0.25">
      <c r="A2" s="251" t="s">
        <v>0</v>
      </c>
      <c r="B2" s="251"/>
      <c r="C2" s="251"/>
      <c r="D2" s="251"/>
    </row>
    <row r="3" spans="1:5" ht="15.75" x14ac:dyDescent="0.25">
      <c r="D3" s="1"/>
    </row>
    <row r="4" spans="1:5" ht="15.75" customHeight="1" x14ac:dyDescent="0.25">
      <c r="A4" s="252" t="s">
        <v>22</v>
      </c>
      <c r="B4" s="252"/>
      <c r="C4" s="252"/>
      <c r="D4" s="252"/>
    </row>
    <row r="5" spans="1:5" ht="15.75" x14ac:dyDescent="0.25">
      <c r="D5" s="5"/>
    </row>
    <row r="6" spans="1:5" ht="50.25" customHeight="1" x14ac:dyDescent="0.25">
      <c r="A6" s="253" t="s">
        <v>311</v>
      </c>
      <c r="B6" s="253"/>
      <c r="C6" s="253"/>
      <c r="D6" s="253"/>
    </row>
    <row r="7" spans="1:5" ht="15.75" x14ac:dyDescent="0.25">
      <c r="D7" s="6"/>
    </row>
    <row r="8" spans="1:5" ht="16.5" thickBot="1" x14ac:dyDescent="0.3">
      <c r="A8" s="254" t="s">
        <v>1</v>
      </c>
      <c r="B8" s="254"/>
      <c r="C8" s="254"/>
      <c r="D8" s="254"/>
    </row>
    <row r="9" spans="1:5" ht="75.75" customHeight="1" thickBot="1" x14ac:dyDescent="0.3">
      <c r="A9" s="16" t="s">
        <v>2</v>
      </c>
      <c r="B9" s="17" t="s">
        <v>3</v>
      </c>
      <c r="C9" s="255" t="s">
        <v>4</v>
      </c>
      <c r="D9" s="256"/>
    </row>
    <row r="10" spans="1:5" ht="16.5" thickBot="1" x14ac:dyDescent="0.3">
      <c r="A10" s="3"/>
      <c r="B10" s="18" t="s">
        <v>5</v>
      </c>
      <c r="C10" s="257"/>
      <c r="D10" s="258"/>
    </row>
    <row r="11" spans="1:5" ht="64.5" customHeight="1" x14ac:dyDescent="0.25">
      <c r="A11" s="117" t="s">
        <v>6</v>
      </c>
      <c r="B11" s="134" t="s">
        <v>499</v>
      </c>
      <c r="C11" s="277">
        <f>0.04*1*580</f>
        <v>23.2</v>
      </c>
      <c r="D11" s="278"/>
    </row>
    <row r="12" spans="1:5" ht="48" thickBot="1" x14ac:dyDescent="0.3">
      <c r="A12" s="56" t="s">
        <v>7</v>
      </c>
      <c r="B12" s="19" t="s">
        <v>209</v>
      </c>
      <c r="C12" s="262">
        <f>C11*0.2359</f>
        <v>5.47288</v>
      </c>
      <c r="D12" s="263"/>
    </row>
    <row r="13" spans="1:5" ht="16.5" thickBot="1" x14ac:dyDescent="0.3">
      <c r="A13" s="56"/>
      <c r="B13" s="20" t="s">
        <v>9</v>
      </c>
      <c r="C13" s="262">
        <f>SUM(C11:D12)</f>
        <v>28.672879999999999</v>
      </c>
      <c r="D13" s="263"/>
      <c r="E13" s="10"/>
    </row>
    <row r="14" spans="1:5" ht="16.5" thickBot="1" x14ac:dyDescent="0.3">
      <c r="A14" s="56"/>
      <c r="B14" s="20" t="s">
        <v>10</v>
      </c>
      <c r="C14" s="262"/>
      <c r="D14" s="263"/>
    </row>
    <row r="15" spans="1:5" ht="141" customHeight="1" thickBot="1" x14ac:dyDescent="0.3">
      <c r="A15" s="56" t="s">
        <v>12</v>
      </c>
      <c r="B15" s="92" t="s">
        <v>310</v>
      </c>
      <c r="C15" s="279">
        <f>71.4+137.7+5.1</f>
        <v>214.2</v>
      </c>
      <c r="D15" s="280"/>
    </row>
    <row r="16" spans="1:5" ht="48" thickBot="1" x14ac:dyDescent="0.3">
      <c r="A16" s="56" t="s">
        <v>15</v>
      </c>
      <c r="B16" s="19" t="s">
        <v>363</v>
      </c>
      <c r="C16" s="262">
        <f>50/1773*510</f>
        <v>14.382402707275805</v>
      </c>
      <c r="D16" s="263"/>
    </row>
    <row r="17" spans="1:5" ht="16.5" thickBot="1" x14ac:dyDescent="0.3">
      <c r="A17" s="3"/>
      <c r="B17" s="18" t="s">
        <v>18</v>
      </c>
      <c r="C17" s="262">
        <f>SUM(C15:C16)</f>
        <v>228.5824027072758</v>
      </c>
      <c r="D17" s="263"/>
      <c r="E17" s="11"/>
    </row>
    <row r="18" spans="1:5" ht="16.5" thickBot="1" x14ac:dyDescent="0.3">
      <c r="A18" s="3"/>
      <c r="B18" s="21" t="s">
        <v>19</v>
      </c>
      <c r="C18" s="267">
        <f>SUM(C13,C17)</f>
        <v>257.2552827072758</v>
      </c>
      <c r="D18" s="268"/>
      <c r="E18" s="12"/>
    </row>
    <row r="19" spans="1:5" x14ac:dyDescent="0.25">
      <c r="A19" s="4"/>
      <c r="C19" s="8"/>
      <c r="E19" s="13"/>
    </row>
    <row r="20" spans="1:5" ht="15.75" x14ac:dyDescent="0.25">
      <c r="A20" s="269" t="s">
        <v>20</v>
      </c>
      <c r="B20" s="270"/>
      <c r="C20" s="271">
        <v>510</v>
      </c>
      <c r="D20" s="271"/>
      <c r="E20" s="14"/>
    </row>
    <row r="21" spans="1:5" ht="32.25" customHeight="1" x14ac:dyDescent="0.25">
      <c r="A21" s="264" t="s">
        <v>21</v>
      </c>
      <c r="B21" s="265"/>
      <c r="C21" s="225">
        <f>C18/C20</f>
        <v>0.50442212295544275</v>
      </c>
      <c r="D21" s="225"/>
      <c r="E21" s="15"/>
    </row>
    <row r="22" spans="1:5" ht="15.75" x14ac:dyDescent="0.25">
      <c r="A22" s="2"/>
    </row>
    <row r="23" spans="1:5" x14ac:dyDescent="0.25">
      <c r="A23" s="78"/>
      <c r="B23" s="78"/>
      <c r="C23" s="203"/>
      <c r="D23" s="203"/>
    </row>
    <row r="24" spans="1:5" x14ac:dyDescent="0.25">
      <c r="A24" s="78"/>
      <c r="B24" s="78"/>
      <c r="C24" s="79"/>
      <c r="D24" s="78"/>
    </row>
    <row r="25" spans="1:5" x14ac:dyDescent="0.25">
      <c r="A25" s="78"/>
      <c r="B25" s="78"/>
      <c r="C25" s="203"/>
      <c r="D25" s="203"/>
    </row>
    <row r="26" spans="1:5" x14ac:dyDescent="0.25">
      <c r="A26" s="78"/>
      <c r="B26" s="78"/>
      <c r="C26" s="78"/>
      <c r="D26" s="78"/>
    </row>
    <row r="27" spans="1:5" x14ac:dyDescent="0.25">
      <c r="A27" s="202"/>
      <c r="B27" s="202"/>
      <c r="C27" s="80"/>
      <c r="D27" s="80"/>
    </row>
    <row r="28" spans="1:5" x14ac:dyDescent="0.25">
      <c r="A28" s="201"/>
      <c r="B28" s="202"/>
      <c r="C28" s="80"/>
      <c r="D28" s="80"/>
    </row>
    <row r="29" spans="1:5" x14ac:dyDescent="0.25">
      <c r="A29" s="57"/>
      <c r="B29" s="80"/>
      <c r="C29" s="81"/>
      <c r="D29" s="81"/>
    </row>
    <row r="30" spans="1:5" x14ac:dyDescent="0.25">
      <c r="A30" s="201"/>
      <c r="B30" s="201"/>
      <c r="C30" s="81"/>
      <c r="D30" s="81"/>
    </row>
  </sheetData>
  <mergeCells count="23">
    <mergeCell ref="C14:D14"/>
    <mergeCell ref="A21:B21"/>
    <mergeCell ref="C21:D21"/>
    <mergeCell ref="C15:D15"/>
    <mergeCell ref="C16:D16"/>
    <mergeCell ref="C17:D17"/>
    <mergeCell ref="C18:D18"/>
    <mergeCell ref="A20:B20"/>
    <mergeCell ref="C20:D20"/>
    <mergeCell ref="C10:D10"/>
    <mergeCell ref="C11:D11"/>
    <mergeCell ref="C12:D12"/>
    <mergeCell ref="C13:D13"/>
    <mergeCell ref="A2:D2"/>
    <mergeCell ref="A4:D4"/>
    <mergeCell ref="A6:D6"/>
    <mergeCell ref="A8:D8"/>
    <mergeCell ref="C9:D9"/>
    <mergeCell ref="C23:D23"/>
    <mergeCell ref="C25:D25"/>
    <mergeCell ref="A27:B27"/>
    <mergeCell ref="A28:B28"/>
    <mergeCell ref="A30:B30"/>
  </mergeCells>
  <pageMargins left="0.70866141732283472" right="0.70866141732283472" top="0.74803149606299213" bottom="0.74803149606299213" header="0.31496062992125984" footer="0.31496062992125984"/>
  <pageSetup paperSize="9" scale="93" fitToHeight="0" orientation="portrait" r:id="rId1"/>
  <headerFoot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view="pageBreakPreview" zoomScale="60" zoomScaleNormal="100" workbookViewId="0">
      <selection activeCell="T13" sqref="T13"/>
    </sheetView>
  </sheetViews>
  <sheetFormatPr defaultRowHeight="15" x14ac:dyDescent="0.25"/>
  <cols>
    <col min="1" max="1" width="16.42578125" customWidth="1"/>
    <col min="2" max="2" width="52.28515625" customWidth="1"/>
    <col min="3" max="3" width="10.28515625" style="7" customWidth="1"/>
    <col min="4" max="4" width="9.5703125" customWidth="1"/>
    <col min="5" max="5" width="25.85546875" style="9" customWidth="1"/>
    <col min="8" max="8" width="7.42578125" bestFit="1" customWidth="1"/>
  </cols>
  <sheetData>
    <row r="1" spans="1:5" ht="15.75" x14ac:dyDescent="0.25">
      <c r="A1" s="1"/>
    </row>
    <row r="2" spans="1:5" ht="14.45" customHeight="1" x14ac:dyDescent="0.25">
      <c r="A2" s="251" t="s">
        <v>0</v>
      </c>
      <c r="B2" s="251"/>
      <c r="C2" s="251"/>
      <c r="D2" s="251"/>
    </row>
    <row r="3" spans="1:5" ht="15.75" x14ac:dyDescent="0.25">
      <c r="D3" s="1"/>
    </row>
    <row r="4" spans="1:5" ht="17.25" customHeight="1" x14ac:dyDescent="0.25">
      <c r="A4" s="252" t="s">
        <v>22</v>
      </c>
      <c r="B4" s="252"/>
      <c r="C4" s="252"/>
      <c r="D4" s="252"/>
    </row>
    <row r="5" spans="1:5" ht="15.75" x14ac:dyDescent="0.25">
      <c r="D5" s="5"/>
    </row>
    <row r="6" spans="1:5" ht="48.75" customHeight="1" x14ac:dyDescent="0.25">
      <c r="A6" s="253" t="s">
        <v>290</v>
      </c>
      <c r="B6" s="253"/>
      <c r="C6" s="253"/>
      <c r="D6" s="253"/>
    </row>
    <row r="7" spans="1:5" ht="15.75" x14ac:dyDescent="0.25">
      <c r="D7" s="6"/>
    </row>
    <row r="8" spans="1:5" ht="16.5" thickBot="1" x14ac:dyDescent="0.3">
      <c r="A8" s="254" t="s">
        <v>1</v>
      </c>
      <c r="B8" s="254"/>
      <c r="C8" s="254"/>
      <c r="D8" s="254"/>
    </row>
    <row r="9" spans="1:5" ht="78" customHeight="1" thickBot="1" x14ac:dyDescent="0.3">
      <c r="A9" s="16" t="s">
        <v>2</v>
      </c>
      <c r="B9" s="17" t="s">
        <v>3</v>
      </c>
      <c r="C9" s="255" t="s">
        <v>4</v>
      </c>
      <c r="D9" s="256"/>
    </row>
    <row r="10" spans="1:5" ht="16.5" thickBot="1" x14ac:dyDescent="0.3">
      <c r="A10" s="3"/>
      <c r="B10" s="18" t="s">
        <v>5</v>
      </c>
      <c r="C10" s="257"/>
      <c r="D10" s="258"/>
    </row>
    <row r="11" spans="1:5" ht="63" customHeight="1" x14ac:dyDescent="0.25">
      <c r="A11" s="259" t="s">
        <v>6</v>
      </c>
      <c r="B11" s="123" t="s">
        <v>617</v>
      </c>
      <c r="C11" s="262">
        <f>36+20.85</f>
        <v>56.85</v>
      </c>
      <c r="D11" s="263"/>
    </row>
    <row r="12" spans="1:5" ht="63.75" customHeight="1" x14ac:dyDescent="0.25">
      <c r="A12" s="260"/>
      <c r="B12" s="123" t="s">
        <v>621</v>
      </c>
      <c r="C12" s="262"/>
      <c r="D12" s="263"/>
    </row>
    <row r="13" spans="1:5" ht="16.5" thickBot="1" x14ac:dyDescent="0.3">
      <c r="A13" s="261"/>
      <c r="B13" s="104" t="s">
        <v>434</v>
      </c>
      <c r="C13" s="262"/>
      <c r="D13" s="263"/>
    </row>
    <row r="14" spans="1:5" ht="48" thickBot="1" x14ac:dyDescent="0.3">
      <c r="A14" s="52" t="s">
        <v>7</v>
      </c>
      <c r="B14" s="67" t="s">
        <v>209</v>
      </c>
      <c r="C14" s="262">
        <f>C11*0.2359</f>
        <v>13.410915000000001</v>
      </c>
      <c r="D14" s="263"/>
    </row>
    <row r="15" spans="1:5" ht="16.5" thickBot="1" x14ac:dyDescent="0.3">
      <c r="A15" s="52"/>
      <c r="B15" s="20" t="s">
        <v>9</v>
      </c>
      <c r="C15" s="262">
        <f>SUM(C11:D14)</f>
        <v>70.260914999999997</v>
      </c>
      <c r="D15" s="263"/>
      <c r="E15" s="10"/>
    </row>
    <row r="16" spans="1:5" ht="143.25" customHeight="1" thickBot="1" x14ac:dyDescent="0.3">
      <c r="A16" s="52" t="s">
        <v>12</v>
      </c>
      <c r="B16" s="103" t="s">
        <v>345</v>
      </c>
      <c r="C16" s="262">
        <f>0.6+4.05+0.15</f>
        <v>4.8</v>
      </c>
      <c r="D16" s="263"/>
    </row>
    <row r="17" spans="1:5" ht="16.5" thickBot="1" x14ac:dyDescent="0.3">
      <c r="A17" s="3"/>
      <c r="B17" s="18" t="s">
        <v>18</v>
      </c>
      <c r="C17" s="315">
        <f>SUM(C16:C16)</f>
        <v>4.8</v>
      </c>
      <c r="D17" s="316"/>
      <c r="E17" s="11"/>
    </row>
    <row r="18" spans="1:5" ht="16.5" thickBot="1" x14ac:dyDescent="0.3">
      <c r="A18" s="3"/>
      <c r="B18" s="21" t="s">
        <v>19</v>
      </c>
      <c r="C18" s="340">
        <f>SUM(C15,C17)</f>
        <v>75.060914999999994</v>
      </c>
      <c r="D18" s="341"/>
      <c r="E18" s="12"/>
    </row>
    <row r="19" spans="1:5" x14ac:dyDescent="0.25">
      <c r="A19" s="4"/>
      <c r="C19" s="8"/>
      <c r="E19" s="13"/>
    </row>
    <row r="20" spans="1:5" ht="15.75" x14ac:dyDescent="0.25">
      <c r="A20" s="269" t="s">
        <v>20</v>
      </c>
      <c r="B20" s="270"/>
      <c r="C20" s="271">
        <v>15</v>
      </c>
      <c r="D20" s="271"/>
      <c r="E20" s="14"/>
    </row>
    <row r="21" spans="1:5" ht="33.75" customHeight="1" x14ac:dyDescent="0.25">
      <c r="A21" s="264" t="s">
        <v>21</v>
      </c>
      <c r="B21" s="265"/>
      <c r="C21" s="225">
        <f>C18/C20</f>
        <v>5.0040609999999992</v>
      </c>
      <c r="D21" s="225"/>
      <c r="E21" s="15"/>
    </row>
    <row r="22" spans="1:5" ht="15.75" x14ac:dyDescent="0.25">
      <c r="A22" s="2"/>
    </row>
    <row r="23" spans="1:5" x14ac:dyDescent="0.25">
      <c r="A23" s="78"/>
      <c r="B23" s="78"/>
      <c r="C23" s="203"/>
      <c r="D23" s="203"/>
    </row>
    <row r="24" spans="1:5" x14ac:dyDescent="0.25">
      <c r="A24" s="78"/>
      <c r="B24" s="78"/>
      <c r="C24" s="79"/>
      <c r="D24" s="78"/>
    </row>
    <row r="25" spans="1:5" x14ac:dyDescent="0.25">
      <c r="A25" s="78"/>
      <c r="B25" s="78"/>
      <c r="C25" s="203"/>
      <c r="D25" s="203"/>
    </row>
    <row r="26" spans="1:5" x14ac:dyDescent="0.25">
      <c r="A26" s="78"/>
      <c r="B26" s="78"/>
      <c r="C26" s="78"/>
      <c r="D26" s="78"/>
    </row>
    <row r="27" spans="1:5" x14ac:dyDescent="0.25">
      <c r="A27" s="202"/>
      <c r="B27" s="202"/>
      <c r="C27" s="80"/>
      <c r="D27" s="80"/>
    </row>
    <row r="28" spans="1:5" x14ac:dyDescent="0.25">
      <c r="A28" s="201"/>
      <c r="B28" s="202"/>
      <c r="C28" s="80"/>
      <c r="D28" s="80"/>
    </row>
    <row r="29" spans="1:5" x14ac:dyDescent="0.25">
      <c r="A29" s="57"/>
      <c r="B29" s="80"/>
      <c r="C29" s="81"/>
      <c r="D29" s="81"/>
    </row>
    <row r="30" spans="1:5" x14ac:dyDescent="0.25">
      <c r="A30" s="201"/>
      <c r="B30" s="201"/>
      <c r="C30" s="81"/>
      <c r="D30" s="81"/>
    </row>
  </sheetData>
  <mergeCells count="22">
    <mergeCell ref="C10:D10"/>
    <mergeCell ref="A11:A13"/>
    <mergeCell ref="C11:D13"/>
    <mergeCell ref="C14:D14"/>
    <mergeCell ref="C15:D15"/>
    <mergeCell ref="A2:D2"/>
    <mergeCell ref="A4:D4"/>
    <mergeCell ref="A6:D6"/>
    <mergeCell ref="A8:D8"/>
    <mergeCell ref="C9:D9"/>
    <mergeCell ref="A21:B21"/>
    <mergeCell ref="C21:D21"/>
    <mergeCell ref="C16:D16"/>
    <mergeCell ref="C17:D17"/>
    <mergeCell ref="C18:D18"/>
    <mergeCell ref="A20:B20"/>
    <mergeCell ref="C20:D20"/>
    <mergeCell ref="C23:D23"/>
    <mergeCell ref="C25:D25"/>
    <mergeCell ref="A27:B27"/>
    <mergeCell ref="A28:B28"/>
    <mergeCell ref="A30:B30"/>
  </mergeCells>
  <pageMargins left="0.70866141732283472" right="0.70866141732283472" top="0.74803149606299213" bottom="0.74803149606299213" header="0.31496062992125984" footer="0.31496062992125984"/>
  <pageSetup paperSize="9" scale="99" fitToHeight="0" orientation="portrait" verticalDpi="0"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view="pageBreakPreview" zoomScale="60" zoomScaleNormal="100" workbookViewId="0">
      <selection activeCell="T13" sqref="T13"/>
    </sheetView>
  </sheetViews>
  <sheetFormatPr defaultRowHeight="15" x14ac:dyDescent="0.25"/>
  <cols>
    <col min="1" max="1" width="16.7109375" customWidth="1"/>
    <col min="2" max="2" width="49.42578125" customWidth="1"/>
    <col min="3" max="3" width="16" style="7" customWidth="1"/>
    <col min="4" max="4" width="4.7109375" customWidth="1"/>
    <col min="5" max="5" width="25.85546875" style="9" customWidth="1"/>
    <col min="8" max="8" width="7.42578125" bestFit="1" customWidth="1"/>
  </cols>
  <sheetData>
    <row r="1" spans="1:5" ht="15.75" x14ac:dyDescent="0.25">
      <c r="A1" s="1"/>
    </row>
    <row r="2" spans="1:5" ht="14.45" customHeight="1" x14ac:dyDescent="0.25">
      <c r="A2" s="251" t="s">
        <v>0</v>
      </c>
      <c r="B2" s="251"/>
      <c r="C2" s="251"/>
      <c r="D2" s="251"/>
    </row>
    <row r="3" spans="1:5" ht="15.75" x14ac:dyDescent="0.25">
      <c r="D3" s="1"/>
    </row>
    <row r="4" spans="1:5" ht="15.75" customHeight="1" x14ac:dyDescent="0.25">
      <c r="A4" s="252" t="s">
        <v>22</v>
      </c>
      <c r="B4" s="252"/>
      <c r="C4" s="252"/>
      <c r="D4" s="252"/>
    </row>
    <row r="5" spans="1:5" ht="15.75" x14ac:dyDescent="0.25">
      <c r="D5" s="5"/>
    </row>
    <row r="6" spans="1:5" ht="49.5" customHeight="1" x14ac:dyDescent="0.25">
      <c r="A6" s="253" t="s">
        <v>291</v>
      </c>
      <c r="B6" s="253"/>
      <c r="C6" s="253"/>
      <c r="D6" s="253"/>
    </row>
    <row r="7" spans="1:5" ht="15.75" x14ac:dyDescent="0.25">
      <c r="D7" s="6"/>
    </row>
    <row r="8" spans="1:5" ht="16.5" thickBot="1" x14ac:dyDescent="0.3">
      <c r="A8" s="254" t="s">
        <v>1</v>
      </c>
      <c r="B8" s="254"/>
      <c r="C8" s="254"/>
      <c r="D8" s="254"/>
    </row>
    <row r="9" spans="1:5" ht="75" customHeight="1" thickBot="1" x14ac:dyDescent="0.3">
      <c r="A9" s="16" t="s">
        <v>2</v>
      </c>
      <c r="B9" s="17" t="s">
        <v>3</v>
      </c>
      <c r="C9" s="255" t="s">
        <v>4</v>
      </c>
      <c r="D9" s="256"/>
    </row>
    <row r="10" spans="1:5" ht="16.5" thickBot="1" x14ac:dyDescent="0.3">
      <c r="A10" s="3"/>
      <c r="B10" s="18" t="s">
        <v>5</v>
      </c>
      <c r="C10" s="257"/>
      <c r="D10" s="258"/>
    </row>
    <row r="11" spans="1:5" ht="78" customHeight="1" x14ac:dyDescent="0.25">
      <c r="A11" s="259" t="s">
        <v>6</v>
      </c>
      <c r="B11" s="66" t="s">
        <v>622</v>
      </c>
      <c r="C11" s="262">
        <f>2.4+1.2+2.4</f>
        <v>6</v>
      </c>
      <c r="D11" s="263"/>
    </row>
    <row r="12" spans="1:5" ht="63" x14ac:dyDescent="0.25">
      <c r="A12" s="260"/>
      <c r="B12" s="66" t="s">
        <v>623</v>
      </c>
      <c r="C12" s="262"/>
      <c r="D12" s="263"/>
    </row>
    <row r="13" spans="1:5" ht="79.5" customHeight="1" x14ac:dyDescent="0.25">
      <c r="A13" s="260"/>
      <c r="B13" s="66" t="s">
        <v>624</v>
      </c>
      <c r="C13" s="262"/>
      <c r="D13" s="263"/>
    </row>
    <row r="14" spans="1:5" ht="16.5" thickBot="1" x14ac:dyDescent="0.3">
      <c r="A14" s="261"/>
      <c r="B14" s="19" t="s">
        <v>348</v>
      </c>
      <c r="C14" s="262"/>
      <c r="D14" s="263"/>
    </row>
    <row r="15" spans="1:5" ht="48" thickBot="1" x14ac:dyDescent="0.3">
      <c r="A15" s="52" t="s">
        <v>7</v>
      </c>
      <c r="B15" s="67" t="s">
        <v>209</v>
      </c>
      <c r="C15" s="262">
        <f>C11*0.2359</f>
        <v>1.4154</v>
      </c>
      <c r="D15" s="263"/>
    </row>
    <row r="16" spans="1:5" ht="16.5" thickBot="1" x14ac:dyDescent="0.3">
      <c r="A16" s="52"/>
      <c r="B16" s="20" t="s">
        <v>9</v>
      </c>
      <c r="C16" s="262">
        <f>SUM(C11:D15)</f>
        <v>7.4154</v>
      </c>
      <c r="D16" s="263"/>
      <c r="E16" s="10"/>
    </row>
    <row r="17" spans="1:5" ht="16.5" thickBot="1" x14ac:dyDescent="0.3">
      <c r="A17" s="52"/>
      <c r="B17" s="20" t="s">
        <v>10</v>
      </c>
      <c r="C17" s="262"/>
      <c r="D17" s="263"/>
    </row>
    <row r="18" spans="1:5" ht="141.75" customHeight="1" thickBot="1" x14ac:dyDescent="0.3">
      <c r="A18" s="52" t="s">
        <v>12</v>
      </c>
      <c r="B18" s="103" t="s">
        <v>332</v>
      </c>
      <c r="C18" s="262">
        <f>0.14+0.27+0.01</f>
        <v>0.42000000000000004</v>
      </c>
      <c r="D18" s="263"/>
    </row>
    <row r="19" spans="1:5" ht="16.5" thickBot="1" x14ac:dyDescent="0.3">
      <c r="A19" s="52" t="s">
        <v>17</v>
      </c>
      <c r="B19" s="67" t="s">
        <v>476</v>
      </c>
      <c r="C19" s="262">
        <v>22.16</v>
      </c>
      <c r="D19" s="263"/>
    </row>
    <row r="20" spans="1:5" ht="16.5" thickBot="1" x14ac:dyDescent="0.3">
      <c r="A20" s="3"/>
      <c r="B20" s="18" t="s">
        <v>18</v>
      </c>
      <c r="C20" s="262">
        <f>SUM(C18:C19)</f>
        <v>22.580000000000002</v>
      </c>
      <c r="D20" s="263"/>
      <c r="E20" s="11"/>
    </row>
    <row r="21" spans="1:5" ht="16.5" thickBot="1" x14ac:dyDescent="0.3">
      <c r="A21" s="3"/>
      <c r="B21" s="21" t="s">
        <v>19</v>
      </c>
      <c r="C21" s="267">
        <f>SUM(C16,C20)</f>
        <v>29.995400000000004</v>
      </c>
      <c r="D21" s="268"/>
      <c r="E21" s="12"/>
    </row>
    <row r="22" spans="1:5" x14ac:dyDescent="0.25">
      <c r="A22" s="4"/>
      <c r="C22" s="8"/>
      <c r="E22" s="13"/>
    </row>
    <row r="23" spans="1:5" ht="15.75" x14ac:dyDescent="0.25">
      <c r="A23" s="269" t="s">
        <v>20</v>
      </c>
      <c r="B23" s="270"/>
      <c r="C23" s="271">
        <v>1</v>
      </c>
      <c r="D23" s="271"/>
      <c r="E23" s="14"/>
    </row>
    <row r="24" spans="1:5" ht="48.75" customHeight="1" x14ac:dyDescent="0.25">
      <c r="A24" s="326" t="s">
        <v>21</v>
      </c>
      <c r="B24" s="327"/>
      <c r="C24" s="225">
        <f>C21/C23</f>
        <v>29.995400000000004</v>
      </c>
      <c r="D24" s="225"/>
      <c r="E24" s="15"/>
    </row>
    <row r="25" spans="1:5" ht="15.75" x14ac:dyDescent="0.25">
      <c r="A25" s="2"/>
    </row>
    <row r="26" spans="1:5" x14ac:dyDescent="0.25">
      <c r="A26" s="78"/>
      <c r="B26" s="78"/>
      <c r="C26" s="203"/>
      <c r="D26" s="203"/>
    </row>
    <row r="27" spans="1:5" x14ac:dyDescent="0.25">
      <c r="A27" s="78"/>
      <c r="B27" s="78"/>
      <c r="C27" s="79"/>
      <c r="D27" s="78"/>
    </row>
    <row r="28" spans="1:5" x14ac:dyDescent="0.25">
      <c r="A28" s="78"/>
      <c r="B28" s="78"/>
      <c r="C28" s="203"/>
      <c r="D28" s="203"/>
    </row>
    <row r="29" spans="1:5" x14ac:dyDescent="0.25">
      <c r="A29" s="78"/>
      <c r="B29" s="78"/>
      <c r="C29" s="78"/>
      <c r="D29" s="78"/>
    </row>
    <row r="30" spans="1:5" x14ac:dyDescent="0.25">
      <c r="A30" s="202"/>
      <c r="B30" s="202"/>
      <c r="C30" s="80"/>
      <c r="D30" s="80"/>
    </row>
    <row r="31" spans="1:5" x14ac:dyDescent="0.25">
      <c r="A31" s="201"/>
      <c r="B31" s="202"/>
      <c r="C31" s="80"/>
      <c r="D31" s="80"/>
    </row>
    <row r="32" spans="1:5" x14ac:dyDescent="0.25">
      <c r="A32" s="57"/>
      <c r="B32" s="80"/>
      <c r="C32" s="81"/>
      <c r="D32" s="81"/>
    </row>
    <row r="33" spans="1:4" x14ac:dyDescent="0.25">
      <c r="A33" s="201"/>
      <c r="B33" s="201"/>
      <c r="C33" s="81"/>
      <c r="D33" s="81"/>
    </row>
  </sheetData>
  <mergeCells count="24">
    <mergeCell ref="A2:D2"/>
    <mergeCell ref="A4:D4"/>
    <mergeCell ref="A6:D6"/>
    <mergeCell ref="A8:D8"/>
    <mergeCell ref="C9:D9"/>
    <mergeCell ref="C10:D10"/>
    <mergeCell ref="A11:A14"/>
    <mergeCell ref="C11:D14"/>
    <mergeCell ref="C15:D15"/>
    <mergeCell ref="C16:D16"/>
    <mergeCell ref="C17:D17"/>
    <mergeCell ref="A24:B24"/>
    <mergeCell ref="C24:D24"/>
    <mergeCell ref="C18:D18"/>
    <mergeCell ref="C19:D19"/>
    <mergeCell ref="C20:D20"/>
    <mergeCell ref="C21:D21"/>
    <mergeCell ref="A23:B23"/>
    <mergeCell ref="C23:D23"/>
    <mergeCell ref="C26:D26"/>
    <mergeCell ref="C28:D28"/>
    <mergeCell ref="A30:B30"/>
    <mergeCell ref="A31:B31"/>
    <mergeCell ref="A33:B33"/>
  </mergeCells>
  <pageMargins left="0.70866141732283472" right="0.70866141732283472" top="0.74803149606299213" bottom="0.74803149606299213" header="0.31496062992125984" footer="0.31496062992125984"/>
  <pageSetup paperSize="9" fitToHeight="0" orientation="portrait" verticalDpi="0" r:id="rId1"/>
  <headerFooter>
    <oddFooter>&amp;C&amp;P</oddFooter>
  </headerFooter>
  <rowBreaks count="1" manualBreakCount="1">
    <brk id="18" max="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60" zoomScaleNormal="100" workbookViewId="0">
      <selection activeCell="T13" sqref="T13"/>
    </sheetView>
  </sheetViews>
  <sheetFormatPr defaultRowHeight="15" x14ac:dyDescent="0.25"/>
  <cols>
    <col min="1" max="1" width="16.5703125" customWidth="1"/>
    <col min="2" max="2" width="49.5703125" customWidth="1"/>
    <col min="3" max="3" width="12.85546875" style="7" customWidth="1"/>
    <col min="4" max="4" width="6.5703125" customWidth="1"/>
    <col min="5" max="5" width="25.85546875" style="9" customWidth="1"/>
    <col min="8" max="8" width="7.42578125" bestFit="1" customWidth="1"/>
  </cols>
  <sheetData>
    <row r="1" spans="1:5" ht="14.45" customHeight="1" x14ac:dyDescent="0.25">
      <c r="A1" s="251" t="s">
        <v>0</v>
      </c>
      <c r="B1" s="251"/>
      <c r="C1" s="251"/>
      <c r="D1" s="251"/>
    </row>
    <row r="2" spans="1:5" ht="15.75" x14ac:dyDescent="0.25">
      <c r="D2" s="1"/>
    </row>
    <row r="3" spans="1:5" ht="17.25" customHeight="1" x14ac:dyDescent="0.25">
      <c r="A3" s="252" t="s">
        <v>22</v>
      </c>
      <c r="B3" s="252"/>
      <c r="C3" s="252"/>
      <c r="D3" s="252"/>
    </row>
    <row r="4" spans="1:5" ht="15.75" x14ac:dyDescent="0.25">
      <c r="D4" s="5"/>
    </row>
    <row r="5" spans="1:5" ht="32.25" customHeight="1" x14ac:dyDescent="0.25">
      <c r="A5" s="253" t="s">
        <v>292</v>
      </c>
      <c r="B5" s="253"/>
      <c r="C5" s="253"/>
      <c r="D5" s="253"/>
    </row>
    <row r="6" spans="1:5" ht="15.75" x14ac:dyDescent="0.25">
      <c r="D6" s="6"/>
    </row>
    <row r="7" spans="1:5" ht="16.5" thickBot="1" x14ac:dyDescent="0.3">
      <c r="A7" s="254" t="s">
        <v>1</v>
      </c>
      <c r="B7" s="254"/>
      <c r="C7" s="254"/>
      <c r="D7" s="254"/>
    </row>
    <row r="8" spans="1:5" ht="75.75" customHeight="1" thickBot="1" x14ac:dyDescent="0.3">
      <c r="A8" s="16" t="s">
        <v>2</v>
      </c>
      <c r="B8" s="17" t="s">
        <v>3</v>
      </c>
      <c r="C8" s="255" t="s">
        <v>4</v>
      </c>
      <c r="D8" s="256"/>
    </row>
    <row r="9" spans="1:5" ht="16.5" thickBot="1" x14ac:dyDescent="0.3">
      <c r="A9" s="3"/>
      <c r="B9" s="18" t="s">
        <v>5</v>
      </c>
      <c r="C9" s="257"/>
      <c r="D9" s="258"/>
    </row>
    <row r="10" spans="1:5" ht="78.75" x14ac:dyDescent="0.25">
      <c r="A10" s="259" t="s">
        <v>6</v>
      </c>
      <c r="B10" s="22" t="s">
        <v>625</v>
      </c>
      <c r="C10" s="262">
        <f>36+22.8</f>
        <v>58.8</v>
      </c>
      <c r="D10" s="263"/>
    </row>
    <row r="11" spans="1:5" ht="63.75" customHeight="1" x14ac:dyDescent="0.25">
      <c r="A11" s="260"/>
      <c r="B11" s="66" t="s">
        <v>626</v>
      </c>
      <c r="C11" s="262"/>
      <c r="D11" s="263"/>
    </row>
    <row r="12" spans="1:5" ht="16.5" thickBot="1" x14ac:dyDescent="0.3">
      <c r="A12" s="261"/>
      <c r="B12" s="19" t="s">
        <v>478</v>
      </c>
      <c r="C12" s="262"/>
      <c r="D12" s="263"/>
    </row>
    <row r="13" spans="1:5" ht="48" thickBot="1" x14ac:dyDescent="0.3">
      <c r="A13" s="52" t="s">
        <v>7</v>
      </c>
      <c r="B13" s="67" t="s">
        <v>209</v>
      </c>
      <c r="C13" s="262">
        <f>C10*0.2359</f>
        <v>13.87092</v>
      </c>
      <c r="D13" s="263"/>
    </row>
    <row r="14" spans="1:5" ht="16.5" thickBot="1" x14ac:dyDescent="0.3">
      <c r="A14" s="52"/>
      <c r="B14" s="20" t="s">
        <v>9</v>
      </c>
      <c r="C14" s="262">
        <f>SUM(C10:D13)</f>
        <v>72.670919999999995</v>
      </c>
      <c r="D14" s="263"/>
      <c r="E14" s="10"/>
    </row>
    <row r="15" spans="1:5" ht="16.5" thickBot="1" x14ac:dyDescent="0.3">
      <c r="A15" s="52"/>
      <c r="B15" s="20" t="s">
        <v>10</v>
      </c>
      <c r="C15" s="262"/>
      <c r="D15" s="263"/>
    </row>
    <row r="16" spans="1:5" ht="156.75" customHeight="1" thickBot="1" x14ac:dyDescent="0.3">
      <c r="A16" s="52" t="s">
        <v>12</v>
      </c>
      <c r="B16" s="103" t="s">
        <v>345</v>
      </c>
      <c r="C16" s="262">
        <f>0.6+4.05+0.15</f>
        <v>4.8</v>
      </c>
      <c r="D16" s="263"/>
    </row>
    <row r="17" spans="1:5" ht="16.5" thickBot="1" x14ac:dyDescent="0.3">
      <c r="A17" s="52" t="s">
        <v>17</v>
      </c>
      <c r="B17" s="67" t="s">
        <v>477</v>
      </c>
      <c r="C17" s="262">
        <v>72.489999999999995</v>
      </c>
      <c r="D17" s="263"/>
    </row>
    <row r="18" spans="1:5" ht="16.5" thickBot="1" x14ac:dyDescent="0.3">
      <c r="A18" s="3"/>
      <c r="B18" s="18" t="s">
        <v>18</v>
      </c>
      <c r="C18" s="262">
        <f>SUM(C16:C17)</f>
        <v>77.289999999999992</v>
      </c>
      <c r="D18" s="263"/>
      <c r="E18" s="11"/>
    </row>
    <row r="19" spans="1:5" ht="16.5" thickBot="1" x14ac:dyDescent="0.3">
      <c r="A19" s="3"/>
      <c r="B19" s="21" t="s">
        <v>19</v>
      </c>
      <c r="C19" s="267">
        <f>SUM(C14,C18)</f>
        <v>149.96091999999999</v>
      </c>
      <c r="D19" s="268"/>
      <c r="E19" s="12"/>
    </row>
    <row r="20" spans="1:5" x14ac:dyDescent="0.25">
      <c r="A20" s="4"/>
      <c r="C20" s="8"/>
      <c r="E20" s="13"/>
    </row>
    <row r="21" spans="1:5" ht="15.75" x14ac:dyDescent="0.25">
      <c r="A21" s="269" t="s">
        <v>20</v>
      </c>
      <c r="B21" s="270"/>
      <c r="C21" s="271">
        <v>15</v>
      </c>
      <c r="D21" s="271"/>
      <c r="E21" s="14"/>
    </row>
    <row r="22" spans="1:5" ht="49.5" customHeight="1" x14ac:dyDescent="0.25">
      <c r="A22" s="326" t="s">
        <v>21</v>
      </c>
      <c r="B22" s="327"/>
      <c r="C22" s="320">
        <f>C19/C21</f>
        <v>9.9973946666666667</v>
      </c>
      <c r="D22" s="320"/>
      <c r="E22" s="15"/>
    </row>
    <row r="23" spans="1:5" ht="15.75" x14ac:dyDescent="0.25">
      <c r="A23" s="2"/>
    </row>
    <row r="24" spans="1:5" x14ac:dyDescent="0.25">
      <c r="A24" s="78"/>
      <c r="B24" s="78"/>
      <c r="C24" s="203"/>
      <c r="D24" s="203"/>
    </row>
    <row r="25" spans="1:5" x14ac:dyDescent="0.25">
      <c r="A25" s="78"/>
      <c r="B25" s="78"/>
      <c r="C25" s="79"/>
      <c r="D25" s="78"/>
    </row>
    <row r="26" spans="1:5" x14ac:dyDescent="0.25">
      <c r="A26" s="78"/>
      <c r="B26" s="78"/>
      <c r="C26" s="203"/>
      <c r="D26" s="203"/>
    </row>
    <row r="27" spans="1:5" x14ac:dyDescent="0.25">
      <c r="A27" s="78"/>
      <c r="B27" s="78"/>
      <c r="C27" s="78"/>
      <c r="D27" s="78"/>
    </row>
    <row r="28" spans="1:5" x14ac:dyDescent="0.25">
      <c r="A28" s="202"/>
      <c r="B28" s="202"/>
      <c r="C28" s="80"/>
      <c r="D28" s="80"/>
    </row>
    <row r="29" spans="1:5" x14ac:dyDescent="0.25">
      <c r="A29" s="201"/>
      <c r="B29" s="202"/>
      <c r="C29" s="80"/>
      <c r="D29" s="80"/>
    </row>
    <row r="30" spans="1:5" x14ac:dyDescent="0.25">
      <c r="A30" s="57"/>
      <c r="B30" s="80"/>
      <c r="C30" s="81"/>
      <c r="D30" s="81"/>
    </row>
    <row r="31" spans="1:5" x14ac:dyDescent="0.25">
      <c r="A31" s="201"/>
      <c r="B31" s="201"/>
      <c r="C31" s="81"/>
      <c r="D31" s="81"/>
    </row>
  </sheetData>
  <mergeCells count="24">
    <mergeCell ref="A1:D1"/>
    <mergeCell ref="A3:D3"/>
    <mergeCell ref="A5:D5"/>
    <mergeCell ref="A7:D7"/>
    <mergeCell ref="C8:D8"/>
    <mergeCell ref="C9:D9"/>
    <mergeCell ref="A10:A12"/>
    <mergeCell ref="C10:D12"/>
    <mergeCell ref="C13:D13"/>
    <mergeCell ref="C14:D14"/>
    <mergeCell ref="C15:D15"/>
    <mergeCell ref="A22:B22"/>
    <mergeCell ref="C22:D22"/>
    <mergeCell ref="C16:D16"/>
    <mergeCell ref="C17:D17"/>
    <mergeCell ref="C18:D18"/>
    <mergeCell ref="C19:D19"/>
    <mergeCell ref="A21:B21"/>
    <mergeCell ref="C21:D21"/>
    <mergeCell ref="C24:D24"/>
    <mergeCell ref="C26:D26"/>
    <mergeCell ref="A28:B28"/>
    <mergeCell ref="A29:B29"/>
    <mergeCell ref="A31:B31"/>
  </mergeCells>
  <pageMargins left="0.70866141732283472" right="0.70866141732283472" top="0.74803149606299213" bottom="0.74803149606299213" header="0.31496062992125984" footer="0.31496062992125984"/>
  <pageSetup paperSize="9" fitToHeight="0" orientation="portrait" verticalDpi="0" r:id="rId1"/>
  <headerFooter>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60" zoomScaleNormal="100" workbookViewId="0">
      <selection activeCell="T13" sqref="T13"/>
    </sheetView>
  </sheetViews>
  <sheetFormatPr defaultRowHeight="15" x14ac:dyDescent="0.25"/>
  <cols>
    <col min="1" max="1" width="17.42578125" customWidth="1"/>
    <col min="2" max="2" width="47.42578125" customWidth="1"/>
    <col min="3" max="3" width="11.7109375" style="7" customWidth="1"/>
    <col min="4" max="4" width="6.85546875" customWidth="1"/>
    <col min="5" max="5" width="25.85546875" style="9" customWidth="1"/>
    <col min="8" max="8" width="7.42578125" bestFit="1" customWidth="1"/>
  </cols>
  <sheetData>
    <row r="1" spans="1:5" ht="14.45" customHeight="1" x14ac:dyDescent="0.25">
      <c r="A1" s="251" t="s">
        <v>0</v>
      </c>
      <c r="B1" s="251"/>
      <c r="C1" s="251"/>
      <c r="D1" s="251"/>
    </row>
    <row r="2" spans="1:5" ht="15.75" x14ac:dyDescent="0.25">
      <c r="D2" s="1"/>
    </row>
    <row r="3" spans="1:5" ht="15.75" customHeight="1" x14ac:dyDescent="0.25">
      <c r="A3" s="252" t="s">
        <v>22</v>
      </c>
      <c r="B3" s="252"/>
      <c r="C3" s="252"/>
      <c r="D3" s="252"/>
    </row>
    <row r="4" spans="1:5" ht="15.75" x14ac:dyDescent="0.25">
      <c r="D4" s="5"/>
    </row>
    <row r="5" spans="1:5" s="59" customFormat="1" ht="30.75" customHeight="1" x14ac:dyDescent="0.25">
      <c r="A5" s="253" t="s">
        <v>293</v>
      </c>
      <c r="B5" s="253"/>
      <c r="C5" s="253"/>
      <c r="D5" s="253"/>
      <c r="E5" s="58"/>
    </row>
    <row r="6" spans="1:5" ht="15.75" x14ac:dyDescent="0.25">
      <c r="D6" s="6"/>
    </row>
    <row r="7" spans="1:5" ht="16.5" thickBot="1" x14ac:dyDescent="0.3">
      <c r="A7" s="254" t="s">
        <v>1</v>
      </c>
      <c r="B7" s="254"/>
      <c r="C7" s="254"/>
      <c r="D7" s="254"/>
    </row>
    <row r="8" spans="1:5" ht="75.75" customHeight="1" thickBot="1" x14ac:dyDescent="0.3">
      <c r="A8" s="16" t="s">
        <v>2</v>
      </c>
      <c r="B8" s="17" t="s">
        <v>3</v>
      </c>
      <c r="C8" s="255" t="s">
        <v>4</v>
      </c>
      <c r="D8" s="256"/>
    </row>
    <row r="9" spans="1:5" ht="16.5" thickBot="1" x14ac:dyDescent="0.3">
      <c r="A9" s="3"/>
      <c r="B9" s="18" t="s">
        <v>5</v>
      </c>
      <c r="C9" s="257"/>
      <c r="D9" s="258"/>
    </row>
    <row r="10" spans="1:5" ht="79.5" customHeight="1" x14ac:dyDescent="0.25">
      <c r="A10" s="259" t="s">
        <v>6</v>
      </c>
      <c r="B10" s="66" t="s">
        <v>628</v>
      </c>
      <c r="C10" s="262">
        <f>12+6</f>
        <v>18</v>
      </c>
      <c r="D10" s="263"/>
    </row>
    <row r="11" spans="1:5" ht="82.5" customHeight="1" x14ac:dyDescent="0.25">
      <c r="A11" s="260"/>
      <c r="B11" s="64" t="s">
        <v>627</v>
      </c>
      <c r="C11" s="262"/>
      <c r="D11" s="263"/>
    </row>
    <row r="12" spans="1:5" ht="16.5" thickBot="1" x14ac:dyDescent="0.3">
      <c r="A12" s="261"/>
      <c r="B12" s="19" t="s">
        <v>349</v>
      </c>
      <c r="C12" s="262"/>
      <c r="D12" s="263"/>
    </row>
    <row r="13" spans="1:5" ht="48" thickBot="1" x14ac:dyDescent="0.3">
      <c r="A13" s="52" t="s">
        <v>7</v>
      </c>
      <c r="B13" s="67" t="s">
        <v>209</v>
      </c>
      <c r="C13" s="262">
        <f>C10*0.2359</f>
        <v>4.2462</v>
      </c>
      <c r="D13" s="263"/>
    </row>
    <row r="14" spans="1:5" ht="16.5" thickBot="1" x14ac:dyDescent="0.3">
      <c r="A14" s="52"/>
      <c r="B14" s="20" t="s">
        <v>9</v>
      </c>
      <c r="C14" s="262">
        <f>SUM(C10:D13)</f>
        <v>22.246200000000002</v>
      </c>
      <c r="D14" s="263"/>
      <c r="E14" s="10"/>
    </row>
    <row r="15" spans="1:5" ht="16.5" thickBot="1" x14ac:dyDescent="0.3">
      <c r="A15" s="52"/>
      <c r="B15" s="20" t="s">
        <v>10</v>
      </c>
      <c r="C15" s="262"/>
      <c r="D15" s="263"/>
    </row>
    <row r="16" spans="1:5" ht="143.25" customHeight="1" thickBot="1" x14ac:dyDescent="0.3">
      <c r="A16" s="52" t="s">
        <v>12</v>
      </c>
      <c r="B16" s="103" t="s">
        <v>350</v>
      </c>
      <c r="C16" s="262">
        <f>0.7+1.35+0.05</f>
        <v>2.0999999999999996</v>
      </c>
      <c r="D16" s="263"/>
    </row>
    <row r="17" spans="1:5" ht="32.25" thickBot="1" x14ac:dyDescent="0.3">
      <c r="A17" s="52" t="s">
        <v>17</v>
      </c>
      <c r="B17" s="19" t="s">
        <v>479</v>
      </c>
      <c r="C17" s="262">
        <v>75.650000000000006</v>
      </c>
      <c r="D17" s="263"/>
    </row>
    <row r="18" spans="1:5" ht="16.5" thickBot="1" x14ac:dyDescent="0.3">
      <c r="A18" s="3"/>
      <c r="B18" s="18" t="s">
        <v>18</v>
      </c>
      <c r="C18" s="262">
        <f>SUM(C16:C17)</f>
        <v>77.75</v>
      </c>
      <c r="D18" s="263"/>
      <c r="E18" s="11"/>
    </row>
    <row r="19" spans="1:5" ht="16.5" thickBot="1" x14ac:dyDescent="0.3">
      <c r="A19" s="3"/>
      <c r="B19" s="21" t="s">
        <v>19</v>
      </c>
      <c r="C19" s="267">
        <f>SUM(C14,C18)</f>
        <v>99.996200000000002</v>
      </c>
      <c r="D19" s="268"/>
      <c r="E19" s="12"/>
    </row>
    <row r="20" spans="1:5" x14ac:dyDescent="0.25">
      <c r="A20" s="4"/>
      <c r="C20" s="8"/>
      <c r="E20" s="13"/>
    </row>
    <row r="21" spans="1:5" ht="15.75" x14ac:dyDescent="0.25">
      <c r="A21" s="269" t="s">
        <v>20</v>
      </c>
      <c r="B21" s="270"/>
      <c r="C21" s="271">
        <v>5</v>
      </c>
      <c r="D21" s="271"/>
      <c r="E21" s="14"/>
    </row>
    <row r="22" spans="1:5" ht="33" customHeight="1" x14ac:dyDescent="0.25">
      <c r="A22" s="326" t="s">
        <v>21</v>
      </c>
      <c r="B22" s="327"/>
      <c r="C22" s="320">
        <f>C19/C21</f>
        <v>19.99924</v>
      </c>
      <c r="D22" s="320"/>
      <c r="E22" s="15"/>
    </row>
    <row r="23" spans="1:5" ht="15.75" x14ac:dyDescent="0.25">
      <c r="A23" s="2"/>
    </row>
    <row r="24" spans="1:5" x14ac:dyDescent="0.25">
      <c r="A24" s="78"/>
      <c r="B24" s="78"/>
      <c r="C24" s="203"/>
      <c r="D24" s="203"/>
    </row>
    <row r="25" spans="1:5" x14ac:dyDescent="0.25">
      <c r="A25" s="78"/>
      <c r="B25" s="78"/>
      <c r="C25" s="79"/>
      <c r="D25" s="78"/>
    </row>
    <row r="26" spans="1:5" x14ac:dyDescent="0.25">
      <c r="A26" s="78"/>
      <c r="B26" s="78"/>
      <c r="C26" s="203"/>
      <c r="D26" s="203"/>
    </row>
    <row r="27" spans="1:5" x14ac:dyDescent="0.25">
      <c r="A27" s="78"/>
      <c r="B27" s="78"/>
      <c r="C27" s="78"/>
      <c r="D27" s="78"/>
    </row>
    <row r="28" spans="1:5" x14ac:dyDescent="0.25">
      <c r="A28" s="202"/>
      <c r="B28" s="202"/>
      <c r="C28" s="80"/>
      <c r="D28" s="80"/>
    </row>
    <row r="29" spans="1:5" x14ac:dyDescent="0.25">
      <c r="A29" s="201"/>
      <c r="B29" s="202"/>
      <c r="C29" s="80"/>
      <c r="D29" s="80"/>
    </row>
    <row r="30" spans="1:5" x14ac:dyDescent="0.25">
      <c r="A30" s="57"/>
      <c r="B30" s="80"/>
      <c r="C30" s="81"/>
      <c r="D30" s="81"/>
    </row>
    <row r="31" spans="1:5" x14ac:dyDescent="0.25">
      <c r="A31" s="201"/>
      <c r="B31" s="201"/>
      <c r="C31" s="81"/>
      <c r="D31" s="81"/>
    </row>
  </sheetData>
  <mergeCells count="24">
    <mergeCell ref="A1:D1"/>
    <mergeCell ref="A3:D3"/>
    <mergeCell ref="A5:D5"/>
    <mergeCell ref="A7:D7"/>
    <mergeCell ref="C8:D8"/>
    <mergeCell ref="C9:D9"/>
    <mergeCell ref="A10:A12"/>
    <mergeCell ref="C10:D12"/>
    <mergeCell ref="C13:D13"/>
    <mergeCell ref="C14:D14"/>
    <mergeCell ref="C15:D15"/>
    <mergeCell ref="A22:B22"/>
    <mergeCell ref="C22:D22"/>
    <mergeCell ref="C16:D16"/>
    <mergeCell ref="C17:D17"/>
    <mergeCell ref="C18:D18"/>
    <mergeCell ref="C19:D19"/>
    <mergeCell ref="A21:B21"/>
    <mergeCell ref="C21:D21"/>
    <mergeCell ref="C24:D24"/>
    <mergeCell ref="C26:D26"/>
    <mergeCell ref="A28:B28"/>
    <mergeCell ref="A29:B29"/>
    <mergeCell ref="A31:B31"/>
  </mergeCells>
  <pageMargins left="0.70866141732283472" right="0.70866141732283472" top="0.74803149606299213" bottom="0.74803149606299213" header="0.31496062992125984" footer="0.31496062992125984"/>
  <pageSetup paperSize="9" fitToHeight="0" orientation="portrait" verticalDpi="0"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60" zoomScaleNormal="100" workbookViewId="0">
      <selection activeCell="T13" sqref="T13"/>
    </sheetView>
  </sheetViews>
  <sheetFormatPr defaultRowHeight="15" x14ac:dyDescent="0.25"/>
  <cols>
    <col min="1" max="1" width="16.42578125" customWidth="1"/>
    <col min="2" max="2" width="51.5703125" customWidth="1"/>
    <col min="3" max="3" width="11" style="7" customWidth="1"/>
    <col min="4" max="4" width="6.5703125" customWidth="1"/>
    <col min="5" max="5" width="25.85546875" style="9" customWidth="1"/>
    <col min="8" max="8" width="7.42578125" bestFit="1" customWidth="1"/>
  </cols>
  <sheetData>
    <row r="1" spans="1:5" ht="14.45" customHeight="1" x14ac:dyDescent="0.25">
      <c r="A1" s="251" t="s">
        <v>0</v>
      </c>
      <c r="B1" s="251"/>
      <c r="C1" s="251"/>
      <c r="D1" s="251"/>
    </row>
    <row r="2" spans="1:5" ht="15.75" x14ac:dyDescent="0.25">
      <c r="D2" s="1"/>
    </row>
    <row r="3" spans="1:5" ht="17.25" customHeight="1" x14ac:dyDescent="0.25">
      <c r="A3" s="252" t="s">
        <v>22</v>
      </c>
      <c r="B3" s="252"/>
      <c r="C3" s="252"/>
      <c r="D3" s="252"/>
    </row>
    <row r="4" spans="1:5" ht="15.75" x14ac:dyDescent="0.25">
      <c r="D4" s="5"/>
    </row>
    <row r="5" spans="1:5" ht="48.75" customHeight="1" x14ac:dyDescent="0.25">
      <c r="A5" s="253" t="s">
        <v>294</v>
      </c>
      <c r="B5" s="253"/>
      <c r="C5" s="253"/>
      <c r="D5" s="253"/>
    </row>
    <row r="6" spans="1:5" ht="15.75" x14ac:dyDescent="0.25">
      <c r="D6" s="6"/>
    </row>
    <row r="7" spans="1:5" ht="16.5" thickBot="1" x14ac:dyDescent="0.3">
      <c r="A7" s="254" t="s">
        <v>1</v>
      </c>
      <c r="B7" s="254"/>
      <c r="C7" s="254"/>
      <c r="D7" s="254"/>
    </row>
    <row r="8" spans="1:5" ht="75.75" customHeight="1" thickBot="1" x14ac:dyDescent="0.3">
      <c r="A8" s="16" t="s">
        <v>2</v>
      </c>
      <c r="B8" s="17" t="s">
        <v>3</v>
      </c>
      <c r="C8" s="255" t="s">
        <v>4</v>
      </c>
      <c r="D8" s="256"/>
    </row>
    <row r="9" spans="1:5" ht="16.5" thickBot="1" x14ac:dyDescent="0.3">
      <c r="A9" s="3"/>
      <c r="B9" s="18" t="s">
        <v>5</v>
      </c>
      <c r="C9" s="257"/>
      <c r="D9" s="258"/>
    </row>
    <row r="10" spans="1:5" ht="63" x14ac:dyDescent="0.25">
      <c r="A10" s="259" t="s">
        <v>6</v>
      </c>
      <c r="B10" s="123" t="s">
        <v>629</v>
      </c>
      <c r="C10" s="262">
        <f>2.4+2.4</f>
        <v>4.8</v>
      </c>
      <c r="D10" s="263"/>
    </row>
    <row r="11" spans="1:5" ht="63" x14ac:dyDescent="0.25">
      <c r="A11" s="260"/>
      <c r="B11" s="110" t="s">
        <v>630</v>
      </c>
      <c r="C11" s="262"/>
      <c r="D11" s="263"/>
    </row>
    <row r="12" spans="1:5" ht="16.5" thickBot="1" x14ac:dyDescent="0.3">
      <c r="A12" s="261"/>
      <c r="B12" s="104" t="s">
        <v>351</v>
      </c>
      <c r="C12" s="262"/>
      <c r="D12" s="263"/>
    </row>
    <row r="13" spans="1:5" ht="48" thickBot="1" x14ac:dyDescent="0.3">
      <c r="A13" s="52" t="s">
        <v>7</v>
      </c>
      <c r="B13" s="67" t="s">
        <v>209</v>
      </c>
      <c r="C13" s="262">
        <f>C10*0.2359</f>
        <v>1.13232</v>
      </c>
      <c r="D13" s="263"/>
    </row>
    <row r="14" spans="1:5" ht="16.5" thickBot="1" x14ac:dyDescent="0.3">
      <c r="A14" s="52"/>
      <c r="B14" s="20" t="s">
        <v>9</v>
      </c>
      <c r="C14" s="262">
        <f>SUM(C10:D13)</f>
        <v>5.9323199999999998</v>
      </c>
      <c r="D14" s="263"/>
      <c r="E14" s="10"/>
    </row>
    <row r="15" spans="1:5" ht="16.5" thickBot="1" x14ac:dyDescent="0.3">
      <c r="A15" s="52"/>
      <c r="B15" s="20" t="s">
        <v>10</v>
      </c>
      <c r="C15" s="262"/>
      <c r="D15" s="263"/>
    </row>
    <row r="16" spans="1:5" ht="144.75" customHeight="1" thickBot="1" x14ac:dyDescent="0.3">
      <c r="A16" s="52" t="s">
        <v>12</v>
      </c>
      <c r="B16" s="103" t="s">
        <v>332</v>
      </c>
      <c r="C16" s="262">
        <f>0.14+0.27+0.01</f>
        <v>0.42000000000000004</v>
      </c>
      <c r="D16" s="263"/>
    </row>
    <row r="17" spans="1:5" ht="16.5" thickBot="1" x14ac:dyDescent="0.3">
      <c r="A17" s="52" t="s">
        <v>17</v>
      </c>
      <c r="B17" s="102" t="s">
        <v>480</v>
      </c>
      <c r="C17" s="262">
        <v>93.65</v>
      </c>
      <c r="D17" s="263"/>
    </row>
    <row r="18" spans="1:5" ht="16.5" thickBot="1" x14ac:dyDescent="0.3">
      <c r="A18" s="3"/>
      <c r="B18" s="18" t="s">
        <v>18</v>
      </c>
      <c r="C18" s="262">
        <f>SUM(C16:C17)</f>
        <v>94.070000000000007</v>
      </c>
      <c r="D18" s="263"/>
      <c r="E18" s="11"/>
    </row>
    <row r="19" spans="1:5" ht="16.5" thickBot="1" x14ac:dyDescent="0.3">
      <c r="A19" s="3"/>
      <c r="B19" s="21" t="s">
        <v>19</v>
      </c>
      <c r="C19" s="267">
        <f>SUM(C14,C18)</f>
        <v>100.00232000000001</v>
      </c>
      <c r="D19" s="268"/>
      <c r="E19" s="12"/>
    </row>
    <row r="20" spans="1:5" x14ac:dyDescent="0.25">
      <c r="A20" s="4"/>
      <c r="C20" s="8"/>
      <c r="E20" s="13"/>
    </row>
    <row r="21" spans="1:5" ht="15.75" x14ac:dyDescent="0.25">
      <c r="A21" s="269" t="s">
        <v>20</v>
      </c>
      <c r="B21" s="270"/>
      <c r="C21" s="271">
        <v>1</v>
      </c>
      <c r="D21" s="271"/>
      <c r="E21" s="14"/>
    </row>
    <row r="22" spans="1:5" ht="33.75" customHeight="1" x14ac:dyDescent="0.25">
      <c r="A22" s="264" t="s">
        <v>21</v>
      </c>
      <c r="B22" s="312"/>
      <c r="C22" s="225">
        <f>C19/C21</f>
        <v>100.00232000000001</v>
      </c>
      <c r="D22" s="225"/>
      <c r="E22" s="15"/>
    </row>
    <row r="23" spans="1:5" ht="15.75" x14ac:dyDescent="0.25">
      <c r="A23" s="2"/>
    </row>
    <row r="24" spans="1:5" x14ac:dyDescent="0.25">
      <c r="A24" s="78"/>
      <c r="B24" s="78"/>
      <c r="C24" s="203"/>
      <c r="D24" s="203"/>
    </row>
    <row r="25" spans="1:5" x14ac:dyDescent="0.25">
      <c r="A25" s="78"/>
      <c r="B25" s="78"/>
      <c r="C25" s="79"/>
      <c r="D25" s="78"/>
    </row>
    <row r="26" spans="1:5" x14ac:dyDescent="0.25">
      <c r="A26" s="78"/>
      <c r="B26" s="78"/>
      <c r="C26" s="203"/>
      <c r="D26" s="203"/>
    </row>
    <row r="27" spans="1:5" x14ac:dyDescent="0.25">
      <c r="A27" s="78"/>
      <c r="B27" s="78"/>
      <c r="C27" s="78"/>
      <c r="D27" s="78"/>
    </row>
    <row r="28" spans="1:5" x14ac:dyDescent="0.25">
      <c r="A28" s="202"/>
      <c r="B28" s="202"/>
      <c r="C28" s="80"/>
      <c r="D28" s="80"/>
    </row>
    <row r="29" spans="1:5" x14ac:dyDescent="0.25">
      <c r="A29" s="201"/>
      <c r="B29" s="202"/>
      <c r="C29" s="80"/>
      <c r="D29" s="80"/>
    </row>
    <row r="30" spans="1:5" x14ac:dyDescent="0.25">
      <c r="A30" s="57"/>
      <c r="B30" s="80"/>
      <c r="C30" s="81"/>
      <c r="D30" s="81"/>
    </row>
    <row r="31" spans="1:5" x14ac:dyDescent="0.25">
      <c r="A31" s="201"/>
      <c r="B31" s="201"/>
      <c r="C31" s="81"/>
      <c r="D31" s="81"/>
    </row>
  </sheetData>
  <mergeCells count="24">
    <mergeCell ref="C15:D15"/>
    <mergeCell ref="C9:D9"/>
    <mergeCell ref="A10:A12"/>
    <mergeCell ref="C10:D12"/>
    <mergeCell ref="C13:D13"/>
    <mergeCell ref="C14:D14"/>
    <mergeCell ref="A1:D1"/>
    <mergeCell ref="A3:D3"/>
    <mergeCell ref="A5:D5"/>
    <mergeCell ref="A7:D7"/>
    <mergeCell ref="C8:D8"/>
    <mergeCell ref="A22:B22"/>
    <mergeCell ref="C22:D22"/>
    <mergeCell ref="C16:D16"/>
    <mergeCell ref="C17:D17"/>
    <mergeCell ref="C18:D18"/>
    <mergeCell ref="C19:D19"/>
    <mergeCell ref="A21:B21"/>
    <mergeCell ref="C21:D21"/>
    <mergeCell ref="C24:D24"/>
    <mergeCell ref="C26:D26"/>
    <mergeCell ref="A28:B28"/>
    <mergeCell ref="A29:B29"/>
    <mergeCell ref="A31:B31"/>
  </mergeCells>
  <pageMargins left="0.70866141732283472" right="0.70866141732283472" top="0.74803149606299213" bottom="0.74803149606299213" header="0.31496062992125984" footer="0.31496062992125984"/>
  <pageSetup paperSize="9" fitToHeight="0" orientation="portrait" verticalDpi="0"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60" zoomScaleNormal="100" workbookViewId="0">
      <selection activeCell="T13" sqref="T13"/>
    </sheetView>
  </sheetViews>
  <sheetFormatPr defaultRowHeight="15" x14ac:dyDescent="0.25"/>
  <cols>
    <col min="1" max="1" width="17" customWidth="1"/>
    <col min="2" max="2" width="47.85546875" customWidth="1"/>
    <col min="3" max="3" width="10.5703125" style="7" customWidth="1"/>
    <col min="4" max="4" width="8.7109375" customWidth="1"/>
    <col min="5" max="5" width="25.85546875" style="9" customWidth="1"/>
    <col min="8" max="8" width="7.42578125" bestFit="1" customWidth="1"/>
  </cols>
  <sheetData>
    <row r="1" spans="1:5" ht="14.45" customHeight="1" x14ac:dyDescent="0.25">
      <c r="A1" s="251" t="s">
        <v>0</v>
      </c>
      <c r="B1" s="251"/>
      <c r="C1" s="251"/>
      <c r="D1" s="251"/>
    </row>
    <row r="2" spans="1:5" ht="15.75" x14ac:dyDescent="0.25">
      <c r="D2" s="1"/>
    </row>
    <row r="3" spans="1:5" ht="15.75" customHeight="1" x14ac:dyDescent="0.25">
      <c r="A3" s="252" t="s">
        <v>22</v>
      </c>
      <c r="B3" s="252"/>
      <c r="C3" s="252"/>
      <c r="D3" s="252"/>
    </row>
    <row r="4" spans="1:5" ht="15.75" x14ac:dyDescent="0.25">
      <c r="D4" s="5"/>
    </row>
    <row r="5" spans="1:5" s="59" customFormat="1" ht="48" customHeight="1" x14ac:dyDescent="0.25">
      <c r="A5" s="253" t="s">
        <v>295</v>
      </c>
      <c r="B5" s="253"/>
      <c r="C5" s="253"/>
      <c r="D5" s="253"/>
      <c r="E5" s="58"/>
    </row>
    <row r="6" spans="1:5" ht="15.75" x14ac:dyDescent="0.25">
      <c r="D6" s="6"/>
    </row>
    <row r="7" spans="1:5" ht="16.5" thickBot="1" x14ac:dyDescent="0.3">
      <c r="A7" s="254" t="s">
        <v>1</v>
      </c>
      <c r="B7" s="254"/>
      <c r="C7" s="254"/>
      <c r="D7" s="254"/>
    </row>
    <row r="8" spans="1:5" ht="75.75" customHeight="1" thickBot="1" x14ac:dyDescent="0.3">
      <c r="A8" s="16" t="s">
        <v>2</v>
      </c>
      <c r="B8" s="17" t="s">
        <v>3</v>
      </c>
      <c r="C8" s="255" t="s">
        <v>4</v>
      </c>
      <c r="D8" s="256"/>
    </row>
    <row r="9" spans="1:5" ht="16.5" thickBot="1" x14ac:dyDescent="0.3">
      <c r="A9" s="3"/>
      <c r="B9" s="18" t="s">
        <v>5</v>
      </c>
      <c r="C9" s="257"/>
      <c r="D9" s="258"/>
    </row>
    <row r="10" spans="1:5" ht="78.75" x14ac:dyDescent="0.25">
      <c r="A10" s="259" t="s">
        <v>6</v>
      </c>
      <c r="B10" s="66" t="s">
        <v>631</v>
      </c>
      <c r="C10" s="262">
        <f>1.2+2.4</f>
        <v>3.5999999999999996</v>
      </c>
      <c r="D10" s="263"/>
    </row>
    <row r="11" spans="1:5" ht="63" x14ac:dyDescent="0.25">
      <c r="A11" s="260"/>
      <c r="B11" s="66" t="s">
        <v>632</v>
      </c>
      <c r="C11" s="262"/>
      <c r="D11" s="263"/>
    </row>
    <row r="12" spans="1:5" ht="16.5" thickBot="1" x14ac:dyDescent="0.3">
      <c r="A12" s="261"/>
      <c r="B12" s="67" t="s">
        <v>424</v>
      </c>
      <c r="C12" s="262"/>
      <c r="D12" s="263"/>
    </row>
    <row r="13" spans="1:5" ht="48" thickBot="1" x14ac:dyDescent="0.3">
      <c r="A13" s="52" t="s">
        <v>7</v>
      </c>
      <c r="B13" s="19" t="s">
        <v>209</v>
      </c>
      <c r="C13" s="262">
        <f>C10*0.2359</f>
        <v>0.84923999999999988</v>
      </c>
      <c r="D13" s="263"/>
    </row>
    <row r="14" spans="1:5" ht="16.5" thickBot="1" x14ac:dyDescent="0.3">
      <c r="A14" s="52"/>
      <c r="B14" s="20" t="s">
        <v>9</v>
      </c>
      <c r="C14" s="262">
        <f>SUM(C10:D13)</f>
        <v>4.4492399999999996</v>
      </c>
      <c r="D14" s="263"/>
      <c r="E14" s="10"/>
    </row>
    <row r="15" spans="1:5" ht="16.5" thickBot="1" x14ac:dyDescent="0.3">
      <c r="A15" s="52"/>
      <c r="B15" s="20" t="s">
        <v>10</v>
      </c>
      <c r="C15" s="262"/>
      <c r="D15" s="263"/>
    </row>
    <row r="16" spans="1:5" ht="152.25" customHeight="1" thickBot="1" x14ac:dyDescent="0.3">
      <c r="A16" s="52" t="s">
        <v>12</v>
      </c>
      <c r="B16" s="103" t="s">
        <v>352</v>
      </c>
      <c r="C16" s="262">
        <f>0.14+0.27+0.01</f>
        <v>0.42000000000000004</v>
      </c>
      <c r="D16" s="263"/>
    </row>
    <row r="17" spans="1:5" ht="16.5" customHeight="1" thickBot="1" x14ac:dyDescent="0.3">
      <c r="A17" s="52" t="s">
        <v>17</v>
      </c>
      <c r="B17" s="87" t="s">
        <v>481</v>
      </c>
      <c r="C17" s="262">
        <v>0.13</v>
      </c>
      <c r="D17" s="263"/>
    </row>
    <row r="18" spans="1:5" ht="16.5" thickBot="1" x14ac:dyDescent="0.3">
      <c r="A18" s="3"/>
      <c r="B18" s="18" t="s">
        <v>18</v>
      </c>
      <c r="C18" s="262">
        <f>SUM(C16:C17)</f>
        <v>0.55000000000000004</v>
      </c>
      <c r="D18" s="263"/>
      <c r="E18" s="11"/>
    </row>
    <row r="19" spans="1:5" ht="16.5" thickBot="1" x14ac:dyDescent="0.3">
      <c r="A19" s="3"/>
      <c r="B19" s="21" t="s">
        <v>19</v>
      </c>
      <c r="C19" s="267">
        <f>SUM(C14,C18)</f>
        <v>4.9992399999999995</v>
      </c>
      <c r="D19" s="268"/>
      <c r="E19" s="12"/>
    </row>
    <row r="20" spans="1:5" x14ac:dyDescent="0.25">
      <c r="A20" s="4"/>
      <c r="C20" s="8"/>
      <c r="E20" s="13"/>
    </row>
    <row r="21" spans="1:5" ht="15.75" x14ac:dyDescent="0.25">
      <c r="A21" s="269" t="s">
        <v>20</v>
      </c>
      <c r="B21" s="270"/>
      <c r="C21" s="271">
        <v>1</v>
      </c>
      <c r="D21" s="271"/>
      <c r="E21" s="14"/>
    </row>
    <row r="22" spans="1:5" ht="50.25" customHeight="1" x14ac:dyDescent="0.25">
      <c r="A22" s="326" t="s">
        <v>21</v>
      </c>
      <c r="B22" s="327"/>
      <c r="C22" s="225">
        <f>C19/C21</f>
        <v>4.9992399999999995</v>
      </c>
      <c r="D22" s="225"/>
      <c r="E22" s="15"/>
    </row>
    <row r="23" spans="1:5" ht="15.75" x14ac:dyDescent="0.25">
      <c r="A23" s="2"/>
    </row>
    <row r="24" spans="1:5" x14ac:dyDescent="0.25">
      <c r="A24" s="78"/>
      <c r="B24" s="78"/>
      <c r="C24" s="203"/>
      <c r="D24" s="203"/>
    </row>
    <row r="25" spans="1:5" x14ac:dyDescent="0.25">
      <c r="A25" s="78"/>
      <c r="B25" s="78"/>
      <c r="C25" s="79"/>
      <c r="D25" s="78"/>
    </row>
    <row r="26" spans="1:5" x14ac:dyDescent="0.25">
      <c r="A26" s="78"/>
      <c r="B26" s="78"/>
      <c r="C26" s="203"/>
      <c r="D26" s="203"/>
    </row>
    <row r="27" spans="1:5" x14ac:dyDescent="0.25">
      <c r="A27" s="78"/>
      <c r="B27" s="78"/>
      <c r="C27" s="78"/>
      <c r="D27" s="78"/>
    </row>
    <row r="28" spans="1:5" x14ac:dyDescent="0.25">
      <c r="A28" s="202"/>
      <c r="B28" s="202"/>
      <c r="C28" s="80"/>
      <c r="D28" s="80"/>
    </row>
    <row r="29" spans="1:5" x14ac:dyDescent="0.25">
      <c r="A29" s="201"/>
      <c r="B29" s="202"/>
      <c r="C29" s="80"/>
      <c r="D29" s="80"/>
    </row>
    <row r="30" spans="1:5" x14ac:dyDescent="0.25">
      <c r="A30" s="57"/>
      <c r="B30" s="80"/>
      <c r="C30" s="81"/>
      <c r="D30" s="81"/>
    </row>
    <row r="31" spans="1:5" x14ac:dyDescent="0.25">
      <c r="A31" s="201"/>
      <c r="B31" s="201"/>
      <c r="C31" s="81"/>
      <c r="D31" s="81"/>
    </row>
  </sheetData>
  <mergeCells count="24">
    <mergeCell ref="C15:D15"/>
    <mergeCell ref="C9:D9"/>
    <mergeCell ref="A10:A12"/>
    <mergeCell ref="C10:D12"/>
    <mergeCell ref="C13:D13"/>
    <mergeCell ref="C14:D14"/>
    <mergeCell ref="A1:D1"/>
    <mergeCell ref="A3:D3"/>
    <mergeCell ref="A5:D5"/>
    <mergeCell ref="A7:D7"/>
    <mergeCell ref="C8:D8"/>
    <mergeCell ref="A22:B22"/>
    <mergeCell ref="C22:D22"/>
    <mergeCell ref="C16:D16"/>
    <mergeCell ref="C17:D17"/>
    <mergeCell ref="C18:D18"/>
    <mergeCell ref="C19:D19"/>
    <mergeCell ref="A21:B21"/>
    <mergeCell ref="C21:D21"/>
    <mergeCell ref="C24:D24"/>
    <mergeCell ref="C26:D26"/>
    <mergeCell ref="A28:B28"/>
    <mergeCell ref="A29:B29"/>
    <mergeCell ref="A31:B31"/>
  </mergeCells>
  <pageMargins left="0.70866141732283472" right="0.70866141732283472" top="0.74803149606299213" bottom="0.74803149606299213" header="0.31496062992125984" footer="0.31496062992125984"/>
  <pageSetup paperSize="9" fitToHeight="0" orientation="portrait" verticalDpi="0"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60" zoomScaleNormal="100" workbookViewId="0">
      <selection activeCell="T13" sqref="T13"/>
    </sheetView>
  </sheetViews>
  <sheetFormatPr defaultRowHeight="15" x14ac:dyDescent="0.25"/>
  <cols>
    <col min="1" max="1" width="15.85546875" customWidth="1"/>
    <col min="2" max="2" width="50.28515625" customWidth="1"/>
    <col min="3" max="3" width="11.5703125" style="7" customWidth="1"/>
    <col min="4" max="4" width="7.42578125" customWidth="1"/>
    <col min="5" max="5" width="25.85546875" style="9" customWidth="1"/>
    <col min="8" max="8" width="7.42578125" bestFit="1" customWidth="1"/>
  </cols>
  <sheetData>
    <row r="1" spans="1:5" ht="14.45" customHeight="1" x14ac:dyDescent="0.25">
      <c r="A1" s="251" t="s">
        <v>0</v>
      </c>
      <c r="B1" s="251"/>
      <c r="C1" s="251"/>
      <c r="D1" s="251"/>
    </row>
    <row r="2" spans="1:5" ht="15.75" x14ac:dyDescent="0.25">
      <c r="D2" s="1"/>
    </row>
    <row r="3" spans="1:5" ht="15" customHeight="1" x14ac:dyDescent="0.25">
      <c r="A3" s="252" t="s">
        <v>22</v>
      </c>
      <c r="B3" s="252"/>
      <c r="C3" s="252"/>
      <c r="D3" s="252"/>
    </row>
    <row r="4" spans="1:5" ht="15.75" x14ac:dyDescent="0.25">
      <c r="D4" s="5"/>
    </row>
    <row r="5" spans="1:5" ht="31.5" customHeight="1" x14ac:dyDescent="0.25">
      <c r="A5" s="253" t="s">
        <v>296</v>
      </c>
      <c r="B5" s="253"/>
      <c r="C5" s="253"/>
      <c r="D5" s="253"/>
    </row>
    <row r="6" spans="1:5" ht="15.75" x14ac:dyDescent="0.25">
      <c r="D6" s="6"/>
    </row>
    <row r="7" spans="1:5" ht="16.5" thickBot="1" x14ac:dyDescent="0.3">
      <c r="A7" s="254" t="s">
        <v>1</v>
      </c>
      <c r="B7" s="254"/>
      <c r="C7" s="254"/>
      <c r="D7" s="254"/>
    </row>
    <row r="8" spans="1:5" ht="75" customHeight="1" thickBot="1" x14ac:dyDescent="0.3">
      <c r="A8" s="16" t="s">
        <v>2</v>
      </c>
      <c r="B8" s="17" t="s">
        <v>3</v>
      </c>
      <c r="C8" s="255" t="s">
        <v>4</v>
      </c>
      <c r="D8" s="256"/>
    </row>
    <row r="9" spans="1:5" ht="16.5" thickBot="1" x14ac:dyDescent="0.3">
      <c r="A9" s="3"/>
      <c r="B9" s="18" t="s">
        <v>5</v>
      </c>
      <c r="C9" s="257"/>
      <c r="D9" s="258"/>
    </row>
    <row r="10" spans="1:5" ht="78.75" x14ac:dyDescent="0.25">
      <c r="A10" s="259" t="s">
        <v>6</v>
      </c>
      <c r="B10" s="66" t="s">
        <v>633</v>
      </c>
      <c r="C10" s="262">
        <f>2.4+2.4</f>
        <v>4.8</v>
      </c>
      <c r="D10" s="263"/>
    </row>
    <row r="11" spans="1:5" ht="63" x14ac:dyDescent="0.25">
      <c r="A11" s="260"/>
      <c r="B11" s="66" t="s">
        <v>632</v>
      </c>
      <c r="C11" s="262"/>
      <c r="D11" s="263"/>
    </row>
    <row r="12" spans="1:5" ht="16.5" thickBot="1" x14ac:dyDescent="0.3">
      <c r="A12" s="261"/>
      <c r="B12" s="19" t="s">
        <v>351</v>
      </c>
      <c r="C12" s="262"/>
      <c r="D12" s="263"/>
    </row>
    <row r="13" spans="1:5" ht="48" thickBot="1" x14ac:dyDescent="0.3">
      <c r="A13" s="52" t="s">
        <v>7</v>
      </c>
      <c r="B13" s="67" t="s">
        <v>209</v>
      </c>
      <c r="C13" s="262">
        <f>C10*0.2359</f>
        <v>1.13232</v>
      </c>
      <c r="D13" s="263"/>
    </row>
    <row r="14" spans="1:5" ht="16.5" thickBot="1" x14ac:dyDescent="0.3">
      <c r="A14" s="52"/>
      <c r="B14" s="20" t="s">
        <v>9</v>
      </c>
      <c r="C14" s="262">
        <f>SUM(C10:D13)</f>
        <v>5.9323199999999998</v>
      </c>
      <c r="D14" s="263"/>
      <c r="E14" s="10"/>
    </row>
    <row r="15" spans="1:5" ht="16.5" thickBot="1" x14ac:dyDescent="0.3">
      <c r="A15" s="52"/>
      <c r="B15" s="20" t="s">
        <v>10</v>
      </c>
      <c r="C15" s="262"/>
      <c r="D15" s="263"/>
    </row>
    <row r="16" spans="1:5" ht="139.5" customHeight="1" thickBot="1" x14ac:dyDescent="0.3">
      <c r="A16" s="52" t="s">
        <v>12</v>
      </c>
      <c r="B16" s="103" t="s">
        <v>352</v>
      </c>
      <c r="C16" s="262">
        <f>0.14+0.27+0.01</f>
        <v>0.42000000000000004</v>
      </c>
      <c r="D16" s="263"/>
    </row>
    <row r="17" spans="1:5" ht="16.5" thickBot="1" x14ac:dyDescent="0.3">
      <c r="A17" s="52" t="s">
        <v>17</v>
      </c>
      <c r="B17" s="87" t="s">
        <v>482</v>
      </c>
      <c r="C17" s="262">
        <v>23.65</v>
      </c>
      <c r="D17" s="263"/>
    </row>
    <row r="18" spans="1:5" ht="16.5" thickBot="1" x14ac:dyDescent="0.3">
      <c r="A18" s="3"/>
      <c r="B18" s="18" t="s">
        <v>18</v>
      </c>
      <c r="C18" s="262">
        <f>SUM(C16:C17)</f>
        <v>24.07</v>
      </c>
      <c r="D18" s="263"/>
      <c r="E18" s="11"/>
    </row>
    <row r="19" spans="1:5" ht="16.5" thickBot="1" x14ac:dyDescent="0.3">
      <c r="A19" s="3"/>
      <c r="B19" s="21" t="s">
        <v>19</v>
      </c>
      <c r="C19" s="267">
        <f>SUM(C14,C18)</f>
        <v>30.002320000000001</v>
      </c>
      <c r="D19" s="268"/>
      <c r="E19" s="12"/>
    </row>
    <row r="20" spans="1:5" x14ac:dyDescent="0.25">
      <c r="A20" s="4"/>
      <c r="C20" s="8"/>
      <c r="E20" s="13"/>
    </row>
    <row r="21" spans="1:5" ht="15.75" x14ac:dyDescent="0.25">
      <c r="A21" s="269" t="s">
        <v>20</v>
      </c>
      <c r="B21" s="270"/>
      <c r="C21" s="271">
        <v>1</v>
      </c>
      <c r="D21" s="271"/>
      <c r="E21" s="14"/>
    </row>
    <row r="22" spans="1:5" ht="34.5" customHeight="1" x14ac:dyDescent="0.25">
      <c r="A22" s="264" t="s">
        <v>21</v>
      </c>
      <c r="B22" s="265"/>
      <c r="C22" s="320">
        <f>C19/C21</f>
        <v>30.002320000000001</v>
      </c>
      <c r="D22" s="320"/>
      <c r="E22" s="15"/>
    </row>
    <row r="23" spans="1:5" ht="15.75" x14ac:dyDescent="0.25">
      <c r="A23" s="2"/>
    </row>
    <row r="24" spans="1:5" x14ac:dyDescent="0.25">
      <c r="A24" s="78"/>
      <c r="B24" s="78"/>
      <c r="C24" s="203"/>
      <c r="D24" s="203"/>
    </row>
    <row r="25" spans="1:5" x14ac:dyDescent="0.25">
      <c r="A25" s="78"/>
      <c r="B25" s="78"/>
      <c r="C25" s="79"/>
      <c r="D25" s="78"/>
    </row>
    <row r="26" spans="1:5" x14ac:dyDescent="0.25">
      <c r="A26" s="78"/>
      <c r="B26" s="78"/>
      <c r="C26" s="203"/>
      <c r="D26" s="203"/>
    </row>
    <row r="27" spans="1:5" x14ac:dyDescent="0.25">
      <c r="A27" s="78"/>
      <c r="B27" s="78"/>
      <c r="C27" s="78"/>
      <c r="D27" s="78"/>
    </row>
    <row r="28" spans="1:5" x14ac:dyDescent="0.25">
      <c r="A28" s="202"/>
      <c r="B28" s="202"/>
      <c r="C28" s="80"/>
      <c r="D28" s="80"/>
    </row>
    <row r="29" spans="1:5" x14ac:dyDescent="0.25">
      <c r="A29" s="201"/>
      <c r="B29" s="202"/>
      <c r="C29" s="80"/>
      <c r="D29" s="80"/>
    </row>
    <row r="30" spans="1:5" x14ac:dyDescent="0.25">
      <c r="A30" s="57"/>
      <c r="B30" s="80"/>
      <c r="C30" s="81"/>
      <c r="D30" s="81"/>
    </row>
    <row r="31" spans="1:5" x14ac:dyDescent="0.25">
      <c r="A31" s="201"/>
      <c r="B31" s="201"/>
      <c r="C31" s="81"/>
      <c r="D31" s="81"/>
    </row>
  </sheetData>
  <mergeCells count="24">
    <mergeCell ref="C15:D15"/>
    <mergeCell ref="C9:D9"/>
    <mergeCell ref="A10:A12"/>
    <mergeCell ref="C10:D12"/>
    <mergeCell ref="C13:D13"/>
    <mergeCell ref="C14:D14"/>
    <mergeCell ref="A1:D1"/>
    <mergeCell ref="A3:D3"/>
    <mergeCell ref="A5:D5"/>
    <mergeCell ref="A7:D7"/>
    <mergeCell ref="C8:D8"/>
    <mergeCell ref="A22:B22"/>
    <mergeCell ref="C22:D22"/>
    <mergeCell ref="C16:D16"/>
    <mergeCell ref="C17:D17"/>
    <mergeCell ref="C18:D18"/>
    <mergeCell ref="C19:D19"/>
    <mergeCell ref="A21:B21"/>
    <mergeCell ref="C21:D21"/>
    <mergeCell ref="C24:D24"/>
    <mergeCell ref="C26:D26"/>
    <mergeCell ref="A28:B28"/>
    <mergeCell ref="A29:B29"/>
    <mergeCell ref="A31:B31"/>
  </mergeCells>
  <pageMargins left="0.70866141732283472" right="0.70866141732283472" top="0.74803149606299213" bottom="0.74803149606299213" header="0.31496062992125984" footer="0.31496062992125984"/>
  <pageSetup paperSize="9" fitToHeight="0" orientation="portrait" verticalDpi="0"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60" zoomScaleNormal="100" workbookViewId="0">
      <selection activeCell="T13" sqref="T13"/>
    </sheetView>
  </sheetViews>
  <sheetFormatPr defaultRowHeight="15" x14ac:dyDescent="0.25"/>
  <cols>
    <col min="1" max="1" width="16.42578125" customWidth="1"/>
    <col min="2" max="2" width="50.28515625" customWidth="1"/>
    <col min="3" max="3" width="12.140625" style="7" customWidth="1"/>
    <col min="4" max="4" width="7.5703125" customWidth="1"/>
    <col min="5" max="5" width="25.85546875" style="9" customWidth="1"/>
    <col min="8" max="8" width="7.42578125" bestFit="1" customWidth="1"/>
  </cols>
  <sheetData>
    <row r="1" spans="1:5" ht="14.45" customHeight="1" x14ac:dyDescent="0.25">
      <c r="A1" s="251" t="s">
        <v>0</v>
      </c>
      <c r="B1" s="251"/>
      <c r="C1" s="251"/>
      <c r="D1" s="251"/>
    </row>
    <row r="2" spans="1:5" ht="15.75" x14ac:dyDescent="0.25">
      <c r="D2" s="1"/>
    </row>
    <row r="3" spans="1:5" ht="15" customHeight="1" x14ac:dyDescent="0.25">
      <c r="A3" s="252" t="s">
        <v>22</v>
      </c>
      <c r="B3" s="252"/>
      <c r="C3" s="252"/>
      <c r="D3" s="252"/>
    </row>
    <row r="4" spans="1:5" ht="15.75" x14ac:dyDescent="0.25">
      <c r="D4" s="5"/>
    </row>
    <row r="5" spans="1:5" s="59" customFormat="1" ht="47.25" customHeight="1" x14ac:dyDescent="0.25">
      <c r="A5" s="253" t="s">
        <v>297</v>
      </c>
      <c r="B5" s="253"/>
      <c r="C5" s="253"/>
      <c r="D5" s="253"/>
      <c r="E5" s="58"/>
    </row>
    <row r="6" spans="1:5" ht="15.75" x14ac:dyDescent="0.25">
      <c r="D6" s="6"/>
    </row>
    <row r="7" spans="1:5" ht="16.5" thickBot="1" x14ac:dyDescent="0.3">
      <c r="A7" s="254" t="s">
        <v>1</v>
      </c>
      <c r="B7" s="254"/>
      <c r="C7" s="254"/>
      <c r="D7" s="254"/>
    </row>
    <row r="8" spans="1:5" ht="73.5" customHeight="1" thickBot="1" x14ac:dyDescent="0.3">
      <c r="A8" s="16" t="s">
        <v>2</v>
      </c>
      <c r="B8" s="17" t="s">
        <v>3</v>
      </c>
      <c r="C8" s="255" t="s">
        <v>4</v>
      </c>
      <c r="D8" s="256"/>
    </row>
    <row r="9" spans="1:5" ht="16.5" thickBot="1" x14ac:dyDescent="0.3">
      <c r="A9" s="3"/>
      <c r="B9" s="18" t="s">
        <v>5</v>
      </c>
      <c r="C9" s="257"/>
      <c r="D9" s="258"/>
    </row>
    <row r="10" spans="1:5" ht="62.25" customHeight="1" x14ac:dyDescent="0.25">
      <c r="A10" s="259" t="s">
        <v>6</v>
      </c>
      <c r="B10" s="66" t="s">
        <v>635</v>
      </c>
      <c r="C10" s="262">
        <f>2.4+4.8</f>
        <v>7.1999999999999993</v>
      </c>
      <c r="D10" s="263"/>
    </row>
    <row r="11" spans="1:5" ht="63" x14ac:dyDescent="0.25">
      <c r="A11" s="260"/>
      <c r="B11" s="22" t="s">
        <v>634</v>
      </c>
      <c r="C11" s="262"/>
      <c r="D11" s="263"/>
    </row>
    <row r="12" spans="1:5" ht="16.5" thickBot="1" x14ac:dyDescent="0.3">
      <c r="A12" s="261"/>
      <c r="B12" s="19" t="s">
        <v>353</v>
      </c>
      <c r="C12" s="262"/>
      <c r="D12" s="263"/>
    </row>
    <row r="13" spans="1:5" ht="48" thickBot="1" x14ac:dyDescent="0.3">
      <c r="A13" s="52" t="s">
        <v>7</v>
      </c>
      <c r="B13" s="67" t="s">
        <v>209</v>
      </c>
      <c r="C13" s="262">
        <f>C10*0.2359</f>
        <v>1.6984799999999998</v>
      </c>
      <c r="D13" s="263"/>
    </row>
    <row r="14" spans="1:5" ht="16.5" thickBot="1" x14ac:dyDescent="0.3">
      <c r="A14" s="52"/>
      <c r="B14" s="20" t="s">
        <v>9</v>
      </c>
      <c r="C14" s="262">
        <f>SUM(C10:D13)</f>
        <v>8.8984799999999993</v>
      </c>
      <c r="D14" s="263"/>
      <c r="E14" s="10"/>
    </row>
    <row r="15" spans="1:5" ht="16.5" thickBot="1" x14ac:dyDescent="0.3">
      <c r="A15" s="52"/>
      <c r="B15" s="20" t="s">
        <v>10</v>
      </c>
      <c r="C15" s="262"/>
      <c r="D15" s="263"/>
    </row>
    <row r="16" spans="1:5" ht="143.25" customHeight="1" thickBot="1" x14ac:dyDescent="0.3">
      <c r="A16" s="52" t="s">
        <v>12</v>
      </c>
      <c r="B16" s="103" t="s">
        <v>352</v>
      </c>
      <c r="C16" s="262">
        <f>0.14+0.27+0.01</f>
        <v>0.42000000000000004</v>
      </c>
      <c r="D16" s="263"/>
    </row>
    <row r="17" spans="1:5" ht="32.25" thickBot="1" x14ac:dyDescent="0.3">
      <c r="A17" s="52" t="s">
        <v>14</v>
      </c>
      <c r="B17" s="19" t="s">
        <v>354</v>
      </c>
      <c r="C17" s="262">
        <v>140.68</v>
      </c>
      <c r="D17" s="263"/>
    </row>
    <row r="18" spans="1:5" ht="16.5" thickBot="1" x14ac:dyDescent="0.3">
      <c r="A18" s="3"/>
      <c r="B18" s="18" t="s">
        <v>18</v>
      </c>
      <c r="C18" s="262">
        <f>SUM(C16:C17)</f>
        <v>141.1</v>
      </c>
      <c r="D18" s="263"/>
      <c r="E18" s="11"/>
    </row>
    <row r="19" spans="1:5" ht="16.5" thickBot="1" x14ac:dyDescent="0.3">
      <c r="A19" s="3"/>
      <c r="B19" s="21" t="s">
        <v>19</v>
      </c>
      <c r="C19" s="267">
        <f>SUM(C14,C18)</f>
        <v>149.99848</v>
      </c>
      <c r="D19" s="268"/>
      <c r="E19" s="12"/>
    </row>
    <row r="20" spans="1:5" x14ac:dyDescent="0.25">
      <c r="A20" s="4"/>
      <c r="C20" s="8"/>
      <c r="E20" s="13"/>
    </row>
    <row r="21" spans="1:5" ht="15.75" x14ac:dyDescent="0.25">
      <c r="A21" s="269" t="s">
        <v>20</v>
      </c>
      <c r="B21" s="270"/>
      <c r="C21" s="271">
        <v>1</v>
      </c>
      <c r="D21" s="271"/>
      <c r="E21" s="14"/>
    </row>
    <row r="22" spans="1:5" ht="31.5" customHeight="1" x14ac:dyDescent="0.25">
      <c r="A22" s="264" t="s">
        <v>21</v>
      </c>
      <c r="B22" s="265"/>
      <c r="C22" s="225">
        <f>C19/C21</f>
        <v>149.99848</v>
      </c>
      <c r="D22" s="225"/>
      <c r="E22" s="15"/>
    </row>
    <row r="23" spans="1:5" ht="15.75" x14ac:dyDescent="0.25">
      <c r="A23" s="2"/>
    </row>
    <row r="24" spans="1:5" x14ac:dyDescent="0.25">
      <c r="A24" s="78"/>
      <c r="B24" s="78"/>
      <c r="C24" s="203"/>
      <c r="D24" s="203"/>
    </row>
    <row r="25" spans="1:5" x14ac:dyDescent="0.25">
      <c r="A25" s="78"/>
      <c r="B25" s="78"/>
      <c r="C25" s="79"/>
      <c r="D25" s="78"/>
    </row>
    <row r="26" spans="1:5" x14ac:dyDescent="0.25">
      <c r="A26" s="78"/>
      <c r="B26" s="78"/>
      <c r="C26" s="203"/>
      <c r="D26" s="203"/>
    </row>
    <row r="27" spans="1:5" x14ac:dyDescent="0.25">
      <c r="A27" s="78"/>
      <c r="B27" s="78"/>
      <c r="C27" s="78"/>
      <c r="D27" s="78"/>
    </row>
    <row r="28" spans="1:5" x14ac:dyDescent="0.25">
      <c r="A28" s="202"/>
      <c r="B28" s="202"/>
      <c r="C28" s="80"/>
      <c r="D28" s="80"/>
    </row>
    <row r="29" spans="1:5" x14ac:dyDescent="0.25">
      <c r="A29" s="201"/>
      <c r="B29" s="202"/>
      <c r="C29" s="80"/>
      <c r="D29" s="80"/>
    </row>
    <row r="30" spans="1:5" x14ac:dyDescent="0.25">
      <c r="A30" s="57"/>
      <c r="B30" s="80"/>
      <c r="C30" s="81"/>
      <c r="D30" s="81"/>
    </row>
    <row r="31" spans="1:5" x14ac:dyDescent="0.25">
      <c r="A31" s="201"/>
      <c r="B31" s="201"/>
      <c r="C31" s="81"/>
      <c r="D31" s="81"/>
    </row>
  </sheetData>
  <mergeCells count="24">
    <mergeCell ref="C15:D15"/>
    <mergeCell ref="C9:D9"/>
    <mergeCell ref="A10:A12"/>
    <mergeCell ref="C10:D12"/>
    <mergeCell ref="C13:D13"/>
    <mergeCell ref="C14:D14"/>
    <mergeCell ref="A1:D1"/>
    <mergeCell ref="A3:D3"/>
    <mergeCell ref="A5:D5"/>
    <mergeCell ref="A7:D7"/>
    <mergeCell ref="C8:D8"/>
    <mergeCell ref="A22:B22"/>
    <mergeCell ref="C22:D22"/>
    <mergeCell ref="C16:D16"/>
    <mergeCell ref="C17:D17"/>
    <mergeCell ref="C18:D18"/>
    <mergeCell ref="C19:D19"/>
    <mergeCell ref="A21:B21"/>
    <mergeCell ref="C21:D21"/>
    <mergeCell ref="C24:D24"/>
    <mergeCell ref="C26:D26"/>
    <mergeCell ref="A28:B28"/>
    <mergeCell ref="A29:B29"/>
    <mergeCell ref="A31:B31"/>
  </mergeCells>
  <pageMargins left="0.70866141732283472" right="0.70866141732283472" top="0.74803149606299213" bottom="0.74803149606299213" header="0.31496062992125984" footer="0.31496062992125984"/>
  <pageSetup paperSize="9" fitToHeight="0" orientation="portrait" verticalDpi="0"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view="pageBreakPreview" zoomScale="60" zoomScaleNormal="100" workbookViewId="0">
      <selection activeCell="T13" sqref="T13"/>
    </sheetView>
  </sheetViews>
  <sheetFormatPr defaultRowHeight="15" x14ac:dyDescent="0.25"/>
  <cols>
    <col min="1" max="1" width="14.85546875" customWidth="1"/>
    <col min="2" max="2" width="55.42578125" customWidth="1"/>
    <col min="3" max="3" width="12.7109375" style="7" customWidth="1"/>
    <col min="4" max="4" width="4.140625" customWidth="1"/>
    <col min="5" max="5" width="25.85546875" style="9" customWidth="1"/>
    <col min="8" max="8" width="7.42578125" bestFit="1" customWidth="1"/>
  </cols>
  <sheetData>
    <row r="1" spans="1:5" ht="15.75" x14ac:dyDescent="0.25">
      <c r="A1" s="1"/>
    </row>
    <row r="2" spans="1:5" ht="14.45" customHeight="1" x14ac:dyDescent="0.25">
      <c r="A2" s="251" t="s">
        <v>0</v>
      </c>
      <c r="B2" s="251"/>
      <c r="C2" s="251"/>
      <c r="D2" s="251"/>
    </row>
    <row r="3" spans="1:5" ht="15.75" x14ac:dyDescent="0.25">
      <c r="D3" s="1"/>
    </row>
    <row r="4" spans="1:5" ht="16.5" customHeight="1" x14ac:dyDescent="0.25">
      <c r="A4" s="252" t="s">
        <v>22</v>
      </c>
      <c r="B4" s="252"/>
      <c r="C4" s="252"/>
      <c r="D4" s="252"/>
    </row>
    <row r="5" spans="1:5" ht="15.75" x14ac:dyDescent="0.25">
      <c r="D5" s="5"/>
    </row>
    <row r="6" spans="1:5" s="59" customFormat="1" ht="31.5" customHeight="1" x14ac:dyDescent="0.25">
      <c r="A6" s="253" t="s">
        <v>298</v>
      </c>
      <c r="B6" s="253"/>
      <c r="C6" s="253"/>
      <c r="D6" s="253"/>
      <c r="E6" s="58"/>
    </row>
    <row r="7" spans="1:5" ht="15.75" x14ac:dyDescent="0.25">
      <c r="D7" s="6"/>
    </row>
    <row r="8" spans="1:5" ht="16.5" thickBot="1" x14ac:dyDescent="0.3">
      <c r="A8" s="254" t="s">
        <v>1</v>
      </c>
      <c r="B8" s="254"/>
      <c r="C8" s="254"/>
      <c r="D8" s="254"/>
    </row>
    <row r="9" spans="1:5" ht="75.75" customHeight="1" thickBot="1" x14ac:dyDescent="0.3">
      <c r="A9" s="16" t="s">
        <v>2</v>
      </c>
      <c r="B9" s="17" t="s">
        <v>3</v>
      </c>
      <c r="C9" s="255" t="s">
        <v>4</v>
      </c>
      <c r="D9" s="256"/>
    </row>
    <row r="10" spans="1:5" ht="16.5" thickBot="1" x14ac:dyDescent="0.3">
      <c r="A10" s="3"/>
      <c r="B10" s="18" t="s">
        <v>5</v>
      </c>
      <c r="C10" s="257"/>
      <c r="D10" s="258"/>
    </row>
    <row r="11" spans="1:5" ht="81" customHeight="1" thickBot="1" x14ac:dyDescent="0.3">
      <c r="A11" s="61" t="s">
        <v>6</v>
      </c>
      <c r="B11" s="66" t="s">
        <v>636</v>
      </c>
      <c r="C11" s="262">
        <f>0.06*2*15</f>
        <v>1.7999999999999998</v>
      </c>
      <c r="D11" s="263"/>
    </row>
    <row r="12" spans="1:5" ht="48" thickBot="1" x14ac:dyDescent="0.3">
      <c r="A12" s="68" t="s">
        <v>7</v>
      </c>
      <c r="B12" s="77" t="s">
        <v>209</v>
      </c>
      <c r="C12" s="262">
        <f>C11*0.2359</f>
        <v>0.42461999999999994</v>
      </c>
      <c r="D12" s="263"/>
    </row>
    <row r="13" spans="1:5" ht="16.5" thickBot="1" x14ac:dyDescent="0.3">
      <c r="A13" s="52"/>
      <c r="B13" s="74" t="s">
        <v>9</v>
      </c>
      <c r="C13" s="262">
        <f>SUM(C11:D12)</f>
        <v>2.2246199999999998</v>
      </c>
      <c r="D13" s="263"/>
      <c r="E13" s="10"/>
    </row>
    <row r="14" spans="1:5" ht="16.5" thickBot="1" x14ac:dyDescent="0.3">
      <c r="A14" s="52"/>
      <c r="B14" s="74" t="s">
        <v>10</v>
      </c>
      <c r="C14" s="262"/>
      <c r="D14" s="263"/>
    </row>
    <row r="15" spans="1:5" ht="141.75" customHeight="1" thickBot="1" x14ac:dyDescent="0.3">
      <c r="A15" s="52" t="s">
        <v>12</v>
      </c>
      <c r="B15" s="103" t="s">
        <v>345</v>
      </c>
      <c r="C15" s="262">
        <f>0.6+4.05+0.15</f>
        <v>4.8</v>
      </c>
      <c r="D15" s="263"/>
    </row>
    <row r="16" spans="1:5" ht="48" customHeight="1" thickBot="1" x14ac:dyDescent="0.3">
      <c r="A16" s="52" t="s">
        <v>14</v>
      </c>
      <c r="B16" s="87" t="s">
        <v>355</v>
      </c>
      <c r="C16" s="262">
        <f>0.15+0.26</f>
        <v>0.41000000000000003</v>
      </c>
      <c r="D16" s="263"/>
    </row>
    <row r="17" spans="1:5" ht="16.5" thickBot="1" x14ac:dyDescent="0.3">
      <c r="A17" s="3"/>
      <c r="B17" s="18" t="s">
        <v>18</v>
      </c>
      <c r="C17" s="262">
        <f>SUM(C15:C16)</f>
        <v>5.21</v>
      </c>
      <c r="D17" s="263"/>
      <c r="E17" s="11"/>
    </row>
    <row r="18" spans="1:5" ht="16.5" thickBot="1" x14ac:dyDescent="0.3">
      <c r="A18" s="3"/>
      <c r="B18" s="21" t="s">
        <v>19</v>
      </c>
      <c r="C18" s="267">
        <f>SUM(C13,C17)</f>
        <v>7.4346199999999998</v>
      </c>
      <c r="D18" s="268"/>
      <c r="E18" s="12"/>
    </row>
    <row r="19" spans="1:5" x14ac:dyDescent="0.25">
      <c r="A19" s="4"/>
      <c r="C19" s="8"/>
      <c r="E19" s="13"/>
    </row>
    <row r="20" spans="1:5" ht="15.75" x14ac:dyDescent="0.25">
      <c r="A20" s="269" t="s">
        <v>20</v>
      </c>
      <c r="B20" s="270"/>
      <c r="C20" s="271">
        <v>15</v>
      </c>
      <c r="D20" s="271"/>
      <c r="E20" s="14"/>
    </row>
    <row r="21" spans="1:5" ht="46.5" customHeight="1" x14ac:dyDescent="0.25">
      <c r="A21" s="326" t="s">
        <v>21</v>
      </c>
      <c r="B21" s="327"/>
      <c r="C21" s="225">
        <f>C18/C20</f>
        <v>0.49564133333333332</v>
      </c>
      <c r="D21" s="225"/>
      <c r="E21" s="15"/>
    </row>
    <row r="22" spans="1:5" ht="15.75" x14ac:dyDescent="0.25">
      <c r="A22" s="2"/>
    </row>
    <row r="23" spans="1:5" x14ac:dyDescent="0.25">
      <c r="A23" s="78"/>
      <c r="B23" s="78"/>
      <c r="C23" s="203"/>
      <c r="D23" s="203"/>
    </row>
    <row r="24" spans="1:5" x14ac:dyDescent="0.25">
      <c r="A24" s="78"/>
      <c r="B24" s="78"/>
      <c r="C24" s="79"/>
      <c r="D24" s="78"/>
    </row>
    <row r="25" spans="1:5" x14ac:dyDescent="0.25">
      <c r="A25" s="78"/>
      <c r="B25" s="78"/>
      <c r="C25" s="203"/>
      <c r="D25" s="203"/>
    </row>
    <row r="26" spans="1:5" x14ac:dyDescent="0.25">
      <c r="A26" s="78"/>
      <c r="B26" s="78"/>
      <c r="C26" s="78"/>
      <c r="D26" s="78"/>
    </row>
    <row r="27" spans="1:5" x14ac:dyDescent="0.25">
      <c r="A27" s="202"/>
      <c r="B27" s="202"/>
      <c r="C27" s="80"/>
      <c r="D27" s="80"/>
    </row>
    <row r="28" spans="1:5" x14ac:dyDescent="0.25">
      <c r="A28" s="201"/>
      <c r="B28" s="202"/>
      <c r="C28" s="80"/>
      <c r="D28" s="80"/>
    </row>
    <row r="29" spans="1:5" x14ac:dyDescent="0.25">
      <c r="A29" s="57"/>
      <c r="B29" s="80"/>
      <c r="C29" s="81"/>
      <c r="D29" s="81"/>
    </row>
    <row r="30" spans="1:5" x14ac:dyDescent="0.25">
      <c r="A30" s="201"/>
      <c r="B30" s="201"/>
      <c r="C30" s="81"/>
      <c r="D30" s="81"/>
    </row>
  </sheetData>
  <mergeCells count="23">
    <mergeCell ref="C10:D10"/>
    <mergeCell ref="C11:D11"/>
    <mergeCell ref="C12:D12"/>
    <mergeCell ref="C13:D13"/>
    <mergeCell ref="C14:D14"/>
    <mergeCell ref="A2:D2"/>
    <mergeCell ref="A4:D4"/>
    <mergeCell ref="A6:D6"/>
    <mergeCell ref="A8:D8"/>
    <mergeCell ref="C9:D9"/>
    <mergeCell ref="A21:B21"/>
    <mergeCell ref="C21:D21"/>
    <mergeCell ref="C15:D15"/>
    <mergeCell ref="C16:D16"/>
    <mergeCell ref="C17:D17"/>
    <mergeCell ref="C18:D18"/>
    <mergeCell ref="A20:B20"/>
    <mergeCell ref="C20:D20"/>
    <mergeCell ref="C23:D23"/>
    <mergeCell ref="C25:D25"/>
    <mergeCell ref="A27:B27"/>
    <mergeCell ref="A28:B28"/>
    <mergeCell ref="A30:B30"/>
  </mergeCells>
  <pageMargins left="0.70866141732283472" right="0.70866141732283472" top="0.74803149606299213" bottom="0.74803149606299213" header="0.31496062992125984" footer="0.31496062992125984"/>
  <pageSetup paperSize="9" fitToHeight="0" orientation="portrait" verticalDpi="0"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view="pageBreakPreview" zoomScale="60" zoomScaleNormal="100" workbookViewId="0">
      <selection activeCell="T13" sqref="T13"/>
    </sheetView>
  </sheetViews>
  <sheetFormatPr defaultRowHeight="15" x14ac:dyDescent="0.25"/>
  <cols>
    <col min="1" max="1" width="16.42578125" customWidth="1"/>
    <col min="2" max="2" width="48.85546875" customWidth="1"/>
    <col min="3" max="3" width="10.140625" style="7" customWidth="1"/>
    <col min="5" max="5" width="25.85546875" style="9" customWidth="1"/>
    <col min="8" max="8" width="7.42578125" bestFit="1" customWidth="1"/>
  </cols>
  <sheetData>
    <row r="1" spans="1:5" ht="15.75" x14ac:dyDescent="0.25">
      <c r="A1" s="1"/>
    </row>
    <row r="2" spans="1:5" ht="14.45" customHeight="1" x14ac:dyDescent="0.25">
      <c r="A2" s="251" t="s">
        <v>0</v>
      </c>
      <c r="B2" s="251"/>
      <c r="C2" s="251"/>
      <c r="D2" s="251"/>
    </row>
    <row r="3" spans="1:5" ht="15.75" x14ac:dyDescent="0.25">
      <c r="D3" s="1"/>
    </row>
    <row r="4" spans="1:5" ht="15.75" customHeight="1" x14ac:dyDescent="0.25">
      <c r="A4" s="252" t="s">
        <v>22</v>
      </c>
      <c r="B4" s="252"/>
      <c r="C4" s="252"/>
      <c r="D4" s="252"/>
    </row>
    <row r="5" spans="1:5" ht="15.75" x14ac:dyDescent="0.25">
      <c r="D5" s="5"/>
    </row>
    <row r="6" spans="1:5" s="59" customFormat="1" ht="48" customHeight="1" x14ac:dyDescent="0.25">
      <c r="A6" s="253" t="s">
        <v>299</v>
      </c>
      <c r="B6" s="253"/>
      <c r="C6" s="253"/>
      <c r="D6" s="253"/>
      <c r="E6" s="58"/>
    </row>
    <row r="7" spans="1:5" ht="15.75" x14ac:dyDescent="0.25">
      <c r="D7" s="6"/>
    </row>
    <row r="8" spans="1:5" ht="16.5" thickBot="1" x14ac:dyDescent="0.3">
      <c r="A8" s="254" t="s">
        <v>1</v>
      </c>
      <c r="B8" s="254"/>
      <c r="C8" s="254"/>
      <c r="D8" s="254"/>
    </row>
    <row r="9" spans="1:5" ht="75.75" customHeight="1" thickBot="1" x14ac:dyDescent="0.3">
      <c r="A9" s="16" t="s">
        <v>2</v>
      </c>
      <c r="B9" s="17" t="s">
        <v>3</v>
      </c>
      <c r="C9" s="255" t="s">
        <v>4</v>
      </c>
      <c r="D9" s="256"/>
    </row>
    <row r="10" spans="1:5" ht="16.5" thickBot="1" x14ac:dyDescent="0.3">
      <c r="A10" s="3"/>
      <c r="B10" s="18" t="s">
        <v>5</v>
      </c>
      <c r="C10" s="257"/>
      <c r="D10" s="258"/>
    </row>
    <row r="11" spans="1:5" ht="66" customHeight="1" thickBot="1" x14ac:dyDescent="0.3">
      <c r="A11" s="61" t="s">
        <v>6</v>
      </c>
      <c r="B11" s="66" t="s">
        <v>637</v>
      </c>
      <c r="C11" s="262">
        <f>0.06*2*15</f>
        <v>1.7999999999999998</v>
      </c>
      <c r="D11" s="263"/>
    </row>
    <row r="12" spans="1:5" ht="48" thickBot="1" x14ac:dyDescent="0.3">
      <c r="A12" s="68" t="s">
        <v>7</v>
      </c>
      <c r="B12" s="69" t="s">
        <v>209</v>
      </c>
      <c r="C12" s="262">
        <f>C11*0.2359</f>
        <v>0.42461999999999994</v>
      </c>
      <c r="D12" s="263"/>
    </row>
    <row r="13" spans="1:5" ht="16.5" thickBot="1" x14ac:dyDescent="0.3">
      <c r="A13" s="52"/>
      <c r="B13" s="20" t="s">
        <v>9</v>
      </c>
      <c r="C13" s="262">
        <f>SUM(C11:D12)</f>
        <v>2.2246199999999998</v>
      </c>
      <c r="D13" s="263"/>
      <c r="E13" s="10"/>
    </row>
    <row r="14" spans="1:5" ht="16.5" thickBot="1" x14ac:dyDescent="0.3">
      <c r="A14" s="52"/>
      <c r="B14" s="20" t="s">
        <v>10</v>
      </c>
      <c r="C14" s="262"/>
      <c r="D14" s="263"/>
    </row>
    <row r="15" spans="1:5" ht="141" customHeight="1" thickBot="1" x14ac:dyDescent="0.3">
      <c r="A15" s="52" t="s">
        <v>12</v>
      </c>
      <c r="B15" s="103" t="s">
        <v>345</v>
      </c>
      <c r="C15" s="262">
        <f>0.6+4.05+0.15</f>
        <v>4.8</v>
      </c>
      <c r="D15" s="263"/>
    </row>
    <row r="16" spans="1:5" ht="48" thickBot="1" x14ac:dyDescent="0.3">
      <c r="A16" s="52" t="s">
        <v>17</v>
      </c>
      <c r="B16" s="67" t="s">
        <v>425</v>
      </c>
      <c r="C16" s="262">
        <f>100/3700*15</f>
        <v>0.40540540540540543</v>
      </c>
      <c r="D16" s="263"/>
    </row>
    <row r="17" spans="1:5" ht="16.5" thickBot="1" x14ac:dyDescent="0.3">
      <c r="A17" s="3"/>
      <c r="B17" s="18" t="s">
        <v>18</v>
      </c>
      <c r="C17" s="262">
        <f>SUM(C15:C16)</f>
        <v>5.2054054054054051</v>
      </c>
      <c r="D17" s="263"/>
      <c r="E17" s="11"/>
    </row>
    <row r="18" spans="1:5" ht="16.5" thickBot="1" x14ac:dyDescent="0.3">
      <c r="A18" s="3"/>
      <c r="B18" s="21" t="s">
        <v>19</v>
      </c>
      <c r="C18" s="267">
        <f>SUM(C13,C17)</f>
        <v>7.4300254054054049</v>
      </c>
      <c r="D18" s="268"/>
      <c r="E18" s="12"/>
    </row>
    <row r="19" spans="1:5" x14ac:dyDescent="0.25">
      <c r="A19" s="4"/>
      <c r="C19" s="8"/>
      <c r="E19" s="13"/>
    </row>
    <row r="20" spans="1:5" ht="15.75" x14ac:dyDescent="0.25">
      <c r="A20" s="269" t="s">
        <v>20</v>
      </c>
      <c r="B20" s="270"/>
      <c r="C20" s="271">
        <v>15</v>
      </c>
      <c r="D20" s="271"/>
      <c r="E20" s="14"/>
    </row>
    <row r="21" spans="1:5" ht="36" customHeight="1" x14ac:dyDescent="0.25">
      <c r="A21" s="264" t="s">
        <v>21</v>
      </c>
      <c r="B21" s="312"/>
      <c r="C21" s="225">
        <f>C18/C20</f>
        <v>0.49533502702702698</v>
      </c>
      <c r="D21" s="225"/>
      <c r="E21" s="15"/>
    </row>
    <row r="22" spans="1:5" ht="15.75" x14ac:dyDescent="0.25">
      <c r="A22" s="2"/>
    </row>
    <row r="23" spans="1:5" x14ac:dyDescent="0.25">
      <c r="A23" s="78"/>
      <c r="B23" s="78"/>
      <c r="C23" s="203"/>
      <c r="D23" s="203"/>
    </row>
    <row r="24" spans="1:5" x14ac:dyDescent="0.25">
      <c r="A24" s="78"/>
      <c r="B24" s="78"/>
      <c r="C24" s="79"/>
      <c r="D24" s="78"/>
    </row>
    <row r="25" spans="1:5" x14ac:dyDescent="0.25">
      <c r="A25" s="78"/>
      <c r="B25" s="78"/>
      <c r="C25" s="203"/>
      <c r="D25" s="203"/>
    </row>
    <row r="26" spans="1:5" x14ac:dyDescent="0.25">
      <c r="A26" s="78"/>
      <c r="B26" s="78"/>
      <c r="C26" s="78"/>
      <c r="D26" s="78"/>
    </row>
    <row r="27" spans="1:5" x14ac:dyDescent="0.25">
      <c r="A27" s="202"/>
      <c r="B27" s="202"/>
      <c r="C27" s="80"/>
      <c r="D27" s="80"/>
    </row>
    <row r="28" spans="1:5" x14ac:dyDescent="0.25">
      <c r="A28" s="201"/>
      <c r="B28" s="202"/>
      <c r="C28" s="80"/>
      <c r="D28" s="80"/>
    </row>
    <row r="29" spans="1:5" x14ac:dyDescent="0.25">
      <c r="A29" s="57"/>
      <c r="B29" s="80"/>
      <c r="C29" s="81"/>
      <c r="D29" s="81"/>
    </row>
    <row r="30" spans="1:5" x14ac:dyDescent="0.25">
      <c r="A30" s="201"/>
      <c r="B30" s="201"/>
      <c r="C30" s="81"/>
      <c r="D30" s="81"/>
    </row>
  </sheetData>
  <mergeCells count="23">
    <mergeCell ref="C10:D10"/>
    <mergeCell ref="C11:D11"/>
    <mergeCell ref="C12:D12"/>
    <mergeCell ref="C13:D13"/>
    <mergeCell ref="C14:D14"/>
    <mergeCell ref="A2:D2"/>
    <mergeCell ref="A4:D4"/>
    <mergeCell ref="A6:D6"/>
    <mergeCell ref="A8:D8"/>
    <mergeCell ref="C9:D9"/>
    <mergeCell ref="A21:B21"/>
    <mergeCell ref="C21:D21"/>
    <mergeCell ref="C15:D15"/>
    <mergeCell ref="C16:D16"/>
    <mergeCell ref="C17:D17"/>
    <mergeCell ref="C18:D18"/>
    <mergeCell ref="A20:B20"/>
    <mergeCell ref="C20:D20"/>
    <mergeCell ref="C23:D23"/>
    <mergeCell ref="C25:D25"/>
    <mergeCell ref="A27:B27"/>
    <mergeCell ref="A28:B28"/>
    <mergeCell ref="A30:B30"/>
  </mergeCells>
  <pageMargins left="0.70866141732283472" right="0.70866141732283472" top="0.74803149606299213" bottom="0.74803149606299213" header="0.31496062992125984" footer="0.31496062992125984"/>
  <pageSetup paperSize="9" fitToHeight="0" orientation="portrait" verticalDpi="0"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view="pageBreakPreview" zoomScale="60" zoomScaleNormal="100" workbookViewId="0">
      <selection activeCell="T13" sqref="T13"/>
    </sheetView>
  </sheetViews>
  <sheetFormatPr defaultRowHeight="15" x14ac:dyDescent="0.25"/>
  <cols>
    <col min="1" max="1" width="19.5703125" customWidth="1"/>
    <col min="2" max="2" width="52.42578125" customWidth="1"/>
    <col min="3" max="3" width="12.5703125" style="7" customWidth="1"/>
    <col min="5" max="5" width="25.85546875" style="9" customWidth="1"/>
    <col min="8" max="8" width="7.42578125" bestFit="1" customWidth="1"/>
    <col min="257" max="257" width="19.5703125" customWidth="1"/>
    <col min="258" max="258" width="52.42578125" customWidth="1"/>
    <col min="259" max="259" width="18.42578125" customWidth="1"/>
    <col min="261" max="261" width="25.85546875" customWidth="1"/>
    <col min="264" max="264" width="7.42578125" bestFit="1" customWidth="1"/>
    <col min="513" max="513" width="19.5703125" customWidth="1"/>
    <col min="514" max="514" width="52.42578125" customWidth="1"/>
    <col min="515" max="515" width="18.42578125" customWidth="1"/>
    <col min="517" max="517" width="25.85546875" customWidth="1"/>
    <col min="520" max="520" width="7.42578125" bestFit="1" customWidth="1"/>
    <col min="769" max="769" width="19.5703125" customWidth="1"/>
    <col min="770" max="770" width="52.42578125" customWidth="1"/>
    <col min="771" max="771" width="18.42578125" customWidth="1"/>
    <col min="773" max="773" width="25.85546875" customWidth="1"/>
    <col min="776" max="776" width="7.42578125" bestFit="1" customWidth="1"/>
    <col min="1025" max="1025" width="19.5703125" customWidth="1"/>
    <col min="1026" max="1026" width="52.42578125" customWidth="1"/>
    <col min="1027" max="1027" width="18.42578125" customWidth="1"/>
    <col min="1029" max="1029" width="25.85546875" customWidth="1"/>
    <col min="1032" max="1032" width="7.42578125" bestFit="1" customWidth="1"/>
    <col min="1281" max="1281" width="19.5703125" customWidth="1"/>
    <col min="1282" max="1282" width="52.42578125" customWidth="1"/>
    <col min="1283" max="1283" width="18.42578125" customWidth="1"/>
    <col min="1285" max="1285" width="25.85546875" customWidth="1"/>
    <col min="1288" max="1288" width="7.42578125" bestFit="1" customWidth="1"/>
    <col min="1537" max="1537" width="19.5703125" customWidth="1"/>
    <col min="1538" max="1538" width="52.42578125" customWidth="1"/>
    <col min="1539" max="1539" width="18.42578125" customWidth="1"/>
    <col min="1541" max="1541" width="25.85546875" customWidth="1"/>
    <col min="1544" max="1544" width="7.42578125" bestFit="1" customWidth="1"/>
    <col min="1793" max="1793" width="19.5703125" customWidth="1"/>
    <col min="1794" max="1794" width="52.42578125" customWidth="1"/>
    <col min="1795" max="1795" width="18.42578125" customWidth="1"/>
    <col min="1797" max="1797" width="25.85546875" customWidth="1"/>
    <col min="1800" max="1800" width="7.42578125" bestFit="1" customWidth="1"/>
    <col min="2049" max="2049" width="19.5703125" customWidth="1"/>
    <col min="2050" max="2050" width="52.42578125" customWidth="1"/>
    <col min="2051" max="2051" width="18.42578125" customWidth="1"/>
    <col min="2053" max="2053" width="25.85546875" customWidth="1"/>
    <col min="2056" max="2056" width="7.42578125" bestFit="1" customWidth="1"/>
    <col min="2305" max="2305" width="19.5703125" customWidth="1"/>
    <col min="2306" max="2306" width="52.42578125" customWidth="1"/>
    <col min="2307" max="2307" width="18.42578125" customWidth="1"/>
    <col min="2309" max="2309" width="25.85546875" customWidth="1"/>
    <col min="2312" max="2312" width="7.42578125" bestFit="1" customWidth="1"/>
    <col min="2561" max="2561" width="19.5703125" customWidth="1"/>
    <col min="2562" max="2562" width="52.42578125" customWidth="1"/>
    <col min="2563" max="2563" width="18.42578125" customWidth="1"/>
    <col min="2565" max="2565" width="25.85546875" customWidth="1"/>
    <col min="2568" max="2568" width="7.42578125" bestFit="1" customWidth="1"/>
    <col min="2817" max="2817" width="19.5703125" customWidth="1"/>
    <col min="2818" max="2818" width="52.42578125" customWidth="1"/>
    <col min="2819" max="2819" width="18.42578125" customWidth="1"/>
    <col min="2821" max="2821" width="25.85546875" customWidth="1"/>
    <col min="2824" max="2824" width="7.42578125" bestFit="1" customWidth="1"/>
    <col min="3073" max="3073" width="19.5703125" customWidth="1"/>
    <col min="3074" max="3074" width="52.42578125" customWidth="1"/>
    <col min="3075" max="3075" width="18.42578125" customWidth="1"/>
    <col min="3077" max="3077" width="25.85546875" customWidth="1"/>
    <col min="3080" max="3080" width="7.42578125" bestFit="1" customWidth="1"/>
    <col min="3329" max="3329" width="19.5703125" customWidth="1"/>
    <col min="3330" max="3330" width="52.42578125" customWidth="1"/>
    <col min="3331" max="3331" width="18.42578125" customWidth="1"/>
    <col min="3333" max="3333" width="25.85546875" customWidth="1"/>
    <col min="3336" max="3336" width="7.42578125" bestFit="1" customWidth="1"/>
    <col min="3585" max="3585" width="19.5703125" customWidth="1"/>
    <col min="3586" max="3586" width="52.42578125" customWidth="1"/>
    <col min="3587" max="3587" width="18.42578125" customWidth="1"/>
    <col min="3589" max="3589" width="25.85546875" customWidth="1"/>
    <col min="3592" max="3592" width="7.42578125" bestFit="1" customWidth="1"/>
    <col min="3841" max="3841" width="19.5703125" customWidth="1"/>
    <col min="3842" max="3842" width="52.42578125" customWidth="1"/>
    <col min="3843" max="3843" width="18.42578125" customWidth="1"/>
    <col min="3845" max="3845" width="25.85546875" customWidth="1"/>
    <col min="3848" max="3848" width="7.42578125" bestFit="1" customWidth="1"/>
    <col min="4097" max="4097" width="19.5703125" customWidth="1"/>
    <col min="4098" max="4098" width="52.42578125" customWidth="1"/>
    <col min="4099" max="4099" width="18.42578125" customWidth="1"/>
    <col min="4101" max="4101" width="25.85546875" customWidth="1"/>
    <col min="4104" max="4104" width="7.42578125" bestFit="1" customWidth="1"/>
    <col min="4353" max="4353" width="19.5703125" customWidth="1"/>
    <col min="4354" max="4354" width="52.42578125" customWidth="1"/>
    <col min="4355" max="4355" width="18.42578125" customWidth="1"/>
    <col min="4357" max="4357" width="25.85546875" customWidth="1"/>
    <col min="4360" max="4360" width="7.42578125" bestFit="1" customWidth="1"/>
    <col min="4609" max="4609" width="19.5703125" customWidth="1"/>
    <col min="4610" max="4610" width="52.42578125" customWidth="1"/>
    <col min="4611" max="4611" width="18.42578125" customWidth="1"/>
    <col min="4613" max="4613" width="25.85546875" customWidth="1"/>
    <col min="4616" max="4616" width="7.42578125" bestFit="1" customWidth="1"/>
    <col min="4865" max="4865" width="19.5703125" customWidth="1"/>
    <col min="4866" max="4866" width="52.42578125" customWidth="1"/>
    <col min="4867" max="4867" width="18.42578125" customWidth="1"/>
    <col min="4869" max="4869" width="25.85546875" customWidth="1"/>
    <col min="4872" max="4872" width="7.42578125" bestFit="1" customWidth="1"/>
    <col min="5121" max="5121" width="19.5703125" customWidth="1"/>
    <col min="5122" max="5122" width="52.42578125" customWidth="1"/>
    <col min="5123" max="5123" width="18.42578125" customWidth="1"/>
    <col min="5125" max="5125" width="25.85546875" customWidth="1"/>
    <col min="5128" max="5128" width="7.42578125" bestFit="1" customWidth="1"/>
    <col min="5377" max="5377" width="19.5703125" customWidth="1"/>
    <col min="5378" max="5378" width="52.42578125" customWidth="1"/>
    <col min="5379" max="5379" width="18.42578125" customWidth="1"/>
    <col min="5381" max="5381" width="25.85546875" customWidth="1"/>
    <col min="5384" max="5384" width="7.42578125" bestFit="1" customWidth="1"/>
    <col min="5633" max="5633" width="19.5703125" customWidth="1"/>
    <col min="5634" max="5634" width="52.42578125" customWidth="1"/>
    <col min="5635" max="5635" width="18.42578125" customWidth="1"/>
    <col min="5637" max="5637" width="25.85546875" customWidth="1"/>
    <col min="5640" max="5640" width="7.42578125" bestFit="1" customWidth="1"/>
    <col min="5889" max="5889" width="19.5703125" customWidth="1"/>
    <col min="5890" max="5890" width="52.42578125" customWidth="1"/>
    <col min="5891" max="5891" width="18.42578125" customWidth="1"/>
    <col min="5893" max="5893" width="25.85546875" customWidth="1"/>
    <col min="5896" max="5896" width="7.42578125" bestFit="1" customWidth="1"/>
    <col min="6145" max="6145" width="19.5703125" customWidth="1"/>
    <col min="6146" max="6146" width="52.42578125" customWidth="1"/>
    <col min="6147" max="6147" width="18.42578125" customWidth="1"/>
    <col min="6149" max="6149" width="25.85546875" customWidth="1"/>
    <col min="6152" max="6152" width="7.42578125" bestFit="1" customWidth="1"/>
    <col min="6401" max="6401" width="19.5703125" customWidth="1"/>
    <col min="6402" max="6402" width="52.42578125" customWidth="1"/>
    <col min="6403" max="6403" width="18.42578125" customWidth="1"/>
    <col min="6405" max="6405" width="25.85546875" customWidth="1"/>
    <col min="6408" max="6408" width="7.42578125" bestFit="1" customWidth="1"/>
    <col min="6657" max="6657" width="19.5703125" customWidth="1"/>
    <col min="6658" max="6658" width="52.42578125" customWidth="1"/>
    <col min="6659" max="6659" width="18.42578125" customWidth="1"/>
    <col min="6661" max="6661" width="25.85546875" customWidth="1"/>
    <col min="6664" max="6664" width="7.42578125" bestFit="1" customWidth="1"/>
    <col min="6913" max="6913" width="19.5703125" customWidth="1"/>
    <col min="6914" max="6914" width="52.42578125" customWidth="1"/>
    <col min="6915" max="6915" width="18.42578125" customWidth="1"/>
    <col min="6917" max="6917" width="25.85546875" customWidth="1"/>
    <col min="6920" max="6920" width="7.42578125" bestFit="1" customWidth="1"/>
    <col min="7169" max="7169" width="19.5703125" customWidth="1"/>
    <col min="7170" max="7170" width="52.42578125" customWidth="1"/>
    <col min="7171" max="7171" width="18.42578125" customWidth="1"/>
    <col min="7173" max="7173" width="25.85546875" customWidth="1"/>
    <col min="7176" max="7176" width="7.42578125" bestFit="1" customWidth="1"/>
    <col min="7425" max="7425" width="19.5703125" customWidth="1"/>
    <col min="7426" max="7426" width="52.42578125" customWidth="1"/>
    <col min="7427" max="7427" width="18.42578125" customWidth="1"/>
    <col min="7429" max="7429" width="25.85546875" customWidth="1"/>
    <col min="7432" max="7432" width="7.42578125" bestFit="1" customWidth="1"/>
    <col min="7681" max="7681" width="19.5703125" customWidth="1"/>
    <col min="7682" max="7682" width="52.42578125" customWidth="1"/>
    <col min="7683" max="7683" width="18.42578125" customWidth="1"/>
    <col min="7685" max="7685" width="25.85546875" customWidth="1"/>
    <col min="7688" max="7688" width="7.42578125" bestFit="1" customWidth="1"/>
    <col min="7937" max="7937" width="19.5703125" customWidth="1"/>
    <col min="7938" max="7938" width="52.42578125" customWidth="1"/>
    <col min="7939" max="7939" width="18.42578125" customWidth="1"/>
    <col min="7941" max="7941" width="25.85546875" customWidth="1"/>
    <col min="7944" max="7944" width="7.42578125" bestFit="1" customWidth="1"/>
    <col min="8193" max="8193" width="19.5703125" customWidth="1"/>
    <col min="8194" max="8194" width="52.42578125" customWidth="1"/>
    <col min="8195" max="8195" width="18.42578125" customWidth="1"/>
    <col min="8197" max="8197" width="25.85546875" customWidth="1"/>
    <col min="8200" max="8200" width="7.42578125" bestFit="1" customWidth="1"/>
    <col min="8449" max="8449" width="19.5703125" customWidth="1"/>
    <col min="8450" max="8450" width="52.42578125" customWidth="1"/>
    <col min="8451" max="8451" width="18.42578125" customWidth="1"/>
    <col min="8453" max="8453" width="25.85546875" customWidth="1"/>
    <col min="8456" max="8456" width="7.42578125" bestFit="1" customWidth="1"/>
    <col min="8705" max="8705" width="19.5703125" customWidth="1"/>
    <col min="8706" max="8706" width="52.42578125" customWidth="1"/>
    <col min="8707" max="8707" width="18.42578125" customWidth="1"/>
    <col min="8709" max="8709" width="25.85546875" customWidth="1"/>
    <col min="8712" max="8712" width="7.42578125" bestFit="1" customWidth="1"/>
    <col min="8961" max="8961" width="19.5703125" customWidth="1"/>
    <col min="8962" max="8962" width="52.42578125" customWidth="1"/>
    <col min="8963" max="8963" width="18.42578125" customWidth="1"/>
    <col min="8965" max="8965" width="25.85546875" customWidth="1"/>
    <col min="8968" max="8968" width="7.42578125" bestFit="1" customWidth="1"/>
    <col min="9217" max="9217" width="19.5703125" customWidth="1"/>
    <col min="9218" max="9218" width="52.42578125" customWidth="1"/>
    <col min="9219" max="9219" width="18.42578125" customWidth="1"/>
    <col min="9221" max="9221" width="25.85546875" customWidth="1"/>
    <col min="9224" max="9224" width="7.42578125" bestFit="1" customWidth="1"/>
    <col min="9473" max="9473" width="19.5703125" customWidth="1"/>
    <col min="9474" max="9474" width="52.42578125" customWidth="1"/>
    <col min="9475" max="9475" width="18.42578125" customWidth="1"/>
    <col min="9477" max="9477" width="25.85546875" customWidth="1"/>
    <col min="9480" max="9480" width="7.42578125" bestFit="1" customWidth="1"/>
    <col min="9729" max="9729" width="19.5703125" customWidth="1"/>
    <col min="9730" max="9730" width="52.42578125" customWidth="1"/>
    <col min="9731" max="9731" width="18.42578125" customWidth="1"/>
    <col min="9733" max="9733" width="25.85546875" customWidth="1"/>
    <col min="9736" max="9736" width="7.42578125" bestFit="1" customWidth="1"/>
    <col min="9985" max="9985" width="19.5703125" customWidth="1"/>
    <col min="9986" max="9986" width="52.42578125" customWidth="1"/>
    <col min="9987" max="9987" width="18.42578125" customWidth="1"/>
    <col min="9989" max="9989" width="25.85546875" customWidth="1"/>
    <col min="9992" max="9992" width="7.42578125" bestFit="1" customWidth="1"/>
    <col min="10241" max="10241" width="19.5703125" customWidth="1"/>
    <col min="10242" max="10242" width="52.42578125" customWidth="1"/>
    <col min="10243" max="10243" width="18.42578125" customWidth="1"/>
    <col min="10245" max="10245" width="25.85546875" customWidth="1"/>
    <col min="10248" max="10248" width="7.42578125" bestFit="1" customWidth="1"/>
    <col min="10497" max="10497" width="19.5703125" customWidth="1"/>
    <col min="10498" max="10498" width="52.42578125" customWidth="1"/>
    <col min="10499" max="10499" width="18.42578125" customWidth="1"/>
    <col min="10501" max="10501" width="25.85546875" customWidth="1"/>
    <col min="10504" max="10504" width="7.42578125" bestFit="1" customWidth="1"/>
    <col min="10753" max="10753" width="19.5703125" customWidth="1"/>
    <col min="10754" max="10754" width="52.42578125" customWidth="1"/>
    <col min="10755" max="10755" width="18.42578125" customWidth="1"/>
    <col min="10757" max="10757" width="25.85546875" customWidth="1"/>
    <col min="10760" max="10760" width="7.42578125" bestFit="1" customWidth="1"/>
    <col min="11009" max="11009" width="19.5703125" customWidth="1"/>
    <col min="11010" max="11010" width="52.42578125" customWidth="1"/>
    <col min="11011" max="11011" width="18.42578125" customWidth="1"/>
    <col min="11013" max="11013" width="25.85546875" customWidth="1"/>
    <col min="11016" max="11016" width="7.42578125" bestFit="1" customWidth="1"/>
    <col min="11265" max="11265" width="19.5703125" customWidth="1"/>
    <col min="11266" max="11266" width="52.42578125" customWidth="1"/>
    <col min="11267" max="11267" width="18.42578125" customWidth="1"/>
    <col min="11269" max="11269" width="25.85546875" customWidth="1"/>
    <col min="11272" max="11272" width="7.42578125" bestFit="1" customWidth="1"/>
    <col min="11521" max="11521" width="19.5703125" customWidth="1"/>
    <col min="11522" max="11522" width="52.42578125" customWidth="1"/>
    <col min="11523" max="11523" width="18.42578125" customWidth="1"/>
    <col min="11525" max="11525" width="25.85546875" customWidth="1"/>
    <col min="11528" max="11528" width="7.42578125" bestFit="1" customWidth="1"/>
    <col min="11777" max="11777" width="19.5703125" customWidth="1"/>
    <col min="11778" max="11778" width="52.42578125" customWidth="1"/>
    <col min="11779" max="11779" width="18.42578125" customWidth="1"/>
    <col min="11781" max="11781" width="25.85546875" customWidth="1"/>
    <col min="11784" max="11784" width="7.42578125" bestFit="1" customWidth="1"/>
    <col min="12033" max="12033" width="19.5703125" customWidth="1"/>
    <col min="12034" max="12034" width="52.42578125" customWidth="1"/>
    <col min="12035" max="12035" width="18.42578125" customWidth="1"/>
    <col min="12037" max="12037" width="25.85546875" customWidth="1"/>
    <col min="12040" max="12040" width="7.42578125" bestFit="1" customWidth="1"/>
    <col min="12289" max="12289" width="19.5703125" customWidth="1"/>
    <col min="12290" max="12290" width="52.42578125" customWidth="1"/>
    <col min="12291" max="12291" width="18.42578125" customWidth="1"/>
    <col min="12293" max="12293" width="25.85546875" customWidth="1"/>
    <col min="12296" max="12296" width="7.42578125" bestFit="1" customWidth="1"/>
    <col min="12545" max="12545" width="19.5703125" customWidth="1"/>
    <col min="12546" max="12546" width="52.42578125" customWidth="1"/>
    <col min="12547" max="12547" width="18.42578125" customWidth="1"/>
    <col min="12549" max="12549" width="25.85546875" customWidth="1"/>
    <col min="12552" max="12552" width="7.42578125" bestFit="1" customWidth="1"/>
    <col min="12801" max="12801" width="19.5703125" customWidth="1"/>
    <col min="12802" max="12802" width="52.42578125" customWidth="1"/>
    <col min="12803" max="12803" width="18.42578125" customWidth="1"/>
    <col min="12805" max="12805" width="25.85546875" customWidth="1"/>
    <col min="12808" max="12808" width="7.42578125" bestFit="1" customWidth="1"/>
    <col min="13057" max="13057" width="19.5703125" customWidth="1"/>
    <col min="13058" max="13058" width="52.42578125" customWidth="1"/>
    <col min="13059" max="13059" width="18.42578125" customWidth="1"/>
    <col min="13061" max="13061" width="25.85546875" customWidth="1"/>
    <col min="13064" max="13064" width="7.42578125" bestFit="1" customWidth="1"/>
    <col min="13313" max="13313" width="19.5703125" customWidth="1"/>
    <col min="13314" max="13314" width="52.42578125" customWidth="1"/>
    <col min="13315" max="13315" width="18.42578125" customWidth="1"/>
    <col min="13317" max="13317" width="25.85546875" customWidth="1"/>
    <col min="13320" max="13320" width="7.42578125" bestFit="1" customWidth="1"/>
    <col min="13569" max="13569" width="19.5703125" customWidth="1"/>
    <col min="13570" max="13570" width="52.42578125" customWidth="1"/>
    <col min="13571" max="13571" width="18.42578125" customWidth="1"/>
    <col min="13573" max="13573" width="25.85546875" customWidth="1"/>
    <col min="13576" max="13576" width="7.42578125" bestFit="1" customWidth="1"/>
    <col min="13825" max="13825" width="19.5703125" customWidth="1"/>
    <col min="13826" max="13826" width="52.42578125" customWidth="1"/>
    <col min="13827" max="13827" width="18.42578125" customWidth="1"/>
    <col min="13829" max="13829" width="25.85546875" customWidth="1"/>
    <col min="13832" max="13832" width="7.42578125" bestFit="1" customWidth="1"/>
    <col min="14081" max="14081" width="19.5703125" customWidth="1"/>
    <col min="14082" max="14082" width="52.42578125" customWidth="1"/>
    <col min="14083" max="14083" width="18.42578125" customWidth="1"/>
    <col min="14085" max="14085" width="25.85546875" customWidth="1"/>
    <col min="14088" max="14088" width="7.42578125" bestFit="1" customWidth="1"/>
    <col min="14337" max="14337" width="19.5703125" customWidth="1"/>
    <col min="14338" max="14338" width="52.42578125" customWidth="1"/>
    <col min="14339" max="14339" width="18.42578125" customWidth="1"/>
    <col min="14341" max="14341" width="25.85546875" customWidth="1"/>
    <col min="14344" max="14344" width="7.42578125" bestFit="1" customWidth="1"/>
    <col min="14593" max="14593" width="19.5703125" customWidth="1"/>
    <col min="14594" max="14594" width="52.42578125" customWidth="1"/>
    <col min="14595" max="14595" width="18.42578125" customWidth="1"/>
    <col min="14597" max="14597" width="25.85546875" customWidth="1"/>
    <col min="14600" max="14600" width="7.42578125" bestFit="1" customWidth="1"/>
    <col min="14849" max="14849" width="19.5703125" customWidth="1"/>
    <col min="14850" max="14850" width="52.42578125" customWidth="1"/>
    <col min="14851" max="14851" width="18.42578125" customWidth="1"/>
    <col min="14853" max="14853" width="25.85546875" customWidth="1"/>
    <col min="14856" max="14856" width="7.42578125" bestFit="1" customWidth="1"/>
    <col min="15105" max="15105" width="19.5703125" customWidth="1"/>
    <col min="15106" max="15106" width="52.42578125" customWidth="1"/>
    <col min="15107" max="15107" width="18.42578125" customWidth="1"/>
    <col min="15109" max="15109" width="25.85546875" customWidth="1"/>
    <col min="15112" max="15112" width="7.42578125" bestFit="1" customWidth="1"/>
    <col min="15361" max="15361" width="19.5703125" customWidth="1"/>
    <col min="15362" max="15362" width="52.42578125" customWidth="1"/>
    <col min="15363" max="15363" width="18.42578125" customWidth="1"/>
    <col min="15365" max="15365" width="25.85546875" customWidth="1"/>
    <col min="15368" max="15368" width="7.42578125" bestFit="1" customWidth="1"/>
    <col min="15617" max="15617" width="19.5703125" customWidth="1"/>
    <col min="15618" max="15618" width="52.42578125" customWidth="1"/>
    <col min="15619" max="15619" width="18.42578125" customWidth="1"/>
    <col min="15621" max="15621" width="25.85546875" customWidth="1"/>
    <col min="15624" max="15624" width="7.42578125" bestFit="1" customWidth="1"/>
    <col min="15873" max="15873" width="19.5703125" customWidth="1"/>
    <col min="15874" max="15874" width="52.42578125" customWidth="1"/>
    <col min="15875" max="15875" width="18.42578125" customWidth="1"/>
    <col min="15877" max="15877" width="25.85546875" customWidth="1"/>
    <col min="15880" max="15880" width="7.42578125" bestFit="1" customWidth="1"/>
    <col min="16129" max="16129" width="19.5703125" customWidth="1"/>
    <col min="16130" max="16130" width="52.42578125" customWidth="1"/>
    <col min="16131" max="16131" width="18.42578125" customWidth="1"/>
    <col min="16133" max="16133" width="25.85546875" customWidth="1"/>
    <col min="16136" max="16136" width="7.42578125" bestFit="1" customWidth="1"/>
  </cols>
  <sheetData>
    <row r="1" spans="1:5" ht="15.75" x14ac:dyDescent="0.25">
      <c r="A1" s="29"/>
    </row>
    <row r="2" spans="1:5" ht="14.45" customHeight="1" x14ac:dyDescent="0.25">
      <c r="A2" s="217" t="s">
        <v>0</v>
      </c>
      <c r="B2" s="217"/>
      <c r="C2" s="217"/>
      <c r="D2" s="217"/>
    </row>
    <row r="3" spans="1:5" ht="15.75" x14ac:dyDescent="0.25">
      <c r="D3" s="29"/>
    </row>
    <row r="4" spans="1:5" ht="15" customHeight="1" x14ac:dyDescent="0.25">
      <c r="A4" s="281" t="s">
        <v>26</v>
      </c>
      <c r="B4" s="281"/>
      <c r="C4" s="281"/>
      <c r="D4" s="281"/>
    </row>
    <row r="5" spans="1:5" ht="15.75" x14ac:dyDescent="0.25">
      <c r="D5" s="30"/>
    </row>
    <row r="6" spans="1:5" ht="33.75" customHeight="1" x14ac:dyDescent="0.25">
      <c r="A6" s="218" t="s">
        <v>239</v>
      </c>
      <c r="B6" s="218"/>
      <c r="C6" s="218"/>
      <c r="D6" s="218"/>
    </row>
    <row r="7" spans="1:5" ht="15.75" x14ac:dyDescent="0.25">
      <c r="D7" s="30"/>
    </row>
    <row r="8" spans="1:5" ht="16.5" thickBot="1" x14ac:dyDescent="0.3">
      <c r="A8" s="219" t="s">
        <v>27</v>
      </c>
      <c r="B8" s="219"/>
      <c r="C8" s="219"/>
      <c r="D8" s="219"/>
    </row>
    <row r="9" spans="1:5" ht="75.75" customHeight="1" thickBot="1" x14ac:dyDescent="0.3">
      <c r="A9" s="31" t="s">
        <v>2</v>
      </c>
      <c r="B9" s="32" t="s">
        <v>3</v>
      </c>
      <c r="C9" s="272" t="s">
        <v>4</v>
      </c>
      <c r="D9" s="273"/>
    </row>
    <row r="10" spans="1:5" ht="16.5" thickBot="1" x14ac:dyDescent="0.3">
      <c r="A10" s="33"/>
      <c r="B10" s="34" t="s">
        <v>5</v>
      </c>
      <c r="C10" s="220"/>
      <c r="D10" s="221"/>
    </row>
    <row r="11" spans="1:5" ht="81" customHeight="1" x14ac:dyDescent="0.25">
      <c r="A11" s="210" t="s">
        <v>6</v>
      </c>
      <c r="B11" s="65" t="s">
        <v>502</v>
      </c>
      <c r="C11" s="204">
        <f>122.94+27.32</f>
        <v>150.26</v>
      </c>
      <c r="D11" s="205"/>
    </row>
    <row r="12" spans="1:5" ht="63" customHeight="1" x14ac:dyDescent="0.25">
      <c r="A12" s="211"/>
      <c r="B12" s="63" t="s">
        <v>500</v>
      </c>
      <c r="C12" s="204"/>
      <c r="D12" s="205"/>
    </row>
    <row r="13" spans="1:5" ht="16.5" thickBot="1" x14ac:dyDescent="0.3">
      <c r="A13" s="212"/>
      <c r="B13" s="36" t="s">
        <v>312</v>
      </c>
      <c r="C13" s="204"/>
      <c r="D13" s="205"/>
    </row>
    <row r="14" spans="1:5" ht="48" thickBot="1" x14ac:dyDescent="0.3">
      <c r="A14" s="37" t="s">
        <v>7</v>
      </c>
      <c r="B14" s="36" t="s">
        <v>209</v>
      </c>
      <c r="C14" s="204">
        <f>C11*0.2359</f>
        <v>35.446334</v>
      </c>
      <c r="D14" s="205"/>
    </row>
    <row r="15" spans="1:5" ht="16.5" thickBot="1" x14ac:dyDescent="0.3">
      <c r="A15" s="37"/>
      <c r="B15" s="38" t="s">
        <v>9</v>
      </c>
      <c r="C15" s="204">
        <f>SUM(C11:D14)</f>
        <v>185.706334</v>
      </c>
      <c r="D15" s="205"/>
      <c r="E15" s="39"/>
    </row>
    <row r="16" spans="1:5" ht="16.5" thickBot="1" x14ac:dyDescent="0.3">
      <c r="A16" s="37"/>
      <c r="B16" s="38" t="s">
        <v>10</v>
      </c>
      <c r="C16" s="204"/>
      <c r="D16" s="205"/>
    </row>
    <row r="17" spans="1:5" ht="143.25" customHeight="1" thickBot="1" x14ac:dyDescent="0.3">
      <c r="A17" s="37" t="s">
        <v>12</v>
      </c>
      <c r="B17" s="94" t="s">
        <v>313</v>
      </c>
      <c r="C17" s="222">
        <f>95.62+184.41+6.83</f>
        <v>286.85999999999996</v>
      </c>
      <c r="D17" s="223"/>
    </row>
    <row r="18" spans="1:5" ht="49.5" hidden="1" customHeight="1" thickBot="1" x14ac:dyDescent="0.3">
      <c r="A18" s="37" t="s">
        <v>15</v>
      </c>
      <c r="B18" s="62" t="s">
        <v>210</v>
      </c>
      <c r="C18" s="222"/>
      <c r="D18" s="223"/>
    </row>
    <row r="19" spans="1:5" ht="47.25" customHeight="1" thickBot="1" x14ac:dyDescent="0.3">
      <c r="A19" s="37" t="s">
        <v>17</v>
      </c>
      <c r="B19" s="62" t="s">
        <v>364</v>
      </c>
      <c r="C19" s="222">
        <v>210</v>
      </c>
      <c r="D19" s="223"/>
    </row>
    <row r="20" spans="1:5" ht="16.5" thickBot="1" x14ac:dyDescent="0.3">
      <c r="A20" s="33"/>
      <c r="B20" s="34" t="s">
        <v>18</v>
      </c>
      <c r="C20" s="222">
        <f>SUM(C17:C19)</f>
        <v>496.85999999999996</v>
      </c>
      <c r="D20" s="223"/>
      <c r="E20" s="40"/>
    </row>
    <row r="21" spans="1:5" ht="16.5" thickBot="1" x14ac:dyDescent="0.3">
      <c r="A21" s="33"/>
      <c r="B21" s="41" t="s">
        <v>19</v>
      </c>
      <c r="C21" s="274">
        <f>SUM(C15,C20)</f>
        <v>682.56633399999998</v>
      </c>
      <c r="D21" s="275"/>
      <c r="E21" s="42"/>
    </row>
    <row r="22" spans="1:5" x14ac:dyDescent="0.25">
      <c r="A22" s="43"/>
      <c r="C22" s="90"/>
      <c r="D22" s="91"/>
      <c r="E22" s="13"/>
    </row>
    <row r="23" spans="1:5" ht="15.75" x14ac:dyDescent="0.25">
      <c r="A23" s="213" t="s">
        <v>20</v>
      </c>
      <c r="B23" s="214"/>
      <c r="C23" s="276">
        <v>683</v>
      </c>
      <c r="D23" s="276"/>
      <c r="E23" s="44"/>
    </row>
    <row r="24" spans="1:5" ht="31.5" customHeight="1" x14ac:dyDescent="0.25">
      <c r="A24" s="215" t="s">
        <v>28</v>
      </c>
      <c r="B24" s="216"/>
      <c r="C24" s="225">
        <f>C21/C23</f>
        <v>0.99936505710102486</v>
      </c>
      <c r="D24" s="225"/>
      <c r="E24" s="45"/>
    </row>
    <row r="25" spans="1:5" ht="15.75" x14ac:dyDescent="0.25">
      <c r="A25" s="46"/>
    </row>
    <row r="26" spans="1:5" x14ac:dyDescent="0.25">
      <c r="A26" s="78"/>
      <c r="B26" s="78"/>
      <c r="C26" s="203"/>
      <c r="D26" s="203"/>
    </row>
    <row r="27" spans="1:5" x14ac:dyDescent="0.25">
      <c r="A27" s="78"/>
      <c r="B27" s="78"/>
      <c r="C27" s="79"/>
      <c r="D27" s="78"/>
    </row>
    <row r="28" spans="1:5" x14ac:dyDescent="0.25">
      <c r="A28" s="78"/>
      <c r="B28" s="78"/>
      <c r="C28" s="203"/>
      <c r="D28" s="203"/>
    </row>
    <row r="29" spans="1:5" x14ac:dyDescent="0.25">
      <c r="A29" s="78"/>
      <c r="B29" s="78"/>
      <c r="C29" s="78"/>
      <c r="D29" s="78"/>
    </row>
    <row r="30" spans="1:5" x14ac:dyDescent="0.25">
      <c r="A30" s="202"/>
      <c r="B30" s="202"/>
      <c r="C30" s="80"/>
      <c r="D30" s="80"/>
    </row>
    <row r="31" spans="1:5" x14ac:dyDescent="0.25">
      <c r="A31" s="201"/>
      <c r="B31" s="202"/>
      <c r="C31" s="80"/>
      <c r="D31" s="80"/>
    </row>
    <row r="32" spans="1:5" x14ac:dyDescent="0.25">
      <c r="A32" s="57"/>
      <c r="B32" s="80"/>
      <c r="C32" s="81"/>
      <c r="D32" s="81"/>
    </row>
    <row r="33" spans="1:4" x14ac:dyDescent="0.25">
      <c r="A33" s="201"/>
      <c r="B33" s="201"/>
      <c r="C33" s="81"/>
      <c r="D33" s="81"/>
    </row>
  </sheetData>
  <mergeCells count="25">
    <mergeCell ref="C16:D16"/>
    <mergeCell ref="C10:D10"/>
    <mergeCell ref="A11:A13"/>
    <mergeCell ref="C11:D13"/>
    <mergeCell ref="C14:D14"/>
    <mergeCell ref="C15:D15"/>
    <mergeCell ref="A2:D2"/>
    <mergeCell ref="A4:D4"/>
    <mergeCell ref="A6:D6"/>
    <mergeCell ref="A8:D8"/>
    <mergeCell ref="C9:D9"/>
    <mergeCell ref="A24:B24"/>
    <mergeCell ref="C24:D24"/>
    <mergeCell ref="C17:D17"/>
    <mergeCell ref="C18:D18"/>
    <mergeCell ref="C19:D19"/>
    <mergeCell ref="C20:D20"/>
    <mergeCell ref="C21:D21"/>
    <mergeCell ref="A23:B23"/>
    <mergeCell ref="C23:D23"/>
    <mergeCell ref="C26:D26"/>
    <mergeCell ref="C28:D28"/>
    <mergeCell ref="A30:B30"/>
    <mergeCell ref="A31:B31"/>
    <mergeCell ref="A33:B33"/>
  </mergeCells>
  <pageMargins left="0.70866141732283472" right="0.70866141732283472" top="0.74803149606299213" bottom="0.74803149606299213" header="0.31496062992125984" footer="0.31496062992125984"/>
  <pageSetup paperSize="9" scale="93" fitToHeight="0" orientation="portrait" r:id="rId1"/>
  <headerFoot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view="pageBreakPreview" zoomScale="60" zoomScaleNormal="100" workbookViewId="0">
      <selection activeCell="T13" sqref="T13"/>
    </sheetView>
  </sheetViews>
  <sheetFormatPr defaultRowHeight="15" x14ac:dyDescent="0.25"/>
  <cols>
    <col min="1" max="1" width="15.42578125" customWidth="1"/>
    <col min="2" max="2" width="51.7109375" customWidth="1"/>
    <col min="3" max="3" width="13.28515625" customWidth="1"/>
    <col min="4" max="4" width="6.28515625" customWidth="1"/>
    <col min="257" max="257" width="15.42578125" customWidth="1"/>
    <col min="258" max="258" width="40.140625" customWidth="1"/>
    <col min="259" max="259" width="25" customWidth="1"/>
    <col min="260" max="260" width="1.42578125" customWidth="1"/>
    <col min="513" max="513" width="15.42578125" customWidth="1"/>
    <col min="514" max="514" width="40.140625" customWidth="1"/>
    <col min="515" max="515" width="25" customWidth="1"/>
    <col min="516" max="516" width="1.42578125" customWidth="1"/>
    <col min="769" max="769" width="15.42578125" customWidth="1"/>
    <col min="770" max="770" width="40.140625" customWidth="1"/>
    <col min="771" max="771" width="25" customWidth="1"/>
    <col min="772" max="772" width="1.42578125" customWidth="1"/>
    <col min="1025" max="1025" width="15.42578125" customWidth="1"/>
    <col min="1026" max="1026" width="40.140625" customWidth="1"/>
    <col min="1027" max="1027" width="25" customWidth="1"/>
    <col min="1028" max="1028" width="1.42578125" customWidth="1"/>
    <col min="1281" max="1281" width="15.42578125" customWidth="1"/>
    <col min="1282" max="1282" width="40.140625" customWidth="1"/>
    <col min="1283" max="1283" width="25" customWidth="1"/>
    <col min="1284" max="1284" width="1.42578125" customWidth="1"/>
    <col min="1537" max="1537" width="15.42578125" customWidth="1"/>
    <col min="1538" max="1538" width="40.140625" customWidth="1"/>
    <col min="1539" max="1539" width="25" customWidth="1"/>
    <col min="1540" max="1540" width="1.42578125" customWidth="1"/>
    <col min="1793" max="1793" width="15.42578125" customWidth="1"/>
    <col min="1794" max="1794" width="40.140625" customWidth="1"/>
    <col min="1795" max="1795" width="25" customWidth="1"/>
    <col min="1796" max="1796" width="1.42578125" customWidth="1"/>
    <col min="2049" max="2049" width="15.42578125" customWidth="1"/>
    <col min="2050" max="2050" width="40.140625" customWidth="1"/>
    <col min="2051" max="2051" width="25" customWidth="1"/>
    <col min="2052" max="2052" width="1.42578125" customWidth="1"/>
    <col min="2305" max="2305" width="15.42578125" customWidth="1"/>
    <col min="2306" max="2306" width="40.140625" customWidth="1"/>
    <col min="2307" max="2307" width="25" customWidth="1"/>
    <col min="2308" max="2308" width="1.42578125" customWidth="1"/>
    <col min="2561" max="2561" width="15.42578125" customWidth="1"/>
    <col min="2562" max="2562" width="40.140625" customWidth="1"/>
    <col min="2563" max="2563" width="25" customWidth="1"/>
    <col min="2564" max="2564" width="1.42578125" customWidth="1"/>
    <col min="2817" max="2817" width="15.42578125" customWidth="1"/>
    <col min="2818" max="2818" width="40.140625" customWidth="1"/>
    <col min="2819" max="2819" width="25" customWidth="1"/>
    <col min="2820" max="2820" width="1.42578125" customWidth="1"/>
    <col min="3073" max="3073" width="15.42578125" customWidth="1"/>
    <col min="3074" max="3074" width="40.140625" customWidth="1"/>
    <col min="3075" max="3075" width="25" customWidth="1"/>
    <col min="3076" max="3076" width="1.42578125" customWidth="1"/>
    <col min="3329" max="3329" width="15.42578125" customWidth="1"/>
    <col min="3330" max="3330" width="40.140625" customWidth="1"/>
    <col min="3331" max="3331" width="25" customWidth="1"/>
    <col min="3332" max="3332" width="1.42578125" customWidth="1"/>
    <col min="3585" max="3585" width="15.42578125" customWidth="1"/>
    <col min="3586" max="3586" width="40.140625" customWidth="1"/>
    <col min="3587" max="3587" width="25" customWidth="1"/>
    <col min="3588" max="3588" width="1.42578125" customWidth="1"/>
    <col min="3841" max="3841" width="15.42578125" customWidth="1"/>
    <col min="3842" max="3842" width="40.140625" customWidth="1"/>
    <col min="3843" max="3843" width="25" customWidth="1"/>
    <col min="3844" max="3844" width="1.42578125" customWidth="1"/>
    <col min="4097" max="4097" width="15.42578125" customWidth="1"/>
    <col min="4098" max="4098" width="40.140625" customWidth="1"/>
    <col min="4099" max="4099" width="25" customWidth="1"/>
    <col min="4100" max="4100" width="1.42578125" customWidth="1"/>
    <col min="4353" max="4353" width="15.42578125" customWidth="1"/>
    <col min="4354" max="4354" width="40.140625" customWidth="1"/>
    <col min="4355" max="4355" width="25" customWidth="1"/>
    <col min="4356" max="4356" width="1.42578125" customWidth="1"/>
    <col min="4609" max="4609" width="15.42578125" customWidth="1"/>
    <col min="4610" max="4610" width="40.140625" customWidth="1"/>
    <col min="4611" max="4611" width="25" customWidth="1"/>
    <col min="4612" max="4612" width="1.42578125" customWidth="1"/>
    <col min="4865" max="4865" width="15.42578125" customWidth="1"/>
    <col min="4866" max="4866" width="40.140625" customWidth="1"/>
    <col min="4867" max="4867" width="25" customWidth="1"/>
    <col min="4868" max="4868" width="1.42578125" customWidth="1"/>
    <col min="5121" max="5121" width="15.42578125" customWidth="1"/>
    <col min="5122" max="5122" width="40.140625" customWidth="1"/>
    <col min="5123" max="5123" width="25" customWidth="1"/>
    <col min="5124" max="5124" width="1.42578125" customWidth="1"/>
    <col min="5377" max="5377" width="15.42578125" customWidth="1"/>
    <col min="5378" max="5378" width="40.140625" customWidth="1"/>
    <col min="5379" max="5379" width="25" customWidth="1"/>
    <col min="5380" max="5380" width="1.42578125" customWidth="1"/>
    <col min="5633" max="5633" width="15.42578125" customWidth="1"/>
    <col min="5634" max="5634" width="40.140625" customWidth="1"/>
    <col min="5635" max="5635" width="25" customWidth="1"/>
    <col min="5636" max="5636" width="1.42578125" customWidth="1"/>
    <col min="5889" max="5889" width="15.42578125" customWidth="1"/>
    <col min="5890" max="5890" width="40.140625" customWidth="1"/>
    <col min="5891" max="5891" width="25" customWidth="1"/>
    <col min="5892" max="5892" width="1.42578125" customWidth="1"/>
    <col min="6145" max="6145" width="15.42578125" customWidth="1"/>
    <col min="6146" max="6146" width="40.140625" customWidth="1"/>
    <col min="6147" max="6147" width="25" customWidth="1"/>
    <col min="6148" max="6148" width="1.42578125" customWidth="1"/>
    <col min="6401" max="6401" width="15.42578125" customWidth="1"/>
    <col min="6402" max="6402" width="40.140625" customWidth="1"/>
    <col min="6403" max="6403" width="25" customWidth="1"/>
    <col min="6404" max="6404" width="1.42578125" customWidth="1"/>
    <col min="6657" max="6657" width="15.42578125" customWidth="1"/>
    <col min="6658" max="6658" width="40.140625" customWidth="1"/>
    <col min="6659" max="6659" width="25" customWidth="1"/>
    <col min="6660" max="6660" width="1.42578125" customWidth="1"/>
    <col min="6913" max="6913" width="15.42578125" customWidth="1"/>
    <col min="6914" max="6914" width="40.140625" customWidth="1"/>
    <col min="6915" max="6915" width="25" customWidth="1"/>
    <col min="6916" max="6916" width="1.42578125" customWidth="1"/>
    <col min="7169" max="7169" width="15.42578125" customWidth="1"/>
    <col min="7170" max="7170" width="40.140625" customWidth="1"/>
    <col min="7171" max="7171" width="25" customWidth="1"/>
    <col min="7172" max="7172" width="1.42578125" customWidth="1"/>
    <col min="7425" max="7425" width="15.42578125" customWidth="1"/>
    <col min="7426" max="7426" width="40.140625" customWidth="1"/>
    <col min="7427" max="7427" width="25" customWidth="1"/>
    <col min="7428" max="7428" width="1.42578125" customWidth="1"/>
    <col min="7681" max="7681" width="15.42578125" customWidth="1"/>
    <col min="7682" max="7682" width="40.140625" customWidth="1"/>
    <col min="7683" max="7683" width="25" customWidth="1"/>
    <col min="7684" max="7684" width="1.42578125" customWidth="1"/>
    <col min="7937" max="7937" width="15.42578125" customWidth="1"/>
    <col min="7938" max="7938" width="40.140625" customWidth="1"/>
    <col min="7939" max="7939" width="25" customWidth="1"/>
    <col min="7940" max="7940" width="1.42578125" customWidth="1"/>
    <col min="8193" max="8193" width="15.42578125" customWidth="1"/>
    <col min="8194" max="8194" width="40.140625" customWidth="1"/>
    <col min="8195" max="8195" width="25" customWidth="1"/>
    <col min="8196" max="8196" width="1.42578125" customWidth="1"/>
    <col min="8449" max="8449" width="15.42578125" customWidth="1"/>
    <col min="8450" max="8450" width="40.140625" customWidth="1"/>
    <col min="8451" max="8451" width="25" customWidth="1"/>
    <col min="8452" max="8452" width="1.42578125" customWidth="1"/>
    <col min="8705" max="8705" width="15.42578125" customWidth="1"/>
    <col min="8706" max="8706" width="40.140625" customWidth="1"/>
    <col min="8707" max="8707" width="25" customWidth="1"/>
    <col min="8708" max="8708" width="1.42578125" customWidth="1"/>
    <col min="8961" max="8961" width="15.42578125" customWidth="1"/>
    <col min="8962" max="8962" width="40.140625" customWidth="1"/>
    <col min="8963" max="8963" width="25" customWidth="1"/>
    <col min="8964" max="8964" width="1.42578125" customWidth="1"/>
    <col min="9217" max="9217" width="15.42578125" customWidth="1"/>
    <col min="9218" max="9218" width="40.140625" customWidth="1"/>
    <col min="9219" max="9219" width="25" customWidth="1"/>
    <col min="9220" max="9220" width="1.42578125" customWidth="1"/>
    <col min="9473" max="9473" width="15.42578125" customWidth="1"/>
    <col min="9474" max="9474" width="40.140625" customWidth="1"/>
    <col min="9475" max="9475" width="25" customWidth="1"/>
    <col min="9476" max="9476" width="1.42578125" customWidth="1"/>
    <col min="9729" max="9729" width="15.42578125" customWidth="1"/>
    <col min="9730" max="9730" width="40.140625" customWidth="1"/>
    <col min="9731" max="9731" width="25" customWidth="1"/>
    <col min="9732" max="9732" width="1.42578125" customWidth="1"/>
    <col min="9985" max="9985" width="15.42578125" customWidth="1"/>
    <col min="9986" max="9986" width="40.140625" customWidth="1"/>
    <col min="9987" max="9987" width="25" customWidth="1"/>
    <col min="9988" max="9988" width="1.42578125" customWidth="1"/>
    <col min="10241" max="10241" width="15.42578125" customWidth="1"/>
    <col min="10242" max="10242" width="40.140625" customWidth="1"/>
    <col min="10243" max="10243" width="25" customWidth="1"/>
    <col min="10244" max="10244" width="1.42578125" customWidth="1"/>
    <col min="10497" max="10497" width="15.42578125" customWidth="1"/>
    <col min="10498" max="10498" width="40.140625" customWidth="1"/>
    <col min="10499" max="10499" width="25" customWidth="1"/>
    <col min="10500" max="10500" width="1.42578125" customWidth="1"/>
    <col min="10753" max="10753" width="15.42578125" customWidth="1"/>
    <col min="10754" max="10754" width="40.140625" customWidth="1"/>
    <col min="10755" max="10755" width="25" customWidth="1"/>
    <col min="10756" max="10756" width="1.42578125" customWidth="1"/>
    <col min="11009" max="11009" width="15.42578125" customWidth="1"/>
    <col min="11010" max="11010" width="40.140625" customWidth="1"/>
    <col min="11011" max="11011" width="25" customWidth="1"/>
    <col min="11012" max="11012" width="1.42578125" customWidth="1"/>
    <col min="11265" max="11265" width="15.42578125" customWidth="1"/>
    <col min="11266" max="11266" width="40.140625" customWidth="1"/>
    <col min="11267" max="11267" width="25" customWidth="1"/>
    <col min="11268" max="11268" width="1.42578125" customWidth="1"/>
    <col min="11521" max="11521" width="15.42578125" customWidth="1"/>
    <col min="11522" max="11522" width="40.140625" customWidth="1"/>
    <col min="11523" max="11523" width="25" customWidth="1"/>
    <col min="11524" max="11524" width="1.42578125" customWidth="1"/>
    <col min="11777" max="11777" width="15.42578125" customWidth="1"/>
    <col min="11778" max="11778" width="40.140625" customWidth="1"/>
    <col min="11779" max="11779" width="25" customWidth="1"/>
    <col min="11780" max="11780" width="1.42578125" customWidth="1"/>
    <col min="12033" max="12033" width="15.42578125" customWidth="1"/>
    <col min="12034" max="12034" width="40.140625" customWidth="1"/>
    <col min="12035" max="12035" width="25" customWidth="1"/>
    <col min="12036" max="12036" width="1.42578125" customWidth="1"/>
    <col min="12289" max="12289" width="15.42578125" customWidth="1"/>
    <col min="12290" max="12290" width="40.140625" customWidth="1"/>
    <col min="12291" max="12291" width="25" customWidth="1"/>
    <col min="12292" max="12292" width="1.42578125" customWidth="1"/>
    <col min="12545" max="12545" width="15.42578125" customWidth="1"/>
    <col min="12546" max="12546" width="40.140625" customWidth="1"/>
    <col min="12547" max="12547" width="25" customWidth="1"/>
    <col min="12548" max="12548" width="1.42578125" customWidth="1"/>
    <col min="12801" max="12801" width="15.42578125" customWidth="1"/>
    <col min="12802" max="12802" width="40.140625" customWidth="1"/>
    <col min="12803" max="12803" width="25" customWidth="1"/>
    <col min="12804" max="12804" width="1.42578125" customWidth="1"/>
    <col min="13057" max="13057" width="15.42578125" customWidth="1"/>
    <col min="13058" max="13058" width="40.140625" customWidth="1"/>
    <col min="13059" max="13059" width="25" customWidth="1"/>
    <col min="13060" max="13060" width="1.42578125" customWidth="1"/>
    <col min="13313" max="13313" width="15.42578125" customWidth="1"/>
    <col min="13314" max="13314" width="40.140625" customWidth="1"/>
    <col min="13315" max="13315" width="25" customWidth="1"/>
    <col min="13316" max="13316" width="1.42578125" customWidth="1"/>
    <col min="13569" max="13569" width="15.42578125" customWidth="1"/>
    <col min="13570" max="13570" width="40.140625" customWidth="1"/>
    <col min="13571" max="13571" width="25" customWidth="1"/>
    <col min="13572" max="13572" width="1.42578125" customWidth="1"/>
    <col min="13825" max="13825" width="15.42578125" customWidth="1"/>
    <col min="13826" max="13826" width="40.140625" customWidth="1"/>
    <col min="13827" max="13827" width="25" customWidth="1"/>
    <col min="13828" max="13828" width="1.42578125" customWidth="1"/>
    <col min="14081" max="14081" width="15.42578125" customWidth="1"/>
    <col min="14082" max="14082" width="40.140625" customWidth="1"/>
    <col min="14083" max="14083" width="25" customWidth="1"/>
    <col min="14084" max="14084" width="1.42578125" customWidth="1"/>
    <col min="14337" max="14337" width="15.42578125" customWidth="1"/>
    <col min="14338" max="14338" width="40.140625" customWidth="1"/>
    <col min="14339" max="14339" width="25" customWidth="1"/>
    <col min="14340" max="14340" width="1.42578125" customWidth="1"/>
    <col min="14593" max="14593" width="15.42578125" customWidth="1"/>
    <col min="14594" max="14594" width="40.140625" customWidth="1"/>
    <col min="14595" max="14595" width="25" customWidth="1"/>
    <col min="14596" max="14596" width="1.42578125" customWidth="1"/>
    <col min="14849" max="14849" width="15.42578125" customWidth="1"/>
    <col min="14850" max="14850" width="40.140625" customWidth="1"/>
    <col min="14851" max="14851" width="25" customWidth="1"/>
    <col min="14852" max="14852" width="1.42578125" customWidth="1"/>
    <col min="15105" max="15105" width="15.42578125" customWidth="1"/>
    <col min="15106" max="15106" width="40.140625" customWidth="1"/>
    <col min="15107" max="15107" width="25" customWidth="1"/>
    <col min="15108" max="15108" width="1.42578125" customWidth="1"/>
    <col min="15361" max="15361" width="15.42578125" customWidth="1"/>
    <col min="15362" max="15362" width="40.140625" customWidth="1"/>
    <col min="15363" max="15363" width="25" customWidth="1"/>
    <col min="15364" max="15364" width="1.42578125" customWidth="1"/>
    <col min="15617" max="15617" width="15.42578125" customWidth="1"/>
    <col min="15618" max="15618" width="40.140625" customWidth="1"/>
    <col min="15619" max="15619" width="25" customWidth="1"/>
    <col min="15620" max="15620" width="1.42578125" customWidth="1"/>
    <col min="15873" max="15873" width="15.42578125" customWidth="1"/>
    <col min="15874" max="15874" width="40.140625" customWidth="1"/>
    <col min="15875" max="15875" width="25" customWidth="1"/>
    <col min="15876" max="15876" width="1.42578125" customWidth="1"/>
    <col min="16129" max="16129" width="15.42578125" customWidth="1"/>
    <col min="16130" max="16130" width="40.140625" customWidth="1"/>
    <col min="16131" max="16131" width="25" customWidth="1"/>
    <col min="16132" max="16132" width="1.42578125" customWidth="1"/>
  </cols>
  <sheetData>
    <row r="1" spans="1:4" ht="15.75" x14ac:dyDescent="0.25">
      <c r="A1" s="29"/>
      <c r="C1" s="7"/>
    </row>
    <row r="2" spans="1:4" ht="15.75" x14ac:dyDescent="0.25">
      <c r="A2" s="217" t="s">
        <v>0</v>
      </c>
      <c r="B2" s="217"/>
      <c r="C2" s="217"/>
      <c r="D2" s="217"/>
    </row>
    <row r="3" spans="1:4" ht="15.75" x14ac:dyDescent="0.25">
      <c r="C3" s="7"/>
      <c r="D3" s="29"/>
    </row>
    <row r="4" spans="1:4" ht="15.75" x14ac:dyDescent="0.25">
      <c r="A4" s="281" t="s">
        <v>26</v>
      </c>
      <c r="B4" s="281"/>
      <c r="C4" s="281"/>
      <c r="D4" s="281"/>
    </row>
    <row r="5" spans="1:4" ht="15.75" x14ac:dyDescent="0.25">
      <c r="C5" s="7"/>
      <c r="D5" s="30"/>
    </row>
    <row r="6" spans="1:4" ht="34.5" customHeight="1" x14ac:dyDescent="0.25">
      <c r="A6" s="281" t="s">
        <v>300</v>
      </c>
      <c r="B6" s="281"/>
      <c r="C6" s="281"/>
      <c r="D6" s="281"/>
    </row>
    <row r="7" spans="1:4" ht="15.75" x14ac:dyDescent="0.25">
      <c r="C7" s="7"/>
      <c r="D7" s="30"/>
    </row>
    <row r="8" spans="1:4" ht="16.5" thickBot="1" x14ac:dyDescent="0.3">
      <c r="A8" s="219" t="s">
        <v>27</v>
      </c>
      <c r="B8" s="219"/>
      <c r="C8" s="219"/>
      <c r="D8" s="219"/>
    </row>
    <row r="9" spans="1:4" ht="75.75" customHeight="1" thickBot="1" x14ac:dyDescent="0.3">
      <c r="A9" s="31" t="s">
        <v>2</v>
      </c>
      <c r="B9" s="32" t="s">
        <v>3</v>
      </c>
      <c r="C9" s="272" t="s">
        <v>4</v>
      </c>
      <c r="D9" s="273"/>
    </row>
    <row r="10" spans="1:4" ht="16.5" thickBot="1" x14ac:dyDescent="0.3">
      <c r="A10" s="33"/>
      <c r="B10" s="34" t="s">
        <v>5</v>
      </c>
      <c r="C10" s="220"/>
      <c r="D10" s="221"/>
    </row>
    <row r="11" spans="1:4" ht="78.75" x14ac:dyDescent="0.25">
      <c r="A11" s="210" t="s">
        <v>6</v>
      </c>
      <c r="B11" s="65" t="s">
        <v>638</v>
      </c>
      <c r="C11" s="204">
        <f>135+5</f>
        <v>140</v>
      </c>
      <c r="D11" s="205"/>
    </row>
    <row r="12" spans="1:4" ht="78.75" x14ac:dyDescent="0.25">
      <c r="A12" s="211"/>
      <c r="B12" s="63" t="s">
        <v>639</v>
      </c>
      <c r="C12" s="204"/>
      <c r="D12" s="205"/>
    </row>
    <row r="13" spans="1:4" ht="16.5" thickBot="1" x14ac:dyDescent="0.3">
      <c r="A13" s="212"/>
      <c r="B13" s="36" t="s">
        <v>357</v>
      </c>
      <c r="C13" s="204"/>
      <c r="D13" s="205"/>
    </row>
    <row r="14" spans="1:4" ht="48" thickBot="1" x14ac:dyDescent="0.3">
      <c r="A14" s="37" t="s">
        <v>7</v>
      </c>
      <c r="B14" s="36" t="s">
        <v>209</v>
      </c>
      <c r="C14" s="204">
        <f>C11*0.2359</f>
        <v>33.025999999999996</v>
      </c>
      <c r="D14" s="205"/>
    </row>
    <row r="15" spans="1:4" ht="16.5" thickBot="1" x14ac:dyDescent="0.3">
      <c r="A15" s="37"/>
      <c r="B15" s="38" t="s">
        <v>9</v>
      </c>
      <c r="C15" s="204">
        <f>SUM(C11:D14)</f>
        <v>173.02600000000001</v>
      </c>
      <c r="D15" s="205"/>
    </row>
    <row r="16" spans="1:4" ht="16.5" thickBot="1" x14ac:dyDescent="0.3">
      <c r="A16" s="37"/>
      <c r="B16" s="38" t="s">
        <v>10</v>
      </c>
      <c r="C16" s="204"/>
      <c r="D16" s="205"/>
    </row>
    <row r="17" spans="1:5" ht="146.25" customHeight="1" thickBot="1" x14ac:dyDescent="0.3">
      <c r="A17" s="37" t="s">
        <v>12</v>
      </c>
      <c r="B17" s="62" t="s">
        <v>483</v>
      </c>
      <c r="C17" s="204">
        <f>7.11+13.37+0.41</f>
        <v>20.89</v>
      </c>
      <c r="D17" s="205"/>
    </row>
    <row r="18" spans="1:5" ht="48" customHeight="1" thickBot="1" x14ac:dyDescent="0.3">
      <c r="A18" s="37" t="s">
        <v>13</v>
      </c>
      <c r="B18" s="62" t="s">
        <v>356</v>
      </c>
      <c r="C18" s="204">
        <f>39644/1299*100/85*50</f>
        <v>1795.2270977675134</v>
      </c>
      <c r="D18" s="205"/>
    </row>
    <row r="19" spans="1:5" ht="46.5" customHeight="1" thickBot="1" x14ac:dyDescent="0.3">
      <c r="A19" s="37" t="s">
        <v>15</v>
      </c>
      <c r="B19" s="62" t="s">
        <v>215</v>
      </c>
      <c r="C19" s="204">
        <f>4228/3221*100/85*50</f>
        <v>77.213872198988255</v>
      </c>
      <c r="D19" s="205"/>
    </row>
    <row r="20" spans="1:5" ht="48" thickBot="1" x14ac:dyDescent="0.3">
      <c r="A20" s="37" t="s">
        <v>16</v>
      </c>
      <c r="B20" s="36" t="s">
        <v>216</v>
      </c>
      <c r="C20" s="204">
        <f>10204/3221*100/85*50</f>
        <v>186.35060357579854</v>
      </c>
      <c r="D20" s="205"/>
    </row>
    <row r="21" spans="1:5" ht="32.25" customHeight="1" thickBot="1" x14ac:dyDescent="0.3">
      <c r="A21" s="37" t="s">
        <v>17</v>
      </c>
      <c r="B21" s="62" t="s">
        <v>399</v>
      </c>
      <c r="C21" s="204">
        <f>420/85*50</f>
        <v>247.05882352941177</v>
      </c>
      <c r="D21" s="205"/>
    </row>
    <row r="22" spans="1:5" ht="16.5" thickBot="1" x14ac:dyDescent="0.3">
      <c r="A22" s="33"/>
      <c r="B22" s="34" t="s">
        <v>18</v>
      </c>
      <c r="C22" s="204">
        <f>SUM(C17:C21)</f>
        <v>2326.7403970717119</v>
      </c>
      <c r="D22" s="205"/>
    </row>
    <row r="23" spans="1:5" ht="16.5" thickBot="1" x14ac:dyDescent="0.3">
      <c r="A23" s="33"/>
      <c r="B23" s="41" t="s">
        <v>19</v>
      </c>
      <c r="C23" s="206">
        <f>SUM(C15,C22)</f>
        <v>2499.7663970717117</v>
      </c>
      <c r="D23" s="207"/>
    </row>
    <row r="24" spans="1:5" x14ac:dyDescent="0.25">
      <c r="A24" s="43"/>
      <c r="C24" s="8"/>
    </row>
    <row r="25" spans="1:5" ht="15.75" x14ac:dyDescent="0.25">
      <c r="A25" s="213" t="s">
        <v>20</v>
      </c>
      <c r="B25" s="214"/>
      <c r="C25" s="224">
        <v>50</v>
      </c>
      <c r="D25" s="224"/>
    </row>
    <row r="26" spans="1:5" ht="48.75" customHeight="1" x14ac:dyDescent="0.25">
      <c r="A26" s="298" t="s">
        <v>28</v>
      </c>
      <c r="B26" s="299"/>
      <c r="C26" s="225">
        <f>C23/C25</f>
        <v>49.995327941434233</v>
      </c>
      <c r="D26" s="225"/>
      <c r="E26" s="89"/>
    </row>
    <row r="28" spans="1:5" x14ac:dyDescent="0.25">
      <c r="A28" s="78"/>
      <c r="B28" s="78"/>
      <c r="C28" s="203"/>
      <c r="D28" s="203"/>
    </row>
    <row r="29" spans="1:5" x14ac:dyDescent="0.25">
      <c r="A29" s="78"/>
      <c r="B29" s="78"/>
      <c r="C29" s="79"/>
      <c r="D29" s="78"/>
    </row>
    <row r="30" spans="1:5" x14ac:dyDescent="0.25">
      <c r="A30" s="78"/>
      <c r="B30" s="78"/>
      <c r="C30" s="203"/>
      <c r="D30" s="203"/>
    </row>
    <row r="31" spans="1:5" x14ac:dyDescent="0.25">
      <c r="A31" s="78"/>
      <c r="B31" s="78"/>
      <c r="C31" s="78"/>
      <c r="D31" s="78"/>
    </row>
    <row r="32" spans="1:5" x14ac:dyDescent="0.25">
      <c r="A32" s="202"/>
      <c r="B32" s="202"/>
      <c r="C32" s="80"/>
      <c r="D32" s="80"/>
    </row>
    <row r="33" spans="1:4" x14ac:dyDescent="0.25">
      <c r="A33" s="201"/>
      <c r="B33" s="202"/>
      <c r="C33" s="80"/>
      <c r="D33" s="80"/>
    </row>
    <row r="34" spans="1:4" x14ac:dyDescent="0.25">
      <c r="A34" s="57"/>
      <c r="B34" s="80"/>
      <c r="C34" s="81"/>
      <c r="D34" s="81"/>
    </row>
    <row r="35" spans="1:4" x14ac:dyDescent="0.25">
      <c r="A35" s="201"/>
      <c r="B35" s="201"/>
      <c r="C35" s="81"/>
      <c r="D35" s="81"/>
    </row>
  </sheetData>
  <mergeCells count="27">
    <mergeCell ref="C16:D16"/>
    <mergeCell ref="A26:B26"/>
    <mergeCell ref="C26:D26"/>
    <mergeCell ref="C17:D17"/>
    <mergeCell ref="C18:D18"/>
    <mergeCell ref="C19:D19"/>
    <mergeCell ref="C20:D20"/>
    <mergeCell ref="C21:D21"/>
    <mergeCell ref="C22:D22"/>
    <mergeCell ref="C23:D23"/>
    <mergeCell ref="A25:B25"/>
    <mergeCell ref="C25:D25"/>
    <mergeCell ref="C10:D10"/>
    <mergeCell ref="A11:A13"/>
    <mergeCell ref="C11:D13"/>
    <mergeCell ref="C14:D14"/>
    <mergeCell ref="C15:D15"/>
    <mergeCell ref="A2:D2"/>
    <mergeCell ref="A4:D4"/>
    <mergeCell ref="A6:D6"/>
    <mergeCell ref="A8:D8"/>
    <mergeCell ref="C9:D9"/>
    <mergeCell ref="C28:D28"/>
    <mergeCell ref="C30:D30"/>
    <mergeCell ref="A32:B32"/>
    <mergeCell ref="A33:B33"/>
    <mergeCell ref="A35:B35"/>
  </mergeCells>
  <pageMargins left="0.70866141732283472" right="0.70866141732283472" top="0.74803149606299213" bottom="0.74803149606299213" header="0.31496062992125984" footer="0.31496062992125984"/>
  <pageSetup paperSize="9" fitToHeight="0" orientation="portrait" verticalDpi="300" r:id="rId1"/>
  <headerFooter>
    <oddFooter>&amp;C&amp;P</oddFooter>
  </headerFooter>
  <rowBreaks count="1" manualBreakCount="1">
    <brk id="20" max="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6"/>
  <sheetViews>
    <sheetView view="pageBreakPreview" zoomScale="60" zoomScaleNormal="100" workbookViewId="0">
      <selection activeCell="T13" sqref="T13"/>
    </sheetView>
  </sheetViews>
  <sheetFormatPr defaultRowHeight="15" x14ac:dyDescent="0.25"/>
  <cols>
    <col min="1" max="1" width="15.42578125" customWidth="1"/>
    <col min="2" max="2" width="48.85546875" customWidth="1"/>
    <col min="3" max="3" width="14" customWidth="1"/>
    <col min="4" max="4" width="5.42578125" customWidth="1"/>
    <col min="257" max="257" width="15.42578125" customWidth="1"/>
    <col min="258" max="258" width="40.140625" customWidth="1"/>
    <col min="259" max="259" width="25" customWidth="1"/>
    <col min="260" max="260" width="1.42578125" customWidth="1"/>
    <col min="513" max="513" width="15.42578125" customWidth="1"/>
    <col min="514" max="514" width="40.140625" customWidth="1"/>
    <col min="515" max="515" width="25" customWidth="1"/>
    <col min="516" max="516" width="1.42578125" customWidth="1"/>
    <col min="769" max="769" width="15.42578125" customWidth="1"/>
    <col min="770" max="770" width="40.140625" customWidth="1"/>
    <col min="771" max="771" width="25" customWidth="1"/>
    <col min="772" max="772" width="1.42578125" customWidth="1"/>
    <col min="1025" max="1025" width="15.42578125" customWidth="1"/>
    <col min="1026" max="1026" width="40.140625" customWidth="1"/>
    <col min="1027" max="1027" width="25" customWidth="1"/>
    <col min="1028" max="1028" width="1.42578125" customWidth="1"/>
    <col min="1281" max="1281" width="15.42578125" customWidth="1"/>
    <col min="1282" max="1282" width="40.140625" customWidth="1"/>
    <col min="1283" max="1283" width="25" customWidth="1"/>
    <col min="1284" max="1284" width="1.42578125" customWidth="1"/>
    <col min="1537" max="1537" width="15.42578125" customWidth="1"/>
    <col min="1538" max="1538" width="40.140625" customWidth="1"/>
    <col min="1539" max="1539" width="25" customWidth="1"/>
    <col min="1540" max="1540" width="1.42578125" customWidth="1"/>
    <col min="1793" max="1793" width="15.42578125" customWidth="1"/>
    <col min="1794" max="1794" width="40.140625" customWidth="1"/>
    <col min="1795" max="1795" width="25" customWidth="1"/>
    <col min="1796" max="1796" width="1.42578125" customWidth="1"/>
    <col min="2049" max="2049" width="15.42578125" customWidth="1"/>
    <col min="2050" max="2050" width="40.140625" customWidth="1"/>
    <col min="2051" max="2051" width="25" customWidth="1"/>
    <col min="2052" max="2052" width="1.42578125" customWidth="1"/>
    <col min="2305" max="2305" width="15.42578125" customWidth="1"/>
    <col min="2306" max="2306" width="40.140625" customWidth="1"/>
    <col min="2307" max="2307" width="25" customWidth="1"/>
    <col min="2308" max="2308" width="1.42578125" customWidth="1"/>
    <col min="2561" max="2561" width="15.42578125" customWidth="1"/>
    <col min="2562" max="2562" width="40.140625" customWidth="1"/>
    <col min="2563" max="2563" width="25" customWidth="1"/>
    <col min="2564" max="2564" width="1.42578125" customWidth="1"/>
    <col min="2817" max="2817" width="15.42578125" customWidth="1"/>
    <col min="2818" max="2818" width="40.140625" customWidth="1"/>
    <col min="2819" max="2819" width="25" customWidth="1"/>
    <col min="2820" max="2820" width="1.42578125" customWidth="1"/>
    <col min="3073" max="3073" width="15.42578125" customWidth="1"/>
    <col min="3074" max="3074" width="40.140625" customWidth="1"/>
    <col min="3075" max="3075" width="25" customWidth="1"/>
    <col min="3076" max="3076" width="1.42578125" customWidth="1"/>
    <col min="3329" max="3329" width="15.42578125" customWidth="1"/>
    <col min="3330" max="3330" width="40.140625" customWidth="1"/>
    <col min="3331" max="3331" width="25" customWidth="1"/>
    <col min="3332" max="3332" width="1.42578125" customWidth="1"/>
    <col min="3585" max="3585" width="15.42578125" customWidth="1"/>
    <col min="3586" max="3586" width="40.140625" customWidth="1"/>
    <col min="3587" max="3587" width="25" customWidth="1"/>
    <col min="3588" max="3588" width="1.42578125" customWidth="1"/>
    <col min="3841" max="3841" width="15.42578125" customWidth="1"/>
    <col min="3842" max="3842" width="40.140625" customWidth="1"/>
    <col min="3843" max="3843" width="25" customWidth="1"/>
    <col min="3844" max="3844" width="1.42578125" customWidth="1"/>
    <col min="4097" max="4097" width="15.42578125" customWidth="1"/>
    <col min="4098" max="4098" width="40.140625" customWidth="1"/>
    <col min="4099" max="4099" width="25" customWidth="1"/>
    <col min="4100" max="4100" width="1.42578125" customWidth="1"/>
    <col min="4353" max="4353" width="15.42578125" customWidth="1"/>
    <col min="4354" max="4354" width="40.140625" customWidth="1"/>
    <col min="4355" max="4355" width="25" customWidth="1"/>
    <col min="4356" max="4356" width="1.42578125" customWidth="1"/>
    <col min="4609" max="4609" width="15.42578125" customWidth="1"/>
    <col min="4610" max="4610" width="40.140625" customWidth="1"/>
    <col min="4611" max="4611" width="25" customWidth="1"/>
    <col min="4612" max="4612" width="1.42578125" customWidth="1"/>
    <col min="4865" max="4865" width="15.42578125" customWidth="1"/>
    <col min="4866" max="4866" width="40.140625" customWidth="1"/>
    <col min="4867" max="4867" width="25" customWidth="1"/>
    <col min="4868" max="4868" width="1.42578125" customWidth="1"/>
    <col min="5121" max="5121" width="15.42578125" customWidth="1"/>
    <col min="5122" max="5122" width="40.140625" customWidth="1"/>
    <col min="5123" max="5123" width="25" customWidth="1"/>
    <col min="5124" max="5124" width="1.42578125" customWidth="1"/>
    <col min="5377" max="5377" width="15.42578125" customWidth="1"/>
    <col min="5378" max="5378" width="40.140625" customWidth="1"/>
    <col min="5379" max="5379" width="25" customWidth="1"/>
    <col min="5380" max="5380" width="1.42578125" customWidth="1"/>
    <col min="5633" max="5633" width="15.42578125" customWidth="1"/>
    <col min="5634" max="5634" width="40.140625" customWidth="1"/>
    <col min="5635" max="5635" width="25" customWidth="1"/>
    <col min="5636" max="5636" width="1.42578125" customWidth="1"/>
    <col min="5889" max="5889" width="15.42578125" customWidth="1"/>
    <col min="5890" max="5890" width="40.140625" customWidth="1"/>
    <col min="5891" max="5891" width="25" customWidth="1"/>
    <col min="5892" max="5892" width="1.42578125" customWidth="1"/>
    <col min="6145" max="6145" width="15.42578125" customWidth="1"/>
    <col min="6146" max="6146" width="40.140625" customWidth="1"/>
    <col min="6147" max="6147" width="25" customWidth="1"/>
    <col min="6148" max="6148" width="1.42578125" customWidth="1"/>
    <col min="6401" max="6401" width="15.42578125" customWidth="1"/>
    <col min="6402" max="6402" width="40.140625" customWidth="1"/>
    <col min="6403" max="6403" width="25" customWidth="1"/>
    <col min="6404" max="6404" width="1.42578125" customWidth="1"/>
    <col min="6657" max="6657" width="15.42578125" customWidth="1"/>
    <col min="6658" max="6658" width="40.140625" customWidth="1"/>
    <col min="6659" max="6659" width="25" customWidth="1"/>
    <col min="6660" max="6660" width="1.42578125" customWidth="1"/>
    <col min="6913" max="6913" width="15.42578125" customWidth="1"/>
    <col min="6914" max="6914" width="40.140625" customWidth="1"/>
    <col min="6915" max="6915" width="25" customWidth="1"/>
    <col min="6916" max="6916" width="1.42578125" customWidth="1"/>
    <col min="7169" max="7169" width="15.42578125" customWidth="1"/>
    <col min="7170" max="7170" width="40.140625" customWidth="1"/>
    <col min="7171" max="7171" width="25" customWidth="1"/>
    <col min="7172" max="7172" width="1.42578125" customWidth="1"/>
    <col min="7425" max="7425" width="15.42578125" customWidth="1"/>
    <col min="7426" max="7426" width="40.140625" customWidth="1"/>
    <col min="7427" max="7427" width="25" customWidth="1"/>
    <col min="7428" max="7428" width="1.42578125" customWidth="1"/>
    <col min="7681" max="7681" width="15.42578125" customWidth="1"/>
    <col min="7682" max="7682" width="40.140625" customWidth="1"/>
    <col min="7683" max="7683" width="25" customWidth="1"/>
    <col min="7684" max="7684" width="1.42578125" customWidth="1"/>
    <col min="7937" max="7937" width="15.42578125" customWidth="1"/>
    <col min="7938" max="7938" width="40.140625" customWidth="1"/>
    <col min="7939" max="7939" width="25" customWidth="1"/>
    <col min="7940" max="7940" width="1.42578125" customWidth="1"/>
    <col min="8193" max="8193" width="15.42578125" customWidth="1"/>
    <col min="8194" max="8194" width="40.140625" customWidth="1"/>
    <col min="8195" max="8195" width="25" customWidth="1"/>
    <col min="8196" max="8196" width="1.42578125" customWidth="1"/>
    <col min="8449" max="8449" width="15.42578125" customWidth="1"/>
    <col min="8450" max="8450" width="40.140625" customWidth="1"/>
    <col min="8451" max="8451" width="25" customWidth="1"/>
    <col min="8452" max="8452" width="1.42578125" customWidth="1"/>
    <col min="8705" max="8705" width="15.42578125" customWidth="1"/>
    <col min="8706" max="8706" width="40.140625" customWidth="1"/>
    <col min="8707" max="8707" width="25" customWidth="1"/>
    <col min="8708" max="8708" width="1.42578125" customWidth="1"/>
    <col min="8961" max="8961" width="15.42578125" customWidth="1"/>
    <col min="8962" max="8962" width="40.140625" customWidth="1"/>
    <col min="8963" max="8963" width="25" customWidth="1"/>
    <col min="8964" max="8964" width="1.42578125" customWidth="1"/>
    <col min="9217" max="9217" width="15.42578125" customWidth="1"/>
    <col min="9218" max="9218" width="40.140625" customWidth="1"/>
    <col min="9219" max="9219" width="25" customWidth="1"/>
    <col min="9220" max="9220" width="1.42578125" customWidth="1"/>
    <col min="9473" max="9473" width="15.42578125" customWidth="1"/>
    <col min="9474" max="9474" width="40.140625" customWidth="1"/>
    <col min="9475" max="9475" width="25" customWidth="1"/>
    <col min="9476" max="9476" width="1.42578125" customWidth="1"/>
    <col min="9729" max="9729" width="15.42578125" customWidth="1"/>
    <col min="9730" max="9730" width="40.140625" customWidth="1"/>
    <col min="9731" max="9731" width="25" customWidth="1"/>
    <col min="9732" max="9732" width="1.42578125" customWidth="1"/>
    <col min="9985" max="9985" width="15.42578125" customWidth="1"/>
    <col min="9986" max="9986" width="40.140625" customWidth="1"/>
    <col min="9987" max="9987" width="25" customWidth="1"/>
    <col min="9988" max="9988" width="1.42578125" customWidth="1"/>
    <col min="10241" max="10241" width="15.42578125" customWidth="1"/>
    <col min="10242" max="10242" width="40.140625" customWidth="1"/>
    <col min="10243" max="10243" width="25" customWidth="1"/>
    <col min="10244" max="10244" width="1.42578125" customWidth="1"/>
    <col min="10497" max="10497" width="15.42578125" customWidth="1"/>
    <col min="10498" max="10498" width="40.140625" customWidth="1"/>
    <col min="10499" max="10499" width="25" customWidth="1"/>
    <col min="10500" max="10500" width="1.42578125" customWidth="1"/>
    <col min="10753" max="10753" width="15.42578125" customWidth="1"/>
    <col min="10754" max="10754" width="40.140625" customWidth="1"/>
    <col min="10755" max="10755" width="25" customWidth="1"/>
    <col min="10756" max="10756" width="1.42578125" customWidth="1"/>
    <col min="11009" max="11009" width="15.42578125" customWidth="1"/>
    <col min="11010" max="11010" width="40.140625" customWidth="1"/>
    <col min="11011" max="11011" width="25" customWidth="1"/>
    <col min="11012" max="11012" width="1.42578125" customWidth="1"/>
    <col min="11265" max="11265" width="15.42578125" customWidth="1"/>
    <col min="11266" max="11266" width="40.140625" customWidth="1"/>
    <col min="11267" max="11267" width="25" customWidth="1"/>
    <col min="11268" max="11268" width="1.42578125" customWidth="1"/>
    <col min="11521" max="11521" width="15.42578125" customWidth="1"/>
    <col min="11522" max="11522" width="40.140625" customWidth="1"/>
    <col min="11523" max="11523" width="25" customWidth="1"/>
    <col min="11524" max="11524" width="1.42578125" customWidth="1"/>
    <col min="11777" max="11777" width="15.42578125" customWidth="1"/>
    <col min="11778" max="11778" width="40.140625" customWidth="1"/>
    <col min="11779" max="11779" width="25" customWidth="1"/>
    <col min="11780" max="11780" width="1.42578125" customWidth="1"/>
    <col min="12033" max="12033" width="15.42578125" customWidth="1"/>
    <col min="12034" max="12034" width="40.140625" customWidth="1"/>
    <col min="12035" max="12035" width="25" customWidth="1"/>
    <col min="12036" max="12036" width="1.42578125" customWidth="1"/>
    <col min="12289" max="12289" width="15.42578125" customWidth="1"/>
    <col min="12290" max="12290" width="40.140625" customWidth="1"/>
    <col min="12291" max="12291" width="25" customWidth="1"/>
    <col min="12292" max="12292" width="1.42578125" customWidth="1"/>
    <col min="12545" max="12545" width="15.42578125" customWidth="1"/>
    <col min="12546" max="12546" width="40.140625" customWidth="1"/>
    <col min="12547" max="12547" width="25" customWidth="1"/>
    <col min="12548" max="12548" width="1.42578125" customWidth="1"/>
    <col min="12801" max="12801" width="15.42578125" customWidth="1"/>
    <col min="12802" max="12802" width="40.140625" customWidth="1"/>
    <col min="12803" max="12803" width="25" customWidth="1"/>
    <col min="12804" max="12804" width="1.42578125" customWidth="1"/>
    <col min="13057" max="13057" width="15.42578125" customWidth="1"/>
    <col min="13058" max="13058" width="40.140625" customWidth="1"/>
    <col min="13059" max="13059" width="25" customWidth="1"/>
    <col min="13060" max="13060" width="1.42578125" customWidth="1"/>
    <col min="13313" max="13313" width="15.42578125" customWidth="1"/>
    <col min="13314" max="13314" width="40.140625" customWidth="1"/>
    <col min="13315" max="13315" width="25" customWidth="1"/>
    <col min="13316" max="13316" width="1.42578125" customWidth="1"/>
    <col min="13569" max="13569" width="15.42578125" customWidth="1"/>
    <col min="13570" max="13570" width="40.140625" customWidth="1"/>
    <col min="13571" max="13571" width="25" customWidth="1"/>
    <col min="13572" max="13572" width="1.42578125" customWidth="1"/>
    <col min="13825" max="13825" width="15.42578125" customWidth="1"/>
    <col min="13826" max="13826" width="40.140625" customWidth="1"/>
    <col min="13827" max="13827" width="25" customWidth="1"/>
    <col min="13828" max="13828" width="1.42578125" customWidth="1"/>
    <col min="14081" max="14081" width="15.42578125" customWidth="1"/>
    <col min="14082" max="14082" width="40.140625" customWidth="1"/>
    <col min="14083" max="14083" width="25" customWidth="1"/>
    <col min="14084" max="14084" width="1.42578125" customWidth="1"/>
    <col min="14337" max="14337" width="15.42578125" customWidth="1"/>
    <col min="14338" max="14338" width="40.140625" customWidth="1"/>
    <col min="14339" max="14339" width="25" customWidth="1"/>
    <col min="14340" max="14340" width="1.42578125" customWidth="1"/>
    <col min="14593" max="14593" width="15.42578125" customWidth="1"/>
    <col min="14594" max="14594" width="40.140625" customWidth="1"/>
    <col min="14595" max="14595" width="25" customWidth="1"/>
    <col min="14596" max="14596" width="1.42578125" customWidth="1"/>
    <col min="14849" max="14849" width="15.42578125" customWidth="1"/>
    <col min="14850" max="14850" width="40.140625" customWidth="1"/>
    <col min="14851" max="14851" width="25" customWidth="1"/>
    <col min="14852" max="14852" width="1.42578125" customWidth="1"/>
    <col min="15105" max="15105" width="15.42578125" customWidth="1"/>
    <col min="15106" max="15106" width="40.140625" customWidth="1"/>
    <col min="15107" max="15107" width="25" customWidth="1"/>
    <col min="15108" max="15108" width="1.42578125" customWidth="1"/>
    <col min="15361" max="15361" width="15.42578125" customWidth="1"/>
    <col min="15362" max="15362" width="40.140625" customWidth="1"/>
    <col min="15363" max="15363" width="25" customWidth="1"/>
    <col min="15364" max="15364" width="1.42578125" customWidth="1"/>
    <col min="15617" max="15617" width="15.42578125" customWidth="1"/>
    <col min="15618" max="15618" width="40.140625" customWidth="1"/>
    <col min="15619" max="15619" width="25" customWidth="1"/>
    <col min="15620" max="15620" width="1.42578125" customWidth="1"/>
    <col min="15873" max="15873" width="15.42578125" customWidth="1"/>
    <col min="15874" max="15874" width="40.140625" customWidth="1"/>
    <col min="15875" max="15875" width="25" customWidth="1"/>
    <col min="15876" max="15876" width="1.42578125" customWidth="1"/>
    <col min="16129" max="16129" width="15.42578125" customWidth="1"/>
    <col min="16130" max="16130" width="40.140625" customWidth="1"/>
    <col min="16131" max="16131" width="25" customWidth="1"/>
    <col min="16132" max="16132" width="1.42578125" customWidth="1"/>
  </cols>
  <sheetData>
    <row r="1" spans="1:4" ht="15.75" x14ac:dyDescent="0.25">
      <c r="A1" s="29"/>
      <c r="C1" s="7"/>
    </row>
    <row r="2" spans="1:4" ht="15.75" x14ac:dyDescent="0.25">
      <c r="A2" s="217" t="s">
        <v>0</v>
      </c>
      <c r="B2" s="217"/>
      <c r="C2" s="217"/>
      <c r="D2" s="217"/>
    </row>
    <row r="3" spans="1:4" ht="15.75" x14ac:dyDescent="0.25">
      <c r="C3" s="7"/>
      <c r="D3" s="29"/>
    </row>
    <row r="4" spans="1:4" ht="15.75" x14ac:dyDescent="0.25">
      <c r="A4" s="281" t="s">
        <v>26</v>
      </c>
      <c r="B4" s="281"/>
      <c r="C4" s="281"/>
      <c r="D4" s="281"/>
    </row>
    <row r="5" spans="1:4" ht="15.75" x14ac:dyDescent="0.25">
      <c r="C5" s="7"/>
      <c r="D5" s="30"/>
    </row>
    <row r="6" spans="1:4" ht="34.5" customHeight="1" x14ac:dyDescent="0.25">
      <c r="A6" s="281" t="s">
        <v>301</v>
      </c>
      <c r="B6" s="281"/>
      <c r="C6" s="281"/>
      <c r="D6" s="281"/>
    </row>
    <row r="7" spans="1:4" ht="15.75" x14ac:dyDescent="0.25">
      <c r="C7" s="7"/>
      <c r="D7" s="30"/>
    </row>
    <row r="8" spans="1:4" ht="16.5" thickBot="1" x14ac:dyDescent="0.3">
      <c r="A8" s="219" t="s">
        <v>27</v>
      </c>
      <c r="B8" s="219"/>
      <c r="C8" s="219"/>
      <c r="D8" s="219"/>
    </row>
    <row r="9" spans="1:4" ht="72" customHeight="1" thickBot="1" x14ac:dyDescent="0.3">
      <c r="A9" s="31" t="s">
        <v>2</v>
      </c>
      <c r="B9" s="32" t="s">
        <v>3</v>
      </c>
      <c r="C9" s="272" t="s">
        <v>4</v>
      </c>
      <c r="D9" s="273"/>
    </row>
    <row r="10" spans="1:4" ht="16.5" thickBot="1" x14ac:dyDescent="0.3">
      <c r="A10" s="33"/>
      <c r="B10" s="34" t="s">
        <v>5</v>
      </c>
      <c r="C10" s="220"/>
      <c r="D10" s="221"/>
    </row>
    <row r="11" spans="1:4" ht="112.5" customHeight="1" x14ac:dyDescent="0.25">
      <c r="A11" s="210" t="s">
        <v>6</v>
      </c>
      <c r="B11" s="65" t="s">
        <v>641</v>
      </c>
      <c r="C11" s="204">
        <f>188.4+96+96</f>
        <v>380.4</v>
      </c>
      <c r="D11" s="205"/>
    </row>
    <row r="12" spans="1:4" ht="61.5" customHeight="1" x14ac:dyDescent="0.25">
      <c r="A12" s="211"/>
      <c r="B12" s="65" t="s">
        <v>642</v>
      </c>
      <c r="C12" s="204"/>
      <c r="D12" s="205"/>
    </row>
    <row r="13" spans="1:4" ht="63" customHeight="1" x14ac:dyDescent="0.25">
      <c r="A13" s="211"/>
      <c r="B13" s="65" t="s">
        <v>643</v>
      </c>
      <c r="C13" s="204"/>
      <c r="D13" s="205"/>
    </row>
    <row r="14" spans="1:4" ht="16.5" thickBot="1" x14ac:dyDescent="0.3">
      <c r="A14" s="212"/>
      <c r="B14" s="62" t="s">
        <v>484</v>
      </c>
      <c r="C14" s="204"/>
      <c r="D14" s="205"/>
    </row>
    <row r="15" spans="1:4" ht="48" thickBot="1" x14ac:dyDescent="0.3">
      <c r="A15" s="51" t="s">
        <v>7</v>
      </c>
      <c r="B15" s="36" t="s">
        <v>209</v>
      </c>
      <c r="C15" s="204">
        <f>C11*0.2359</f>
        <v>89.736359999999991</v>
      </c>
      <c r="D15" s="205"/>
    </row>
    <row r="16" spans="1:4" ht="16.5" thickBot="1" x14ac:dyDescent="0.3">
      <c r="A16" s="51"/>
      <c r="B16" s="38" t="s">
        <v>9</v>
      </c>
      <c r="C16" s="204">
        <f>SUM(C11:D15)</f>
        <v>470.13635999999997</v>
      </c>
      <c r="D16" s="205"/>
    </row>
    <row r="17" spans="1:4" ht="16.5" thickBot="1" x14ac:dyDescent="0.3">
      <c r="A17" s="51"/>
      <c r="B17" s="38" t="s">
        <v>10</v>
      </c>
      <c r="C17" s="204"/>
      <c r="D17" s="205"/>
    </row>
    <row r="18" spans="1:4" ht="158.25" customHeight="1" thickBot="1" x14ac:dyDescent="0.3">
      <c r="A18" s="51" t="s">
        <v>12</v>
      </c>
      <c r="B18" s="62" t="s">
        <v>358</v>
      </c>
      <c r="C18" s="204">
        <f>1.84+5.35+0.16</f>
        <v>7.35</v>
      </c>
      <c r="D18" s="205"/>
    </row>
    <row r="19" spans="1:4" ht="48" thickBot="1" x14ac:dyDescent="0.3">
      <c r="A19" s="51" t="s">
        <v>13</v>
      </c>
      <c r="B19" s="62" t="s">
        <v>225</v>
      </c>
      <c r="C19" s="204">
        <f>39644/1299*100/85*20</f>
        <v>718.09083910700542</v>
      </c>
      <c r="D19" s="205"/>
    </row>
    <row r="20" spans="1:4" ht="47.25" customHeight="1" thickBot="1" x14ac:dyDescent="0.3">
      <c r="A20" s="51" t="s">
        <v>15</v>
      </c>
      <c r="B20" s="62" t="s">
        <v>359</v>
      </c>
      <c r="C20" s="204">
        <f>4228/3221*100/85*20</f>
        <v>30.885548879595301</v>
      </c>
      <c r="D20" s="205"/>
    </row>
    <row r="21" spans="1:4" ht="48" thickBot="1" x14ac:dyDescent="0.3">
      <c r="A21" s="51" t="s">
        <v>16</v>
      </c>
      <c r="B21" s="62" t="s">
        <v>217</v>
      </c>
      <c r="C21" s="204">
        <f>10204/3221*100/85*20</f>
        <v>74.540241430319412</v>
      </c>
      <c r="D21" s="205"/>
    </row>
    <row r="22" spans="1:4" ht="33" customHeight="1" thickBot="1" x14ac:dyDescent="0.3">
      <c r="A22" s="51" t="s">
        <v>17</v>
      </c>
      <c r="B22" s="62" t="s">
        <v>640</v>
      </c>
      <c r="C22" s="204">
        <f>421/85*20</f>
        <v>99.058823529411768</v>
      </c>
      <c r="D22" s="205"/>
    </row>
    <row r="23" spans="1:4" ht="16.5" thickBot="1" x14ac:dyDescent="0.3">
      <c r="A23" s="33"/>
      <c r="B23" s="34" t="s">
        <v>18</v>
      </c>
      <c r="C23" s="204">
        <f>SUM(C18:C22)</f>
        <v>929.92545294633192</v>
      </c>
      <c r="D23" s="205"/>
    </row>
    <row r="24" spans="1:4" ht="16.5" thickBot="1" x14ac:dyDescent="0.3">
      <c r="A24" s="33"/>
      <c r="B24" s="41" t="s">
        <v>19</v>
      </c>
      <c r="C24" s="206">
        <f>SUM(C16,C23)</f>
        <v>1400.0618129463319</v>
      </c>
      <c r="D24" s="207"/>
    </row>
    <row r="25" spans="1:4" x14ac:dyDescent="0.25">
      <c r="A25" s="43"/>
      <c r="C25" s="8"/>
    </row>
    <row r="26" spans="1:4" ht="15.75" x14ac:dyDescent="0.25">
      <c r="A26" s="213" t="s">
        <v>20</v>
      </c>
      <c r="B26" s="214"/>
      <c r="C26" s="224">
        <v>20</v>
      </c>
      <c r="D26" s="224"/>
    </row>
    <row r="27" spans="1:4" ht="49.5" customHeight="1" x14ac:dyDescent="0.25">
      <c r="A27" s="215" t="s">
        <v>28</v>
      </c>
      <c r="B27" s="216"/>
      <c r="C27" s="320">
        <f>C24/C26</f>
        <v>70.003090647316597</v>
      </c>
      <c r="D27" s="320"/>
    </row>
    <row r="29" spans="1:4" x14ac:dyDescent="0.25">
      <c r="A29" s="78"/>
      <c r="B29" s="78"/>
      <c r="C29" s="203"/>
      <c r="D29" s="203"/>
    </row>
    <row r="30" spans="1:4" x14ac:dyDescent="0.25">
      <c r="A30" s="78"/>
      <c r="B30" s="78"/>
      <c r="C30" s="79"/>
      <c r="D30" s="78"/>
    </row>
    <row r="31" spans="1:4" x14ac:dyDescent="0.25">
      <c r="A31" s="78"/>
      <c r="B31" s="78"/>
      <c r="C31" s="203"/>
      <c r="D31" s="203"/>
    </row>
    <row r="32" spans="1:4" x14ac:dyDescent="0.25">
      <c r="A32" s="78"/>
      <c r="B32" s="78"/>
      <c r="C32" s="78"/>
      <c r="D32" s="78"/>
    </row>
    <row r="33" spans="1:4" x14ac:dyDescent="0.25">
      <c r="A33" s="202"/>
      <c r="B33" s="202"/>
      <c r="C33" s="80"/>
      <c r="D33" s="80"/>
    </row>
    <row r="34" spans="1:4" x14ac:dyDescent="0.25">
      <c r="A34" s="201"/>
      <c r="B34" s="202"/>
      <c r="C34" s="80"/>
      <c r="D34" s="80"/>
    </row>
    <row r="35" spans="1:4" x14ac:dyDescent="0.25">
      <c r="A35" s="57"/>
      <c r="B35" s="80"/>
      <c r="C35" s="81"/>
      <c r="D35" s="81"/>
    </row>
    <row r="36" spans="1:4" x14ac:dyDescent="0.25">
      <c r="A36" s="201"/>
      <c r="B36" s="201"/>
      <c r="C36" s="81"/>
      <c r="D36" s="81"/>
    </row>
  </sheetData>
  <mergeCells count="27">
    <mergeCell ref="C17:D17"/>
    <mergeCell ref="C10:D10"/>
    <mergeCell ref="A11:A14"/>
    <mergeCell ref="C11:D14"/>
    <mergeCell ref="C15:D15"/>
    <mergeCell ref="C16:D16"/>
    <mergeCell ref="A2:D2"/>
    <mergeCell ref="A4:D4"/>
    <mergeCell ref="A6:D6"/>
    <mergeCell ref="A8:D8"/>
    <mergeCell ref="C9:D9"/>
    <mergeCell ref="A27:B27"/>
    <mergeCell ref="C27:D27"/>
    <mergeCell ref="C18:D18"/>
    <mergeCell ref="C19:D19"/>
    <mergeCell ref="C20:D20"/>
    <mergeCell ref="C21:D21"/>
    <mergeCell ref="C22:D22"/>
    <mergeCell ref="C23:D23"/>
    <mergeCell ref="C24:D24"/>
    <mergeCell ref="A26:B26"/>
    <mergeCell ref="C26:D26"/>
    <mergeCell ref="C29:D29"/>
    <mergeCell ref="C31:D31"/>
    <mergeCell ref="A33:B33"/>
    <mergeCell ref="A34:B34"/>
    <mergeCell ref="A36:B36"/>
  </mergeCells>
  <pageMargins left="0.70866141732283472" right="0.70866141732283472" top="0.74803149606299213" bottom="0.74803149606299213" header="0.31496062992125984" footer="0.31496062992125984"/>
  <pageSetup paperSize="9" fitToHeight="0" orientation="portrait" verticalDpi="0" r:id="rId1"/>
  <headerFoot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view="pageBreakPreview" zoomScale="60" zoomScaleNormal="100" workbookViewId="0">
      <selection activeCell="T13" sqref="T13"/>
    </sheetView>
  </sheetViews>
  <sheetFormatPr defaultRowHeight="15" x14ac:dyDescent="0.25"/>
  <cols>
    <col min="1" max="1" width="15.42578125" customWidth="1"/>
    <col min="2" max="2" width="54.28515625" customWidth="1"/>
    <col min="3" max="3" width="15.42578125" customWidth="1"/>
    <col min="4" max="4" width="4" customWidth="1"/>
    <col min="257" max="257" width="15.42578125" customWidth="1"/>
    <col min="258" max="258" width="40.140625" customWidth="1"/>
    <col min="259" max="259" width="25" customWidth="1"/>
    <col min="260" max="260" width="1.42578125" customWidth="1"/>
    <col min="513" max="513" width="15.42578125" customWidth="1"/>
    <col min="514" max="514" width="40.140625" customWidth="1"/>
    <col min="515" max="515" width="25" customWidth="1"/>
    <col min="516" max="516" width="1.42578125" customWidth="1"/>
    <col min="769" max="769" width="15.42578125" customWidth="1"/>
    <col min="770" max="770" width="40.140625" customWidth="1"/>
    <col min="771" max="771" width="25" customWidth="1"/>
    <col min="772" max="772" width="1.42578125" customWidth="1"/>
    <col min="1025" max="1025" width="15.42578125" customWidth="1"/>
    <col min="1026" max="1026" width="40.140625" customWidth="1"/>
    <col min="1027" max="1027" width="25" customWidth="1"/>
    <col min="1028" max="1028" width="1.42578125" customWidth="1"/>
    <col min="1281" max="1281" width="15.42578125" customWidth="1"/>
    <col min="1282" max="1282" width="40.140625" customWidth="1"/>
    <col min="1283" max="1283" width="25" customWidth="1"/>
    <col min="1284" max="1284" width="1.42578125" customWidth="1"/>
    <col min="1537" max="1537" width="15.42578125" customWidth="1"/>
    <col min="1538" max="1538" width="40.140625" customWidth="1"/>
    <col min="1539" max="1539" width="25" customWidth="1"/>
    <col min="1540" max="1540" width="1.42578125" customWidth="1"/>
    <col min="1793" max="1793" width="15.42578125" customWidth="1"/>
    <col min="1794" max="1794" width="40.140625" customWidth="1"/>
    <col min="1795" max="1795" width="25" customWidth="1"/>
    <col min="1796" max="1796" width="1.42578125" customWidth="1"/>
    <col min="2049" max="2049" width="15.42578125" customWidth="1"/>
    <col min="2050" max="2050" width="40.140625" customWidth="1"/>
    <col min="2051" max="2051" width="25" customWidth="1"/>
    <col min="2052" max="2052" width="1.42578125" customWidth="1"/>
    <col min="2305" max="2305" width="15.42578125" customWidth="1"/>
    <col min="2306" max="2306" width="40.140625" customWidth="1"/>
    <col min="2307" max="2307" width="25" customWidth="1"/>
    <col min="2308" max="2308" width="1.42578125" customWidth="1"/>
    <col min="2561" max="2561" width="15.42578125" customWidth="1"/>
    <col min="2562" max="2562" width="40.140625" customWidth="1"/>
    <col min="2563" max="2563" width="25" customWidth="1"/>
    <col min="2564" max="2564" width="1.42578125" customWidth="1"/>
    <col min="2817" max="2817" width="15.42578125" customWidth="1"/>
    <col min="2818" max="2818" width="40.140625" customWidth="1"/>
    <col min="2819" max="2819" width="25" customWidth="1"/>
    <col min="2820" max="2820" width="1.42578125" customWidth="1"/>
    <col min="3073" max="3073" width="15.42578125" customWidth="1"/>
    <col min="3074" max="3074" width="40.140625" customWidth="1"/>
    <col min="3075" max="3075" width="25" customWidth="1"/>
    <col min="3076" max="3076" width="1.42578125" customWidth="1"/>
    <col min="3329" max="3329" width="15.42578125" customWidth="1"/>
    <col min="3330" max="3330" width="40.140625" customWidth="1"/>
    <col min="3331" max="3331" width="25" customWidth="1"/>
    <col min="3332" max="3332" width="1.42578125" customWidth="1"/>
    <col min="3585" max="3585" width="15.42578125" customWidth="1"/>
    <col min="3586" max="3586" width="40.140625" customWidth="1"/>
    <col min="3587" max="3587" width="25" customWidth="1"/>
    <col min="3588" max="3588" width="1.42578125" customWidth="1"/>
    <col min="3841" max="3841" width="15.42578125" customWidth="1"/>
    <col min="3842" max="3842" width="40.140625" customWidth="1"/>
    <col min="3843" max="3843" width="25" customWidth="1"/>
    <col min="3844" max="3844" width="1.42578125" customWidth="1"/>
    <col min="4097" max="4097" width="15.42578125" customWidth="1"/>
    <col min="4098" max="4098" width="40.140625" customWidth="1"/>
    <col min="4099" max="4099" width="25" customWidth="1"/>
    <col min="4100" max="4100" width="1.42578125" customWidth="1"/>
    <col min="4353" max="4353" width="15.42578125" customWidth="1"/>
    <col min="4354" max="4354" width="40.140625" customWidth="1"/>
    <col min="4355" max="4355" width="25" customWidth="1"/>
    <col min="4356" max="4356" width="1.42578125" customWidth="1"/>
    <col min="4609" max="4609" width="15.42578125" customWidth="1"/>
    <col min="4610" max="4610" width="40.140625" customWidth="1"/>
    <col min="4611" max="4611" width="25" customWidth="1"/>
    <col min="4612" max="4612" width="1.42578125" customWidth="1"/>
    <col min="4865" max="4865" width="15.42578125" customWidth="1"/>
    <col min="4866" max="4866" width="40.140625" customWidth="1"/>
    <col min="4867" max="4867" width="25" customWidth="1"/>
    <col min="4868" max="4868" width="1.42578125" customWidth="1"/>
    <col min="5121" max="5121" width="15.42578125" customWidth="1"/>
    <col min="5122" max="5122" width="40.140625" customWidth="1"/>
    <col min="5123" max="5123" width="25" customWidth="1"/>
    <col min="5124" max="5124" width="1.42578125" customWidth="1"/>
    <col min="5377" max="5377" width="15.42578125" customWidth="1"/>
    <col min="5378" max="5378" width="40.140625" customWidth="1"/>
    <col min="5379" max="5379" width="25" customWidth="1"/>
    <col min="5380" max="5380" width="1.42578125" customWidth="1"/>
    <col min="5633" max="5633" width="15.42578125" customWidth="1"/>
    <col min="5634" max="5634" width="40.140625" customWidth="1"/>
    <col min="5635" max="5635" width="25" customWidth="1"/>
    <col min="5636" max="5636" width="1.42578125" customWidth="1"/>
    <col min="5889" max="5889" width="15.42578125" customWidth="1"/>
    <col min="5890" max="5890" width="40.140625" customWidth="1"/>
    <col min="5891" max="5891" width="25" customWidth="1"/>
    <col min="5892" max="5892" width="1.42578125" customWidth="1"/>
    <col min="6145" max="6145" width="15.42578125" customWidth="1"/>
    <col min="6146" max="6146" width="40.140625" customWidth="1"/>
    <col min="6147" max="6147" width="25" customWidth="1"/>
    <col min="6148" max="6148" width="1.42578125" customWidth="1"/>
    <col min="6401" max="6401" width="15.42578125" customWidth="1"/>
    <col min="6402" max="6402" width="40.140625" customWidth="1"/>
    <col min="6403" max="6403" width="25" customWidth="1"/>
    <col min="6404" max="6404" width="1.42578125" customWidth="1"/>
    <col min="6657" max="6657" width="15.42578125" customWidth="1"/>
    <col min="6658" max="6658" width="40.140625" customWidth="1"/>
    <col min="6659" max="6659" width="25" customWidth="1"/>
    <col min="6660" max="6660" width="1.42578125" customWidth="1"/>
    <col min="6913" max="6913" width="15.42578125" customWidth="1"/>
    <col min="6914" max="6914" width="40.140625" customWidth="1"/>
    <col min="6915" max="6915" width="25" customWidth="1"/>
    <col min="6916" max="6916" width="1.42578125" customWidth="1"/>
    <col min="7169" max="7169" width="15.42578125" customWidth="1"/>
    <col min="7170" max="7170" width="40.140625" customWidth="1"/>
    <col min="7171" max="7171" width="25" customWidth="1"/>
    <col min="7172" max="7172" width="1.42578125" customWidth="1"/>
    <col min="7425" max="7425" width="15.42578125" customWidth="1"/>
    <col min="7426" max="7426" width="40.140625" customWidth="1"/>
    <col min="7427" max="7427" width="25" customWidth="1"/>
    <col min="7428" max="7428" width="1.42578125" customWidth="1"/>
    <col min="7681" max="7681" width="15.42578125" customWidth="1"/>
    <col min="7682" max="7682" width="40.140625" customWidth="1"/>
    <col min="7683" max="7683" width="25" customWidth="1"/>
    <col min="7684" max="7684" width="1.42578125" customWidth="1"/>
    <col min="7937" max="7937" width="15.42578125" customWidth="1"/>
    <col min="7938" max="7938" width="40.140625" customWidth="1"/>
    <col min="7939" max="7939" width="25" customWidth="1"/>
    <col min="7940" max="7940" width="1.42578125" customWidth="1"/>
    <col min="8193" max="8193" width="15.42578125" customWidth="1"/>
    <col min="8194" max="8194" width="40.140625" customWidth="1"/>
    <col min="8195" max="8195" width="25" customWidth="1"/>
    <col min="8196" max="8196" width="1.42578125" customWidth="1"/>
    <col min="8449" max="8449" width="15.42578125" customWidth="1"/>
    <col min="8450" max="8450" width="40.140625" customWidth="1"/>
    <col min="8451" max="8451" width="25" customWidth="1"/>
    <col min="8452" max="8452" width="1.42578125" customWidth="1"/>
    <col min="8705" max="8705" width="15.42578125" customWidth="1"/>
    <col min="8706" max="8706" width="40.140625" customWidth="1"/>
    <col min="8707" max="8707" width="25" customWidth="1"/>
    <col min="8708" max="8708" width="1.42578125" customWidth="1"/>
    <col min="8961" max="8961" width="15.42578125" customWidth="1"/>
    <col min="8962" max="8962" width="40.140625" customWidth="1"/>
    <col min="8963" max="8963" width="25" customWidth="1"/>
    <col min="8964" max="8964" width="1.42578125" customWidth="1"/>
    <col min="9217" max="9217" width="15.42578125" customWidth="1"/>
    <col min="9218" max="9218" width="40.140625" customWidth="1"/>
    <col min="9219" max="9219" width="25" customWidth="1"/>
    <col min="9220" max="9220" width="1.42578125" customWidth="1"/>
    <col min="9473" max="9473" width="15.42578125" customWidth="1"/>
    <col min="9474" max="9474" width="40.140625" customWidth="1"/>
    <col min="9475" max="9475" width="25" customWidth="1"/>
    <col min="9476" max="9476" width="1.42578125" customWidth="1"/>
    <col min="9729" max="9729" width="15.42578125" customWidth="1"/>
    <col min="9730" max="9730" width="40.140625" customWidth="1"/>
    <col min="9731" max="9731" width="25" customWidth="1"/>
    <col min="9732" max="9732" width="1.42578125" customWidth="1"/>
    <col min="9985" max="9985" width="15.42578125" customWidth="1"/>
    <col min="9986" max="9986" width="40.140625" customWidth="1"/>
    <col min="9987" max="9987" width="25" customWidth="1"/>
    <col min="9988" max="9988" width="1.42578125" customWidth="1"/>
    <col min="10241" max="10241" width="15.42578125" customWidth="1"/>
    <col min="10242" max="10242" width="40.140625" customWidth="1"/>
    <col min="10243" max="10243" width="25" customWidth="1"/>
    <col min="10244" max="10244" width="1.42578125" customWidth="1"/>
    <col min="10497" max="10497" width="15.42578125" customWidth="1"/>
    <col min="10498" max="10498" width="40.140625" customWidth="1"/>
    <col min="10499" max="10499" width="25" customWidth="1"/>
    <col min="10500" max="10500" width="1.42578125" customWidth="1"/>
    <col min="10753" max="10753" width="15.42578125" customWidth="1"/>
    <col min="10754" max="10754" width="40.140625" customWidth="1"/>
    <col min="10755" max="10755" width="25" customWidth="1"/>
    <col min="10756" max="10756" width="1.42578125" customWidth="1"/>
    <col min="11009" max="11009" width="15.42578125" customWidth="1"/>
    <col min="11010" max="11010" width="40.140625" customWidth="1"/>
    <col min="11011" max="11011" width="25" customWidth="1"/>
    <col min="11012" max="11012" width="1.42578125" customWidth="1"/>
    <col min="11265" max="11265" width="15.42578125" customWidth="1"/>
    <col min="11266" max="11266" width="40.140625" customWidth="1"/>
    <col min="11267" max="11267" width="25" customWidth="1"/>
    <col min="11268" max="11268" width="1.42578125" customWidth="1"/>
    <col min="11521" max="11521" width="15.42578125" customWidth="1"/>
    <col min="11522" max="11522" width="40.140625" customWidth="1"/>
    <col min="11523" max="11523" width="25" customWidth="1"/>
    <col min="11524" max="11524" width="1.42578125" customWidth="1"/>
    <col min="11777" max="11777" width="15.42578125" customWidth="1"/>
    <col min="11778" max="11778" width="40.140625" customWidth="1"/>
    <col min="11779" max="11779" width="25" customWidth="1"/>
    <col min="11780" max="11780" width="1.42578125" customWidth="1"/>
    <col min="12033" max="12033" width="15.42578125" customWidth="1"/>
    <col min="12034" max="12034" width="40.140625" customWidth="1"/>
    <col min="12035" max="12035" width="25" customWidth="1"/>
    <col min="12036" max="12036" width="1.42578125" customWidth="1"/>
    <col min="12289" max="12289" width="15.42578125" customWidth="1"/>
    <col min="12290" max="12290" width="40.140625" customWidth="1"/>
    <col min="12291" max="12291" width="25" customWidth="1"/>
    <col min="12292" max="12292" width="1.42578125" customWidth="1"/>
    <col min="12545" max="12545" width="15.42578125" customWidth="1"/>
    <col min="12546" max="12546" width="40.140625" customWidth="1"/>
    <col min="12547" max="12547" width="25" customWidth="1"/>
    <col min="12548" max="12548" width="1.42578125" customWidth="1"/>
    <col min="12801" max="12801" width="15.42578125" customWidth="1"/>
    <col min="12802" max="12802" width="40.140625" customWidth="1"/>
    <col min="12803" max="12803" width="25" customWidth="1"/>
    <col min="12804" max="12804" width="1.42578125" customWidth="1"/>
    <col min="13057" max="13057" width="15.42578125" customWidth="1"/>
    <col min="13058" max="13058" width="40.140625" customWidth="1"/>
    <col min="13059" max="13059" width="25" customWidth="1"/>
    <col min="13060" max="13060" width="1.42578125" customWidth="1"/>
    <col min="13313" max="13313" width="15.42578125" customWidth="1"/>
    <col min="13314" max="13314" width="40.140625" customWidth="1"/>
    <col min="13315" max="13315" width="25" customWidth="1"/>
    <col min="13316" max="13316" width="1.42578125" customWidth="1"/>
    <col min="13569" max="13569" width="15.42578125" customWidth="1"/>
    <col min="13570" max="13570" width="40.140625" customWidth="1"/>
    <col min="13571" max="13571" width="25" customWidth="1"/>
    <col min="13572" max="13572" width="1.42578125" customWidth="1"/>
    <col min="13825" max="13825" width="15.42578125" customWidth="1"/>
    <col min="13826" max="13826" width="40.140625" customWidth="1"/>
    <col min="13827" max="13827" width="25" customWidth="1"/>
    <col min="13828" max="13828" width="1.42578125" customWidth="1"/>
    <col min="14081" max="14081" width="15.42578125" customWidth="1"/>
    <col min="14082" max="14082" width="40.140625" customWidth="1"/>
    <col min="14083" max="14083" width="25" customWidth="1"/>
    <col min="14084" max="14084" width="1.42578125" customWidth="1"/>
    <col min="14337" max="14337" width="15.42578125" customWidth="1"/>
    <col min="14338" max="14338" width="40.140625" customWidth="1"/>
    <col min="14339" max="14339" width="25" customWidth="1"/>
    <col min="14340" max="14340" width="1.42578125" customWidth="1"/>
    <col min="14593" max="14593" width="15.42578125" customWidth="1"/>
    <col min="14594" max="14594" width="40.140625" customWidth="1"/>
    <col min="14595" max="14595" width="25" customWidth="1"/>
    <col min="14596" max="14596" width="1.42578125" customWidth="1"/>
    <col min="14849" max="14849" width="15.42578125" customWidth="1"/>
    <col min="14850" max="14850" width="40.140625" customWidth="1"/>
    <col min="14851" max="14851" width="25" customWidth="1"/>
    <col min="14852" max="14852" width="1.42578125" customWidth="1"/>
    <col min="15105" max="15105" width="15.42578125" customWidth="1"/>
    <col min="15106" max="15106" width="40.140625" customWidth="1"/>
    <col min="15107" max="15107" width="25" customWidth="1"/>
    <col min="15108" max="15108" width="1.42578125" customWidth="1"/>
    <col min="15361" max="15361" width="15.42578125" customWidth="1"/>
    <col min="15362" max="15362" width="40.140625" customWidth="1"/>
    <col min="15363" max="15363" width="25" customWidth="1"/>
    <col min="15364" max="15364" width="1.42578125" customWidth="1"/>
    <col min="15617" max="15617" width="15.42578125" customWidth="1"/>
    <col min="15618" max="15618" width="40.140625" customWidth="1"/>
    <col min="15619" max="15619" width="25" customWidth="1"/>
    <col min="15620" max="15620" width="1.42578125" customWidth="1"/>
    <col min="15873" max="15873" width="15.42578125" customWidth="1"/>
    <col min="15874" max="15874" width="40.140625" customWidth="1"/>
    <col min="15875" max="15875" width="25" customWidth="1"/>
    <col min="15876" max="15876" width="1.42578125" customWidth="1"/>
    <col min="16129" max="16129" width="15.42578125" customWidth="1"/>
    <col min="16130" max="16130" width="40.140625" customWidth="1"/>
    <col min="16131" max="16131" width="25" customWidth="1"/>
    <col min="16132" max="16132" width="1.42578125" customWidth="1"/>
  </cols>
  <sheetData>
    <row r="1" spans="1:5" ht="15.75" x14ac:dyDescent="0.25">
      <c r="A1" s="217" t="s">
        <v>0</v>
      </c>
      <c r="B1" s="217"/>
      <c r="C1" s="217"/>
      <c r="D1" s="217"/>
    </row>
    <row r="2" spans="1:5" ht="15.75" x14ac:dyDescent="0.25">
      <c r="C2" s="7"/>
      <c r="D2" s="29"/>
    </row>
    <row r="3" spans="1:5" ht="15.75" x14ac:dyDescent="0.25">
      <c r="A3" s="281" t="s">
        <v>26</v>
      </c>
      <c r="B3" s="281"/>
      <c r="C3" s="281"/>
      <c r="D3" s="281"/>
    </row>
    <row r="4" spans="1:5" s="59" customFormat="1" ht="34.5" customHeight="1" x14ac:dyDescent="0.25">
      <c r="A4" s="218" t="s">
        <v>302</v>
      </c>
      <c r="B4" s="218"/>
      <c r="C4" s="218"/>
      <c r="D4" s="218"/>
    </row>
    <row r="5" spans="1:5" ht="16.5" thickBot="1" x14ac:dyDescent="0.3">
      <c r="A5" s="219" t="s">
        <v>27</v>
      </c>
      <c r="B5" s="219"/>
      <c r="C5" s="219"/>
      <c r="D5" s="219"/>
    </row>
    <row r="6" spans="1:5" ht="82.5" customHeight="1" thickBot="1" x14ac:dyDescent="0.3">
      <c r="A6" s="31" t="s">
        <v>2</v>
      </c>
      <c r="B6" s="32" t="s">
        <v>3</v>
      </c>
      <c r="C6" s="272" t="s">
        <v>4</v>
      </c>
      <c r="D6" s="273"/>
    </row>
    <row r="7" spans="1:5" ht="16.5" thickBot="1" x14ac:dyDescent="0.3">
      <c r="A7" s="33"/>
      <c r="B7" s="34" t="s">
        <v>5</v>
      </c>
      <c r="C7" s="220"/>
      <c r="D7" s="221"/>
    </row>
    <row r="8" spans="1:5" ht="69.75" customHeight="1" x14ac:dyDescent="0.25">
      <c r="A8" s="210" t="s">
        <v>6</v>
      </c>
      <c r="B8" s="65" t="s">
        <v>645</v>
      </c>
      <c r="C8" s="204">
        <f>18+28.8+28.8</f>
        <v>75.599999999999994</v>
      </c>
      <c r="D8" s="205"/>
      <c r="E8" s="7"/>
    </row>
    <row r="9" spans="1:5" ht="75" customHeight="1" x14ac:dyDescent="0.25">
      <c r="A9" s="211"/>
      <c r="B9" s="63" t="s">
        <v>646</v>
      </c>
      <c r="C9" s="204"/>
      <c r="D9" s="205"/>
      <c r="E9" s="7"/>
    </row>
    <row r="10" spans="1:5" ht="78.75" x14ac:dyDescent="0.25">
      <c r="A10" s="211"/>
      <c r="B10" s="63" t="s">
        <v>647</v>
      </c>
      <c r="C10" s="204"/>
      <c r="D10" s="205"/>
      <c r="E10" s="7"/>
    </row>
    <row r="11" spans="1:5" ht="16.5" thickBot="1" x14ac:dyDescent="0.3">
      <c r="A11" s="212"/>
      <c r="B11" s="36" t="s">
        <v>485</v>
      </c>
      <c r="C11" s="204"/>
      <c r="D11" s="205"/>
    </row>
    <row r="12" spans="1:5" ht="48" thickBot="1" x14ac:dyDescent="0.3">
      <c r="A12" s="51" t="s">
        <v>7</v>
      </c>
      <c r="B12" s="62" t="s">
        <v>209</v>
      </c>
      <c r="C12" s="204">
        <f>C8*0.2359</f>
        <v>17.834039999999998</v>
      </c>
      <c r="D12" s="205"/>
    </row>
    <row r="13" spans="1:5" ht="16.5" thickBot="1" x14ac:dyDescent="0.3">
      <c r="A13" s="51"/>
      <c r="B13" s="38" t="s">
        <v>9</v>
      </c>
      <c r="C13" s="204">
        <f>SUM(C8:D12)</f>
        <v>93.434039999999996</v>
      </c>
      <c r="D13" s="205"/>
    </row>
    <row r="14" spans="1:5" ht="16.5" thickBot="1" x14ac:dyDescent="0.3">
      <c r="A14" s="51"/>
      <c r="B14" s="38" t="s">
        <v>10</v>
      </c>
      <c r="C14" s="204"/>
      <c r="D14" s="205"/>
    </row>
    <row r="15" spans="1:5" ht="96" customHeight="1" thickBot="1" x14ac:dyDescent="0.3">
      <c r="A15" s="51" t="s">
        <v>12</v>
      </c>
      <c r="B15" s="112" t="s">
        <v>486</v>
      </c>
      <c r="C15" s="204">
        <f>2.37+4.51</f>
        <v>6.88</v>
      </c>
      <c r="D15" s="205"/>
    </row>
    <row r="16" spans="1:5" ht="48" thickBot="1" x14ac:dyDescent="0.3">
      <c r="A16" s="51" t="s">
        <v>13</v>
      </c>
      <c r="B16" s="62" t="s">
        <v>644</v>
      </c>
      <c r="C16" s="204">
        <f>39646/1299*167/85*10</f>
        <v>599.63610016754967</v>
      </c>
      <c r="D16" s="205"/>
    </row>
    <row r="17" spans="1:4" ht="48.75" hidden="1" customHeight="1" thickBot="1" x14ac:dyDescent="0.3">
      <c r="A17" s="51" t="s">
        <v>15</v>
      </c>
      <c r="B17" s="62" t="s">
        <v>359</v>
      </c>
      <c r="C17" s="204"/>
      <c r="D17" s="205"/>
    </row>
    <row r="18" spans="1:4" ht="48" hidden="1" thickBot="1" x14ac:dyDescent="0.3">
      <c r="A18" s="51" t="s">
        <v>16</v>
      </c>
      <c r="B18" s="36" t="s">
        <v>218</v>
      </c>
      <c r="C18" s="204"/>
      <c r="D18" s="205"/>
    </row>
    <row r="19" spans="1:4" ht="62.25" hidden="1" customHeight="1" thickBot="1" x14ac:dyDescent="0.3">
      <c r="A19" s="51" t="s">
        <v>17</v>
      </c>
      <c r="B19" s="112" t="s">
        <v>360</v>
      </c>
      <c r="C19" s="204"/>
      <c r="D19" s="205"/>
    </row>
    <row r="20" spans="1:4" ht="16.5" thickBot="1" x14ac:dyDescent="0.3">
      <c r="A20" s="33"/>
      <c r="B20" s="34" t="s">
        <v>18</v>
      </c>
      <c r="C20" s="204">
        <f>SUM(C15:C19)</f>
        <v>606.51610016754967</v>
      </c>
      <c r="D20" s="205"/>
    </row>
    <row r="21" spans="1:4" ht="16.5" thickBot="1" x14ac:dyDescent="0.3">
      <c r="A21" s="33"/>
      <c r="B21" s="41" t="s">
        <v>19</v>
      </c>
      <c r="C21" s="206">
        <f>SUM(C13,C20)</f>
        <v>699.95014016754965</v>
      </c>
      <c r="D21" s="207"/>
    </row>
    <row r="22" spans="1:4" x14ac:dyDescent="0.25">
      <c r="A22" s="43"/>
      <c r="C22" s="8"/>
    </row>
    <row r="23" spans="1:4" ht="15.75" x14ac:dyDescent="0.25">
      <c r="A23" s="213" t="s">
        <v>20</v>
      </c>
      <c r="B23" s="214"/>
      <c r="C23" s="224">
        <v>10</v>
      </c>
      <c r="D23" s="224"/>
    </row>
    <row r="24" spans="1:4" ht="34.5" customHeight="1" x14ac:dyDescent="0.25">
      <c r="A24" s="215" t="s">
        <v>28</v>
      </c>
      <c r="B24" s="216"/>
      <c r="C24" s="320">
        <f>C21/C23</f>
        <v>69.995014016754965</v>
      </c>
      <c r="D24" s="320"/>
    </row>
    <row r="26" spans="1:4" x14ac:dyDescent="0.25">
      <c r="A26" s="78"/>
      <c r="B26" s="78"/>
      <c r="C26" s="203"/>
      <c r="D26" s="203"/>
    </row>
    <row r="27" spans="1:4" x14ac:dyDescent="0.25">
      <c r="A27" s="78"/>
      <c r="B27" s="78"/>
      <c r="C27" s="79"/>
      <c r="D27" s="78"/>
    </row>
    <row r="28" spans="1:4" x14ac:dyDescent="0.25">
      <c r="A28" s="78"/>
      <c r="B28" s="78"/>
      <c r="C28" s="203"/>
      <c r="D28" s="203"/>
    </row>
    <row r="29" spans="1:4" x14ac:dyDescent="0.25">
      <c r="A29" s="78"/>
      <c r="B29" s="78"/>
      <c r="C29" s="78"/>
      <c r="D29" s="78"/>
    </row>
    <row r="30" spans="1:4" x14ac:dyDescent="0.25">
      <c r="A30" s="202"/>
      <c r="B30" s="202"/>
      <c r="C30" s="80"/>
      <c r="D30" s="80"/>
    </row>
    <row r="31" spans="1:4" x14ac:dyDescent="0.25">
      <c r="A31" s="201"/>
      <c r="B31" s="202"/>
      <c r="C31" s="80"/>
      <c r="D31" s="80"/>
    </row>
    <row r="32" spans="1:4" x14ac:dyDescent="0.25">
      <c r="A32" s="57"/>
      <c r="B32" s="80"/>
      <c r="C32" s="81"/>
      <c r="D32" s="81"/>
    </row>
    <row r="33" spans="1:4" x14ac:dyDescent="0.25">
      <c r="A33" s="201"/>
      <c r="B33" s="201"/>
      <c r="C33" s="81"/>
      <c r="D33" s="81"/>
    </row>
    <row r="34" spans="1:4" x14ac:dyDescent="0.25">
      <c r="A34" s="78"/>
      <c r="B34" s="78"/>
      <c r="C34" s="203"/>
      <c r="D34" s="203"/>
    </row>
    <row r="35" spans="1:4" x14ac:dyDescent="0.25">
      <c r="A35" s="78"/>
      <c r="B35" s="78"/>
      <c r="C35" s="79"/>
      <c r="D35" s="78"/>
    </row>
    <row r="36" spans="1:4" x14ac:dyDescent="0.25">
      <c r="A36" s="78"/>
      <c r="B36" s="78"/>
      <c r="C36" s="203"/>
      <c r="D36" s="203"/>
    </row>
    <row r="37" spans="1:4" x14ac:dyDescent="0.25">
      <c r="A37" s="78"/>
      <c r="B37" s="78"/>
      <c r="C37" s="78"/>
      <c r="D37" s="78"/>
    </row>
    <row r="38" spans="1:4" x14ac:dyDescent="0.25">
      <c r="A38" s="202"/>
      <c r="B38" s="202"/>
      <c r="C38" s="80"/>
      <c r="D38" s="80"/>
    </row>
    <row r="39" spans="1:4" x14ac:dyDescent="0.25">
      <c r="A39" s="201"/>
      <c r="B39" s="202"/>
      <c r="C39" s="80"/>
      <c r="D39" s="80"/>
    </row>
    <row r="40" spans="1:4" x14ac:dyDescent="0.25">
      <c r="A40" s="57"/>
      <c r="B40" s="80"/>
      <c r="C40" s="81"/>
      <c r="D40" s="81"/>
    </row>
    <row r="41" spans="1:4" x14ac:dyDescent="0.25">
      <c r="A41" s="201"/>
      <c r="B41" s="201"/>
      <c r="C41" s="81"/>
      <c r="D41" s="81"/>
    </row>
  </sheetData>
  <mergeCells count="32">
    <mergeCell ref="C14:D14"/>
    <mergeCell ref="C7:D7"/>
    <mergeCell ref="A8:A11"/>
    <mergeCell ref="C8:D11"/>
    <mergeCell ref="C12:D12"/>
    <mergeCell ref="C13:D13"/>
    <mergeCell ref="A1:D1"/>
    <mergeCell ref="A3:D3"/>
    <mergeCell ref="A4:D4"/>
    <mergeCell ref="A5:D5"/>
    <mergeCell ref="C6:D6"/>
    <mergeCell ref="A24:B24"/>
    <mergeCell ref="C24:D24"/>
    <mergeCell ref="C15:D15"/>
    <mergeCell ref="C16:D16"/>
    <mergeCell ref="C17:D17"/>
    <mergeCell ref="C18:D18"/>
    <mergeCell ref="C19:D19"/>
    <mergeCell ref="C20:D20"/>
    <mergeCell ref="C21:D21"/>
    <mergeCell ref="A23:B23"/>
    <mergeCell ref="C23:D23"/>
    <mergeCell ref="C26:D26"/>
    <mergeCell ref="C28:D28"/>
    <mergeCell ref="A30:B30"/>
    <mergeCell ref="A31:B31"/>
    <mergeCell ref="A33:B33"/>
    <mergeCell ref="C34:D34"/>
    <mergeCell ref="C36:D36"/>
    <mergeCell ref="A38:B38"/>
    <mergeCell ref="A39:B39"/>
    <mergeCell ref="A41:B41"/>
  </mergeCells>
  <pageMargins left="0.70866141732283472" right="0.70866141732283472" top="0.74803149606299213" bottom="0.74803149606299213" header="0.31496062992125984" footer="0.31496062992125984"/>
  <pageSetup paperSize="9" scale="98" fitToHeight="0" orientation="portrait" verticalDpi="0" r:id="rId1"/>
  <headerFoot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view="pageBreakPreview" zoomScale="60" zoomScaleNormal="100" workbookViewId="0">
      <selection activeCell="T13" sqref="T13"/>
    </sheetView>
  </sheetViews>
  <sheetFormatPr defaultRowHeight="15" x14ac:dyDescent="0.25"/>
  <cols>
    <col min="1" max="1" width="15.42578125" customWidth="1"/>
    <col min="2" max="2" width="55.85546875" customWidth="1"/>
    <col min="3" max="3" width="11.7109375" customWidth="1"/>
    <col min="4" max="4" width="8.5703125" customWidth="1"/>
    <col min="257" max="257" width="15.42578125" customWidth="1"/>
    <col min="258" max="258" width="40.140625" customWidth="1"/>
    <col min="259" max="259" width="25" customWidth="1"/>
    <col min="260" max="260" width="1.42578125" customWidth="1"/>
    <col min="513" max="513" width="15.42578125" customWidth="1"/>
    <col min="514" max="514" width="40.140625" customWidth="1"/>
    <col min="515" max="515" width="25" customWidth="1"/>
    <col min="516" max="516" width="1.42578125" customWidth="1"/>
    <col min="769" max="769" width="15.42578125" customWidth="1"/>
    <col min="770" max="770" width="40.140625" customWidth="1"/>
    <col min="771" max="771" width="25" customWidth="1"/>
    <col min="772" max="772" width="1.42578125" customWidth="1"/>
    <col min="1025" max="1025" width="15.42578125" customWidth="1"/>
    <col min="1026" max="1026" width="40.140625" customWidth="1"/>
    <col min="1027" max="1027" width="25" customWidth="1"/>
    <col min="1028" max="1028" width="1.42578125" customWidth="1"/>
    <col min="1281" max="1281" width="15.42578125" customWidth="1"/>
    <col min="1282" max="1282" width="40.140625" customWidth="1"/>
    <col min="1283" max="1283" width="25" customWidth="1"/>
    <col min="1284" max="1284" width="1.42578125" customWidth="1"/>
    <col min="1537" max="1537" width="15.42578125" customWidth="1"/>
    <col min="1538" max="1538" width="40.140625" customWidth="1"/>
    <col min="1539" max="1539" width="25" customWidth="1"/>
    <col min="1540" max="1540" width="1.42578125" customWidth="1"/>
    <col min="1793" max="1793" width="15.42578125" customWidth="1"/>
    <col min="1794" max="1794" width="40.140625" customWidth="1"/>
    <col min="1795" max="1795" width="25" customWidth="1"/>
    <col min="1796" max="1796" width="1.42578125" customWidth="1"/>
    <col min="2049" max="2049" width="15.42578125" customWidth="1"/>
    <col min="2050" max="2050" width="40.140625" customWidth="1"/>
    <col min="2051" max="2051" width="25" customWidth="1"/>
    <col min="2052" max="2052" width="1.42578125" customWidth="1"/>
    <col min="2305" max="2305" width="15.42578125" customWidth="1"/>
    <col min="2306" max="2306" width="40.140625" customWidth="1"/>
    <col min="2307" max="2307" width="25" customWidth="1"/>
    <col min="2308" max="2308" width="1.42578125" customWidth="1"/>
    <col min="2561" max="2561" width="15.42578125" customWidth="1"/>
    <col min="2562" max="2562" width="40.140625" customWidth="1"/>
    <col min="2563" max="2563" width="25" customWidth="1"/>
    <col min="2564" max="2564" width="1.42578125" customWidth="1"/>
    <col min="2817" max="2817" width="15.42578125" customWidth="1"/>
    <col min="2818" max="2818" width="40.140625" customWidth="1"/>
    <col min="2819" max="2819" width="25" customWidth="1"/>
    <col min="2820" max="2820" width="1.42578125" customWidth="1"/>
    <col min="3073" max="3073" width="15.42578125" customWidth="1"/>
    <col min="3074" max="3074" width="40.140625" customWidth="1"/>
    <col min="3075" max="3075" width="25" customWidth="1"/>
    <col min="3076" max="3076" width="1.42578125" customWidth="1"/>
    <col min="3329" max="3329" width="15.42578125" customWidth="1"/>
    <col min="3330" max="3330" width="40.140625" customWidth="1"/>
    <col min="3331" max="3331" width="25" customWidth="1"/>
    <col min="3332" max="3332" width="1.42578125" customWidth="1"/>
    <col min="3585" max="3585" width="15.42578125" customWidth="1"/>
    <col min="3586" max="3586" width="40.140625" customWidth="1"/>
    <col min="3587" max="3587" width="25" customWidth="1"/>
    <col min="3588" max="3588" width="1.42578125" customWidth="1"/>
    <col min="3841" max="3841" width="15.42578125" customWidth="1"/>
    <col min="3842" max="3842" width="40.140625" customWidth="1"/>
    <col min="3843" max="3843" width="25" customWidth="1"/>
    <col min="3844" max="3844" width="1.42578125" customWidth="1"/>
    <col min="4097" max="4097" width="15.42578125" customWidth="1"/>
    <col min="4098" max="4098" width="40.140625" customWidth="1"/>
    <col min="4099" max="4099" width="25" customWidth="1"/>
    <col min="4100" max="4100" width="1.42578125" customWidth="1"/>
    <col min="4353" max="4353" width="15.42578125" customWidth="1"/>
    <col min="4354" max="4354" width="40.140625" customWidth="1"/>
    <col min="4355" max="4355" width="25" customWidth="1"/>
    <col min="4356" max="4356" width="1.42578125" customWidth="1"/>
    <col min="4609" max="4609" width="15.42578125" customWidth="1"/>
    <col min="4610" max="4610" width="40.140625" customWidth="1"/>
    <col min="4611" max="4611" width="25" customWidth="1"/>
    <col min="4612" max="4612" width="1.42578125" customWidth="1"/>
    <col min="4865" max="4865" width="15.42578125" customWidth="1"/>
    <col min="4866" max="4866" width="40.140625" customWidth="1"/>
    <col min="4867" max="4867" width="25" customWidth="1"/>
    <col min="4868" max="4868" width="1.42578125" customWidth="1"/>
    <col min="5121" max="5121" width="15.42578125" customWidth="1"/>
    <col min="5122" max="5122" width="40.140625" customWidth="1"/>
    <col min="5123" max="5123" width="25" customWidth="1"/>
    <col min="5124" max="5124" width="1.42578125" customWidth="1"/>
    <col min="5377" max="5377" width="15.42578125" customWidth="1"/>
    <col min="5378" max="5378" width="40.140625" customWidth="1"/>
    <col min="5379" max="5379" width="25" customWidth="1"/>
    <col min="5380" max="5380" width="1.42578125" customWidth="1"/>
    <col min="5633" max="5633" width="15.42578125" customWidth="1"/>
    <col min="5634" max="5634" width="40.140625" customWidth="1"/>
    <col min="5635" max="5635" width="25" customWidth="1"/>
    <col min="5636" max="5636" width="1.42578125" customWidth="1"/>
    <col min="5889" max="5889" width="15.42578125" customWidth="1"/>
    <col min="5890" max="5890" width="40.140625" customWidth="1"/>
    <col min="5891" max="5891" width="25" customWidth="1"/>
    <col min="5892" max="5892" width="1.42578125" customWidth="1"/>
    <col min="6145" max="6145" width="15.42578125" customWidth="1"/>
    <col min="6146" max="6146" width="40.140625" customWidth="1"/>
    <col min="6147" max="6147" width="25" customWidth="1"/>
    <col min="6148" max="6148" width="1.42578125" customWidth="1"/>
    <col min="6401" max="6401" width="15.42578125" customWidth="1"/>
    <col min="6402" max="6402" width="40.140625" customWidth="1"/>
    <col min="6403" max="6403" width="25" customWidth="1"/>
    <col min="6404" max="6404" width="1.42578125" customWidth="1"/>
    <col min="6657" max="6657" width="15.42578125" customWidth="1"/>
    <col min="6658" max="6658" width="40.140625" customWidth="1"/>
    <col min="6659" max="6659" width="25" customWidth="1"/>
    <col min="6660" max="6660" width="1.42578125" customWidth="1"/>
    <col min="6913" max="6913" width="15.42578125" customWidth="1"/>
    <col min="6914" max="6914" width="40.140625" customWidth="1"/>
    <col min="6915" max="6915" width="25" customWidth="1"/>
    <col min="6916" max="6916" width="1.42578125" customWidth="1"/>
    <col min="7169" max="7169" width="15.42578125" customWidth="1"/>
    <col min="7170" max="7170" width="40.140625" customWidth="1"/>
    <col min="7171" max="7171" width="25" customWidth="1"/>
    <col min="7172" max="7172" width="1.42578125" customWidth="1"/>
    <col min="7425" max="7425" width="15.42578125" customWidth="1"/>
    <col min="7426" max="7426" width="40.140625" customWidth="1"/>
    <col min="7427" max="7427" width="25" customWidth="1"/>
    <col min="7428" max="7428" width="1.42578125" customWidth="1"/>
    <col min="7681" max="7681" width="15.42578125" customWidth="1"/>
    <col min="7682" max="7682" width="40.140625" customWidth="1"/>
    <col min="7683" max="7683" width="25" customWidth="1"/>
    <col min="7684" max="7684" width="1.42578125" customWidth="1"/>
    <col min="7937" max="7937" width="15.42578125" customWidth="1"/>
    <col min="7938" max="7938" width="40.140625" customWidth="1"/>
    <col min="7939" max="7939" width="25" customWidth="1"/>
    <col min="7940" max="7940" width="1.42578125" customWidth="1"/>
    <col min="8193" max="8193" width="15.42578125" customWidth="1"/>
    <col min="8194" max="8194" width="40.140625" customWidth="1"/>
    <col min="8195" max="8195" width="25" customWidth="1"/>
    <col min="8196" max="8196" width="1.42578125" customWidth="1"/>
    <col min="8449" max="8449" width="15.42578125" customWidth="1"/>
    <col min="8450" max="8450" width="40.140625" customWidth="1"/>
    <col min="8451" max="8451" width="25" customWidth="1"/>
    <col min="8452" max="8452" width="1.42578125" customWidth="1"/>
    <col min="8705" max="8705" width="15.42578125" customWidth="1"/>
    <col min="8706" max="8706" width="40.140625" customWidth="1"/>
    <col min="8707" max="8707" width="25" customWidth="1"/>
    <col min="8708" max="8708" width="1.42578125" customWidth="1"/>
    <col min="8961" max="8961" width="15.42578125" customWidth="1"/>
    <col min="8962" max="8962" width="40.140625" customWidth="1"/>
    <col min="8963" max="8963" width="25" customWidth="1"/>
    <col min="8964" max="8964" width="1.42578125" customWidth="1"/>
    <col min="9217" max="9217" width="15.42578125" customWidth="1"/>
    <col min="9218" max="9218" width="40.140625" customWidth="1"/>
    <col min="9219" max="9219" width="25" customWidth="1"/>
    <col min="9220" max="9220" width="1.42578125" customWidth="1"/>
    <col min="9473" max="9473" width="15.42578125" customWidth="1"/>
    <col min="9474" max="9474" width="40.140625" customWidth="1"/>
    <col min="9475" max="9475" width="25" customWidth="1"/>
    <col min="9476" max="9476" width="1.42578125" customWidth="1"/>
    <col min="9729" max="9729" width="15.42578125" customWidth="1"/>
    <col min="9730" max="9730" width="40.140625" customWidth="1"/>
    <col min="9731" max="9731" width="25" customWidth="1"/>
    <col min="9732" max="9732" width="1.42578125" customWidth="1"/>
    <col min="9985" max="9985" width="15.42578125" customWidth="1"/>
    <col min="9986" max="9986" width="40.140625" customWidth="1"/>
    <col min="9987" max="9987" width="25" customWidth="1"/>
    <col min="9988" max="9988" width="1.42578125" customWidth="1"/>
    <col min="10241" max="10241" width="15.42578125" customWidth="1"/>
    <col min="10242" max="10242" width="40.140625" customWidth="1"/>
    <col min="10243" max="10243" width="25" customWidth="1"/>
    <col min="10244" max="10244" width="1.42578125" customWidth="1"/>
    <col min="10497" max="10497" width="15.42578125" customWidth="1"/>
    <col min="10498" max="10498" width="40.140625" customWidth="1"/>
    <col min="10499" max="10499" width="25" customWidth="1"/>
    <col min="10500" max="10500" width="1.42578125" customWidth="1"/>
    <col min="10753" max="10753" width="15.42578125" customWidth="1"/>
    <col min="10754" max="10754" width="40.140625" customWidth="1"/>
    <col min="10755" max="10755" width="25" customWidth="1"/>
    <col min="10756" max="10756" width="1.42578125" customWidth="1"/>
    <col min="11009" max="11009" width="15.42578125" customWidth="1"/>
    <col min="11010" max="11010" width="40.140625" customWidth="1"/>
    <col min="11011" max="11011" width="25" customWidth="1"/>
    <col min="11012" max="11012" width="1.42578125" customWidth="1"/>
    <col min="11265" max="11265" width="15.42578125" customWidth="1"/>
    <col min="11266" max="11266" width="40.140625" customWidth="1"/>
    <col min="11267" max="11267" width="25" customWidth="1"/>
    <col min="11268" max="11268" width="1.42578125" customWidth="1"/>
    <col min="11521" max="11521" width="15.42578125" customWidth="1"/>
    <col min="11522" max="11522" width="40.140625" customWidth="1"/>
    <col min="11523" max="11523" width="25" customWidth="1"/>
    <col min="11524" max="11524" width="1.42578125" customWidth="1"/>
    <col min="11777" max="11777" width="15.42578125" customWidth="1"/>
    <col min="11778" max="11778" width="40.140625" customWidth="1"/>
    <col min="11779" max="11779" width="25" customWidth="1"/>
    <col min="11780" max="11780" width="1.42578125" customWidth="1"/>
    <col min="12033" max="12033" width="15.42578125" customWidth="1"/>
    <col min="12034" max="12034" width="40.140625" customWidth="1"/>
    <col min="12035" max="12035" width="25" customWidth="1"/>
    <col min="12036" max="12036" width="1.42578125" customWidth="1"/>
    <col min="12289" max="12289" width="15.42578125" customWidth="1"/>
    <col min="12290" max="12290" width="40.140625" customWidth="1"/>
    <col min="12291" max="12291" width="25" customWidth="1"/>
    <col min="12292" max="12292" width="1.42578125" customWidth="1"/>
    <col min="12545" max="12545" width="15.42578125" customWidth="1"/>
    <col min="12546" max="12546" width="40.140625" customWidth="1"/>
    <col min="12547" max="12547" width="25" customWidth="1"/>
    <col min="12548" max="12548" width="1.42578125" customWidth="1"/>
    <col min="12801" max="12801" width="15.42578125" customWidth="1"/>
    <col min="12802" max="12802" width="40.140625" customWidth="1"/>
    <col min="12803" max="12803" width="25" customWidth="1"/>
    <col min="12804" max="12804" width="1.42578125" customWidth="1"/>
    <col min="13057" max="13057" width="15.42578125" customWidth="1"/>
    <col min="13058" max="13058" width="40.140625" customWidth="1"/>
    <col min="13059" max="13059" width="25" customWidth="1"/>
    <col min="13060" max="13060" width="1.42578125" customWidth="1"/>
    <col min="13313" max="13313" width="15.42578125" customWidth="1"/>
    <col min="13314" max="13314" width="40.140625" customWidth="1"/>
    <col min="13315" max="13315" width="25" customWidth="1"/>
    <col min="13316" max="13316" width="1.42578125" customWidth="1"/>
    <col min="13569" max="13569" width="15.42578125" customWidth="1"/>
    <col min="13570" max="13570" width="40.140625" customWidth="1"/>
    <col min="13571" max="13571" width="25" customWidth="1"/>
    <col min="13572" max="13572" width="1.42578125" customWidth="1"/>
    <col min="13825" max="13825" width="15.42578125" customWidth="1"/>
    <col min="13826" max="13826" width="40.140625" customWidth="1"/>
    <col min="13827" max="13827" width="25" customWidth="1"/>
    <col min="13828" max="13828" width="1.42578125" customWidth="1"/>
    <col min="14081" max="14081" width="15.42578125" customWidth="1"/>
    <col min="14082" max="14082" width="40.140625" customWidth="1"/>
    <col min="14083" max="14083" width="25" customWidth="1"/>
    <col min="14084" max="14084" width="1.42578125" customWidth="1"/>
    <col min="14337" max="14337" width="15.42578125" customWidth="1"/>
    <col min="14338" max="14338" width="40.140625" customWidth="1"/>
    <col min="14339" max="14339" width="25" customWidth="1"/>
    <col min="14340" max="14340" width="1.42578125" customWidth="1"/>
    <col min="14593" max="14593" width="15.42578125" customWidth="1"/>
    <col min="14594" max="14594" width="40.140625" customWidth="1"/>
    <col min="14595" max="14595" width="25" customWidth="1"/>
    <col min="14596" max="14596" width="1.42578125" customWidth="1"/>
    <col min="14849" max="14849" width="15.42578125" customWidth="1"/>
    <col min="14850" max="14850" width="40.140625" customWidth="1"/>
    <col min="14851" max="14851" width="25" customWidth="1"/>
    <col min="14852" max="14852" width="1.42578125" customWidth="1"/>
    <col min="15105" max="15105" width="15.42578125" customWidth="1"/>
    <col min="15106" max="15106" width="40.140625" customWidth="1"/>
    <col min="15107" max="15107" width="25" customWidth="1"/>
    <col min="15108" max="15108" width="1.42578125" customWidth="1"/>
    <col min="15361" max="15361" width="15.42578125" customWidth="1"/>
    <col min="15362" max="15362" width="40.140625" customWidth="1"/>
    <col min="15363" max="15363" width="25" customWidth="1"/>
    <col min="15364" max="15364" width="1.42578125" customWidth="1"/>
    <col min="15617" max="15617" width="15.42578125" customWidth="1"/>
    <col min="15618" max="15618" width="40.140625" customWidth="1"/>
    <col min="15619" max="15619" width="25" customWidth="1"/>
    <col min="15620" max="15620" width="1.42578125" customWidth="1"/>
    <col min="15873" max="15873" width="15.42578125" customWidth="1"/>
    <col min="15874" max="15874" width="40.140625" customWidth="1"/>
    <col min="15875" max="15875" width="25" customWidth="1"/>
    <col min="15876" max="15876" width="1.42578125" customWidth="1"/>
    <col min="16129" max="16129" width="15.42578125" customWidth="1"/>
    <col min="16130" max="16130" width="40.140625" customWidth="1"/>
    <col min="16131" max="16131" width="25" customWidth="1"/>
    <col min="16132" max="16132" width="1.42578125" customWidth="1"/>
  </cols>
  <sheetData>
    <row r="1" spans="1:5" ht="15.75" x14ac:dyDescent="0.25">
      <c r="A1" s="29"/>
      <c r="C1" s="7"/>
    </row>
    <row r="2" spans="1:5" ht="15.75" x14ac:dyDescent="0.25">
      <c r="A2" s="217" t="s">
        <v>0</v>
      </c>
      <c r="B2" s="217"/>
      <c r="C2" s="217"/>
      <c r="D2" s="217"/>
    </row>
    <row r="3" spans="1:5" ht="15.75" x14ac:dyDescent="0.25">
      <c r="C3" s="7"/>
      <c r="D3" s="29"/>
    </row>
    <row r="4" spans="1:5" ht="15.75" x14ac:dyDescent="0.25">
      <c r="A4" s="281" t="s">
        <v>26</v>
      </c>
      <c r="B4" s="281"/>
      <c r="C4" s="281"/>
      <c r="D4" s="281"/>
    </row>
    <row r="5" spans="1:5" ht="15.75" x14ac:dyDescent="0.25">
      <c r="C5" s="7"/>
      <c r="D5" s="30"/>
    </row>
    <row r="6" spans="1:5" s="59" customFormat="1" ht="33.75" customHeight="1" x14ac:dyDescent="0.25">
      <c r="A6" s="218" t="s">
        <v>303</v>
      </c>
      <c r="B6" s="218"/>
      <c r="C6" s="218"/>
      <c r="D6" s="218"/>
    </row>
    <row r="7" spans="1:5" ht="15.75" x14ac:dyDescent="0.25">
      <c r="C7" s="7"/>
      <c r="D7" s="30"/>
    </row>
    <row r="8" spans="1:5" ht="16.5" thickBot="1" x14ac:dyDescent="0.3">
      <c r="A8" s="219" t="s">
        <v>27</v>
      </c>
      <c r="B8" s="219"/>
      <c r="C8" s="219"/>
      <c r="D8" s="219"/>
    </row>
    <row r="9" spans="1:5" ht="75.75" customHeight="1" thickBot="1" x14ac:dyDescent="0.3">
      <c r="A9" s="31" t="s">
        <v>2</v>
      </c>
      <c r="B9" s="32" t="s">
        <v>3</v>
      </c>
      <c r="C9" s="272" t="s">
        <v>4</v>
      </c>
      <c r="D9" s="273"/>
    </row>
    <row r="10" spans="1:5" ht="16.5" thickBot="1" x14ac:dyDescent="0.3">
      <c r="A10" s="33"/>
      <c r="B10" s="34" t="s">
        <v>5</v>
      </c>
      <c r="C10" s="220"/>
      <c r="D10" s="221"/>
    </row>
    <row r="11" spans="1:5" ht="63.75" customHeight="1" x14ac:dyDescent="0.25">
      <c r="A11" s="210" t="s">
        <v>6</v>
      </c>
      <c r="B11" s="65" t="s">
        <v>648</v>
      </c>
      <c r="C11" s="342">
        <f>36+32+5.66</f>
        <v>73.66</v>
      </c>
      <c r="D11" s="343"/>
    </row>
    <row r="12" spans="1:5" ht="64.5" customHeight="1" x14ac:dyDescent="0.25">
      <c r="A12" s="211"/>
      <c r="B12" s="63" t="s">
        <v>649</v>
      </c>
      <c r="C12" s="342"/>
      <c r="D12" s="343"/>
    </row>
    <row r="13" spans="1:5" ht="80.25" customHeight="1" x14ac:dyDescent="0.25">
      <c r="A13" s="211"/>
      <c r="B13" s="63" t="s">
        <v>650</v>
      </c>
      <c r="C13" s="342"/>
      <c r="D13" s="343"/>
      <c r="E13" s="7"/>
    </row>
    <row r="14" spans="1:5" ht="16.5" thickBot="1" x14ac:dyDescent="0.3">
      <c r="A14" s="212"/>
      <c r="B14" s="36" t="s">
        <v>487</v>
      </c>
      <c r="C14" s="342"/>
      <c r="D14" s="343"/>
    </row>
    <row r="15" spans="1:5" ht="48" thickBot="1" x14ac:dyDescent="0.3">
      <c r="A15" s="51" t="s">
        <v>7</v>
      </c>
      <c r="B15" s="36" t="s">
        <v>209</v>
      </c>
      <c r="C15" s="204">
        <f>C11*0.2359</f>
        <v>17.376393999999998</v>
      </c>
      <c r="D15" s="205"/>
    </row>
    <row r="16" spans="1:5" ht="16.5" thickBot="1" x14ac:dyDescent="0.3">
      <c r="A16" s="51"/>
      <c r="B16" s="38" t="s">
        <v>9</v>
      </c>
      <c r="C16" s="204">
        <f>SUM(C11:D15)</f>
        <v>91.036394000000001</v>
      </c>
      <c r="D16" s="205"/>
    </row>
    <row r="17" spans="1:5" ht="16.5" thickBot="1" x14ac:dyDescent="0.3">
      <c r="A17" s="51"/>
      <c r="B17" s="38" t="s">
        <v>10</v>
      </c>
      <c r="C17" s="204"/>
      <c r="D17" s="205"/>
    </row>
    <row r="18" spans="1:5" ht="128.25" customHeight="1" thickBot="1" x14ac:dyDescent="0.3">
      <c r="A18" s="51" t="s">
        <v>12</v>
      </c>
      <c r="B18" s="103" t="s">
        <v>402</v>
      </c>
      <c r="C18" s="204">
        <f>0.72+1.36+0.04</f>
        <v>2.12</v>
      </c>
      <c r="D18" s="205"/>
    </row>
    <row r="19" spans="1:5" ht="48" thickBot="1" x14ac:dyDescent="0.3">
      <c r="A19" s="51" t="s">
        <v>13</v>
      </c>
      <c r="B19" s="62" t="s">
        <v>362</v>
      </c>
      <c r="C19" s="204">
        <f>39644/1299*167/85*5</f>
        <v>299.80292532717476</v>
      </c>
      <c r="D19" s="205"/>
    </row>
    <row r="20" spans="1:5" ht="48" thickBot="1" x14ac:dyDescent="0.3">
      <c r="A20" s="51" t="s">
        <v>15</v>
      </c>
      <c r="B20" s="36" t="s">
        <v>361</v>
      </c>
      <c r="C20" s="204">
        <f>4228/3221*100/85*5</f>
        <v>7.7213872198988254</v>
      </c>
      <c r="D20" s="205"/>
    </row>
    <row r="21" spans="1:5" ht="80.25" customHeight="1" thickBot="1" x14ac:dyDescent="0.3">
      <c r="A21" s="51" t="s">
        <v>17</v>
      </c>
      <c r="B21" s="62" t="s">
        <v>426</v>
      </c>
      <c r="C21" s="204">
        <f>22.64+76.66</f>
        <v>99.3</v>
      </c>
      <c r="D21" s="205"/>
    </row>
    <row r="22" spans="1:5" ht="16.5" thickBot="1" x14ac:dyDescent="0.3">
      <c r="A22" s="33"/>
      <c r="B22" s="34" t="s">
        <v>18</v>
      </c>
      <c r="C22" s="204">
        <f>SUM(C18:C21)</f>
        <v>408.94431254707359</v>
      </c>
      <c r="D22" s="205"/>
    </row>
    <row r="23" spans="1:5" ht="16.5" thickBot="1" x14ac:dyDescent="0.3">
      <c r="A23" s="33"/>
      <c r="B23" s="41" t="s">
        <v>19</v>
      </c>
      <c r="C23" s="206">
        <f>SUM(C16,C22)</f>
        <v>499.98070654707362</v>
      </c>
      <c r="D23" s="207"/>
    </row>
    <row r="24" spans="1:5" x14ac:dyDescent="0.25">
      <c r="A24" s="43"/>
      <c r="C24" s="8"/>
    </row>
    <row r="25" spans="1:5" ht="15.75" x14ac:dyDescent="0.25">
      <c r="A25" s="213" t="s">
        <v>20</v>
      </c>
      <c r="B25" s="214"/>
      <c r="C25" s="224">
        <v>5</v>
      </c>
      <c r="D25" s="224"/>
    </row>
    <row r="26" spans="1:5" ht="33" customHeight="1" x14ac:dyDescent="0.25">
      <c r="A26" s="215" t="s">
        <v>28</v>
      </c>
      <c r="B26" s="216"/>
      <c r="C26" s="282">
        <f>C23/C25</f>
        <v>99.996141309414725</v>
      </c>
      <c r="D26" s="282"/>
      <c r="E26" s="88"/>
    </row>
    <row r="28" spans="1:5" x14ac:dyDescent="0.25">
      <c r="A28" s="78"/>
      <c r="B28" s="78"/>
      <c r="C28" s="203"/>
      <c r="D28" s="203"/>
    </row>
    <row r="29" spans="1:5" x14ac:dyDescent="0.25">
      <c r="A29" s="78"/>
      <c r="B29" s="78"/>
      <c r="C29" s="79"/>
      <c r="D29" s="78"/>
    </row>
    <row r="30" spans="1:5" x14ac:dyDescent="0.25">
      <c r="A30" s="78"/>
      <c r="B30" s="78"/>
      <c r="C30" s="203"/>
      <c r="D30" s="203"/>
    </row>
    <row r="31" spans="1:5" x14ac:dyDescent="0.25">
      <c r="A31" s="78"/>
      <c r="B31" s="78"/>
      <c r="C31" s="78"/>
      <c r="D31" s="78"/>
    </row>
    <row r="32" spans="1:5" x14ac:dyDescent="0.25">
      <c r="A32" s="202"/>
      <c r="B32" s="202"/>
      <c r="C32" s="80"/>
      <c r="D32" s="80"/>
    </row>
    <row r="33" spans="1:4" x14ac:dyDescent="0.25">
      <c r="A33" s="201"/>
      <c r="B33" s="202"/>
      <c r="C33" s="80"/>
      <c r="D33" s="80"/>
    </row>
    <row r="34" spans="1:4" x14ac:dyDescent="0.25">
      <c r="A34" s="57"/>
      <c r="B34" s="80"/>
      <c r="C34" s="81"/>
      <c r="D34" s="81"/>
    </row>
    <row r="35" spans="1:4" x14ac:dyDescent="0.25">
      <c r="A35" s="201"/>
      <c r="B35" s="201"/>
      <c r="C35" s="81"/>
      <c r="D35" s="81"/>
    </row>
  </sheetData>
  <mergeCells count="26">
    <mergeCell ref="C17:D17"/>
    <mergeCell ref="C10:D10"/>
    <mergeCell ref="A11:A14"/>
    <mergeCell ref="C11:D14"/>
    <mergeCell ref="C15:D15"/>
    <mergeCell ref="C16:D16"/>
    <mergeCell ref="A2:D2"/>
    <mergeCell ref="A4:D4"/>
    <mergeCell ref="A6:D6"/>
    <mergeCell ref="A8:D8"/>
    <mergeCell ref="C9:D9"/>
    <mergeCell ref="A26:B26"/>
    <mergeCell ref="C26:D26"/>
    <mergeCell ref="C18:D18"/>
    <mergeCell ref="C19:D19"/>
    <mergeCell ref="C20:D20"/>
    <mergeCell ref="C21:D21"/>
    <mergeCell ref="C22:D22"/>
    <mergeCell ref="C23:D23"/>
    <mergeCell ref="A25:B25"/>
    <mergeCell ref="C25:D25"/>
    <mergeCell ref="C28:D28"/>
    <mergeCell ref="C30:D30"/>
    <mergeCell ref="A32:B32"/>
    <mergeCell ref="A33:B33"/>
    <mergeCell ref="A35:B35"/>
  </mergeCells>
  <pageMargins left="0.70866141732283472" right="0.70866141732283472" top="0.74803149606299213" bottom="0.74803149606299213" header="0.31496062992125984" footer="0.31496062992125984"/>
  <pageSetup paperSize="9" scale="95" fitToHeight="0" orientation="portrait" verticalDpi="0" r:id="rId1"/>
  <headerFoot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view="pageBreakPreview" zoomScale="60" zoomScaleNormal="100" workbookViewId="0">
      <selection activeCell="T13" sqref="T13"/>
    </sheetView>
  </sheetViews>
  <sheetFormatPr defaultRowHeight="15" x14ac:dyDescent="0.25"/>
  <cols>
    <col min="1" max="1" width="15.42578125" customWidth="1"/>
    <col min="2" max="2" width="50.28515625" customWidth="1"/>
    <col min="3" max="3" width="8.42578125" customWidth="1"/>
    <col min="4" max="4" width="10.85546875" customWidth="1"/>
    <col min="257" max="257" width="15.42578125" customWidth="1"/>
    <col min="258" max="258" width="40.140625" customWidth="1"/>
    <col min="259" max="259" width="25" customWidth="1"/>
    <col min="260" max="260" width="1.42578125" customWidth="1"/>
    <col min="513" max="513" width="15.42578125" customWidth="1"/>
    <col min="514" max="514" width="40.140625" customWidth="1"/>
    <col min="515" max="515" width="25" customWidth="1"/>
    <col min="516" max="516" width="1.42578125" customWidth="1"/>
    <col min="769" max="769" width="15.42578125" customWidth="1"/>
    <col min="770" max="770" width="40.140625" customWidth="1"/>
    <col min="771" max="771" width="25" customWidth="1"/>
    <col min="772" max="772" width="1.42578125" customWidth="1"/>
    <col min="1025" max="1025" width="15.42578125" customWidth="1"/>
    <col min="1026" max="1026" width="40.140625" customWidth="1"/>
    <col min="1027" max="1027" width="25" customWidth="1"/>
    <col min="1028" max="1028" width="1.42578125" customWidth="1"/>
    <col min="1281" max="1281" width="15.42578125" customWidth="1"/>
    <col min="1282" max="1282" width="40.140625" customWidth="1"/>
    <col min="1283" max="1283" width="25" customWidth="1"/>
    <col min="1284" max="1284" width="1.42578125" customWidth="1"/>
    <col min="1537" max="1537" width="15.42578125" customWidth="1"/>
    <col min="1538" max="1538" width="40.140625" customWidth="1"/>
    <col min="1539" max="1539" width="25" customWidth="1"/>
    <col min="1540" max="1540" width="1.42578125" customWidth="1"/>
    <col min="1793" max="1793" width="15.42578125" customWidth="1"/>
    <col min="1794" max="1794" width="40.140625" customWidth="1"/>
    <col min="1795" max="1795" width="25" customWidth="1"/>
    <col min="1796" max="1796" width="1.42578125" customWidth="1"/>
    <col min="2049" max="2049" width="15.42578125" customWidth="1"/>
    <col min="2050" max="2050" width="40.140625" customWidth="1"/>
    <col min="2051" max="2051" width="25" customWidth="1"/>
    <col min="2052" max="2052" width="1.42578125" customWidth="1"/>
    <col min="2305" max="2305" width="15.42578125" customWidth="1"/>
    <col min="2306" max="2306" width="40.140625" customWidth="1"/>
    <col min="2307" max="2307" width="25" customWidth="1"/>
    <col min="2308" max="2308" width="1.42578125" customWidth="1"/>
    <col min="2561" max="2561" width="15.42578125" customWidth="1"/>
    <col min="2562" max="2562" width="40.140625" customWidth="1"/>
    <col min="2563" max="2563" width="25" customWidth="1"/>
    <col min="2564" max="2564" width="1.42578125" customWidth="1"/>
    <col min="2817" max="2817" width="15.42578125" customWidth="1"/>
    <col min="2818" max="2818" width="40.140625" customWidth="1"/>
    <col min="2819" max="2819" width="25" customWidth="1"/>
    <col min="2820" max="2820" width="1.42578125" customWidth="1"/>
    <col min="3073" max="3073" width="15.42578125" customWidth="1"/>
    <col min="3074" max="3074" width="40.140625" customWidth="1"/>
    <col min="3075" max="3075" width="25" customWidth="1"/>
    <col min="3076" max="3076" width="1.42578125" customWidth="1"/>
    <col min="3329" max="3329" width="15.42578125" customWidth="1"/>
    <col min="3330" max="3330" width="40.140625" customWidth="1"/>
    <col min="3331" max="3331" width="25" customWidth="1"/>
    <col min="3332" max="3332" width="1.42578125" customWidth="1"/>
    <col min="3585" max="3585" width="15.42578125" customWidth="1"/>
    <col min="3586" max="3586" width="40.140625" customWidth="1"/>
    <col min="3587" max="3587" width="25" customWidth="1"/>
    <col min="3588" max="3588" width="1.42578125" customWidth="1"/>
    <col min="3841" max="3841" width="15.42578125" customWidth="1"/>
    <col min="3842" max="3842" width="40.140625" customWidth="1"/>
    <col min="3843" max="3843" width="25" customWidth="1"/>
    <col min="3844" max="3844" width="1.42578125" customWidth="1"/>
    <col min="4097" max="4097" width="15.42578125" customWidth="1"/>
    <col min="4098" max="4098" width="40.140625" customWidth="1"/>
    <col min="4099" max="4099" width="25" customWidth="1"/>
    <col min="4100" max="4100" width="1.42578125" customWidth="1"/>
    <col min="4353" max="4353" width="15.42578125" customWidth="1"/>
    <col min="4354" max="4354" width="40.140625" customWidth="1"/>
    <col min="4355" max="4355" width="25" customWidth="1"/>
    <col min="4356" max="4356" width="1.42578125" customWidth="1"/>
    <col min="4609" max="4609" width="15.42578125" customWidth="1"/>
    <col min="4610" max="4610" width="40.140625" customWidth="1"/>
    <col min="4611" max="4611" width="25" customWidth="1"/>
    <col min="4612" max="4612" width="1.42578125" customWidth="1"/>
    <col min="4865" max="4865" width="15.42578125" customWidth="1"/>
    <col min="4866" max="4866" width="40.140625" customWidth="1"/>
    <col min="4867" max="4867" width="25" customWidth="1"/>
    <col min="4868" max="4868" width="1.42578125" customWidth="1"/>
    <col min="5121" max="5121" width="15.42578125" customWidth="1"/>
    <col min="5122" max="5122" width="40.140625" customWidth="1"/>
    <col min="5123" max="5123" width="25" customWidth="1"/>
    <col min="5124" max="5124" width="1.42578125" customWidth="1"/>
    <col min="5377" max="5377" width="15.42578125" customWidth="1"/>
    <col min="5378" max="5378" width="40.140625" customWidth="1"/>
    <col min="5379" max="5379" width="25" customWidth="1"/>
    <col min="5380" max="5380" width="1.42578125" customWidth="1"/>
    <col min="5633" max="5633" width="15.42578125" customWidth="1"/>
    <col min="5634" max="5634" width="40.140625" customWidth="1"/>
    <col min="5635" max="5635" width="25" customWidth="1"/>
    <col min="5636" max="5636" width="1.42578125" customWidth="1"/>
    <col min="5889" max="5889" width="15.42578125" customWidth="1"/>
    <col min="5890" max="5890" width="40.140625" customWidth="1"/>
    <col min="5891" max="5891" width="25" customWidth="1"/>
    <col min="5892" max="5892" width="1.42578125" customWidth="1"/>
    <col min="6145" max="6145" width="15.42578125" customWidth="1"/>
    <col min="6146" max="6146" width="40.140625" customWidth="1"/>
    <col min="6147" max="6147" width="25" customWidth="1"/>
    <col min="6148" max="6148" width="1.42578125" customWidth="1"/>
    <col min="6401" max="6401" width="15.42578125" customWidth="1"/>
    <col min="6402" max="6402" width="40.140625" customWidth="1"/>
    <col min="6403" max="6403" width="25" customWidth="1"/>
    <col min="6404" max="6404" width="1.42578125" customWidth="1"/>
    <col min="6657" max="6657" width="15.42578125" customWidth="1"/>
    <col min="6658" max="6658" width="40.140625" customWidth="1"/>
    <col min="6659" max="6659" width="25" customWidth="1"/>
    <col min="6660" max="6660" width="1.42578125" customWidth="1"/>
    <col min="6913" max="6913" width="15.42578125" customWidth="1"/>
    <col min="6914" max="6914" width="40.140625" customWidth="1"/>
    <col min="6915" max="6915" width="25" customWidth="1"/>
    <col min="6916" max="6916" width="1.42578125" customWidth="1"/>
    <col min="7169" max="7169" width="15.42578125" customWidth="1"/>
    <col min="7170" max="7170" width="40.140625" customWidth="1"/>
    <col min="7171" max="7171" width="25" customWidth="1"/>
    <col min="7172" max="7172" width="1.42578125" customWidth="1"/>
    <col min="7425" max="7425" width="15.42578125" customWidth="1"/>
    <col min="7426" max="7426" width="40.140625" customWidth="1"/>
    <col min="7427" max="7427" width="25" customWidth="1"/>
    <col min="7428" max="7428" width="1.42578125" customWidth="1"/>
    <col min="7681" max="7681" width="15.42578125" customWidth="1"/>
    <col min="7682" max="7682" width="40.140625" customWidth="1"/>
    <col min="7683" max="7683" width="25" customWidth="1"/>
    <col min="7684" max="7684" width="1.42578125" customWidth="1"/>
    <col min="7937" max="7937" width="15.42578125" customWidth="1"/>
    <col min="7938" max="7938" width="40.140625" customWidth="1"/>
    <col min="7939" max="7939" width="25" customWidth="1"/>
    <col min="7940" max="7940" width="1.42578125" customWidth="1"/>
    <col min="8193" max="8193" width="15.42578125" customWidth="1"/>
    <col min="8194" max="8194" width="40.140625" customWidth="1"/>
    <col min="8195" max="8195" width="25" customWidth="1"/>
    <col min="8196" max="8196" width="1.42578125" customWidth="1"/>
    <col min="8449" max="8449" width="15.42578125" customWidth="1"/>
    <col min="8450" max="8450" width="40.140625" customWidth="1"/>
    <col min="8451" max="8451" width="25" customWidth="1"/>
    <col min="8452" max="8452" width="1.42578125" customWidth="1"/>
    <col min="8705" max="8705" width="15.42578125" customWidth="1"/>
    <col min="8706" max="8706" width="40.140625" customWidth="1"/>
    <col min="8707" max="8707" width="25" customWidth="1"/>
    <col min="8708" max="8708" width="1.42578125" customWidth="1"/>
    <col min="8961" max="8961" width="15.42578125" customWidth="1"/>
    <col min="8962" max="8962" width="40.140625" customWidth="1"/>
    <col min="8963" max="8963" width="25" customWidth="1"/>
    <col min="8964" max="8964" width="1.42578125" customWidth="1"/>
    <col min="9217" max="9217" width="15.42578125" customWidth="1"/>
    <col min="9218" max="9218" width="40.140625" customWidth="1"/>
    <col min="9219" max="9219" width="25" customWidth="1"/>
    <col min="9220" max="9220" width="1.42578125" customWidth="1"/>
    <col min="9473" max="9473" width="15.42578125" customWidth="1"/>
    <col min="9474" max="9474" width="40.140625" customWidth="1"/>
    <col min="9475" max="9475" width="25" customWidth="1"/>
    <col min="9476" max="9476" width="1.42578125" customWidth="1"/>
    <col min="9729" max="9729" width="15.42578125" customWidth="1"/>
    <col min="9730" max="9730" width="40.140625" customWidth="1"/>
    <col min="9731" max="9731" width="25" customWidth="1"/>
    <col min="9732" max="9732" width="1.42578125" customWidth="1"/>
    <col min="9985" max="9985" width="15.42578125" customWidth="1"/>
    <col min="9986" max="9986" width="40.140625" customWidth="1"/>
    <col min="9987" max="9987" width="25" customWidth="1"/>
    <col min="9988" max="9988" width="1.42578125" customWidth="1"/>
    <col min="10241" max="10241" width="15.42578125" customWidth="1"/>
    <col min="10242" max="10242" width="40.140625" customWidth="1"/>
    <col min="10243" max="10243" width="25" customWidth="1"/>
    <col min="10244" max="10244" width="1.42578125" customWidth="1"/>
    <col min="10497" max="10497" width="15.42578125" customWidth="1"/>
    <col min="10498" max="10498" width="40.140625" customWidth="1"/>
    <col min="10499" max="10499" width="25" customWidth="1"/>
    <col min="10500" max="10500" width="1.42578125" customWidth="1"/>
    <col min="10753" max="10753" width="15.42578125" customWidth="1"/>
    <col min="10754" max="10754" width="40.140625" customWidth="1"/>
    <col min="10755" max="10755" width="25" customWidth="1"/>
    <col min="10756" max="10756" width="1.42578125" customWidth="1"/>
    <col min="11009" max="11009" width="15.42578125" customWidth="1"/>
    <col min="11010" max="11010" width="40.140625" customWidth="1"/>
    <col min="11011" max="11011" width="25" customWidth="1"/>
    <col min="11012" max="11012" width="1.42578125" customWidth="1"/>
    <col min="11265" max="11265" width="15.42578125" customWidth="1"/>
    <col min="11266" max="11266" width="40.140625" customWidth="1"/>
    <col min="11267" max="11267" width="25" customWidth="1"/>
    <col min="11268" max="11268" width="1.42578125" customWidth="1"/>
    <col min="11521" max="11521" width="15.42578125" customWidth="1"/>
    <col min="11522" max="11522" width="40.140625" customWidth="1"/>
    <col min="11523" max="11523" width="25" customWidth="1"/>
    <col min="11524" max="11524" width="1.42578125" customWidth="1"/>
    <col min="11777" max="11777" width="15.42578125" customWidth="1"/>
    <col min="11778" max="11778" width="40.140625" customWidth="1"/>
    <col min="11779" max="11779" width="25" customWidth="1"/>
    <col min="11780" max="11780" width="1.42578125" customWidth="1"/>
    <col min="12033" max="12033" width="15.42578125" customWidth="1"/>
    <col min="12034" max="12034" width="40.140625" customWidth="1"/>
    <col min="12035" max="12035" width="25" customWidth="1"/>
    <col min="12036" max="12036" width="1.42578125" customWidth="1"/>
    <col min="12289" max="12289" width="15.42578125" customWidth="1"/>
    <col min="12290" max="12290" width="40.140625" customWidth="1"/>
    <col min="12291" max="12291" width="25" customWidth="1"/>
    <col min="12292" max="12292" width="1.42578125" customWidth="1"/>
    <col min="12545" max="12545" width="15.42578125" customWidth="1"/>
    <col min="12546" max="12546" width="40.140625" customWidth="1"/>
    <col min="12547" max="12547" width="25" customWidth="1"/>
    <col min="12548" max="12548" width="1.42578125" customWidth="1"/>
    <col min="12801" max="12801" width="15.42578125" customWidth="1"/>
    <col min="12802" max="12802" width="40.140625" customWidth="1"/>
    <col min="12803" max="12803" width="25" customWidth="1"/>
    <col min="12804" max="12804" width="1.42578125" customWidth="1"/>
    <col min="13057" max="13057" width="15.42578125" customWidth="1"/>
    <col min="13058" max="13058" width="40.140625" customWidth="1"/>
    <col min="13059" max="13059" width="25" customWidth="1"/>
    <col min="13060" max="13060" width="1.42578125" customWidth="1"/>
    <col min="13313" max="13313" width="15.42578125" customWidth="1"/>
    <col min="13314" max="13314" width="40.140625" customWidth="1"/>
    <col min="13315" max="13315" width="25" customWidth="1"/>
    <col min="13316" max="13316" width="1.42578125" customWidth="1"/>
    <col min="13569" max="13569" width="15.42578125" customWidth="1"/>
    <col min="13570" max="13570" width="40.140625" customWidth="1"/>
    <col min="13571" max="13571" width="25" customWidth="1"/>
    <col min="13572" max="13572" width="1.42578125" customWidth="1"/>
    <col min="13825" max="13825" width="15.42578125" customWidth="1"/>
    <col min="13826" max="13826" width="40.140625" customWidth="1"/>
    <col min="13827" max="13827" width="25" customWidth="1"/>
    <col min="13828" max="13828" width="1.42578125" customWidth="1"/>
    <col min="14081" max="14081" width="15.42578125" customWidth="1"/>
    <col min="14082" max="14082" width="40.140625" customWidth="1"/>
    <col min="14083" max="14083" width="25" customWidth="1"/>
    <col min="14084" max="14084" width="1.42578125" customWidth="1"/>
    <col min="14337" max="14337" width="15.42578125" customWidth="1"/>
    <col min="14338" max="14338" width="40.140625" customWidth="1"/>
    <col min="14339" max="14339" width="25" customWidth="1"/>
    <col min="14340" max="14340" width="1.42578125" customWidth="1"/>
    <col min="14593" max="14593" width="15.42578125" customWidth="1"/>
    <col min="14594" max="14594" width="40.140625" customWidth="1"/>
    <col min="14595" max="14595" width="25" customWidth="1"/>
    <col min="14596" max="14596" width="1.42578125" customWidth="1"/>
    <col min="14849" max="14849" width="15.42578125" customWidth="1"/>
    <col min="14850" max="14850" width="40.140625" customWidth="1"/>
    <col min="14851" max="14851" width="25" customWidth="1"/>
    <col min="14852" max="14852" width="1.42578125" customWidth="1"/>
    <col min="15105" max="15105" width="15.42578125" customWidth="1"/>
    <col min="15106" max="15106" width="40.140625" customWidth="1"/>
    <col min="15107" max="15107" width="25" customWidth="1"/>
    <col min="15108" max="15108" width="1.42578125" customWidth="1"/>
    <col min="15361" max="15361" width="15.42578125" customWidth="1"/>
    <col min="15362" max="15362" width="40.140625" customWidth="1"/>
    <col min="15363" max="15363" width="25" customWidth="1"/>
    <col min="15364" max="15364" width="1.42578125" customWidth="1"/>
    <col min="15617" max="15617" width="15.42578125" customWidth="1"/>
    <col min="15618" max="15618" width="40.140625" customWidth="1"/>
    <col min="15619" max="15619" width="25" customWidth="1"/>
    <col min="15620" max="15620" width="1.42578125" customWidth="1"/>
    <col min="15873" max="15873" width="15.42578125" customWidth="1"/>
    <col min="15874" max="15874" width="40.140625" customWidth="1"/>
    <col min="15875" max="15875" width="25" customWidth="1"/>
    <col min="15876" max="15876" width="1.42578125" customWidth="1"/>
    <col min="16129" max="16129" width="15.42578125" customWidth="1"/>
    <col min="16130" max="16130" width="40.140625" customWidth="1"/>
    <col min="16131" max="16131" width="25" customWidth="1"/>
    <col min="16132" max="16132" width="1.42578125" customWidth="1"/>
  </cols>
  <sheetData>
    <row r="1" spans="1:5" ht="15.75" x14ac:dyDescent="0.25">
      <c r="A1" s="29"/>
      <c r="C1" s="7"/>
    </row>
    <row r="2" spans="1:5" ht="15.75" x14ac:dyDescent="0.25">
      <c r="A2" s="217" t="s">
        <v>0</v>
      </c>
      <c r="B2" s="217"/>
      <c r="C2" s="217"/>
      <c r="D2" s="217"/>
    </row>
    <row r="3" spans="1:5" ht="15.75" x14ac:dyDescent="0.25">
      <c r="C3" s="7"/>
      <c r="D3" s="29"/>
    </row>
    <row r="4" spans="1:5" ht="15.75" x14ac:dyDescent="0.25">
      <c r="A4" s="281" t="s">
        <v>26</v>
      </c>
      <c r="B4" s="281"/>
      <c r="C4" s="281"/>
      <c r="D4" s="281"/>
    </row>
    <row r="5" spans="1:5" ht="15.75" x14ac:dyDescent="0.25">
      <c r="C5" s="7"/>
      <c r="D5" s="30"/>
    </row>
    <row r="6" spans="1:5" ht="16.5" customHeight="1" x14ac:dyDescent="0.25">
      <c r="A6" s="218" t="s">
        <v>304</v>
      </c>
      <c r="B6" s="218"/>
      <c r="C6" s="218"/>
      <c r="D6" s="218"/>
    </row>
    <row r="7" spans="1:5" ht="15.75" x14ac:dyDescent="0.25">
      <c r="C7" s="7"/>
      <c r="D7" s="30"/>
    </row>
    <row r="8" spans="1:5" ht="16.5" thickBot="1" x14ac:dyDescent="0.3">
      <c r="A8" s="219" t="s">
        <v>27</v>
      </c>
      <c r="B8" s="219"/>
      <c r="C8" s="219"/>
      <c r="D8" s="219"/>
    </row>
    <row r="9" spans="1:5" ht="78.75" customHeight="1" thickBot="1" x14ac:dyDescent="0.3">
      <c r="A9" s="31" t="s">
        <v>2</v>
      </c>
      <c r="B9" s="32" t="s">
        <v>3</v>
      </c>
      <c r="C9" s="272" t="s">
        <v>4</v>
      </c>
      <c r="D9" s="273"/>
    </row>
    <row r="10" spans="1:5" ht="16.5" thickBot="1" x14ac:dyDescent="0.3">
      <c r="A10" s="33"/>
      <c r="B10" s="34" t="s">
        <v>5</v>
      </c>
      <c r="C10" s="220"/>
      <c r="D10" s="221"/>
    </row>
    <row r="11" spans="1:5" ht="79.5" customHeight="1" x14ac:dyDescent="0.25">
      <c r="A11" s="210" t="s">
        <v>6</v>
      </c>
      <c r="B11" s="65" t="s">
        <v>651</v>
      </c>
      <c r="C11" s="204">
        <f>1.8+2.72+2.43</f>
        <v>6.9500000000000011</v>
      </c>
      <c r="D11" s="205"/>
    </row>
    <row r="12" spans="1:5" ht="63" customHeight="1" x14ac:dyDescent="0.25">
      <c r="A12" s="211"/>
      <c r="B12" s="63" t="s">
        <v>652</v>
      </c>
      <c r="C12" s="204"/>
      <c r="D12" s="205"/>
    </row>
    <row r="13" spans="1:5" ht="80.25" customHeight="1" x14ac:dyDescent="0.25">
      <c r="A13" s="211"/>
      <c r="B13" s="63" t="s">
        <v>653</v>
      </c>
      <c r="C13" s="204"/>
      <c r="D13" s="205"/>
      <c r="E13" s="7"/>
    </row>
    <row r="14" spans="1:5" ht="16.5" thickBot="1" x14ac:dyDescent="0.3">
      <c r="A14" s="212"/>
      <c r="B14" s="36" t="s">
        <v>488</v>
      </c>
      <c r="C14" s="204"/>
      <c r="D14" s="205"/>
    </row>
    <row r="15" spans="1:5" ht="48" thickBot="1" x14ac:dyDescent="0.3">
      <c r="A15" s="51" t="s">
        <v>7</v>
      </c>
      <c r="B15" s="36" t="s">
        <v>8</v>
      </c>
      <c r="C15" s="204">
        <f>C11*0.2359</f>
        <v>1.6395050000000002</v>
      </c>
      <c r="D15" s="205"/>
    </row>
    <row r="16" spans="1:5" ht="16.5" thickBot="1" x14ac:dyDescent="0.3">
      <c r="A16" s="51"/>
      <c r="B16" s="38" t="s">
        <v>9</v>
      </c>
      <c r="C16" s="204">
        <f>SUM(C11:D15)</f>
        <v>8.5895050000000008</v>
      </c>
      <c r="D16" s="205"/>
    </row>
    <row r="17" spans="1:4" ht="16.5" thickBot="1" x14ac:dyDescent="0.3">
      <c r="A17" s="51"/>
      <c r="B17" s="38" t="s">
        <v>10</v>
      </c>
      <c r="C17" s="204"/>
      <c r="D17" s="205"/>
    </row>
    <row r="18" spans="1:4" ht="144.75" customHeight="1" thickBot="1" x14ac:dyDescent="0.3">
      <c r="A18" s="51" t="s">
        <v>12</v>
      </c>
      <c r="B18" s="62" t="s">
        <v>427</v>
      </c>
      <c r="C18" s="204">
        <v>0.13</v>
      </c>
      <c r="D18" s="205"/>
    </row>
    <row r="19" spans="1:4" ht="48" thickBot="1" x14ac:dyDescent="0.3">
      <c r="A19" s="51" t="s">
        <v>13</v>
      </c>
      <c r="B19" s="62" t="s">
        <v>226</v>
      </c>
      <c r="C19" s="204">
        <f>39644/1299*30/85*1</f>
        <v>10.771362586605081</v>
      </c>
      <c r="D19" s="205"/>
    </row>
    <row r="20" spans="1:4" ht="48" thickBot="1" x14ac:dyDescent="0.3">
      <c r="A20" s="51" t="s">
        <v>15</v>
      </c>
      <c r="B20" s="36" t="s">
        <v>219</v>
      </c>
      <c r="C20" s="204">
        <f>4228/3221*30/85*1</f>
        <v>0.46328323319392956</v>
      </c>
      <c r="D20" s="205"/>
    </row>
    <row r="21" spans="1:4" ht="33" customHeight="1" thickBot="1" x14ac:dyDescent="0.3">
      <c r="A21" s="51" t="s">
        <v>16</v>
      </c>
      <c r="B21" s="101" t="s">
        <v>428</v>
      </c>
      <c r="C21" s="204">
        <f>10204/3221*30/85*1</f>
        <v>1.1181036214547913</v>
      </c>
      <c r="D21" s="205"/>
    </row>
    <row r="22" spans="1:4" ht="32.25" thickBot="1" x14ac:dyDescent="0.3">
      <c r="A22" s="51" t="s">
        <v>17</v>
      </c>
      <c r="B22" s="36" t="s">
        <v>220</v>
      </c>
      <c r="C22" s="204">
        <v>8.93</v>
      </c>
      <c r="D22" s="205"/>
    </row>
    <row r="23" spans="1:4" ht="16.5" thickBot="1" x14ac:dyDescent="0.3">
      <c r="A23" s="33"/>
      <c r="B23" s="34" t="s">
        <v>18</v>
      </c>
      <c r="C23" s="204">
        <f>SUM(C18:C22)</f>
        <v>21.412749441253801</v>
      </c>
      <c r="D23" s="205"/>
    </row>
    <row r="24" spans="1:4" ht="16.5" thickBot="1" x14ac:dyDescent="0.3">
      <c r="A24" s="33"/>
      <c r="B24" s="41" t="s">
        <v>19</v>
      </c>
      <c r="C24" s="206">
        <f>SUM(C16,C23)</f>
        <v>30.002254441253804</v>
      </c>
      <c r="D24" s="207"/>
    </row>
    <row r="25" spans="1:4" x14ac:dyDescent="0.25">
      <c r="A25" s="43"/>
      <c r="C25" s="8"/>
    </row>
    <row r="26" spans="1:4" ht="15.75" x14ac:dyDescent="0.25">
      <c r="A26" s="213" t="s">
        <v>20</v>
      </c>
      <c r="B26" s="214"/>
      <c r="C26" s="224">
        <v>1</v>
      </c>
      <c r="D26" s="224"/>
    </row>
    <row r="27" spans="1:4" ht="33" customHeight="1" x14ac:dyDescent="0.25">
      <c r="A27" s="215" t="s">
        <v>28</v>
      </c>
      <c r="B27" s="216"/>
      <c r="C27" s="225">
        <f>C24/C26</f>
        <v>30.002254441253804</v>
      </c>
      <c r="D27" s="225"/>
    </row>
    <row r="29" spans="1:4" x14ac:dyDescent="0.25">
      <c r="A29" s="78"/>
      <c r="B29" s="78"/>
      <c r="C29" s="203"/>
      <c r="D29" s="203"/>
    </row>
    <row r="30" spans="1:4" x14ac:dyDescent="0.25">
      <c r="A30" s="78"/>
      <c r="B30" s="78"/>
      <c r="C30" s="79"/>
      <c r="D30" s="78"/>
    </row>
    <row r="31" spans="1:4" x14ac:dyDescent="0.25">
      <c r="A31" s="78"/>
      <c r="B31" s="78"/>
      <c r="C31" s="203"/>
      <c r="D31" s="203"/>
    </row>
    <row r="32" spans="1:4" x14ac:dyDescent="0.25">
      <c r="A32" s="78"/>
      <c r="B32" s="78"/>
      <c r="C32" s="78"/>
      <c r="D32" s="78"/>
    </row>
    <row r="33" spans="1:4" x14ac:dyDescent="0.25">
      <c r="A33" s="202"/>
      <c r="B33" s="202"/>
      <c r="C33" s="80"/>
      <c r="D33" s="80"/>
    </row>
    <row r="34" spans="1:4" x14ac:dyDescent="0.25">
      <c r="A34" s="201"/>
      <c r="B34" s="202"/>
      <c r="C34" s="80"/>
      <c r="D34" s="80"/>
    </row>
    <row r="35" spans="1:4" x14ac:dyDescent="0.25">
      <c r="A35" s="57"/>
      <c r="B35" s="80"/>
      <c r="C35" s="81"/>
      <c r="D35" s="81"/>
    </row>
    <row r="36" spans="1:4" x14ac:dyDescent="0.25">
      <c r="A36" s="201"/>
      <c r="B36" s="201"/>
      <c r="C36" s="81"/>
      <c r="D36" s="81"/>
    </row>
  </sheetData>
  <mergeCells count="27">
    <mergeCell ref="C17:D17"/>
    <mergeCell ref="C10:D10"/>
    <mergeCell ref="A11:A14"/>
    <mergeCell ref="C11:D14"/>
    <mergeCell ref="C15:D15"/>
    <mergeCell ref="C16:D16"/>
    <mergeCell ref="A2:D2"/>
    <mergeCell ref="A4:D4"/>
    <mergeCell ref="A6:D6"/>
    <mergeCell ref="A8:D8"/>
    <mergeCell ref="C9:D9"/>
    <mergeCell ref="A27:B27"/>
    <mergeCell ref="C27:D27"/>
    <mergeCell ref="C18:D18"/>
    <mergeCell ref="C19:D19"/>
    <mergeCell ref="C20:D20"/>
    <mergeCell ref="C21:D21"/>
    <mergeCell ref="C22:D22"/>
    <mergeCell ref="C23:D23"/>
    <mergeCell ref="C24:D24"/>
    <mergeCell ref="A26:B26"/>
    <mergeCell ref="C26:D26"/>
    <mergeCell ref="C29:D29"/>
    <mergeCell ref="C31:D31"/>
    <mergeCell ref="A33:B33"/>
    <mergeCell ref="A34:B34"/>
    <mergeCell ref="A36:B36"/>
  </mergeCells>
  <pageMargins left="0.70866141732283472" right="0.70866141732283472" top="0.74803149606299213" bottom="0.74803149606299213" header="0.31496062992125984" footer="0.31496062992125984"/>
  <pageSetup paperSize="9" fitToHeight="0" orientation="portrait" verticalDpi="0" r:id="rId1"/>
  <headerFoot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view="pageBreakPreview" zoomScale="60" zoomScaleNormal="100" workbookViewId="0">
      <selection activeCell="T13" sqref="T13"/>
    </sheetView>
  </sheetViews>
  <sheetFormatPr defaultRowHeight="15" x14ac:dyDescent="0.25"/>
  <cols>
    <col min="1" max="1" width="15.42578125" customWidth="1"/>
    <col min="2" max="2" width="50.5703125" customWidth="1"/>
    <col min="3" max="3" width="13.7109375" customWidth="1"/>
    <col min="4" max="4" width="7" customWidth="1"/>
    <col min="5" max="7" width="9.140625" hidden="1" customWidth="1"/>
    <col min="257" max="257" width="15.42578125" customWidth="1"/>
    <col min="258" max="258" width="40.140625" customWidth="1"/>
    <col min="259" max="259" width="25" customWidth="1"/>
    <col min="260" max="260" width="1.42578125" customWidth="1"/>
    <col min="513" max="513" width="15.42578125" customWidth="1"/>
    <col min="514" max="514" width="40.140625" customWidth="1"/>
    <col min="515" max="515" width="25" customWidth="1"/>
    <col min="516" max="516" width="1.42578125" customWidth="1"/>
    <col min="769" max="769" width="15.42578125" customWidth="1"/>
    <col min="770" max="770" width="40.140625" customWidth="1"/>
    <col min="771" max="771" width="25" customWidth="1"/>
    <col min="772" max="772" width="1.42578125" customWidth="1"/>
    <col min="1025" max="1025" width="15.42578125" customWidth="1"/>
    <col min="1026" max="1026" width="40.140625" customWidth="1"/>
    <col min="1027" max="1027" width="25" customWidth="1"/>
    <col min="1028" max="1028" width="1.42578125" customWidth="1"/>
    <col min="1281" max="1281" width="15.42578125" customWidth="1"/>
    <col min="1282" max="1282" width="40.140625" customWidth="1"/>
    <col min="1283" max="1283" width="25" customWidth="1"/>
    <col min="1284" max="1284" width="1.42578125" customWidth="1"/>
    <col min="1537" max="1537" width="15.42578125" customWidth="1"/>
    <col min="1538" max="1538" width="40.140625" customWidth="1"/>
    <col min="1539" max="1539" width="25" customWidth="1"/>
    <col min="1540" max="1540" width="1.42578125" customWidth="1"/>
    <col min="1793" max="1793" width="15.42578125" customWidth="1"/>
    <col min="1794" max="1794" width="40.140625" customWidth="1"/>
    <col min="1795" max="1795" width="25" customWidth="1"/>
    <col min="1796" max="1796" width="1.42578125" customWidth="1"/>
    <col min="2049" max="2049" width="15.42578125" customWidth="1"/>
    <col min="2050" max="2050" width="40.140625" customWidth="1"/>
    <col min="2051" max="2051" width="25" customWidth="1"/>
    <col min="2052" max="2052" width="1.42578125" customWidth="1"/>
    <col min="2305" max="2305" width="15.42578125" customWidth="1"/>
    <col min="2306" max="2306" width="40.140625" customWidth="1"/>
    <col min="2307" max="2307" width="25" customWidth="1"/>
    <col min="2308" max="2308" width="1.42578125" customWidth="1"/>
    <col min="2561" max="2561" width="15.42578125" customWidth="1"/>
    <col min="2562" max="2562" width="40.140625" customWidth="1"/>
    <col min="2563" max="2563" width="25" customWidth="1"/>
    <col min="2564" max="2564" width="1.42578125" customWidth="1"/>
    <col min="2817" max="2817" width="15.42578125" customWidth="1"/>
    <col min="2818" max="2818" width="40.140625" customWidth="1"/>
    <col min="2819" max="2819" width="25" customWidth="1"/>
    <col min="2820" max="2820" width="1.42578125" customWidth="1"/>
    <col min="3073" max="3073" width="15.42578125" customWidth="1"/>
    <col min="3074" max="3074" width="40.140625" customWidth="1"/>
    <col min="3075" max="3075" width="25" customWidth="1"/>
    <col min="3076" max="3076" width="1.42578125" customWidth="1"/>
    <col min="3329" max="3329" width="15.42578125" customWidth="1"/>
    <col min="3330" max="3330" width="40.140625" customWidth="1"/>
    <col min="3331" max="3331" width="25" customWidth="1"/>
    <col min="3332" max="3332" width="1.42578125" customWidth="1"/>
    <col min="3585" max="3585" width="15.42578125" customWidth="1"/>
    <col min="3586" max="3586" width="40.140625" customWidth="1"/>
    <col min="3587" max="3587" width="25" customWidth="1"/>
    <col min="3588" max="3588" width="1.42578125" customWidth="1"/>
    <col min="3841" max="3841" width="15.42578125" customWidth="1"/>
    <col min="3842" max="3842" width="40.140625" customWidth="1"/>
    <col min="3843" max="3843" width="25" customWidth="1"/>
    <col min="3844" max="3844" width="1.42578125" customWidth="1"/>
    <col min="4097" max="4097" width="15.42578125" customWidth="1"/>
    <col min="4098" max="4098" width="40.140625" customWidth="1"/>
    <col min="4099" max="4099" width="25" customWidth="1"/>
    <col min="4100" max="4100" width="1.42578125" customWidth="1"/>
    <col min="4353" max="4353" width="15.42578125" customWidth="1"/>
    <col min="4354" max="4354" width="40.140625" customWidth="1"/>
    <col min="4355" max="4355" width="25" customWidth="1"/>
    <col min="4356" max="4356" width="1.42578125" customWidth="1"/>
    <col min="4609" max="4609" width="15.42578125" customWidth="1"/>
    <col min="4610" max="4610" width="40.140625" customWidth="1"/>
    <col min="4611" max="4611" width="25" customWidth="1"/>
    <col min="4612" max="4612" width="1.42578125" customWidth="1"/>
    <col min="4865" max="4865" width="15.42578125" customWidth="1"/>
    <col min="4866" max="4866" width="40.140625" customWidth="1"/>
    <col min="4867" max="4867" width="25" customWidth="1"/>
    <col min="4868" max="4868" width="1.42578125" customWidth="1"/>
    <col min="5121" max="5121" width="15.42578125" customWidth="1"/>
    <col min="5122" max="5122" width="40.140625" customWidth="1"/>
    <col min="5123" max="5123" width="25" customWidth="1"/>
    <col min="5124" max="5124" width="1.42578125" customWidth="1"/>
    <col min="5377" max="5377" width="15.42578125" customWidth="1"/>
    <col min="5378" max="5378" width="40.140625" customWidth="1"/>
    <col min="5379" max="5379" width="25" customWidth="1"/>
    <col min="5380" max="5380" width="1.42578125" customWidth="1"/>
    <col min="5633" max="5633" width="15.42578125" customWidth="1"/>
    <col min="5634" max="5634" width="40.140625" customWidth="1"/>
    <col min="5635" max="5635" width="25" customWidth="1"/>
    <col min="5636" max="5636" width="1.42578125" customWidth="1"/>
    <col min="5889" max="5889" width="15.42578125" customWidth="1"/>
    <col min="5890" max="5890" width="40.140625" customWidth="1"/>
    <col min="5891" max="5891" width="25" customWidth="1"/>
    <col min="5892" max="5892" width="1.42578125" customWidth="1"/>
    <col min="6145" max="6145" width="15.42578125" customWidth="1"/>
    <col min="6146" max="6146" width="40.140625" customWidth="1"/>
    <col min="6147" max="6147" width="25" customWidth="1"/>
    <col min="6148" max="6148" width="1.42578125" customWidth="1"/>
    <col min="6401" max="6401" width="15.42578125" customWidth="1"/>
    <col min="6402" max="6402" width="40.140625" customWidth="1"/>
    <col min="6403" max="6403" width="25" customWidth="1"/>
    <col min="6404" max="6404" width="1.42578125" customWidth="1"/>
    <col min="6657" max="6657" width="15.42578125" customWidth="1"/>
    <col min="6658" max="6658" width="40.140625" customWidth="1"/>
    <col min="6659" max="6659" width="25" customWidth="1"/>
    <col min="6660" max="6660" width="1.42578125" customWidth="1"/>
    <col min="6913" max="6913" width="15.42578125" customWidth="1"/>
    <col min="6914" max="6914" width="40.140625" customWidth="1"/>
    <col min="6915" max="6915" width="25" customWidth="1"/>
    <col min="6916" max="6916" width="1.42578125" customWidth="1"/>
    <col min="7169" max="7169" width="15.42578125" customWidth="1"/>
    <col min="7170" max="7170" width="40.140625" customWidth="1"/>
    <col min="7171" max="7171" width="25" customWidth="1"/>
    <col min="7172" max="7172" width="1.42578125" customWidth="1"/>
    <col min="7425" max="7425" width="15.42578125" customWidth="1"/>
    <col min="7426" max="7426" width="40.140625" customWidth="1"/>
    <col min="7427" max="7427" width="25" customWidth="1"/>
    <col min="7428" max="7428" width="1.42578125" customWidth="1"/>
    <col min="7681" max="7681" width="15.42578125" customWidth="1"/>
    <col min="7682" max="7682" width="40.140625" customWidth="1"/>
    <col min="7683" max="7683" width="25" customWidth="1"/>
    <col min="7684" max="7684" width="1.42578125" customWidth="1"/>
    <col min="7937" max="7937" width="15.42578125" customWidth="1"/>
    <col min="7938" max="7938" width="40.140625" customWidth="1"/>
    <col min="7939" max="7939" width="25" customWidth="1"/>
    <col min="7940" max="7940" width="1.42578125" customWidth="1"/>
    <col min="8193" max="8193" width="15.42578125" customWidth="1"/>
    <col min="8194" max="8194" width="40.140625" customWidth="1"/>
    <col min="8195" max="8195" width="25" customWidth="1"/>
    <col min="8196" max="8196" width="1.42578125" customWidth="1"/>
    <col min="8449" max="8449" width="15.42578125" customWidth="1"/>
    <col min="8450" max="8450" width="40.140625" customWidth="1"/>
    <col min="8451" max="8451" width="25" customWidth="1"/>
    <col min="8452" max="8452" width="1.42578125" customWidth="1"/>
    <col min="8705" max="8705" width="15.42578125" customWidth="1"/>
    <col min="8706" max="8706" width="40.140625" customWidth="1"/>
    <col min="8707" max="8707" width="25" customWidth="1"/>
    <col min="8708" max="8708" width="1.42578125" customWidth="1"/>
    <col min="8961" max="8961" width="15.42578125" customWidth="1"/>
    <col min="8962" max="8962" width="40.140625" customWidth="1"/>
    <col min="8963" max="8963" width="25" customWidth="1"/>
    <col min="8964" max="8964" width="1.42578125" customWidth="1"/>
    <col min="9217" max="9217" width="15.42578125" customWidth="1"/>
    <col min="9218" max="9218" width="40.140625" customWidth="1"/>
    <col min="9219" max="9219" width="25" customWidth="1"/>
    <col min="9220" max="9220" width="1.42578125" customWidth="1"/>
    <col min="9473" max="9473" width="15.42578125" customWidth="1"/>
    <col min="9474" max="9474" width="40.140625" customWidth="1"/>
    <col min="9475" max="9475" width="25" customWidth="1"/>
    <col min="9476" max="9476" width="1.42578125" customWidth="1"/>
    <col min="9729" max="9729" width="15.42578125" customWidth="1"/>
    <col min="9730" max="9730" width="40.140625" customWidth="1"/>
    <col min="9731" max="9731" width="25" customWidth="1"/>
    <col min="9732" max="9732" width="1.42578125" customWidth="1"/>
    <col min="9985" max="9985" width="15.42578125" customWidth="1"/>
    <col min="9986" max="9986" width="40.140625" customWidth="1"/>
    <col min="9987" max="9987" width="25" customWidth="1"/>
    <col min="9988" max="9988" width="1.42578125" customWidth="1"/>
    <col min="10241" max="10241" width="15.42578125" customWidth="1"/>
    <col min="10242" max="10242" width="40.140625" customWidth="1"/>
    <col min="10243" max="10243" width="25" customWidth="1"/>
    <col min="10244" max="10244" width="1.42578125" customWidth="1"/>
    <col min="10497" max="10497" width="15.42578125" customWidth="1"/>
    <col min="10498" max="10498" width="40.140625" customWidth="1"/>
    <col min="10499" max="10499" width="25" customWidth="1"/>
    <col min="10500" max="10500" width="1.42578125" customWidth="1"/>
    <col min="10753" max="10753" width="15.42578125" customWidth="1"/>
    <col min="10754" max="10754" width="40.140625" customWidth="1"/>
    <col min="10755" max="10755" width="25" customWidth="1"/>
    <col min="10756" max="10756" width="1.42578125" customWidth="1"/>
    <col min="11009" max="11009" width="15.42578125" customWidth="1"/>
    <col min="11010" max="11010" width="40.140625" customWidth="1"/>
    <col min="11011" max="11011" width="25" customWidth="1"/>
    <col min="11012" max="11012" width="1.42578125" customWidth="1"/>
    <col min="11265" max="11265" width="15.42578125" customWidth="1"/>
    <col min="11266" max="11266" width="40.140625" customWidth="1"/>
    <col min="11267" max="11267" width="25" customWidth="1"/>
    <col min="11268" max="11268" width="1.42578125" customWidth="1"/>
    <col min="11521" max="11521" width="15.42578125" customWidth="1"/>
    <col min="11522" max="11522" width="40.140625" customWidth="1"/>
    <col min="11523" max="11523" width="25" customWidth="1"/>
    <col min="11524" max="11524" width="1.42578125" customWidth="1"/>
    <col min="11777" max="11777" width="15.42578125" customWidth="1"/>
    <col min="11778" max="11778" width="40.140625" customWidth="1"/>
    <col min="11779" max="11779" width="25" customWidth="1"/>
    <col min="11780" max="11780" width="1.42578125" customWidth="1"/>
    <col min="12033" max="12033" width="15.42578125" customWidth="1"/>
    <col min="12034" max="12034" width="40.140625" customWidth="1"/>
    <col min="12035" max="12035" width="25" customWidth="1"/>
    <col min="12036" max="12036" width="1.42578125" customWidth="1"/>
    <col min="12289" max="12289" width="15.42578125" customWidth="1"/>
    <col min="12290" max="12290" width="40.140625" customWidth="1"/>
    <col min="12291" max="12291" width="25" customWidth="1"/>
    <col min="12292" max="12292" width="1.42578125" customWidth="1"/>
    <col min="12545" max="12545" width="15.42578125" customWidth="1"/>
    <col min="12546" max="12546" width="40.140625" customWidth="1"/>
    <col min="12547" max="12547" width="25" customWidth="1"/>
    <col min="12548" max="12548" width="1.42578125" customWidth="1"/>
    <col min="12801" max="12801" width="15.42578125" customWidth="1"/>
    <col min="12802" max="12802" width="40.140625" customWidth="1"/>
    <col min="12803" max="12803" width="25" customWidth="1"/>
    <col min="12804" max="12804" width="1.42578125" customWidth="1"/>
    <col min="13057" max="13057" width="15.42578125" customWidth="1"/>
    <col min="13058" max="13058" width="40.140625" customWidth="1"/>
    <col min="13059" max="13059" width="25" customWidth="1"/>
    <col min="13060" max="13060" width="1.42578125" customWidth="1"/>
    <col min="13313" max="13313" width="15.42578125" customWidth="1"/>
    <col min="13314" max="13314" width="40.140625" customWidth="1"/>
    <col min="13315" max="13315" width="25" customWidth="1"/>
    <col min="13316" max="13316" width="1.42578125" customWidth="1"/>
    <col min="13569" max="13569" width="15.42578125" customWidth="1"/>
    <col min="13570" max="13570" width="40.140625" customWidth="1"/>
    <col min="13571" max="13571" width="25" customWidth="1"/>
    <col min="13572" max="13572" width="1.42578125" customWidth="1"/>
    <col min="13825" max="13825" width="15.42578125" customWidth="1"/>
    <col min="13826" max="13826" width="40.140625" customWidth="1"/>
    <col min="13827" max="13827" width="25" customWidth="1"/>
    <col min="13828" max="13828" width="1.42578125" customWidth="1"/>
    <col min="14081" max="14081" width="15.42578125" customWidth="1"/>
    <col min="14082" max="14082" width="40.140625" customWidth="1"/>
    <col min="14083" max="14083" width="25" customWidth="1"/>
    <col min="14084" max="14084" width="1.42578125" customWidth="1"/>
    <col min="14337" max="14337" width="15.42578125" customWidth="1"/>
    <col min="14338" max="14338" width="40.140625" customWidth="1"/>
    <col min="14339" max="14339" width="25" customWidth="1"/>
    <col min="14340" max="14340" width="1.42578125" customWidth="1"/>
    <col min="14593" max="14593" width="15.42578125" customWidth="1"/>
    <col min="14594" max="14594" width="40.140625" customWidth="1"/>
    <col min="14595" max="14595" width="25" customWidth="1"/>
    <col min="14596" max="14596" width="1.42578125" customWidth="1"/>
    <col min="14849" max="14849" width="15.42578125" customWidth="1"/>
    <col min="14850" max="14850" width="40.140625" customWidth="1"/>
    <col min="14851" max="14851" width="25" customWidth="1"/>
    <col min="14852" max="14852" width="1.42578125" customWidth="1"/>
    <col min="15105" max="15105" width="15.42578125" customWidth="1"/>
    <col min="15106" max="15106" width="40.140625" customWidth="1"/>
    <col min="15107" max="15107" width="25" customWidth="1"/>
    <col min="15108" max="15108" width="1.42578125" customWidth="1"/>
    <col min="15361" max="15361" width="15.42578125" customWidth="1"/>
    <col min="15362" max="15362" width="40.140625" customWidth="1"/>
    <col min="15363" max="15363" width="25" customWidth="1"/>
    <col min="15364" max="15364" width="1.42578125" customWidth="1"/>
    <col min="15617" max="15617" width="15.42578125" customWidth="1"/>
    <col min="15618" max="15618" width="40.140625" customWidth="1"/>
    <col min="15619" max="15619" width="25" customWidth="1"/>
    <col min="15620" max="15620" width="1.42578125" customWidth="1"/>
    <col min="15873" max="15873" width="15.42578125" customWidth="1"/>
    <col min="15874" max="15874" width="40.140625" customWidth="1"/>
    <col min="15875" max="15875" width="25" customWidth="1"/>
    <col min="15876" max="15876" width="1.42578125" customWidth="1"/>
    <col min="16129" max="16129" width="15.42578125" customWidth="1"/>
    <col min="16130" max="16130" width="40.140625" customWidth="1"/>
    <col min="16131" max="16131" width="25" customWidth="1"/>
    <col min="16132" max="16132" width="1.42578125" customWidth="1"/>
  </cols>
  <sheetData>
    <row r="1" spans="1:4" ht="15.75" x14ac:dyDescent="0.25">
      <c r="A1" s="29"/>
      <c r="C1" s="7"/>
    </row>
    <row r="2" spans="1:4" ht="15.75" x14ac:dyDescent="0.25">
      <c r="A2" s="217" t="s">
        <v>0</v>
      </c>
      <c r="B2" s="217"/>
      <c r="C2" s="217"/>
      <c r="D2" s="217"/>
    </row>
    <row r="3" spans="1:4" ht="15.75" x14ac:dyDescent="0.25">
      <c r="C3" s="7"/>
      <c r="D3" s="29"/>
    </row>
    <row r="4" spans="1:4" ht="15.75" x14ac:dyDescent="0.25">
      <c r="A4" s="281" t="s">
        <v>26</v>
      </c>
      <c r="B4" s="281"/>
      <c r="C4" s="281"/>
      <c r="D4" s="281"/>
    </row>
    <row r="5" spans="1:4" ht="15.75" x14ac:dyDescent="0.25">
      <c r="C5" s="7"/>
      <c r="D5" s="30"/>
    </row>
    <row r="6" spans="1:4" ht="33.75" customHeight="1" x14ac:dyDescent="0.25">
      <c r="A6" s="218" t="s">
        <v>305</v>
      </c>
      <c r="B6" s="218"/>
      <c r="C6" s="218"/>
      <c r="D6" s="218"/>
    </row>
    <row r="7" spans="1:4" ht="15.75" x14ac:dyDescent="0.25">
      <c r="C7" s="7"/>
      <c r="D7" s="30"/>
    </row>
    <row r="8" spans="1:4" ht="16.5" thickBot="1" x14ac:dyDescent="0.3">
      <c r="A8" s="219" t="s">
        <v>27</v>
      </c>
      <c r="B8" s="219"/>
      <c r="C8" s="219"/>
      <c r="D8" s="219"/>
    </row>
    <row r="9" spans="1:4" ht="78" customHeight="1" thickBot="1" x14ac:dyDescent="0.3">
      <c r="A9" s="31" t="s">
        <v>2</v>
      </c>
      <c r="B9" s="32" t="s">
        <v>3</v>
      </c>
      <c r="C9" s="272" t="s">
        <v>4</v>
      </c>
      <c r="D9" s="273"/>
    </row>
    <row r="10" spans="1:4" ht="16.5" thickBot="1" x14ac:dyDescent="0.3">
      <c r="A10" s="33"/>
      <c r="B10" s="34" t="s">
        <v>5</v>
      </c>
      <c r="C10" s="220"/>
      <c r="D10" s="221"/>
    </row>
    <row r="11" spans="1:4" ht="78" customHeight="1" x14ac:dyDescent="0.25">
      <c r="A11" s="210" t="s">
        <v>6</v>
      </c>
      <c r="B11" s="65" t="s">
        <v>654</v>
      </c>
      <c r="C11" s="204">
        <f>1.8+1</f>
        <v>2.8</v>
      </c>
      <c r="D11" s="205"/>
    </row>
    <row r="12" spans="1:4" ht="81" customHeight="1" x14ac:dyDescent="0.25">
      <c r="A12" s="211"/>
      <c r="B12" s="63" t="s">
        <v>655</v>
      </c>
      <c r="C12" s="204"/>
      <c r="D12" s="205"/>
    </row>
    <row r="13" spans="1:4" ht="16.5" thickBot="1" x14ac:dyDescent="0.3">
      <c r="A13" s="212"/>
      <c r="B13" s="36" t="s">
        <v>489</v>
      </c>
      <c r="C13" s="204"/>
      <c r="D13" s="205"/>
    </row>
    <row r="14" spans="1:4" ht="48" thickBot="1" x14ac:dyDescent="0.3">
      <c r="A14" s="51" t="s">
        <v>7</v>
      </c>
      <c r="B14" s="36" t="s">
        <v>209</v>
      </c>
      <c r="C14" s="204">
        <f>C11*0.2359</f>
        <v>0.66052</v>
      </c>
      <c r="D14" s="205"/>
    </row>
    <row r="15" spans="1:4" ht="16.5" thickBot="1" x14ac:dyDescent="0.3">
      <c r="A15" s="51"/>
      <c r="B15" s="38" t="s">
        <v>9</v>
      </c>
      <c r="C15" s="204">
        <f>SUM(C11:D14)</f>
        <v>3.4605199999999998</v>
      </c>
      <c r="D15" s="205"/>
    </row>
    <row r="16" spans="1:4" ht="16.5" thickBot="1" x14ac:dyDescent="0.3">
      <c r="A16" s="51"/>
      <c r="B16" s="38" t="s">
        <v>10</v>
      </c>
      <c r="C16" s="204"/>
      <c r="D16" s="205"/>
    </row>
    <row r="17" spans="1:4" ht="142.5" thickBot="1" x14ac:dyDescent="0.3">
      <c r="A17" s="51" t="s">
        <v>12</v>
      </c>
      <c r="B17" s="62" t="s">
        <v>221</v>
      </c>
      <c r="C17" s="204">
        <v>0.42</v>
      </c>
      <c r="D17" s="205"/>
    </row>
    <row r="18" spans="1:4" ht="48" thickBot="1" x14ac:dyDescent="0.3">
      <c r="A18" s="51" t="s">
        <v>13</v>
      </c>
      <c r="B18" s="62" t="s">
        <v>222</v>
      </c>
      <c r="C18" s="204">
        <v>35.9</v>
      </c>
      <c r="D18" s="205"/>
    </row>
    <row r="19" spans="1:4" ht="48" thickBot="1" x14ac:dyDescent="0.3">
      <c r="A19" s="51" t="s">
        <v>15</v>
      </c>
      <c r="B19" s="36" t="s">
        <v>223</v>
      </c>
      <c r="C19" s="204">
        <v>1.54</v>
      </c>
      <c r="D19" s="205"/>
    </row>
    <row r="20" spans="1:4" ht="48" thickBot="1" x14ac:dyDescent="0.3">
      <c r="A20" s="51" t="s">
        <v>16</v>
      </c>
      <c r="B20" s="36" t="s">
        <v>224</v>
      </c>
      <c r="C20" s="204">
        <v>3.73</v>
      </c>
      <c r="D20" s="205"/>
    </row>
    <row r="21" spans="1:4" ht="63" customHeight="1" thickBot="1" x14ac:dyDescent="0.3">
      <c r="A21" s="51" t="s">
        <v>17</v>
      </c>
      <c r="B21" s="62" t="s">
        <v>429</v>
      </c>
      <c r="C21" s="204">
        <v>54.95</v>
      </c>
      <c r="D21" s="205"/>
    </row>
    <row r="22" spans="1:4" ht="16.5" thickBot="1" x14ac:dyDescent="0.3">
      <c r="A22" s="33"/>
      <c r="B22" s="34" t="s">
        <v>18</v>
      </c>
      <c r="C22" s="204">
        <f>SUM(C17:C21)</f>
        <v>96.539999999999992</v>
      </c>
      <c r="D22" s="205"/>
    </row>
    <row r="23" spans="1:4" ht="16.5" thickBot="1" x14ac:dyDescent="0.3">
      <c r="A23" s="33"/>
      <c r="B23" s="41" t="s">
        <v>19</v>
      </c>
      <c r="C23" s="206">
        <f>SUM(C15,C22)</f>
        <v>100.00051999999999</v>
      </c>
      <c r="D23" s="207"/>
    </row>
    <row r="24" spans="1:4" x14ac:dyDescent="0.25">
      <c r="A24" s="43"/>
      <c r="C24" s="8"/>
    </row>
    <row r="25" spans="1:4" ht="15.75" x14ac:dyDescent="0.25">
      <c r="A25" s="213" t="s">
        <v>20</v>
      </c>
      <c r="B25" s="214"/>
      <c r="C25" s="224">
        <v>1</v>
      </c>
      <c r="D25" s="224"/>
    </row>
    <row r="26" spans="1:4" ht="33.75" customHeight="1" x14ac:dyDescent="0.25">
      <c r="A26" s="215" t="s">
        <v>28</v>
      </c>
      <c r="B26" s="216"/>
      <c r="C26" s="297">
        <f>C23/C25</f>
        <v>100.00051999999999</v>
      </c>
      <c r="D26" s="297"/>
    </row>
    <row r="28" spans="1:4" x14ac:dyDescent="0.25">
      <c r="A28" s="78"/>
      <c r="B28" s="78"/>
      <c r="C28" s="203"/>
      <c r="D28" s="203"/>
    </row>
    <row r="29" spans="1:4" x14ac:dyDescent="0.25">
      <c r="A29" s="78"/>
      <c r="B29" s="78"/>
      <c r="C29" s="79"/>
      <c r="D29" s="78"/>
    </row>
    <row r="30" spans="1:4" x14ac:dyDescent="0.25">
      <c r="A30" s="78"/>
      <c r="B30" s="78"/>
      <c r="C30" s="203"/>
      <c r="D30" s="203"/>
    </row>
    <row r="31" spans="1:4" x14ac:dyDescent="0.25">
      <c r="A31" s="78"/>
      <c r="B31" s="78"/>
      <c r="C31" s="78"/>
      <c r="D31" s="78"/>
    </row>
    <row r="32" spans="1:4" x14ac:dyDescent="0.25">
      <c r="A32" s="202"/>
      <c r="B32" s="202"/>
      <c r="C32" s="80"/>
      <c r="D32" s="80"/>
    </row>
    <row r="33" spans="1:4" x14ac:dyDescent="0.25">
      <c r="A33" s="201"/>
      <c r="B33" s="202"/>
      <c r="C33" s="80"/>
      <c r="D33" s="80"/>
    </row>
    <row r="34" spans="1:4" x14ac:dyDescent="0.25">
      <c r="A34" s="57"/>
      <c r="B34" s="80"/>
      <c r="C34" s="81"/>
      <c r="D34" s="81"/>
    </row>
    <row r="35" spans="1:4" x14ac:dyDescent="0.25">
      <c r="A35" s="201"/>
      <c r="B35" s="201"/>
      <c r="C35" s="81"/>
      <c r="D35" s="81"/>
    </row>
  </sheetData>
  <mergeCells count="27">
    <mergeCell ref="C16:D16"/>
    <mergeCell ref="C10:D10"/>
    <mergeCell ref="A11:A13"/>
    <mergeCell ref="C11:D13"/>
    <mergeCell ref="C14:D14"/>
    <mergeCell ref="C15:D15"/>
    <mergeCell ref="A2:D2"/>
    <mergeCell ref="A4:D4"/>
    <mergeCell ref="A6:D6"/>
    <mergeCell ref="A8:D8"/>
    <mergeCell ref="C9:D9"/>
    <mergeCell ref="A26:B26"/>
    <mergeCell ref="C26:D26"/>
    <mergeCell ref="C17:D17"/>
    <mergeCell ref="C18:D18"/>
    <mergeCell ref="C19:D19"/>
    <mergeCell ref="C20:D20"/>
    <mergeCell ref="C21:D21"/>
    <mergeCell ref="C22:D22"/>
    <mergeCell ref="C23:D23"/>
    <mergeCell ref="A25:B25"/>
    <mergeCell ref="C25:D25"/>
    <mergeCell ref="C28:D28"/>
    <mergeCell ref="C30:D30"/>
    <mergeCell ref="A32:B32"/>
    <mergeCell ref="A33:B33"/>
    <mergeCell ref="A35:B35"/>
  </mergeCells>
  <pageMargins left="0.70866141732283472" right="0.70866141732283472" top="0.74803149606299213" bottom="0.74803149606299213" header="0.31496062992125984" footer="0.31496062992125984"/>
  <pageSetup paperSize="9" fitToHeight="0" orientation="portrait" verticalDpi="0" r:id="rId1"/>
  <headerFoot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view="pageBreakPreview" zoomScale="60" zoomScaleNormal="100" workbookViewId="0">
      <selection activeCell="T13" sqref="T13"/>
    </sheetView>
  </sheetViews>
  <sheetFormatPr defaultRowHeight="15" x14ac:dyDescent="0.25"/>
  <cols>
    <col min="1" max="1" width="15.42578125" customWidth="1"/>
    <col min="2" max="2" width="49.5703125" customWidth="1"/>
    <col min="3" max="3" width="16" customWidth="1"/>
    <col min="4" max="4" width="3" customWidth="1"/>
    <col min="257" max="257" width="15.42578125" customWidth="1"/>
    <col min="258" max="258" width="40.140625" customWidth="1"/>
    <col min="259" max="259" width="25" customWidth="1"/>
    <col min="260" max="260" width="1.42578125" customWidth="1"/>
    <col min="513" max="513" width="15.42578125" customWidth="1"/>
    <col min="514" max="514" width="40.140625" customWidth="1"/>
    <col min="515" max="515" width="25" customWidth="1"/>
    <col min="516" max="516" width="1.42578125" customWidth="1"/>
    <col min="769" max="769" width="15.42578125" customWidth="1"/>
    <col min="770" max="770" width="40.140625" customWidth="1"/>
    <col min="771" max="771" width="25" customWidth="1"/>
    <col min="772" max="772" width="1.42578125" customWidth="1"/>
    <col min="1025" max="1025" width="15.42578125" customWidth="1"/>
    <col min="1026" max="1026" width="40.140625" customWidth="1"/>
    <col min="1027" max="1027" width="25" customWidth="1"/>
    <col min="1028" max="1028" width="1.42578125" customWidth="1"/>
    <col min="1281" max="1281" width="15.42578125" customWidth="1"/>
    <col min="1282" max="1282" width="40.140625" customWidth="1"/>
    <col min="1283" max="1283" width="25" customWidth="1"/>
    <col min="1284" max="1284" width="1.42578125" customWidth="1"/>
    <col min="1537" max="1537" width="15.42578125" customWidth="1"/>
    <col min="1538" max="1538" width="40.140625" customWidth="1"/>
    <col min="1539" max="1539" width="25" customWidth="1"/>
    <col min="1540" max="1540" width="1.42578125" customWidth="1"/>
    <col min="1793" max="1793" width="15.42578125" customWidth="1"/>
    <col min="1794" max="1794" width="40.140625" customWidth="1"/>
    <col min="1795" max="1795" width="25" customWidth="1"/>
    <col min="1796" max="1796" width="1.42578125" customWidth="1"/>
    <col min="2049" max="2049" width="15.42578125" customWidth="1"/>
    <col min="2050" max="2050" width="40.140625" customWidth="1"/>
    <col min="2051" max="2051" width="25" customWidth="1"/>
    <col min="2052" max="2052" width="1.42578125" customWidth="1"/>
    <col min="2305" max="2305" width="15.42578125" customWidth="1"/>
    <col min="2306" max="2306" width="40.140625" customWidth="1"/>
    <col min="2307" max="2307" width="25" customWidth="1"/>
    <col min="2308" max="2308" width="1.42578125" customWidth="1"/>
    <col min="2561" max="2561" width="15.42578125" customWidth="1"/>
    <col min="2562" max="2562" width="40.140625" customWidth="1"/>
    <col min="2563" max="2563" width="25" customWidth="1"/>
    <col min="2564" max="2564" width="1.42578125" customWidth="1"/>
    <col min="2817" max="2817" width="15.42578125" customWidth="1"/>
    <col min="2818" max="2818" width="40.140625" customWidth="1"/>
    <col min="2819" max="2819" width="25" customWidth="1"/>
    <col min="2820" max="2820" width="1.42578125" customWidth="1"/>
    <col min="3073" max="3073" width="15.42578125" customWidth="1"/>
    <col min="3074" max="3074" width="40.140625" customWidth="1"/>
    <col min="3075" max="3075" width="25" customWidth="1"/>
    <col min="3076" max="3076" width="1.42578125" customWidth="1"/>
    <col min="3329" max="3329" width="15.42578125" customWidth="1"/>
    <col min="3330" max="3330" width="40.140625" customWidth="1"/>
    <col min="3331" max="3331" width="25" customWidth="1"/>
    <col min="3332" max="3332" width="1.42578125" customWidth="1"/>
    <col min="3585" max="3585" width="15.42578125" customWidth="1"/>
    <col min="3586" max="3586" width="40.140625" customWidth="1"/>
    <col min="3587" max="3587" width="25" customWidth="1"/>
    <col min="3588" max="3588" width="1.42578125" customWidth="1"/>
    <col min="3841" max="3841" width="15.42578125" customWidth="1"/>
    <col min="3842" max="3842" width="40.140625" customWidth="1"/>
    <col min="3843" max="3843" width="25" customWidth="1"/>
    <col min="3844" max="3844" width="1.42578125" customWidth="1"/>
    <col min="4097" max="4097" width="15.42578125" customWidth="1"/>
    <col min="4098" max="4098" width="40.140625" customWidth="1"/>
    <col min="4099" max="4099" width="25" customWidth="1"/>
    <col min="4100" max="4100" width="1.42578125" customWidth="1"/>
    <col min="4353" max="4353" width="15.42578125" customWidth="1"/>
    <col min="4354" max="4354" width="40.140625" customWidth="1"/>
    <col min="4355" max="4355" width="25" customWidth="1"/>
    <col min="4356" max="4356" width="1.42578125" customWidth="1"/>
    <col min="4609" max="4609" width="15.42578125" customWidth="1"/>
    <col min="4610" max="4610" width="40.140625" customWidth="1"/>
    <col min="4611" max="4611" width="25" customWidth="1"/>
    <col min="4612" max="4612" width="1.42578125" customWidth="1"/>
    <col min="4865" max="4865" width="15.42578125" customWidth="1"/>
    <col min="4866" max="4866" width="40.140625" customWidth="1"/>
    <col min="4867" max="4867" width="25" customWidth="1"/>
    <col min="4868" max="4868" width="1.42578125" customWidth="1"/>
    <col min="5121" max="5121" width="15.42578125" customWidth="1"/>
    <col min="5122" max="5122" width="40.140625" customWidth="1"/>
    <col min="5123" max="5123" width="25" customWidth="1"/>
    <col min="5124" max="5124" width="1.42578125" customWidth="1"/>
    <col min="5377" max="5377" width="15.42578125" customWidth="1"/>
    <col min="5378" max="5378" width="40.140625" customWidth="1"/>
    <col min="5379" max="5379" width="25" customWidth="1"/>
    <col min="5380" max="5380" width="1.42578125" customWidth="1"/>
    <col min="5633" max="5633" width="15.42578125" customWidth="1"/>
    <col min="5634" max="5634" width="40.140625" customWidth="1"/>
    <col min="5635" max="5635" width="25" customWidth="1"/>
    <col min="5636" max="5636" width="1.42578125" customWidth="1"/>
    <col min="5889" max="5889" width="15.42578125" customWidth="1"/>
    <col min="5890" max="5890" width="40.140625" customWidth="1"/>
    <col min="5891" max="5891" width="25" customWidth="1"/>
    <col min="5892" max="5892" width="1.42578125" customWidth="1"/>
    <col min="6145" max="6145" width="15.42578125" customWidth="1"/>
    <col min="6146" max="6146" width="40.140625" customWidth="1"/>
    <col min="6147" max="6147" width="25" customWidth="1"/>
    <col min="6148" max="6148" width="1.42578125" customWidth="1"/>
    <col min="6401" max="6401" width="15.42578125" customWidth="1"/>
    <col min="6402" max="6402" width="40.140625" customWidth="1"/>
    <col min="6403" max="6403" width="25" customWidth="1"/>
    <col min="6404" max="6404" width="1.42578125" customWidth="1"/>
    <col min="6657" max="6657" width="15.42578125" customWidth="1"/>
    <col min="6658" max="6658" width="40.140625" customWidth="1"/>
    <col min="6659" max="6659" width="25" customWidth="1"/>
    <col min="6660" max="6660" width="1.42578125" customWidth="1"/>
    <col min="6913" max="6913" width="15.42578125" customWidth="1"/>
    <col min="6914" max="6914" width="40.140625" customWidth="1"/>
    <col min="6915" max="6915" width="25" customWidth="1"/>
    <col min="6916" max="6916" width="1.42578125" customWidth="1"/>
    <col min="7169" max="7169" width="15.42578125" customWidth="1"/>
    <col min="7170" max="7170" width="40.140625" customWidth="1"/>
    <col min="7171" max="7171" width="25" customWidth="1"/>
    <col min="7172" max="7172" width="1.42578125" customWidth="1"/>
    <col min="7425" max="7425" width="15.42578125" customWidth="1"/>
    <col min="7426" max="7426" width="40.140625" customWidth="1"/>
    <col min="7427" max="7427" width="25" customWidth="1"/>
    <col min="7428" max="7428" width="1.42578125" customWidth="1"/>
    <col min="7681" max="7681" width="15.42578125" customWidth="1"/>
    <col min="7682" max="7682" width="40.140625" customWidth="1"/>
    <col min="7683" max="7683" width="25" customWidth="1"/>
    <col min="7684" max="7684" width="1.42578125" customWidth="1"/>
    <col min="7937" max="7937" width="15.42578125" customWidth="1"/>
    <col min="7938" max="7938" width="40.140625" customWidth="1"/>
    <col min="7939" max="7939" width="25" customWidth="1"/>
    <col min="7940" max="7940" width="1.42578125" customWidth="1"/>
    <col min="8193" max="8193" width="15.42578125" customWidth="1"/>
    <col min="8194" max="8194" width="40.140625" customWidth="1"/>
    <col min="8195" max="8195" width="25" customWidth="1"/>
    <col min="8196" max="8196" width="1.42578125" customWidth="1"/>
    <col min="8449" max="8449" width="15.42578125" customWidth="1"/>
    <col min="8450" max="8450" width="40.140625" customWidth="1"/>
    <col min="8451" max="8451" width="25" customWidth="1"/>
    <col min="8452" max="8452" width="1.42578125" customWidth="1"/>
    <col min="8705" max="8705" width="15.42578125" customWidth="1"/>
    <col min="8706" max="8706" width="40.140625" customWidth="1"/>
    <col min="8707" max="8707" width="25" customWidth="1"/>
    <col min="8708" max="8708" width="1.42578125" customWidth="1"/>
    <col min="8961" max="8961" width="15.42578125" customWidth="1"/>
    <col min="8962" max="8962" width="40.140625" customWidth="1"/>
    <col min="8963" max="8963" width="25" customWidth="1"/>
    <col min="8964" max="8964" width="1.42578125" customWidth="1"/>
    <col min="9217" max="9217" width="15.42578125" customWidth="1"/>
    <col min="9218" max="9218" width="40.140625" customWidth="1"/>
    <col min="9219" max="9219" width="25" customWidth="1"/>
    <col min="9220" max="9220" width="1.42578125" customWidth="1"/>
    <col min="9473" max="9473" width="15.42578125" customWidth="1"/>
    <col min="9474" max="9474" width="40.140625" customWidth="1"/>
    <col min="9475" max="9475" width="25" customWidth="1"/>
    <col min="9476" max="9476" width="1.42578125" customWidth="1"/>
    <col min="9729" max="9729" width="15.42578125" customWidth="1"/>
    <col min="9730" max="9730" width="40.140625" customWidth="1"/>
    <col min="9731" max="9731" width="25" customWidth="1"/>
    <col min="9732" max="9732" width="1.42578125" customWidth="1"/>
    <col min="9985" max="9985" width="15.42578125" customWidth="1"/>
    <col min="9986" max="9986" width="40.140625" customWidth="1"/>
    <col min="9987" max="9987" width="25" customWidth="1"/>
    <col min="9988" max="9988" width="1.42578125" customWidth="1"/>
    <col min="10241" max="10241" width="15.42578125" customWidth="1"/>
    <col min="10242" max="10242" width="40.140625" customWidth="1"/>
    <col min="10243" max="10243" width="25" customWidth="1"/>
    <col min="10244" max="10244" width="1.42578125" customWidth="1"/>
    <col min="10497" max="10497" width="15.42578125" customWidth="1"/>
    <col min="10498" max="10498" width="40.140625" customWidth="1"/>
    <col min="10499" max="10499" width="25" customWidth="1"/>
    <col min="10500" max="10500" width="1.42578125" customWidth="1"/>
    <col min="10753" max="10753" width="15.42578125" customWidth="1"/>
    <col min="10754" max="10754" width="40.140625" customWidth="1"/>
    <col min="10755" max="10755" width="25" customWidth="1"/>
    <col min="10756" max="10756" width="1.42578125" customWidth="1"/>
    <col min="11009" max="11009" width="15.42578125" customWidth="1"/>
    <col min="11010" max="11010" width="40.140625" customWidth="1"/>
    <col min="11011" max="11011" width="25" customWidth="1"/>
    <col min="11012" max="11012" width="1.42578125" customWidth="1"/>
    <col min="11265" max="11265" width="15.42578125" customWidth="1"/>
    <col min="11266" max="11266" width="40.140625" customWidth="1"/>
    <col min="11267" max="11267" width="25" customWidth="1"/>
    <col min="11268" max="11268" width="1.42578125" customWidth="1"/>
    <col min="11521" max="11521" width="15.42578125" customWidth="1"/>
    <col min="11522" max="11522" width="40.140625" customWidth="1"/>
    <col min="11523" max="11523" width="25" customWidth="1"/>
    <col min="11524" max="11524" width="1.42578125" customWidth="1"/>
    <col min="11777" max="11777" width="15.42578125" customWidth="1"/>
    <col min="11778" max="11778" width="40.140625" customWidth="1"/>
    <col min="11779" max="11779" width="25" customWidth="1"/>
    <col min="11780" max="11780" width="1.42578125" customWidth="1"/>
    <col min="12033" max="12033" width="15.42578125" customWidth="1"/>
    <col min="12034" max="12034" width="40.140625" customWidth="1"/>
    <col min="12035" max="12035" width="25" customWidth="1"/>
    <col min="12036" max="12036" width="1.42578125" customWidth="1"/>
    <col min="12289" max="12289" width="15.42578125" customWidth="1"/>
    <col min="12290" max="12290" width="40.140625" customWidth="1"/>
    <col min="12291" max="12291" width="25" customWidth="1"/>
    <col min="12292" max="12292" width="1.42578125" customWidth="1"/>
    <col min="12545" max="12545" width="15.42578125" customWidth="1"/>
    <col min="12546" max="12546" width="40.140625" customWidth="1"/>
    <col min="12547" max="12547" width="25" customWidth="1"/>
    <col min="12548" max="12548" width="1.42578125" customWidth="1"/>
    <col min="12801" max="12801" width="15.42578125" customWidth="1"/>
    <col min="12802" max="12802" width="40.140625" customWidth="1"/>
    <col min="12803" max="12803" width="25" customWidth="1"/>
    <col min="12804" max="12804" width="1.42578125" customWidth="1"/>
    <col min="13057" max="13057" width="15.42578125" customWidth="1"/>
    <col min="13058" max="13058" width="40.140625" customWidth="1"/>
    <col min="13059" max="13059" width="25" customWidth="1"/>
    <col min="13060" max="13060" width="1.42578125" customWidth="1"/>
    <col min="13313" max="13313" width="15.42578125" customWidth="1"/>
    <col min="13314" max="13314" width="40.140625" customWidth="1"/>
    <col min="13315" max="13315" width="25" customWidth="1"/>
    <col min="13316" max="13316" width="1.42578125" customWidth="1"/>
    <col min="13569" max="13569" width="15.42578125" customWidth="1"/>
    <col min="13570" max="13570" width="40.140625" customWidth="1"/>
    <col min="13571" max="13571" width="25" customWidth="1"/>
    <col min="13572" max="13572" width="1.42578125" customWidth="1"/>
    <col min="13825" max="13825" width="15.42578125" customWidth="1"/>
    <col min="13826" max="13826" width="40.140625" customWidth="1"/>
    <col min="13827" max="13827" width="25" customWidth="1"/>
    <col min="13828" max="13828" width="1.42578125" customWidth="1"/>
    <col min="14081" max="14081" width="15.42578125" customWidth="1"/>
    <col min="14082" max="14082" width="40.140625" customWidth="1"/>
    <col min="14083" max="14083" width="25" customWidth="1"/>
    <col min="14084" max="14084" width="1.42578125" customWidth="1"/>
    <col min="14337" max="14337" width="15.42578125" customWidth="1"/>
    <col min="14338" max="14338" width="40.140625" customWidth="1"/>
    <col min="14339" max="14339" width="25" customWidth="1"/>
    <col min="14340" max="14340" width="1.42578125" customWidth="1"/>
    <col min="14593" max="14593" width="15.42578125" customWidth="1"/>
    <col min="14594" max="14594" width="40.140625" customWidth="1"/>
    <col min="14595" max="14595" width="25" customWidth="1"/>
    <col min="14596" max="14596" width="1.42578125" customWidth="1"/>
    <col min="14849" max="14849" width="15.42578125" customWidth="1"/>
    <col min="14850" max="14850" width="40.140625" customWidth="1"/>
    <col min="14851" max="14851" width="25" customWidth="1"/>
    <col min="14852" max="14852" width="1.42578125" customWidth="1"/>
    <col min="15105" max="15105" width="15.42578125" customWidth="1"/>
    <col min="15106" max="15106" width="40.140625" customWidth="1"/>
    <col min="15107" max="15107" width="25" customWidth="1"/>
    <col min="15108" max="15108" width="1.42578125" customWidth="1"/>
    <col min="15361" max="15361" width="15.42578125" customWidth="1"/>
    <col min="15362" max="15362" width="40.140625" customWidth="1"/>
    <col min="15363" max="15363" width="25" customWidth="1"/>
    <col min="15364" max="15364" width="1.42578125" customWidth="1"/>
    <col min="15617" max="15617" width="15.42578125" customWidth="1"/>
    <col min="15618" max="15618" width="40.140625" customWidth="1"/>
    <col min="15619" max="15619" width="25" customWidth="1"/>
    <col min="15620" max="15620" width="1.42578125" customWidth="1"/>
    <col min="15873" max="15873" width="15.42578125" customWidth="1"/>
    <col min="15874" max="15874" width="40.140625" customWidth="1"/>
    <col min="15875" max="15875" width="25" customWidth="1"/>
    <col min="15876" max="15876" width="1.42578125" customWidth="1"/>
    <col min="16129" max="16129" width="15.42578125" customWidth="1"/>
    <col min="16130" max="16130" width="40.140625" customWidth="1"/>
    <col min="16131" max="16131" width="25" customWidth="1"/>
    <col min="16132" max="16132" width="1.42578125" customWidth="1"/>
  </cols>
  <sheetData>
    <row r="1" spans="1:4" ht="15.75" x14ac:dyDescent="0.25">
      <c r="A1" s="29"/>
      <c r="C1" s="7"/>
    </row>
    <row r="2" spans="1:4" ht="15.75" x14ac:dyDescent="0.25">
      <c r="A2" s="217" t="s">
        <v>0</v>
      </c>
      <c r="B2" s="217"/>
      <c r="C2" s="217"/>
      <c r="D2" s="217"/>
    </row>
    <row r="3" spans="1:4" ht="15.75" x14ac:dyDescent="0.25">
      <c r="C3" s="7"/>
      <c r="D3" s="29"/>
    </row>
    <row r="4" spans="1:4" ht="15.75" x14ac:dyDescent="0.25">
      <c r="A4" s="281" t="s">
        <v>26</v>
      </c>
      <c r="B4" s="281"/>
      <c r="C4" s="281"/>
      <c r="D4" s="281"/>
    </row>
    <row r="5" spans="1:4" ht="15.75" x14ac:dyDescent="0.25">
      <c r="C5" s="7"/>
      <c r="D5" s="30"/>
    </row>
    <row r="6" spans="1:4" ht="34.5" customHeight="1" x14ac:dyDescent="0.25">
      <c r="A6" s="218" t="s">
        <v>306</v>
      </c>
      <c r="B6" s="218"/>
      <c r="C6" s="218"/>
      <c r="D6" s="218"/>
    </row>
    <row r="7" spans="1:4" ht="15.75" x14ac:dyDescent="0.25">
      <c r="C7" s="7"/>
      <c r="D7" s="30"/>
    </row>
    <row r="8" spans="1:4" ht="16.5" thickBot="1" x14ac:dyDescent="0.3">
      <c r="A8" s="219" t="s">
        <v>27</v>
      </c>
      <c r="B8" s="219"/>
      <c r="C8" s="219"/>
      <c r="D8" s="219"/>
    </row>
    <row r="9" spans="1:4" ht="75" customHeight="1" thickBot="1" x14ac:dyDescent="0.3">
      <c r="A9" s="31" t="s">
        <v>2</v>
      </c>
      <c r="B9" s="32" t="s">
        <v>3</v>
      </c>
      <c r="C9" s="272" t="s">
        <v>4</v>
      </c>
      <c r="D9" s="273"/>
    </row>
    <row r="10" spans="1:4" ht="16.5" thickBot="1" x14ac:dyDescent="0.3">
      <c r="A10" s="143"/>
      <c r="B10" s="34" t="s">
        <v>5</v>
      </c>
      <c r="C10" s="220"/>
      <c r="D10" s="221"/>
    </row>
    <row r="11" spans="1:4" ht="63.75" customHeight="1" x14ac:dyDescent="0.25">
      <c r="A11" s="344" t="s">
        <v>6</v>
      </c>
      <c r="B11" s="142" t="s">
        <v>656</v>
      </c>
      <c r="C11" s="204">
        <v>4.5999999999999996</v>
      </c>
      <c r="D11" s="205"/>
    </row>
    <row r="12" spans="1:4" ht="15.75" hidden="1" x14ac:dyDescent="0.25">
      <c r="A12" s="345"/>
      <c r="B12" s="63"/>
      <c r="C12" s="204"/>
      <c r="D12" s="205"/>
    </row>
    <row r="13" spans="1:4" ht="16.5" hidden="1" thickBot="1" x14ac:dyDescent="0.3">
      <c r="A13" s="346"/>
      <c r="B13" s="113" t="s">
        <v>400</v>
      </c>
      <c r="C13" s="204"/>
      <c r="D13" s="205"/>
    </row>
    <row r="14" spans="1:4" ht="48" thickBot="1" x14ac:dyDescent="0.3">
      <c r="A14" s="51" t="s">
        <v>7</v>
      </c>
      <c r="B14" s="36" t="s">
        <v>209</v>
      </c>
      <c r="C14" s="204">
        <f>C11*0.2359</f>
        <v>1.08514</v>
      </c>
      <c r="D14" s="205"/>
    </row>
    <row r="15" spans="1:4" ht="16.5" thickBot="1" x14ac:dyDescent="0.3">
      <c r="A15" s="51"/>
      <c r="B15" s="38" t="s">
        <v>9</v>
      </c>
      <c r="C15" s="204">
        <f>SUM(C11:D14)</f>
        <v>5.6851399999999996</v>
      </c>
      <c r="D15" s="205"/>
    </row>
    <row r="16" spans="1:4" ht="16.5" thickBot="1" x14ac:dyDescent="0.3">
      <c r="A16" s="51"/>
      <c r="B16" s="38" t="s">
        <v>10</v>
      </c>
      <c r="C16" s="204"/>
      <c r="D16" s="205"/>
    </row>
    <row r="17" spans="1:4" ht="48" thickBot="1" x14ac:dyDescent="0.3">
      <c r="A17" s="51" t="s">
        <v>12</v>
      </c>
      <c r="B17" s="103" t="s">
        <v>430</v>
      </c>
      <c r="C17" s="204">
        <v>14.31</v>
      </c>
      <c r="D17" s="205"/>
    </row>
    <row r="18" spans="1:4" ht="33" hidden="1" customHeight="1" thickBot="1" x14ac:dyDescent="0.3">
      <c r="A18" s="51"/>
      <c r="B18" s="36"/>
      <c r="C18" s="204"/>
      <c r="D18" s="205"/>
    </row>
    <row r="19" spans="1:4" ht="16.5" thickBot="1" x14ac:dyDescent="0.3">
      <c r="A19" s="33"/>
      <c r="B19" s="34" t="s">
        <v>18</v>
      </c>
      <c r="C19" s="204">
        <f>SUM(C17:C18)</f>
        <v>14.31</v>
      </c>
      <c r="D19" s="205"/>
    </row>
    <row r="20" spans="1:4" ht="16.5" thickBot="1" x14ac:dyDescent="0.3">
      <c r="A20" s="33"/>
      <c r="B20" s="41" t="s">
        <v>19</v>
      </c>
      <c r="C20" s="206">
        <f>SUM(C15,C19)</f>
        <v>19.995139999999999</v>
      </c>
      <c r="D20" s="207"/>
    </row>
    <row r="21" spans="1:4" x14ac:dyDescent="0.25">
      <c r="A21" s="43"/>
      <c r="C21" s="8"/>
    </row>
    <row r="22" spans="1:4" ht="15.75" x14ac:dyDescent="0.25">
      <c r="A22" s="213" t="s">
        <v>20</v>
      </c>
      <c r="B22" s="214"/>
      <c r="C22" s="224">
        <v>1</v>
      </c>
      <c r="D22" s="224"/>
    </row>
    <row r="23" spans="1:4" ht="48.75" customHeight="1" x14ac:dyDescent="0.25">
      <c r="A23" s="298" t="s">
        <v>28</v>
      </c>
      <c r="B23" s="299"/>
      <c r="C23" s="297">
        <f>C20/C22</f>
        <v>19.995139999999999</v>
      </c>
      <c r="D23" s="297"/>
    </row>
    <row r="25" spans="1:4" x14ac:dyDescent="0.25">
      <c r="A25" s="78"/>
      <c r="B25" s="78"/>
      <c r="C25" s="203"/>
      <c r="D25" s="203"/>
    </row>
    <row r="26" spans="1:4" x14ac:dyDescent="0.25">
      <c r="A26" s="78"/>
      <c r="B26" s="78"/>
      <c r="C26" s="79"/>
      <c r="D26" s="78"/>
    </row>
    <row r="27" spans="1:4" x14ac:dyDescent="0.25">
      <c r="A27" s="78"/>
      <c r="B27" s="78"/>
      <c r="C27" s="203"/>
      <c r="D27" s="203"/>
    </row>
    <row r="28" spans="1:4" x14ac:dyDescent="0.25">
      <c r="A28" s="78"/>
      <c r="B28" s="78"/>
      <c r="C28" s="78"/>
      <c r="D28" s="78"/>
    </row>
    <row r="29" spans="1:4" x14ac:dyDescent="0.25">
      <c r="A29" s="202"/>
      <c r="B29" s="202"/>
      <c r="C29" s="80"/>
      <c r="D29" s="80"/>
    </row>
    <row r="30" spans="1:4" x14ac:dyDescent="0.25">
      <c r="A30" s="201"/>
      <c r="B30" s="202"/>
      <c r="C30" s="80"/>
      <c r="D30" s="80"/>
    </row>
    <row r="31" spans="1:4" x14ac:dyDescent="0.25">
      <c r="A31" s="57"/>
      <c r="B31" s="80"/>
      <c r="C31" s="81"/>
      <c r="D31" s="81"/>
    </row>
    <row r="32" spans="1:4" x14ac:dyDescent="0.25">
      <c r="A32" s="201"/>
      <c r="B32" s="201"/>
      <c r="C32" s="81"/>
      <c r="D32" s="81"/>
    </row>
  </sheetData>
  <mergeCells count="24">
    <mergeCell ref="C16:D16"/>
    <mergeCell ref="C10:D10"/>
    <mergeCell ref="A11:A13"/>
    <mergeCell ref="C11:D13"/>
    <mergeCell ref="C14:D14"/>
    <mergeCell ref="C15:D15"/>
    <mergeCell ref="A2:D2"/>
    <mergeCell ref="A4:D4"/>
    <mergeCell ref="A6:D6"/>
    <mergeCell ref="A8:D8"/>
    <mergeCell ref="C9:D9"/>
    <mergeCell ref="A23:B23"/>
    <mergeCell ref="C23:D23"/>
    <mergeCell ref="C17:D17"/>
    <mergeCell ref="C18:D18"/>
    <mergeCell ref="C19:D19"/>
    <mergeCell ref="C20:D20"/>
    <mergeCell ref="A22:B22"/>
    <mergeCell ref="C22:D22"/>
    <mergeCell ref="C25:D25"/>
    <mergeCell ref="C27:D27"/>
    <mergeCell ref="A29:B29"/>
    <mergeCell ref="A30:B30"/>
    <mergeCell ref="A32:B32"/>
  </mergeCells>
  <pageMargins left="0.70866141732283472" right="0.70866141732283472" top="0.74803149606299213" bottom="0.74803149606299213" header="0.31496062992125984" footer="0.31496062992125984"/>
  <pageSetup paperSize="9" fitToHeight="0" orientation="portrait" verticalDpi="0" r:id="rId1"/>
  <headerFoot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view="pageBreakPreview" zoomScale="60" zoomScaleNormal="100" workbookViewId="0">
      <selection activeCell="T13" sqref="T13"/>
    </sheetView>
  </sheetViews>
  <sheetFormatPr defaultRowHeight="15" x14ac:dyDescent="0.25"/>
  <cols>
    <col min="1" max="1" width="15.42578125" customWidth="1"/>
    <col min="2" max="2" width="45.28515625" customWidth="1"/>
    <col min="3" max="3" width="13.85546875" customWidth="1"/>
    <col min="4" max="4" width="7.5703125" customWidth="1"/>
    <col min="257" max="257" width="15.42578125" customWidth="1"/>
    <col min="258" max="258" width="40.140625" customWidth="1"/>
    <col min="259" max="259" width="25" customWidth="1"/>
    <col min="260" max="260" width="1.42578125" customWidth="1"/>
    <col min="513" max="513" width="15.42578125" customWidth="1"/>
    <col min="514" max="514" width="40.140625" customWidth="1"/>
    <col min="515" max="515" width="25" customWidth="1"/>
    <col min="516" max="516" width="1.42578125" customWidth="1"/>
    <col min="769" max="769" width="15.42578125" customWidth="1"/>
    <col min="770" max="770" width="40.140625" customWidth="1"/>
    <col min="771" max="771" width="25" customWidth="1"/>
    <col min="772" max="772" width="1.42578125" customWidth="1"/>
    <col min="1025" max="1025" width="15.42578125" customWidth="1"/>
    <col min="1026" max="1026" width="40.140625" customWidth="1"/>
    <col min="1027" max="1027" width="25" customWidth="1"/>
    <col min="1028" max="1028" width="1.42578125" customWidth="1"/>
    <col min="1281" max="1281" width="15.42578125" customWidth="1"/>
    <col min="1282" max="1282" width="40.140625" customWidth="1"/>
    <col min="1283" max="1283" width="25" customWidth="1"/>
    <col min="1284" max="1284" width="1.42578125" customWidth="1"/>
    <col min="1537" max="1537" width="15.42578125" customWidth="1"/>
    <col min="1538" max="1538" width="40.140625" customWidth="1"/>
    <col min="1539" max="1539" width="25" customWidth="1"/>
    <col min="1540" max="1540" width="1.42578125" customWidth="1"/>
    <col min="1793" max="1793" width="15.42578125" customWidth="1"/>
    <col min="1794" max="1794" width="40.140625" customWidth="1"/>
    <col min="1795" max="1795" width="25" customWidth="1"/>
    <col min="1796" max="1796" width="1.42578125" customWidth="1"/>
    <col min="2049" max="2049" width="15.42578125" customWidth="1"/>
    <col min="2050" max="2050" width="40.140625" customWidth="1"/>
    <col min="2051" max="2051" width="25" customWidth="1"/>
    <col min="2052" max="2052" width="1.42578125" customWidth="1"/>
    <col min="2305" max="2305" width="15.42578125" customWidth="1"/>
    <col min="2306" max="2306" width="40.140625" customWidth="1"/>
    <col min="2307" max="2307" width="25" customWidth="1"/>
    <col min="2308" max="2308" width="1.42578125" customWidth="1"/>
    <col min="2561" max="2561" width="15.42578125" customWidth="1"/>
    <col min="2562" max="2562" width="40.140625" customWidth="1"/>
    <col min="2563" max="2563" width="25" customWidth="1"/>
    <col min="2564" max="2564" width="1.42578125" customWidth="1"/>
    <col min="2817" max="2817" width="15.42578125" customWidth="1"/>
    <col min="2818" max="2818" width="40.140625" customWidth="1"/>
    <col min="2819" max="2819" width="25" customWidth="1"/>
    <col min="2820" max="2820" width="1.42578125" customWidth="1"/>
    <col min="3073" max="3073" width="15.42578125" customWidth="1"/>
    <col min="3074" max="3074" width="40.140625" customWidth="1"/>
    <col min="3075" max="3075" width="25" customWidth="1"/>
    <col min="3076" max="3076" width="1.42578125" customWidth="1"/>
    <col min="3329" max="3329" width="15.42578125" customWidth="1"/>
    <col min="3330" max="3330" width="40.140625" customWidth="1"/>
    <col min="3331" max="3331" width="25" customWidth="1"/>
    <col min="3332" max="3332" width="1.42578125" customWidth="1"/>
    <col min="3585" max="3585" width="15.42578125" customWidth="1"/>
    <col min="3586" max="3586" width="40.140625" customWidth="1"/>
    <col min="3587" max="3587" width="25" customWidth="1"/>
    <col min="3588" max="3588" width="1.42578125" customWidth="1"/>
    <col min="3841" max="3841" width="15.42578125" customWidth="1"/>
    <col min="3842" max="3842" width="40.140625" customWidth="1"/>
    <col min="3843" max="3843" width="25" customWidth="1"/>
    <col min="3844" max="3844" width="1.42578125" customWidth="1"/>
    <col min="4097" max="4097" width="15.42578125" customWidth="1"/>
    <col min="4098" max="4098" width="40.140625" customWidth="1"/>
    <col min="4099" max="4099" width="25" customWidth="1"/>
    <col min="4100" max="4100" width="1.42578125" customWidth="1"/>
    <col min="4353" max="4353" width="15.42578125" customWidth="1"/>
    <col min="4354" max="4354" width="40.140625" customWidth="1"/>
    <col min="4355" max="4355" width="25" customWidth="1"/>
    <col min="4356" max="4356" width="1.42578125" customWidth="1"/>
    <col min="4609" max="4609" width="15.42578125" customWidth="1"/>
    <col min="4610" max="4610" width="40.140625" customWidth="1"/>
    <col min="4611" max="4611" width="25" customWidth="1"/>
    <col min="4612" max="4612" width="1.42578125" customWidth="1"/>
    <col min="4865" max="4865" width="15.42578125" customWidth="1"/>
    <col min="4866" max="4866" width="40.140625" customWidth="1"/>
    <col min="4867" max="4867" width="25" customWidth="1"/>
    <col min="4868" max="4868" width="1.42578125" customWidth="1"/>
    <col min="5121" max="5121" width="15.42578125" customWidth="1"/>
    <col min="5122" max="5122" width="40.140625" customWidth="1"/>
    <col min="5123" max="5123" width="25" customWidth="1"/>
    <col min="5124" max="5124" width="1.42578125" customWidth="1"/>
    <col min="5377" max="5377" width="15.42578125" customWidth="1"/>
    <col min="5378" max="5378" width="40.140625" customWidth="1"/>
    <col min="5379" max="5379" width="25" customWidth="1"/>
    <col min="5380" max="5380" width="1.42578125" customWidth="1"/>
    <col min="5633" max="5633" width="15.42578125" customWidth="1"/>
    <col min="5634" max="5634" width="40.140625" customWidth="1"/>
    <col min="5635" max="5635" width="25" customWidth="1"/>
    <col min="5636" max="5636" width="1.42578125" customWidth="1"/>
    <col min="5889" max="5889" width="15.42578125" customWidth="1"/>
    <col min="5890" max="5890" width="40.140625" customWidth="1"/>
    <col min="5891" max="5891" width="25" customWidth="1"/>
    <col min="5892" max="5892" width="1.42578125" customWidth="1"/>
    <col min="6145" max="6145" width="15.42578125" customWidth="1"/>
    <col min="6146" max="6146" width="40.140625" customWidth="1"/>
    <col min="6147" max="6147" width="25" customWidth="1"/>
    <col min="6148" max="6148" width="1.42578125" customWidth="1"/>
    <col min="6401" max="6401" width="15.42578125" customWidth="1"/>
    <col min="6402" max="6402" width="40.140625" customWidth="1"/>
    <col min="6403" max="6403" width="25" customWidth="1"/>
    <col min="6404" max="6404" width="1.42578125" customWidth="1"/>
    <col min="6657" max="6657" width="15.42578125" customWidth="1"/>
    <col min="6658" max="6658" width="40.140625" customWidth="1"/>
    <col min="6659" max="6659" width="25" customWidth="1"/>
    <col min="6660" max="6660" width="1.42578125" customWidth="1"/>
    <col min="6913" max="6913" width="15.42578125" customWidth="1"/>
    <col min="6914" max="6914" width="40.140625" customWidth="1"/>
    <col min="6915" max="6915" width="25" customWidth="1"/>
    <col min="6916" max="6916" width="1.42578125" customWidth="1"/>
    <col min="7169" max="7169" width="15.42578125" customWidth="1"/>
    <col min="7170" max="7170" width="40.140625" customWidth="1"/>
    <col min="7171" max="7171" width="25" customWidth="1"/>
    <col min="7172" max="7172" width="1.42578125" customWidth="1"/>
    <col min="7425" max="7425" width="15.42578125" customWidth="1"/>
    <col min="7426" max="7426" width="40.140625" customWidth="1"/>
    <col min="7427" max="7427" width="25" customWidth="1"/>
    <col min="7428" max="7428" width="1.42578125" customWidth="1"/>
    <col min="7681" max="7681" width="15.42578125" customWidth="1"/>
    <col min="7682" max="7682" width="40.140625" customWidth="1"/>
    <col min="7683" max="7683" width="25" customWidth="1"/>
    <col min="7684" max="7684" width="1.42578125" customWidth="1"/>
    <col min="7937" max="7937" width="15.42578125" customWidth="1"/>
    <col min="7938" max="7938" width="40.140625" customWidth="1"/>
    <col min="7939" max="7939" width="25" customWidth="1"/>
    <col min="7940" max="7940" width="1.42578125" customWidth="1"/>
    <col min="8193" max="8193" width="15.42578125" customWidth="1"/>
    <col min="8194" max="8194" width="40.140625" customWidth="1"/>
    <col min="8195" max="8195" width="25" customWidth="1"/>
    <col min="8196" max="8196" width="1.42578125" customWidth="1"/>
    <col min="8449" max="8449" width="15.42578125" customWidth="1"/>
    <col min="8450" max="8450" width="40.140625" customWidth="1"/>
    <col min="8451" max="8451" width="25" customWidth="1"/>
    <col min="8452" max="8452" width="1.42578125" customWidth="1"/>
    <col min="8705" max="8705" width="15.42578125" customWidth="1"/>
    <col min="8706" max="8706" width="40.140625" customWidth="1"/>
    <col min="8707" max="8707" width="25" customWidth="1"/>
    <col min="8708" max="8708" width="1.42578125" customWidth="1"/>
    <col min="8961" max="8961" width="15.42578125" customWidth="1"/>
    <col min="8962" max="8962" width="40.140625" customWidth="1"/>
    <col min="8963" max="8963" width="25" customWidth="1"/>
    <col min="8964" max="8964" width="1.42578125" customWidth="1"/>
    <col min="9217" max="9217" width="15.42578125" customWidth="1"/>
    <col min="9218" max="9218" width="40.140625" customWidth="1"/>
    <col min="9219" max="9219" width="25" customWidth="1"/>
    <col min="9220" max="9220" width="1.42578125" customWidth="1"/>
    <col min="9473" max="9473" width="15.42578125" customWidth="1"/>
    <col min="9474" max="9474" width="40.140625" customWidth="1"/>
    <col min="9475" max="9475" width="25" customWidth="1"/>
    <col min="9476" max="9476" width="1.42578125" customWidth="1"/>
    <col min="9729" max="9729" width="15.42578125" customWidth="1"/>
    <col min="9730" max="9730" width="40.140625" customWidth="1"/>
    <col min="9731" max="9731" width="25" customWidth="1"/>
    <col min="9732" max="9732" width="1.42578125" customWidth="1"/>
    <col min="9985" max="9985" width="15.42578125" customWidth="1"/>
    <col min="9986" max="9986" width="40.140625" customWidth="1"/>
    <col min="9987" max="9987" width="25" customWidth="1"/>
    <col min="9988" max="9988" width="1.42578125" customWidth="1"/>
    <col min="10241" max="10241" width="15.42578125" customWidth="1"/>
    <col min="10242" max="10242" width="40.140625" customWidth="1"/>
    <col min="10243" max="10243" width="25" customWidth="1"/>
    <col min="10244" max="10244" width="1.42578125" customWidth="1"/>
    <col min="10497" max="10497" width="15.42578125" customWidth="1"/>
    <col min="10498" max="10498" width="40.140625" customWidth="1"/>
    <col min="10499" max="10499" width="25" customWidth="1"/>
    <col min="10500" max="10500" width="1.42578125" customWidth="1"/>
    <col min="10753" max="10753" width="15.42578125" customWidth="1"/>
    <col min="10754" max="10754" width="40.140625" customWidth="1"/>
    <col min="10755" max="10755" width="25" customWidth="1"/>
    <col min="10756" max="10756" width="1.42578125" customWidth="1"/>
    <col min="11009" max="11009" width="15.42578125" customWidth="1"/>
    <col min="11010" max="11010" width="40.140625" customWidth="1"/>
    <col min="11011" max="11011" width="25" customWidth="1"/>
    <col min="11012" max="11012" width="1.42578125" customWidth="1"/>
    <col min="11265" max="11265" width="15.42578125" customWidth="1"/>
    <col min="11266" max="11266" width="40.140625" customWidth="1"/>
    <col min="11267" max="11267" width="25" customWidth="1"/>
    <col min="11268" max="11268" width="1.42578125" customWidth="1"/>
    <col min="11521" max="11521" width="15.42578125" customWidth="1"/>
    <col min="11522" max="11522" width="40.140625" customWidth="1"/>
    <col min="11523" max="11523" width="25" customWidth="1"/>
    <col min="11524" max="11524" width="1.42578125" customWidth="1"/>
    <col min="11777" max="11777" width="15.42578125" customWidth="1"/>
    <col min="11778" max="11778" width="40.140625" customWidth="1"/>
    <col min="11779" max="11779" width="25" customWidth="1"/>
    <col min="11780" max="11780" width="1.42578125" customWidth="1"/>
    <col min="12033" max="12033" width="15.42578125" customWidth="1"/>
    <col min="12034" max="12034" width="40.140625" customWidth="1"/>
    <col min="12035" max="12035" width="25" customWidth="1"/>
    <col min="12036" max="12036" width="1.42578125" customWidth="1"/>
    <col min="12289" max="12289" width="15.42578125" customWidth="1"/>
    <col min="12290" max="12290" width="40.140625" customWidth="1"/>
    <col min="12291" max="12291" width="25" customWidth="1"/>
    <col min="12292" max="12292" width="1.42578125" customWidth="1"/>
    <col min="12545" max="12545" width="15.42578125" customWidth="1"/>
    <col min="12546" max="12546" width="40.140625" customWidth="1"/>
    <col min="12547" max="12547" width="25" customWidth="1"/>
    <col min="12548" max="12548" width="1.42578125" customWidth="1"/>
    <col min="12801" max="12801" width="15.42578125" customWidth="1"/>
    <col min="12802" max="12802" width="40.140625" customWidth="1"/>
    <col min="12803" max="12803" width="25" customWidth="1"/>
    <col min="12804" max="12804" width="1.42578125" customWidth="1"/>
    <col min="13057" max="13057" width="15.42578125" customWidth="1"/>
    <col min="13058" max="13058" width="40.140625" customWidth="1"/>
    <col min="13059" max="13059" width="25" customWidth="1"/>
    <col min="13060" max="13060" width="1.42578125" customWidth="1"/>
    <col min="13313" max="13313" width="15.42578125" customWidth="1"/>
    <col min="13314" max="13314" width="40.140625" customWidth="1"/>
    <col min="13315" max="13315" width="25" customWidth="1"/>
    <col min="13316" max="13316" width="1.42578125" customWidth="1"/>
    <col min="13569" max="13569" width="15.42578125" customWidth="1"/>
    <col min="13570" max="13570" width="40.140625" customWidth="1"/>
    <col min="13571" max="13571" width="25" customWidth="1"/>
    <col min="13572" max="13572" width="1.42578125" customWidth="1"/>
    <col min="13825" max="13825" width="15.42578125" customWidth="1"/>
    <col min="13826" max="13826" width="40.140625" customWidth="1"/>
    <col min="13827" max="13827" width="25" customWidth="1"/>
    <col min="13828" max="13828" width="1.42578125" customWidth="1"/>
    <col min="14081" max="14081" width="15.42578125" customWidth="1"/>
    <col min="14082" max="14082" width="40.140625" customWidth="1"/>
    <col min="14083" max="14083" width="25" customWidth="1"/>
    <col min="14084" max="14084" width="1.42578125" customWidth="1"/>
    <col min="14337" max="14337" width="15.42578125" customWidth="1"/>
    <col min="14338" max="14338" width="40.140625" customWidth="1"/>
    <col min="14339" max="14339" width="25" customWidth="1"/>
    <col min="14340" max="14340" width="1.42578125" customWidth="1"/>
    <col min="14593" max="14593" width="15.42578125" customWidth="1"/>
    <col min="14594" max="14594" width="40.140625" customWidth="1"/>
    <col min="14595" max="14595" width="25" customWidth="1"/>
    <col min="14596" max="14596" width="1.42578125" customWidth="1"/>
    <col min="14849" max="14849" width="15.42578125" customWidth="1"/>
    <col min="14850" max="14850" width="40.140625" customWidth="1"/>
    <col min="14851" max="14851" width="25" customWidth="1"/>
    <col min="14852" max="14852" width="1.42578125" customWidth="1"/>
    <col min="15105" max="15105" width="15.42578125" customWidth="1"/>
    <col min="15106" max="15106" width="40.140625" customWidth="1"/>
    <col min="15107" max="15107" width="25" customWidth="1"/>
    <col min="15108" max="15108" width="1.42578125" customWidth="1"/>
    <col min="15361" max="15361" width="15.42578125" customWidth="1"/>
    <col min="15362" max="15362" width="40.140625" customWidth="1"/>
    <col min="15363" max="15363" width="25" customWidth="1"/>
    <col min="15364" max="15364" width="1.42578125" customWidth="1"/>
    <col min="15617" max="15617" width="15.42578125" customWidth="1"/>
    <col min="15618" max="15618" width="40.140625" customWidth="1"/>
    <col min="15619" max="15619" width="25" customWidth="1"/>
    <col min="15620" max="15620" width="1.42578125" customWidth="1"/>
    <col min="15873" max="15873" width="15.42578125" customWidth="1"/>
    <col min="15874" max="15874" width="40.140625" customWidth="1"/>
    <col min="15875" max="15875" width="25" customWidth="1"/>
    <col min="15876" max="15876" width="1.42578125" customWidth="1"/>
    <col min="16129" max="16129" width="15.42578125" customWidth="1"/>
    <col min="16130" max="16130" width="40.140625" customWidth="1"/>
    <col min="16131" max="16131" width="25" customWidth="1"/>
    <col min="16132" max="16132" width="1.42578125" customWidth="1"/>
  </cols>
  <sheetData>
    <row r="1" spans="1:4" ht="15.75" x14ac:dyDescent="0.25">
      <c r="A1" s="29"/>
      <c r="C1" s="7"/>
    </row>
    <row r="2" spans="1:4" ht="15.75" x14ac:dyDescent="0.25">
      <c r="A2" s="217" t="s">
        <v>0</v>
      </c>
      <c r="B2" s="217"/>
      <c r="C2" s="217"/>
      <c r="D2" s="217"/>
    </row>
    <row r="3" spans="1:4" ht="15.75" x14ac:dyDescent="0.25">
      <c r="C3" s="7"/>
      <c r="D3" s="29"/>
    </row>
    <row r="4" spans="1:4" ht="15.75" x14ac:dyDescent="0.25">
      <c r="A4" s="281" t="s">
        <v>26</v>
      </c>
      <c r="B4" s="281"/>
      <c r="C4" s="281"/>
      <c r="D4" s="281"/>
    </row>
    <row r="5" spans="1:4" ht="15.75" x14ac:dyDescent="0.25">
      <c r="C5" s="7"/>
      <c r="D5" s="30"/>
    </row>
    <row r="6" spans="1:4" ht="17.25" customHeight="1" x14ac:dyDescent="0.25">
      <c r="A6" s="218" t="s">
        <v>307</v>
      </c>
      <c r="B6" s="218"/>
      <c r="C6" s="218"/>
      <c r="D6" s="218"/>
    </row>
    <row r="7" spans="1:4" ht="15.75" x14ac:dyDescent="0.25">
      <c r="C7" s="7"/>
      <c r="D7" s="30"/>
    </row>
    <row r="8" spans="1:4" ht="16.5" thickBot="1" x14ac:dyDescent="0.3">
      <c r="A8" s="219" t="s">
        <v>27</v>
      </c>
      <c r="B8" s="219"/>
      <c r="C8" s="219"/>
      <c r="D8" s="219"/>
    </row>
    <row r="9" spans="1:4" ht="75" customHeight="1" thickBot="1" x14ac:dyDescent="0.3">
      <c r="A9" s="31" t="s">
        <v>2</v>
      </c>
      <c r="B9" s="32" t="s">
        <v>3</v>
      </c>
      <c r="C9" s="272" t="s">
        <v>4</v>
      </c>
      <c r="D9" s="273"/>
    </row>
    <row r="10" spans="1:4" ht="16.5" thickBot="1" x14ac:dyDescent="0.3">
      <c r="A10" s="143"/>
      <c r="B10" s="84" t="s">
        <v>5</v>
      </c>
      <c r="C10" s="347"/>
      <c r="D10" s="348"/>
    </row>
    <row r="11" spans="1:4" ht="79.5" thickBot="1" x14ac:dyDescent="0.3">
      <c r="A11" s="173" t="s">
        <v>6</v>
      </c>
      <c r="B11" s="174" t="s">
        <v>657</v>
      </c>
      <c r="C11" s="349">
        <f>0.04*60</f>
        <v>2.4</v>
      </c>
      <c r="D11" s="286"/>
    </row>
    <row r="12" spans="1:4" ht="48" thickBot="1" x14ac:dyDescent="0.3">
      <c r="A12" s="173" t="s">
        <v>7</v>
      </c>
      <c r="B12" s="175" t="s">
        <v>209</v>
      </c>
      <c r="C12" s="349">
        <f>C11*0.2359</f>
        <v>0.56616</v>
      </c>
      <c r="D12" s="286"/>
    </row>
    <row r="13" spans="1:4" ht="16.5" thickBot="1" x14ac:dyDescent="0.3">
      <c r="A13" s="51"/>
      <c r="B13" s="38" t="s">
        <v>9</v>
      </c>
      <c r="C13" s="350">
        <f>SUM(C11:D12)</f>
        <v>2.9661599999999999</v>
      </c>
      <c r="D13" s="351"/>
    </row>
    <row r="14" spans="1:4" ht="16.5" thickBot="1" x14ac:dyDescent="0.3">
      <c r="A14" s="51"/>
      <c r="B14" s="38" t="s">
        <v>10</v>
      </c>
      <c r="C14" s="204"/>
      <c r="D14" s="205"/>
    </row>
    <row r="15" spans="1:4" ht="142.5" thickBot="1" x14ac:dyDescent="0.3">
      <c r="A15" s="51" t="s">
        <v>12</v>
      </c>
      <c r="B15" s="19" t="s">
        <v>431</v>
      </c>
      <c r="C15" s="204">
        <v>0.73</v>
      </c>
      <c r="D15" s="205"/>
    </row>
    <row r="16" spans="1:4" ht="16.5" thickBot="1" x14ac:dyDescent="0.3">
      <c r="A16" s="51" t="s">
        <v>401</v>
      </c>
      <c r="B16" s="62" t="s">
        <v>490</v>
      </c>
      <c r="C16" s="204">
        <v>46.3</v>
      </c>
      <c r="D16" s="205"/>
    </row>
    <row r="17" spans="1:4" ht="16.5" thickBot="1" x14ac:dyDescent="0.3">
      <c r="A17" s="33"/>
      <c r="B17" s="34" t="s">
        <v>18</v>
      </c>
      <c r="C17" s="204">
        <f>SUM(C15:C16)</f>
        <v>47.029999999999994</v>
      </c>
      <c r="D17" s="205"/>
    </row>
    <row r="18" spans="1:4" ht="16.5" thickBot="1" x14ac:dyDescent="0.3">
      <c r="A18" s="33"/>
      <c r="B18" s="41" t="s">
        <v>19</v>
      </c>
      <c r="C18" s="206">
        <f>SUM(C13,C17)</f>
        <v>49.996159999999996</v>
      </c>
      <c r="D18" s="207"/>
    </row>
    <row r="19" spans="1:4" x14ac:dyDescent="0.25">
      <c r="A19" s="43"/>
      <c r="C19" s="8"/>
    </row>
    <row r="20" spans="1:4" ht="15.75" x14ac:dyDescent="0.25">
      <c r="A20" s="213" t="s">
        <v>20</v>
      </c>
      <c r="B20" s="214"/>
      <c r="C20" s="224">
        <v>1</v>
      </c>
      <c r="D20" s="224"/>
    </row>
    <row r="21" spans="1:4" ht="47.25" customHeight="1" x14ac:dyDescent="0.25">
      <c r="A21" s="298" t="s">
        <v>28</v>
      </c>
      <c r="B21" s="299"/>
      <c r="C21" s="297">
        <f>C18/C20</f>
        <v>49.996159999999996</v>
      </c>
      <c r="D21" s="297"/>
    </row>
    <row r="23" spans="1:4" x14ac:dyDescent="0.25">
      <c r="A23" s="78"/>
      <c r="B23" s="78"/>
      <c r="C23" s="203"/>
      <c r="D23" s="203"/>
    </row>
    <row r="24" spans="1:4" x14ac:dyDescent="0.25">
      <c r="A24" s="78"/>
      <c r="B24" s="78"/>
      <c r="C24" s="79"/>
      <c r="D24" s="78"/>
    </row>
    <row r="25" spans="1:4" x14ac:dyDescent="0.25">
      <c r="A25" s="78"/>
      <c r="B25" s="78"/>
      <c r="C25" s="203"/>
      <c r="D25" s="203"/>
    </row>
    <row r="26" spans="1:4" x14ac:dyDescent="0.25">
      <c r="A26" s="78"/>
      <c r="B26" s="78"/>
      <c r="C26" s="78"/>
      <c r="D26" s="78"/>
    </row>
    <row r="27" spans="1:4" x14ac:dyDescent="0.25">
      <c r="A27" s="202"/>
      <c r="B27" s="202"/>
      <c r="C27" s="80"/>
      <c r="D27" s="80"/>
    </row>
    <row r="28" spans="1:4" x14ac:dyDescent="0.25">
      <c r="A28" s="201"/>
      <c r="B28" s="202"/>
      <c r="C28" s="80"/>
      <c r="D28" s="80"/>
    </row>
    <row r="29" spans="1:4" x14ac:dyDescent="0.25">
      <c r="A29" s="57"/>
      <c r="B29" s="80"/>
      <c r="C29" s="81"/>
      <c r="D29" s="81"/>
    </row>
    <row r="30" spans="1:4" x14ac:dyDescent="0.25">
      <c r="A30" s="201"/>
      <c r="B30" s="201"/>
      <c r="C30" s="81"/>
      <c r="D30" s="81"/>
    </row>
  </sheetData>
  <mergeCells count="23">
    <mergeCell ref="C14:D14"/>
    <mergeCell ref="C10:D10"/>
    <mergeCell ref="C11:D11"/>
    <mergeCell ref="C12:D12"/>
    <mergeCell ref="C13:D13"/>
    <mergeCell ref="A2:D2"/>
    <mergeCell ref="A4:D4"/>
    <mergeCell ref="A6:D6"/>
    <mergeCell ref="A8:D8"/>
    <mergeCell ref="C9:D9"/>
    <mergeCell ref="A21:B21"/>
    <mergeCell ref="C21:D21"/>
    <mergeCell ref="C15:D15"/>
    <mergeCell ref="C16:D16"/>
    <mergeCell ref="C17:D17"/>
    <mergeCell ref="C18:D18"/>
    <mergeCell ref="A20:B20"/>
    <mergeCell ref="C20:D20"/>
    <mergeCell ref="C23:D23"/>
    <mergeCell ref="C25:D25"/>
    <mergeCell ref="A27:B27"/>
    <mergeCell ref="A28:B28"/>
    <mergeCell ref="A30:B30"/>
  </mergeCells>
  <pageMargins left="0.70866141732283472" right="0.70866141732283472" top="0.74803149606299213" bottom="0.74803149606299213" header="0.31496062992125984" footer="0.31496062992125984"/>
  <pageSetup paperSize="9" fitToHeight="0" orientation="portrait" verticalDpi="0" r:id="rId1"/>
  <headerFoot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view="pageBreakPreview" zoomScale="60" zoomScaleNormal="100" workbookViewId="0">
      <selection activeCell="T13" sqref="T13"/>
    </sheetView>
  </sheetViews>
  <sheetFormatPr defaultRowHeight="15" x14ac:dyDescent="0.25"/>
  <cols>
    <col min="1" max="1" width="15.42578125" customWidth="1"/>
    <col min="2" max="2" width="49.5703125" customWidth="1"/>
    <col min="3" max="3" width="15.85546875" customWidth="1"/>
    <col min="4" max="4" width="1.42578125" customWidth="1"/>
    <col min="257" max="257" width="15.42578125" customWidth="1"/>
    <col min="258" max="258" width="40.140625" customWidth="1"/>
    <col min="259" max="259" width="25" customWidth="1"/>
    <col min="260" max="260" width="1.42578125" customWidth="1"/>
    <col min="513" max="513" width="15.42578125" customWidth="1"/>
    <col min="514" max="514" width="40.140625" customWidth="1"/>
    <col min="515" max="515" width="25" customWidth="1"/>
    <col min="516" max="516" width="1.42578125" customWidth="1"/>
    <col min="769" max="769" width="15.42578125" customWidth="1"/>
    <col min="770" max="770" width="40.140625" customWidth="1"/>
    <col min="771" max="771" width="25" customWidth="1"/>
    <col min="772" max="772" width="1.42578125" customWidth="1"/>
    <col min="1025" max="1025" width="15.42578125" customWidth="1"/>
    <col min="1026" max="1026" width="40.140625" customWidth="1"/>
    <col min="1027" max="1027" width="25" customWidth="1"/>
    <col min="1028" max="1028" width="1.42578125" customWidth="1"/>
    <col min="1281" max="1281" width="15.42578125" customWidth="1"/>
    <col min="1282" max="1282" width="40.140625" customWidth="1"/>
    <col min="1283" max="1283" width="25" customWidth="1"/>
    <col min="1284" max="1284" width="1.42578125" customWidth="1"/>
    <col min="1537" max="1537" width="15.42578125" customWidth="1"/>
    <col min="1538" max="1538" width="40.140625" customWidth="1"/>
    <col min="1539" max="1539" width="25" customWidth="1"/>
    <col min="1540" max="1540" width="1.42578125" customWidth="1"/>
    <col min="1793" max="1793" width="15.42578125" customWidth="1"/>
    <col min="1794" max="1794" width="40.140625" customWidth="1"/>
    <col min="1795" max="1795" width="25" customWidth="1"/>
    <col min="1796" max="1796" width="1.42578125" customWidth="1"/>
    <col min="2049" max="2049" width="15.42578125" customWidth="1"/>
    <col min="2050" max="2050" width="40.140625" customWidth="1"/>
    <col min="2051" max="2051" width="25" customWidth="1"/>
    <col min="2052" max="2052" width="1.42578125" customWidth="1"/>
    <col min="2305" max="2305" width="15.42578125" customWidth="1"/>
    <col min="2306" max="2306" width="40.140625" customWidth="1"/>
    <col min="2307" max="2307" width="25" customWidth="1"/>
    <col min="2308" max="2308" width="1.42578125" customWidth="1"/>
    <col min="2561" max="2561" width="15.42578125" customWidth="1"/>
    <col min="2562" max="2562" width="40.140625" customWidth="1"/>
    <col min="2563" max="2563" width="25" customWidth="1"/>
    <col min="2564" max="2564" width="1.42578125" customWidth="1"/>
    <col min="2817" max="2817" width="15.42578125" customWidth="1"/>
    <col min="2818" max="2818" width="40.140625" customWidth="1"/>
    <col min="2819" max="2819" width="25" customWidth="1"/>
    <col min="2820" max="2820" width="1.42578125" customWidth="1"/>
    <col min="3073" max="3073" width="15.42578125" customWidth="1"/>
    <col min="3074" max="3074" width="40.140625" customWidth="1"/>
    <col min="3075" max="3075" width="25" customWidth="1"/>
    <col min="3076" max="3076" width="1.42578125" customWidth="1"/>
    <col min="3329" max="3329" width="15.42578125" customWidth="1"/>
    <col min="3330" max="3330" width="40.140625" customWidth="1"/>
    <col min="3331" max="3331" width="25" customWidth="1"/>
    <col min="3332" max="3332" width="1.42578125" customWidth="1"/>
    <col min="3585" max="3585" width="15.42578125" customWidth="1"/>
    <col min="3586" max="3586" width="40.140625" customWidth="1"/>
    <col min="3587" max="3587" width="25" customWidth="1"/>
    <col min="3588" max="3588" width="1.42578125" customWidth="1"/>
    <col min="3841" max="3841" width="15.42578125" customWidth="1"/>
    <col min="3842" max="3842" width="40.140625" customWidth="1"/>
    <col min="3843" max="3843" width="25" customWidth="1"/>
    <col min="3844" max="3844" width="1.42578125" customWidth="1"/>
    <col min="4097" max="4097" width="15.42578125" customWidth="1"/>
    <col min="4098" max="4098" width="40.140625" customWidth="1"/>
    <col min="4099" max="4099" width="25" customWidth="1"/>
    <col min="4100" max="4100" width="1.42578125" customWidth="1"/>
    <col min="4353" max="4353" width="15.42578125" customWidth="1"/>
    <col min="4354" max="4354" width="40.140625" customWidth="1"/>
    <col min="4355" max="4355" width="25" customWidth="1"/>
    <col min="4356" max="4356" width="1.42578125" customWidth="1"/>
    <col min="4609" max="4609" width="15.42578125" customWidth="1"/>
    <col min="4610" max="4610" width="40.140625" customWidth="1"/>
    <col min="4611" max="4611" width="25" customWidth="1"/>
    <col min="4612" max="4612" width="1.42578125" customWidth="1"/>
    <col min="4865" max="4865" width="15.42578125" customWidth="1"/>
    <col min="4866" max="4866" width="40.140625" customWidth="1"/>
    <col min="4867" max="4867" width="25" customWidth="1"/>
    <col min="4868" max="4868" width="1.42578125" customWidth="1"/>
    <col min="5121" max="5121" width="15.42578125" customWidth="1"/>
    <col min="5122" max="5122" width="40.140625" customWidth="1"/>
    <col min="5123" max="5123" width="25" customWidth="1"/>
    <col min="5124" max="5124" width="1.42578125" customWidth="1"/>
    <col min="5377" max="5377" width="15.42578125" customWidth="1"/>
    <col min="5378" max="5378" width="40.140625" customWidth="1"/>
    <col min="5379" max="5379" width="25" customWidth="1"/>
    <col min="5380" max="5380" width="1.42578125" customWidth="1"/>
    <col min="5633" max="5633" width="15.42578125" customWidth="1"/>
    <col min="5634" max="5634" width="40.140625" customWidth="1"/>
    <col min="5635" max="5635" width="25" customWidth="1"/>
    <col min="5636" max="5636" width="1.42578125" customWidth="1"/>
    <col min="5889" max="5889" width="15.42578125" customWidth="1"/>
    <col min="5890" max="5890" width="40.140625" customWidth="1"/>
    <col min="5891" max="5891" width="25" customWidth="1"/>
    <col min="5892" max="5892" width="1.42578125" customWidth="1"/>
    <col min="6145" max="6145" width="15.42578125" customWidth="1"/>
    <col min="6146" max="6146" width="40.140625" customWidth="1"/>
    <col min="6147" max="6147" width="25" customWidth="1"/>
    <col min="6148" max="6148" width="1.42578125" customWidth="1"/>
    <col min="6401" max="6401" width="15.42578125" customWidth="1"/>
    <col min="6402" max="6402" width="40.140625" customWidth="1"/>
    <col min="6403" max="6403" width="25" customWidth="1"/>
    <col min="6404" max="6404" width="1.42578125" customWidth="1"/>
    <col min="6657" max="6657" width="15.42578125" customWidth="1"/>
    <col min="6658" max="6658" width="40.140625" customWidth="1"/>
    <col min="6659" max="6659" width="25" customWidth="1"/>
    <col min="6660" max="6660" width="1.42578125" customWidth="1"/>
    <col min="6913" max="6913" width="15.42578125" customWidth="1"/>
    <col min="6914" max="6914" width="40.140625" customWidth="1"/>
    <col min="6915" max="6915" width="25" customWidth="1"/>
    <col min="6916" max="6916" width="1.42578125" customWidth="1"/>
    <col min="7169" max="7169" width="15.42578125" customWidth="1"/>
    <col min="7170" max="7170" width="40.140625" customWidth="1"/>
    <col min="7171" max="7171" width="25" customWidth="1"/>
    <col min="7172" max="7172" width="1.42578125" customWidth="1"/>
    <col min="7425" max="7425" width="15.42578125" customWidth="1"/>
    <col min="7426" max="7426" width="40.140625" customWidth="1"/>
    <col min="7427" max="7427" width="25" customWidth="1"/>
    <col min="7428" max="7428" width="1.42578125" customWidth="1"/>
    <col min="7681" max="7681" width="15.42578125" customWidth="1"/>
    <col min="7682" max="7682" width="40.140625" customWidth="1"/>
    <col min="7683" max="7683" width="25" customWidth="1"/>
    <col min="7684" max="7684" width="1.42578125" customWidth="1"/>
    <col min="7937" max="7937" width="15.42578125" customWidth="1"/>
    <col min="7938" max="7938" width="40.140625" customWidth="1"/>
    <col min="7939" max="7939" width="25" customWidth="1"/>
    <col min="7940" max="7940" width="1.42578125" customWidth="1"/>
    <col min="8193" max="8193" width="15.42578125" customWidth="1"/>
    <col min="8194" max="8194" width="40.140625" customWidth="1"/>
    <col min="8195" max="8195" width="25" customWidth="1"/>
    <col min="8196" max="8196" width="1.42578125" customWidth="1"/>
    <col min="8449" max="8449" width="15.42578125" customWidth="1"/>
    <col min="8450" max="8450" width="40.140625" customWidth="1"/>
    <col min="8451" max="8451" width="25" customWidth="1"/>
    <col min="8452" max="8452" width="1.42578125" customWidth="1"/>
    <col min="8705" max="8705" width="15.42578125" customWidth="1"/>
    <col min="8706" max="8706" width="40.140625" customWidth="1"/>
    <col min="8707" max="8707" width="25" customWidth="1"/>
    <col min="8708" max="8708" width="1.42578125" customWidth="1"/>
    <col min="8961" max="8961" width="15.42578125" customWidth="1"/>
    <col min="8962" max="8962" width="40.140625" customWidth="1"/>
    <col min="8963" max="8963" width="25" customWidth="1"/>
    <col min="8964" max="8964" width="1.42578125" customWidth="1"/>
    <col min="9217" max="9217" width="15.42578125" customWidth="1"/>
    <col min="9218" max="9218" width="40.140625" customWidth="1"/>
    <col min="9219" max="9219" width="25" customWidth="1"/>
    <col min="9220" max="9220" width="1.42578125" customWidth="1"/>
    <col min="9473" max="9473" width="15.42578125" customWidth="1"/>
    <col min="9474" max="9474" width="40.140625" customWidth="1"/>
    <col min="9475" max="9475" width="25" customWidth="1"/>
    <col min="9476" max="9476" width="1.42578125" customWidth="1"/>
    <col min="9729" max="9729" width="15.42578125" customWidth="1"/>
    <col min="9730" max="9730" width="40.140625" customWidth="1"/>
    <col min="9731" max="9731" width="25" customWidth="1"/>
    <col min="9732" max="9732" width="1.42578125" customWidth="1"/>
    <col min="9985" max="9985" width="15.42578125" customWidth="1"/>
    <col min="9986" max="9986" width="40.140625" customWidth="1"/>
    <col min="9987" max="9987" width="25" customWidth="1"/>
    <col min="9988" max="9988" width="1.42578125" customWidth="1"/>
    <col min="10241" max="10241" width="15.42578125" customWidth="1"/>
    <col min="10242" max="10242" width="40.140625" customWidth="1"/>
    <col min="10243" max="10243" width="25" customWidth="1"/>
    <col min="10244" max="10244" width="1.42578125" customWidth="1"/>
    <col min="10497" max="10497" width="15.42578125" customWidth="1"/>
    <col min="10498" max="10498" width="40.140625" customWidth="1"/>
    <col min="10499" max="10499" width="25" customWidth="1"/>
    <col min="10500" max="10500" width="1.42578125" customWidth="1"/>
    <col min="10753" max="10753" width="15.42578125" customWidth="1"/>
    <col min="10754" max="10754" width="40.140625" customWidth="1"/>
    <col min="10755" max="10755" width="25" customWidth="1"/>
    <col min="10756" max="10756" width="1.42578125" customWidth="1"/>
    <col min="11009" max="11009" width="15.42578125" customWidth="1"/>
    <col min="11010" max="11010" width="40.140625" customWidth="1"/>
    <col min="11011" max="11011" width="25" customWidth="1"/>
    <col min="11012" max="11012" width="1.42578125" customWidth="1"/>
    <col min="11265" max="11265" width="15.42578125" customWidth="1"/>
    <col min="11266" max="11266" width="40.140625" customWidth="1"/>
    <col min="11267" max="11267" width="25" customWidth="1"/>
    <col min="11268" max="11268" width="1.42578125" customWidth="1"/>
    <col min="11521" max="11521" width="15.42578125" customWidth="1"/>
    <col min="11522" max="11522" width="40.140625" customWidth="1"/>
    <col min="11523" max="11523" width="25" customWidth="1"/>
    <col min="11524" max="11524" width="1.42578125" customWidth="1"/>
    <col min="11777" max="11777" width="15.42578125" customWidth="1"/>
    <col min="11778" max="11778" width="40.140625" customWidth="1"/>
    <col min="11779" max="11779" width="25" customWidth="1"/>
    <col min="11780" max="11780" width="1.42578125" customWidth="1"/>
    <col min="12033" max="12033" width="15.42578125" customWidth="1"/>
    <col min="12034" max="12034" width="40.140625" customWidth="1"/>
    <col min="12035" max="12035" width="25" customWidth="1"/>
    <col min="12036" max="12036" width="1.42578125" customWidth="1"/>
    <col min="12289" max="12289" width="15.42578125" customWidth="1"/>
    <col min="12290" max="12290" width="40.140625" customWidth="1"/>
    <col min="12291" max="12291" width="25" customWidth="1"/>
    <col min="12292" max="12292" width="1.42578125" customWidth="1"/>
    <col min="12545" max="12545" width="15.42578125" customWidth="1"/>
    <col min="12546" max="12546" width="40.140625" customWidth="1"/>
    <col min="12547" max="12547" width="25" customWidth="1"/>
    <col min="12548" max="12548" width="1.42578125" customWidth="1"/>
    <col min="12801" max="12801" width="15.42578125" customWidth="1"/>
    <col min="12802" max="12802" width="40.140625" customWidth="1"/>
    <col min="12803" max="12803" width="25" customWidth="1"/>
    <col min="12804" max="12804" width="1.42578125" customWidth="1"/>
    <col min="13057" max="13057" width="15.42578125" customWidth="1"/>
    <col min="13058" max="13058" width="40.140625" customWidth="1"/>
    <col min="13059" max="13059" width="25" customWidth="1"/>
    <col min="13060" max="13060" width="1.42578125" customWidth="1"/>
    <col min="13313" max="13313" width="15.42578125" customWidth="1"/>
    <col min="13314" max="13314" width="40.140625" customWidth="1"/>
    <col min="13315" max="13315" width="25" customWidth="1"/>
    <col min="13316" max="13316" width="1.42578125" customWidth="1"/>
    <col min="13569" max="13569" width="15.42578125" customWidth="1"/>
    <col min="13570" max="13570" width="40.140625" customWidth="1"/>
    <col min="13571" max="13571" width="25" customWidth="1"/>
    <col min="13572" max="13572" width="1.42578125" customWidth="1"/>
    <col min="13825" max="13825" width="15.42578125" customWidth="1"/>
    <col min="13826" max="13826" width="40.140625" customWidth="1"/>
    <col min="13827" max="13827" width="25" customWidth="1"/>
    <col min="13828" max="13828" width="1.42578125" customWidth="1"/>
    <col min="14081" max="14081" width="15.42578125" customWidth="1"/>
    <col min="14082" max="14082" width="40.140625" customWidth="1"/>
    <col min="14083" max="14083" width="25" customWidth="1"/>
    <col min="14084" max="14084" width="1.42578125" customWidth="1"/>
    <col min="14337" max="14337" width="15.42578125" customWidth="1"/>
    <col min="14338" max="14338" width="40.140625" customWidth="1"/>
    <col min="14339" max="14339" width="25" customWidth="1"/>
    <col min="14340" max="14340" width="1.42578125" customWidth="1"/>
    <col min="14593" max="14593" width="15.42578125" customWidth="1"/>
    <col min="14594" max="14594" width="40.140625" customWidth="1"/>
    <col min="14595" max="14595" width="25" customWidth="1"/>
    <col min="14596" max="14596" width="1.42578125" customWidth="1"/>
    <col min="14849" max="14849" width="15.42578125" customWidth="1"/>
    <col min="14850" max="14850" width="40.140625" customWidth="1"/>
    <col min="14851" max="14851" width="25" customWidth="1"/>
    <col min="14852" max="14852" width="1.42578125" customWidth="1"/>
    <col min="15105" max="15105" width="15.42578125" customWidth="1"/>
    <col min="15106" max="15106" width="40.140625" customWidth="1"/>
    <col min="15107" max="15107" width="25" customWidth="1"/>
    <col min="15108" max="15108" width="1.42578125" customWidth="1"/>
    <col min="15361" max="15361" width="15.42578125" customWidth="1"/>
    <col min="15362" max="15362" width="40.140625" customWidth="1"/>
    <col min="15363" max="15363" width="25" customWidth="1"/>
    <col min="15364" max="15364" width="1.42578125" customWidth="1"/>
    <col min="15617" max="15617" width="15.42578125" customWidth="1"/>
    <col min="15618" max="15618" width="40.140625" customWidth="1"/>
    <col min="15619" max="15619" width="25" customWidth="1"/>
    <col min="15620" max="15620" width="1.42578125" customWidth="1"/>
    <col min="15873" max="15873" width="15.42578125" customWidth="1"/>
    <col min="15874" max="15874" width="40.140625" customWidth="1"/>
    <col min="15875" max="15875" width="25" customWidth="1"/>
    <col min="15876" max="15876" width="1.42578125" customWidth="1"/>
    <col min="16129" max="16129" width="15.42578125" customWidth="1"/>
    <col min="16130" max="16130" width="40.140625" customWidth="1"/>
    <col min="16131" max="16131" width="25" customWidth="1"/>
    <col min="16132" max="16132" width="1.42578125" customWidth="1"/>
  </cols>
  <sheetData>
    <row r="1" spans="1:4" ht="15.75" x14ac:dyDescent="0.25">
      <c r="A1" s="29"/>
      <c r="C1" s="7"/>
    </row>
    <row r="2" spans="1:4" ht="15.75" x14ac:dyDescent="0.25">
      <c r="A2" s="217" t="s">
        <v>0</v>
      </c>
      <c r="B2" s="217"/>
      <c r="C2" s="217"/>
      <c r="D2" s="217"/>
    </row>
    <row r="3" spans="1:4" ht="15.75" x14ac:dyDescent="0.25">
      <c r="C3" s="7"/>
      <c r="D3" s="29"/>
    </row>
    <row r="4" spans="1:4" ht="15.75" x14ac:dyDescent="0.25">
      <c r="A4" s="281" t="s">
        <v>26</v>
      </c>
      <c r="B4" s="281"/>
      <c r="C4" s="281"/>
      <c r="D4" s="281"/>
    </row>
    <row r="5" spans="1:4" ht="15.75" x14ac:dyDescent="0.25">
      <c r="C5" s="7"/>
      <c r="D5" s="30"/>
    </row>
    <row r="6" spans="1:4" s="59" customFormat="1" ht="33" customHeight="1" x14ac:dyDescent="0.25">
      <c r="A6" s="218" t="s">
        <v>308</v>
      </c>
      <c r="B6" s="218"/>
      <c r="C6" s="218"/>
      <c r="D6" s="218"/>
    </row>
    <row r="7" spans="1:4" ht="15.75" x14ac:dyDescent="0.25">
      <c r="C7" s="7"/>
      <c r="D7" s="30"/>
    </row>
    <row r="8" spans="1:4" ht="16.5" thickBot="1" x14ac:dyDescent="0.3">
      <c r="A8" s="219" t="s">
        <v>27</v>
      </c>
      <c r="B8" s="219"/>
      <c r="C8" s="219"/>
      <c r="D8" s="219"/>
    </row>
    <row r="9" spans="1:4" ht="74.25" customHeight="1" thickBot="1" x14ac:dyDescent="0.3">
      <c r="A9" s="31" t="s">
        <v>2</v>
      </c>
      <c r="B9" s="32" t="s">
        <v>3</v>
      </c>
      <c r="C9" s="272" t="s">
        <v>4</v>
      </c>
      <c r="D9" s="273"/>
    </row>
    <row r="10" spans="1:4" ht="16.5" thickBot="1" x14ac:dyDescent="0.3">
      <c r="A10" s="33"/>
      <c r="B10" s="34" t="s">
        <v>5</v>
      </c>
      <c r="C10" s="220"/>
      <c r="D10" s="221"/>
    </row>
    <row r="11" spans="1:4" ht="78.75" x14ac:dyDescent="0.25">
      <c r="A11" s="115" t="s">
        <v>6</v>
      </c>
      <c r="B11" s="64" t="s">
        <v>658</v>
      </c>
      <c r="C11" s="204">
        <v>2.4</v>
      </c>
      <c r="D11" s="205"/>
    </row>
    <row r="12" spans="1:4" ht="48" thickBot="1" x14ac:dyDescent="0.3">
      <c r="A12" s="55" t="s">
        <v>7</v>
      </c>
      <c r="B12" s="36" t="s">
        <v>209</v>
      </c>
      <c r="C12" s="204">
        <f>C11*0.2359</f>
        <v>0.56616</v>
      </c>
      <c r="D12" s="205"/>
    </row>
    <row r="13" spans="1:4" ht="16.5" thickBot="1" x14ac:dyDescent="0.3">
      <c r="A13" s="55"/>
      <c r="B13" s="38" t="s">
        <v>9</v>
      </c>
      <c r="C13" s="204">
        <f>SUM(C11:D12)</f>
        <v>2.9661599999999999</v>
      </c>
      <c r="D13" s="205"/>
    </row>
    <row r="14" spans="1:4" ht="16.5" thickBot="1" x14ac:dyDescent="0.3">
      <c r="A14" s="55"/>
      <c r="B14" s="38" t="s">
        <v>10</v>
      </c>
      <c r="C14" s="204"/>
      <c r="D14" s="205"/>
    </row>
    <row r="15" spans="1:4" ht="34.5" customHeight="1" thickBot="1" x14ac:dyDescent="0.3">
      <c r="A15" s="55" t="s">
        <v>12</v>
      </c>
      <c r="B15" s="103" t="s">
        <v>491</v>
      </c>
      <c r="C15" s="204">
        <f>581/1010</f>
        <v>0.5752475247524752</v>
      </c>
      <c r="D15" s="205"/>
    </row>
    <row r="16" spans="1:4" ht="48" customHeight="1" thickBot="1" x14ac:dyDescent="0.3">
      <c r="A16" s="55" t="s">
        <v>13</v>
      </c>
      <c r="B16" s="62" t="s">
        <v>432</v>
      </c>
      <c r="C16" s="204">
        <v>26.46</v>
      </c>
      <c r="D16" s="205"/>
    </row>
    <row r="17" spans="1:4" ht="16.5" thickBot="1" x14ac:dyDescent="0.3">
      <c r="A17" s="33"/>
      <c r="B17" s="34" t="s">
        <v>18</v>
      </c>
      <c r="C17" s="204">
        <f>SUM(C15:C16)</f>
        <v>27.035247524752474</v>
      </c>
      <c r="D17" s="205"/>
    </row>
    <row r="18" spans="1:4" ht="16.5" thickBot="1" x14ac:dyDescent="0.3">
      <c r="A18" s="33"/>
      <c r="B18" s="41" t="s">
        <v>19</v>
      </c>
      <c r="C18" s="206">
        <f>SUM(C13,C17)</f>
        <v>30.001407524752473</v>
      </c>
      <c r="D18" s="207"/>
    </row>
    <row r="19" spans="1:4" x14ac:dyDescent="0.25">
      <c r="A19" s="43"/>
      <c r="C19" s="8"/>
    </row>
    <row r="20" spans="1:4" ht="15.75" x14ac:dyDescent="0.25">
      <c r="A20" s="213" t="s">
        <v>20</v>
      </c>
      <c r="B20" s="214"/>
      <c r="C20" s="224">
        <v>1</v>
      </c>
      <c r="D20" s="224"/>
    </row>
    <row r="21" spans="1:4" ht="30.75" customHeight="1" x14ac:dyDescent="0.25">
      <c r="A21" s="215" t="s">
        <v>28</v>
      </c>
      <c r="B21" s="226"/>
      <c r="C21" s="297">
        <f>C18/C20</f>
        <v>30.001407524752473</v>
      </c>
      <c r="D21" s="297"/>
    </row>
    <row r="23" spans="1:4" ht="18.75" x14ac:dyDescent="0.3">
      <c r="A23" s="144" t="s">
        <v>227</v>
      </c>
      <c r="B23" s="144"/>
      <c r="C23" s="352" t="s">
        <v>228</v>
      </c>
      <c r="D23" s="352"/>
    </row>
    <row r="24" spans="1:4" ht="18.75" x14ac:dyDescent="0.3">
      <c r="A24" s="144"/>
      <c r="B24" s="144"/>
      <c r="C24" s="145"/>
      <c r="D24" s="144"/>
    </row>
    <row r="25" spans="1:4" ht="18.75" x14ac:dyDescent="0.3">
      <c r="A25" s="144" t="s">
        <v>229</v>
      </c>
      <c r="B25" s="144"/>
      <c r="C25" s="352" t="s">
        <v>230</v>
      </c>
      <c r="D25" s="352"/>
    </row>
    <row r="26" spans="1:4" ht="18.75" x14ac:dyDescent="0.3">
      <c r="A26" s="144"/>
      <c r="B26" s="144"/>
      <c r="C26" s="144"/>
      <c r="D26" s="144"/>
    </row>
    <row r="27" spans="1:4" x14ac:dyDescent="0.25">
      <c r="A27" s="202" t="s">
        <v>233</v>
      </c>
      <c r="B27" s="202"/>
      <c r="C27" s="80"/>
      <c r="D27" s="80"/>
    </row>
    <row r="28" spans="1:4" x14ac:dyDescent="0.25">
      <c r="A28" s="201" t="s">
        <v>200</v>
      </c>
      <c r="B28" s="202"/>
      <c r="C28" s="80"/>
      <c r="D28" s="80"/>
    </row>
    <row r="29" spans="1:4" x14ac:dyDescent="0.25">
      <c r="A29" s="57" t="s">
        <v>231</v>
      </c>
      <c r="B29" s="80"/>
      <c r="C29" s="81"/>
      <c r="D29" s="81"/>
    </row>
    <row r="30" spans="1:4" x14ac:dyDescent="0.25">
      <c r="A30" s="201" t="s">
        <v>232</v>
      </c>
      <c r="B30" s="201"/>
      <c r="C30" s="81"/>
      <c r="D30" s="81"/>
    </row>
  </sheetData>
  <mergeCells count="23">
    <mergeCell ref="C14:D14"/>
    <mergeCell ref="C10:D10"/>
    <mergeCell ref="C11:D11"/>
    <mergeCell ref="C12:D12"/>
    <mergeCell ref="C13:D13"/>
    <mergeCell ref="A2:D2"/>
    <mergeCell ref="A4:D4"/>
    <mergeCell ref="A6:D6"/>
    <mergeCell ref="A8:D8"/>
    <mergeCell ref="C9:D9"/>
    <mergeCell ref="A21:B21"/>
    <mergeCell ref="C21:D21"/>
    <mergeCell ref="C15:D15"/>
    <mergeCell ref="C16:D16"/>
    <mergeCell ref="C17:D17"/>
    <mergeCell ref="C18:D18"/>
    <mergeCell ref="A20:B20"/>
    <mergeCell ref="C20:D20"/>
    <mergeCell ref="C23:D23"/>
    <mergeCell ref="C25:D25"/>
    <mergeCell ref="A27:B27"/>
    <mergeCell ref="A28:B28"/>
    <mergeCell ref="A30:B30"/>
  </mergeCells>
  <hyperlinks>
    <hyperlink ref="A30" r:id="rId1" display="mailto:lasma.zandberga@vm.gov.lv"/>
    <hyperlink ref="A28" r:id="rId2"/>
  </hyperlinks>
  <pageMargins left="0.70866141732283472" right="0.70866141732283472" top="0.74803149606299213" bottom="0.74803149606299213" header="0.31496062992125984" footer="0.31496062992125984"/>
  <pageSetup paperSize="9" fitToHeight="0" orientation="portrait" r:id="rId3"/>
  <headerFoot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T13" sqref="T13"/>
    </sheetView>
  </sheetViews>
  <sheetFormatPr defaultRowHeight="15" x14ac:dyDescent="0.25"/>
  <sheetData/>
  <pageMargins left="0.70866141732283472" right="0.70866141732283472" top="0.74803149606299213" bottom="0.74803149606299213" header="0.31496062992125984" footer="0.31496062992125984"/>
  <pageSetup paperSize="9" fitToHeight="0" orientation="portrait" verticalDpi="0"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0"/>
  <sheetViews>
    <sheetView view="pageBreakPreview" zoomScale="60" zoomScaleNormal="100" workbookViewId="0">
      <selection activeCell="T13" sqref="T13"/>
    </sheetView>
  </sheetViews>
  <sheetFormatPr defaultRowHeight="15" x14ac:dyDescent="0.25"/>
  <cols>
    <col min="1" max="1" width="19.5703125" customWidth="1"/>
    <col min="2" max="2" width="52.42578125" customWidth="1"/>
    <col min="3" max="3" width="18.42578125" style="7" customWidth="1"/>
    <col min="5" max="5" width="25.85546875" style="9" customWidth="1"/>
    <col min="8" max="8" width="7.42578125" bestFit="1" customWidth="1"/>
    <col min="257" max="257" width="19.5703125" customWidth="1"/>
    <col min="258" max="258" width="52.42578125" customWidth="1"/>
    <col min="259" max="259" width="18.42578125" customWidth="1"/>
    <col min="261" max="261" width="25.85546875" customWidth="1"/>
    <col min="264" max="264" width="7.42578125" bestFit="1" customWidth="1"/>
    <col min="513" max="513" width="19.5703125" customWidth="1"/>
    <col min="514" max="514" width="52.42578125" customWidth="1"/>
    <col min="515" max="515" width="18.42578125" customWidth="1"/>
    <col min="517" max="517" width="25.85546875" customWidth="1"/>
    <col min="520" max="520" width="7.42578125" bestFit="1" customWidth="1"/>
    <col min="769" max="769" width="19.5703125" customWidth="1"/>
    <col min="770" max="770" width="52.42578125" customWidth="1"/>
    <col min="771" max="771" width="18.42578125" customWidth="1"/>
    <col min="773" max="773" width="25.85546875" customWidth="1"/>
    <col min="776" max="776" width="7.42578125" bestFit="1" customWidth="1"/>
    <col min="1025" max="1025" width="19.5703125" customWidth="1"/>
    <col min="1026" max="1026" width="52.42578125" customWidth="1"/>
    <col min="1027" max="1027" width="18.42578125" customWidth="1"/>
    <col min="1029" max="1029" width="25.85546875" customWidth="1"/>
    <col min="1032" max="1032" width="7.42578125" bestFit="1" customWidth="1"/>
    <col min="1281" max="1281" width="19.5703125" customWidth="1"/>
    <col min="1282" max="1282" width="52.42578125" customWidth="1"/>
    <col min="1283" max="1283" width="18.42578125" customWidth="1"/>
    <col min="1285" max="1285" width="25.85546875" customWidth="1"/>
    <col min="1288" max="1288" width="7.42578125" bestFit="1" customWidth="1"/>
    <col min="1537" max="1537" width="19.5703125" customWidth="1"/>
    <col min="1538" max="1538" width="52.42578125" customWidth="1"/>
    <col min="1539" max="1539" width="18.42578125" customWidth="1"/>
    <col min="1541" max="1541" width="25.85546875" customWidth="1"/>
    <col min="1544" max="1544" width="7.42578125" bestFit="1" customWidth="1"/>
    <col min="1793" max="1793" width="19.5703125" customWidth="1"/>
    <col min="1794" max="1794" width="52.42578125" customWidth="1"/>
    <col min="1795" max="1795" width="18.42578125" customWidth="1"/>
    <col min="1797" max="1797" width="25.85546875" customWidth="1"/>
    <col min="1800" max="1800" width="7.42578125" bestFit="1" customWidth="1"/>
    <col min="2049" max="2049" width="19.5703125" customWidth="1"/>
    <col min="2050" max="2050" width="52.42578125" customWidth="1"/>
    <col min="2051" max="2051" width="18.42578125" customWidth="1"/>
    <col min="2053" max="2053" width="25.85546875" customWidth="1"/>
    <col min="2056" max="2056" width="7.42578125" bestFit="1" customWidth="1"/>
    <col min="2305" max="2305" width="19.5703125" customWidth="1"/>
    <col min="2306" max="2306" width="52.42578125" customWidth="1"/>
    <col min="2307" max="2307" width="18.42578125" customWidth="1"/>
    <col min="2309" max="2309" width="25.85546875" customWidth="1"/>
    <col min="2312" max="2312" width="7.42578125" bestFit="1" customWidth="1"/>
    <col min="2561" max="2561" width="19.5703125" customWidth="1"/>
    <col min="2562" max="2562" width="52.42578125" customWidth="1"/>
    <col min="2563" max="2563" width="18.42578125" customWidth="1"/>
    <col min="2565" max="2565" width="25.85546875" customWidth="1"/>
    <col min="2568" max="2568" width="7.42578125" bestFit="1" customWidth="1"/>
    <col min="2817" max="2817" width="19.5703125" customWidth="1"/>
    <col min="2818" max="2818" width="52.42578125" customWidth="1"/>
    <col min="2819" max="2819" width="18.42578125" customWidth="1"/>
    <col min="2821" max="2821" width="25.85546875" customWidth="1"/>
    <col min="2824" max="2824" width="7.42578125" bestFit="1" customWidth="1"/>
    <col min="3073" max="3073" width="19.5703125" customWidth="1"/>
    <col min="3074" max="3074" width="52.42578125" customWidth="1"/>
    <col min="3075" max="3075" width="18.42578125" customWidth="1"/>
    <col min="3077" max="3077" width="25.85546875" customWidth="1"/>
    <col min="3080" max="3080" width="7.42578125" bestFit="1" customWidth="1"/>
    <col min="3329" max="3329" width="19.5703125" customWidth="1"/>
    <col min="3330" max="3330" width="52.42578125" customWidth="1"/>
    <col min="3331" max="3331" width="18.42578125" customWidth="1"/>
    <col min="3333" max="3333" width="25.85546875" customWidth="1"/>
    <col min="3336" max="3336" width="7.42578125" bestFit="1" customWidth="1"/>
    <col min="3585" max="3585" width="19.5703125" customWidth="1"/>
    <col min="3586" max="3586" width="52.42578125" customWidth="1"/>
    <col min="3587" max="3587" width="18.42578125" customWidth="1"/>
    <col min="3589" max="3589" width="25.85546875" customWidth="1"/>
    <col min="3592" max="3592" width="7.42578125" bestFit="1" customWidth="1"/>
    <col min="3841" max="3841" width="19.5703125" customWidth="1"/>
    <col min="3842" max="3842" width="52.42578125" customWidth="1"/>
    <col min="3843" max="3843" width="18.42578125" customWidth="1"/>
    <col min="3845" max="3845" width="25.85546875" customWidth="1"/>
    <col min="3848" max="3848" width="7.42578125" bestFit="1" customWidth="1"/>
    <col min="4097" max="4097" width="19.5703125" customWidth="1"/>
    <col min="4098" max="4098" width="52.42578125" customWidth="1"/>
    <col min="4099" max="4099" width="18.42578125" customWidth="1"/>
    <col min="4101" max="4101" width="25.85546875" customWidth="1"/>
    <col min="4104" max="4104" width="7.42578125" bestFit="1" customWidth="1"/>
    <col min="4353" max="4353" width="19.5703125" customWidth="1"/>
    <col min="4354" max="4354" width="52.42578125" customWidth="1"/>
    <col min="4355" max="4355" width="18.42578125" customWidth="1"/>
    <col min="4357" max="4357" width="25.85546875" customWidth="1"/>
    <col min="4360" max="4360" width="7.42578125" bestFit="1" customWidth="1"/>
    <col min="4609" max="4609" width="19.5703125" customWidth="1"/>
    <col min="4610" max="4610" width="52.42578125" customWidth="1"/>
    <col min="4611" max="4611" width="18.42578125" customWidth="1"/>
    <col min="4613" max="4613" width="25.85546875" customWidth="1"/>
    <col min="4616" max="4616" width="7.42578125" bestFit="1" customWidth="1"/>
    <col min="4865" max="4865" width="19.5703125" customWidth="1"/>
    <col min="4866" max="4866" width="52.42578125" customWidth="1"/>
    <col min="4867" max="4867" width="18.42578125" customWidth="1"/>
    <col min="4869" max="4869" width="25.85546875" customWidth="1"/>
    <col min="4872" max="4872" width="7.42578125" bestFit="1" customWidth="1"/>
    <col min="5121" max="5121" width="19.5703125" customWidth="1"/>
    <col min="5122" max="5122" width="52.42578125" customWidth="1"/>
    <col min="5123" max="5123" width="18.42578125" customWidth="1"/>
    <col min="5125" max="5125" width="25.85546875" customWidth="1"/>
    <col min="5128" max="5128" width="7.42578125" bestFit="1" customWidth="1"/>
    <col min="5377" max="5377" width="19.5703125" customWidth="1"/>
    <col min="5378" max="5378" width="52.42578125" customWidth="1"/>
    <col min="5379" max="5379" width="18.42578125" customWidth="1"/>
    <col min="5381" max="5381" width="25.85546875" customWidth="1"/>
    <col min="5384" max="5384" width="7.42578125" bestFit="1" customWidth="1"/>
    <col min="5633" max="5633" width="19.5703125" customWidth="1"/>
    <col min="5634" max="5634" width="52.42578125" customWidth="1"/>
    <col min="5635" max="5635" width="18.42578125" customWidth="1"/>
    <col min="5637" max="5637" width="25.85546875" customWidth="1"/>
    <col min="5640" max="5640" width="7.42578125" bestFit="1" customWidth="1"/>
    <col min="5889" max="5889" width="19.5703125" customWidth="1"/>
    <col min="5890" max="5890" width="52.42578125" customWidth="1"/>
    <col min="5891" max="5891" width="18.42578125" customWidth="1"/>
    <col min="5893" max="5893" width="25.85546875" customWidth="1"/>
    <col min="5896" max="5896" width="7.42578125" bestFit="1" customWidth="1"/>
    <col min="6145" max="6145" width="19.5703125" customWidth="1"/>
    <col min="6146" max="6146" width="52.42578125" customWidth="1"/>
    <col min="6147" max="6147" width="18.42578125" customWidth="1"/>
    <col min="6149" max="6149" width="25.85546875" customWidth="1"/>
    <col min="6152" max="6152" width="7.42578125" bestFit="1" customWidth="1"/>
    <col min="6401" max="6401" width="19.5703125" customWidth="1"/>
    <col min="6402" max="6402" width="52.42578125" customWidth="1"/>
    <col min="6403" max="6403" width="18.42578125" customWidth="1"/>
    <col min="6405" max="6405" width="25.85546875" customWidth="1"/>
    <col min="6408" max="6408" width="7.42578125" bestFit="1" customWidth="1"/>
    <col min="6657" max="6657" width="19.5703125" customWidth="1"/>
    <col min="6658" max="6658" width="52.42578125" customWidth="1"/>
    <col min="6659" max="6659" width="18.42578125" customWidth="1"/>
    <col min="6661" max="6661" width="25.85546875" customWidth="1"/>
    <col min="6664" max="6664" width="7.42578125" bestFit="1" customWidth="1"/>
    <col min="6913" max="6913" width="19.5703125" customWidth="1"/>
    <col min="6914" max="6914" width="52.42578125" customWidth="1"/>
    <col min="6915" max="6915" width="18.42578125" customWidth="1"/>
    <col min="6917" max="6917" width="25.85546875" customWidth="1"/>
    <col min="6920" max="6920" width="7.42578125" bestFit="1" customWidth="1"/>
    <col min="7169" max="7169" width="19.5703125" customWidth="1"/>
    <col min="7170" max="7170" width="52.42578125" customWidth="1"/>
    <col min="7171" max="7171" width="18.42578125" customWidth="1"/>
    <col min="7173" max="7173" width="25.85546875" customWidth="1"/>
    <col min="7176" max="7176" width="7.42578125" bestFit="1" customWidth="1"/>
    <col min="7425" max="7425" width="19.5703125" customWidth="1"/>
    <col min="7426" max="7426" width="52.42578125" customWidth="1"/>
    <col min="7427" max="7427" width="18.42578125" customWidth="1"/>
    <col min="7429" max="7429" width="25.85546875" customWidth="1"/>
    <col min="7432" max="7432" width="7.42578125" bestFit="1" customWidth="1"/>
    <col min="7681" max="7681" width="19.5703125" customWidth="1"/>
    <col min="7682" max="7682" width="52.42578125" customWidth="1"/>
    <col min="7683" max="7683" width="18.42578125" customWidth="1"/>
    <col min="7685" max="7685" width="25.85546875" customWidth="1"/>
    <col min="7688" max="7688" width="7.42578125" bestFit="1" customWidth="1"/>
    <col min="7937" max="7937" width="19.5703125" customWidth="1"/>
    <col min="7938" max="7938" width="52.42578125" customWidth="1"/>
    <col min="7939" max="7939" width="18.42578125" customWidth="1"/>
    <col min="7941" max="7941" width="25.85546875" customWidth="1"/>
    <col min="7944" max="7944" width="7.42578125" bestFit="1" customWidth="1"/>
    <col min="8193" max="8193" width="19.5703125" customWidth="1"/>
    <col min="8194" max="8194" width="52.42578125" customWidth="1"/>
    <col min="8195" max="8195" width="18.42578125" customWidth="1"/>
    <col min="8197" max="8197" width="25.85546875" customWidth="1"/>
    <col min="8200" max="8200" width="7.42578125" bestFit="1" customWidth="1"/>
    <col min="8449" max="8449" width="19.5703125" customWidth="1"/>
    <col min="8450" max="8450" width="52.42578125" customWidth="1"/>
    <col min="8451" max="8451" width="18.42578125" customWidth="1"/>
    <col min="8453" max="8453" width="25.85546875" customWidth="1"/>
    <col min="8456" max="8456" width="7.42578125" bestFit="1" customWidth="1"/>
    <col min="8705" max="8705" width="19.5703125" customWidth="1"/>
    <col min="8706" max="8706" width="52.42578125" customWidth="1"/>
    <col min="8707" max="8707" width="18.42578125" customWidth="1"/>
    <col min="8709" max="8709" width="25.85546875" customWidth="1"/>
    <col min="8712" max="8712" width="7.42578125" bestFit="1" customWidth="1"/>
    <col min="8961" max="8961" width="19.5703125" customWidth="1"/>
    <col min="8962" max="8962" width="52.42578125" customWidth="1"/>
    <col min="8963" max="8963" width="18.42578125" customWidth="1"/>
    <col min="8965" max="8965" width="25.85546875" customWidth="1"/>
    <col min="8968" max="8968" width="7.42578125" bestFit="1" customWidth="1"/>
    <col min="9217" max="9217" width="19.5703125" customWidth="1"/>
    <col min="9218" max="9218" width="52.42578125" customWidth="1"/>
    <col min="9219" max="9219" width="18.42578125" customWidth="1"/>
    <col min="9221" max="9221" width="25.85546875" customWidth="1"/>
    <col min="9224" max="9224" width="7.42578125" bestFit="1" customWidth="1"/>
    <col min="9473" max="9473" width="19.5703125" customWidth="1"/>
    <col min="9474" max="9474" width="52.42578125" customWidth="1"/>
    <col min="9475" max="9475" width="18.42578125" customWidth="1"/>
    <col min="9477" max="9477" width="25.85546875" customWidth="1"/>
    <col min="9480" max="9480" width="7.42578125" bestFit="1" customWidth="1"/>
    <col min="9729" max="9729" width="19.5703125" customWidth="1"/>
    <col min="9730" max="9730" width="52.42578125" customWidth="1"/>
    <col min="9731" max="9731" width="18.42578125" customWidth="1"/>
    <col min="9733" max="9733" width="25.85546875" customWidth="1"/>
    <col min="9736" max="9736" width="7.42578125" bestFit="1" customWidth="1"/>
    <col min="9985" max="9985" width="19.5703125" customWidth="1"/>
    <col min="9986" max="9986" width="52.42578125" customWidth="1"/>
    <col min="9987" max="9987" width="18.42578125" customWidth="1"/>
    <col min="9989" max="9989" width="25.85546875" customWidth="1"/>
    <col min="9992" max="9992" width="7.42578125" bestFit="1" customWidth="1"/>
    <col min="10241" max="10241" width="19.5703125" customWidth="1"/>
    <col min="10242" max="10242" width="52.42578125" customWidth="1"/>
    <col min="10243" max="10243" width="18.42578125" customWidth="1"/>
    <col min="10245" max="10245" width="25.85546875" customWidth="1"/>
    <col min="10248" max="10248" width="7.42578125" bestFit="1" customWidth="1"/>
    <col min="10497" max="10497" width="19.5703125" customWidth="1"/>
    <col min="10498" max="10498" width="52.42578125" customWidth="1"/>
    <col min="10499" max="10499" width="18.42578125" customWidth="1"/>
    <col min="10501" max="10501" width="25.85546875" customWidth="1"/>
    <col min="10504" max="10504" width="7.42578125" bestFit="1" customWidth="1"/>
    <col min="10753" max="10753" width="19.5703125" customWidth="1"/>
    <col min="10754" max="10754" width="52.42578125" customWidth="1"/>
    <col min="10755" max="10755" width="18.42578125" customWidth="1"/>
    <col min="10757" max="10757" width="25.85546875" customWidth="1"/>
    <col min="10760" max="10760" width="7.42578125" bestFit="1" customWidth="1"/>
    <col min="11009" max="11009" width="19.5703125" customWidth="1"/>
    <col min="11010" max="11010" width="52.42578125" customWidth="1"/>
    <col min="11011" max="11011" width="18.42578125" customWidth="1"/>
    <col min="11013" max="11013" width="25.85546875" customWidth="1"/>
    <col min="11016" max="11016" width="7.42578125" bestFit="1" customWidth="1"/>
    <col min="11265" max="11265" width="19.5703125" customWidth="1"/>
    <col min="11266" max="11266" width="52.42578125" customWidth="1"/>
    <col min="11267" max="11267" width="18.42578125" customWidth="1"/>
    <col min="11269" max="11269" width="25.85546875" customWidth="1"/>
    <col min="11272" max="11272" width="7.42578125" bestFit="1" customWidth="1"/>
    <col min="11521" max="11521" width="19.5703125" customWidth="1"/>
    <col min="11522" max="11522" width="52.42578125" customWidth="1"/>
    <col min="11523" max="11523" width="18.42578125" customWidth="1"/>
    <col min="11525" max="11525" width="25.85546875" customWidth="1"/>
    <col min="11528" max="11528" width="7.42578125" bestFit="1" customWidth="1"/>
    <col min="11777" max="11777" width="19.5703125" customWidth="1"/>
    <col min="11778" max="11778" width="52.42578125" customWidth="1"/>
    <col min="11779" max="11779" width="18.42578125" customWidth="1"/>
    <col min="11781" max="11781" width="25.85546875" customWidth="1"/>
    <col min="11784" max="11784" width="7.42578125" bestFit="1" customWidth="1"/>
    <col min="12033" max="12033" width="19.5703125" customWidth="1"/>
    <col min="12034" max="12034" width="52.42578125" customWidth="1"/>
    <col min="12035" max="12035" width="18.42578125" customWidth="1"/>
    <col min="12037" max="12037" width="25.85546875" customWidth="1"/>
    <col min="12040" max="12040" width="7.42578125" bestFit="1" customWidth="1"/>
    <col min="12289" max="12289" width="19.5703125" customWidth="1"/>
    <col min="12290" max="12290" width="52.42578125" customWidth="1"/>
    <col min="12291" max="12291" width="18.42578125" customWidth="1"/>
    <col min="12293" max="12293" width="25.85546875" customWidth="1"/>
    <col min="12296" max="12296" width="7.42578125" bestFit="1" customWidth="1"/>
    <col min="12545" max="12545" width="19.5703125" customWidth="1"/>
    <col min="12546" max="12546" width="52.42578125" customWidth="1"/>
    <col min="12547" max="12547" width="18.42578125" customWidth="1"/>
    <col min="12549" max="12549" width="25.85546875" customWidth="1"/>
    <col min="12552" max="12552" width="7.42578125" bestFit="1" customWidth="1"/>
    <col min="12801" max="12801" width="19.5703125" customWidth="1"/>
    <col min="12802" max="12802" width="52.42578125" customWidth="1"/>
    <col min="12803" max="12803" width="18.42578125" customWidth="1"/>
    <col min="12805" max="12805" width="25.85546875" customWidth="1"/>
    <col min="12808" max="12808" width="7.42578125" bestFit="1" customWidth="1"/>
    <col min="13057" max="13057" width="19.5703125" customWidth="1"/>
    <col min="13058" max="13058" width="52.42578125" customWidth="1"/>
    <col min="13059" max="13059" width="18.42578125" customWidth="1"/>
    <col min="13061" max="13061" width="25.85546875" customWidth="1"/>
    <col min="13064" max="13064" width="7.42578125" bestFit="1" customWidth="1"/>
    <col min="13313" max="13313" width="19.5703125" customWidth="1"/>
    <col min="13314" max="13314" width="52.42578125" customWidth="1"/>
    <col min="13315" max="13315" width="18.42578125" customWidth="1"/>
    <col min="13317" max="13317" width="25.85546875" customWidth="1"/>
    <col min="13320" max="13320" width="7.42578125" bestFit="1" customWidth="1"/>
    <col min="13569" max="13569" width="19.5703125" customWidth="1"/>
    <col min="13570" max="13570" width="52.42578125" customWidth="1"/>
    <col min="13571" max="13571" width="18.42578125" customWidth="1"/>
    <col min="13573" max="13573" width="25.85546875" customWidth="1"/>
    <col min="13576" max="13576" width="7.42578125" bestFit="1" customWidth="1"/>
    <col min="13825" max="13825" width="19.5703125" customWidth="1"/>
    <col min="13826" max="13826" width="52.42578125" customWidth="1"/>
    <col min="13827" max="13827" width="18.42578125" customWidth="1"/>
    <col min="13829" max="13829" width="25.85546875" customWidth="1"/>
    <col min="13832" max="13832" width="7.42578125" bestFit="1" customWidth="1"/>
    <col min="14081" max="14081" width="19.5703125" customWidth="1"/>
    <col min="14082" max="14082" width="52.42578125" customWidth="1"/>
    <col min="14083" max="14083" width="18.42578125" customWidth="1"/>
    <col min="14085" max="14085" width="25.85546875" customWidth="1"/>
    <col min="14088" max="14088" width="7.42578125" bestFit="1" customWidth="1"/>
    <col min="14337" max="14337" width="19.5703125" customWidth="1"/>
    <col min="14338" max="14338" width="52.42578125" customWidth="1"/>
    <col min="14339" max="14339" width="18.42578125" customWidth="1"/>
    <col min="14341" max="14341" width="25.85546875" customWidth="1"/>
    <col min="14344" max="14344" width="7.42578125" bestFit="1" customWidth="1"/>
    <col min="14593" max="14593" width="19.5703125" customWidth="1"/>
    <col min="14594" max="14594" width="52.42578125" customWidth="1"/>
    <col min="14595" max="14595" width="18.42578125" customWidth="1"/>
    <col min="14597" max="14597" width="25.85546875" customWidth="1"/>
    <col min="14600" max="14600" width="7.42578125" bestFit="1" customWidth="1"/>
    <col min="14849" max="14849" width="19.5703125" customWidth="1"/>
    <col min="14850" max="14850" width="52.42578125" customWidth="1"/>
    <col min="14851" max="14851" width="18.42578125" customWidth="1"/>
    <col min="14853" max="14853" width="25.85546875" customWidth="1"/>
    <col min="14856" max="14856" width="7.42578125" bestFit="1" customWidth="1"/>
    <col min="15105" max="15105" width="19.5703125" customWidth="1"/>
    <col min="15106" max="15106" width="52.42578125" customWidth="1"/>
    <col min="15107" max="15107" width="18.42578125" customWidth="1"/>
    <col min="15109" max="15109" width="25.85546875" customWidth="1"/>
    <col min="15112" max="15112" width="7.42578125" bestFit="1" customWidth="1"/>
    <col min="15361" max="15361" width="19.5703125" customWidth="1"/>
    <col min="15362" max="15362" width="52.42578125" customWidth="1"/>
    <col min="15363" max="15363" width="18.42578125" customWidth="1"/>
    <col min="15365" max="15365" width="25.85546875" customWidth="1"/>
    <col min="15368" max="15368" width="7.42578125" bestFit="1" customWidth="1"/>
    <col min="15617" max="15617" width="19.5703125" customWidth="1"/>
    <col min="15618" max="15618" width="52.42578125" customWidth="1"/>
    <col min="15619" max="15619" width="18.42578125" customWidth="1"/>
    <col min="15621" max="15621" width="25.85546875" customWidth="1"/>
    <col min="15624" max="15624" width="7.42578125" bestFit="1" customWidth="1"/>
    <col min="15873" max="15873" width="19.5703125" customWidth="1"/>
    <col min="15874" max="15874" width="52.42578125" customWidth="1"/>
    <col min="15875" max="15875" width="18.42578125" customWidth="1"/>
    <col min="15877" max="15877" width="25.85546875" customWidth="1"/>
    <col min="15880" max="15880" width="7.42578125" bestFit="1" customWidth="1"/>
    <col min="16129" max="16129" width="19.5703125" customWidth="1"/>
    <col min="16130" max="16130" width="52.42578125" customWidth="1"/>
    <col min="16131" max="16131" width="18.42578125" customWidth="1"/>
    <col min="16133" max="16133" width="25.85546875" customWidth="1"/>
    <col min="16136" max="16136" width="7.42578125" bestFit="1" customWidth="1"/>
  </cols>
  <sheetData>
    <row r="2" spans="1:11" ht="14.45" customHeight="1" x14ac:dyDescent="0.25">
      <c r="A2" s="217" t="s">
        <v>0</v>
      </c>
      <c r="B2" s="217"/>
      <c r="C2" s="217"/>
      <c r="D2" s="217"/>
    </row>
    <row r="3" spans="1:11" ht="15.75" x14ac:dyDescent="0.25">
      <c r="D3" s="29"/>
    </row>
    <row r="4" spans="1:11" ht="15" customHeight="1" x14ac:dyDescent="0.25">
      <c r="A4" s="281" t="s">
        <v>26</v>
      </c>
      <c r="B4" s="281"/>
      <c r="C4" s="281"/>
      <c r="D4" s="281"/>
    </row>
    <row r="5" spans="1:11" ht="15" customHeight="1" x14ac:dyDescent="0.25">
      <c r="A5" s="133"/>
      <c r="B5" s="133"/>
      <c r="C5" s="133"/>
      <c r="D5" s="133"/>
    </row>
    <row r="6" spans="1:11" ht="32.25" customHeight="1" x14ac:dyDescent="0.25">
      <c r="A6" s="218" t="s">
        <v>240</v>
      </c>
      <c r="B6" s="218"/>
      <c r="C6" s="218"/>
      <c r="D6" s="218"/>
    </row>
    <row r="7" spans="1:11" ht="12" customHeight="1" x14ac:dyDescent="0.25">
      <c r="A7" s="132"/>
      <c r="B7" s="132"/>
      <c r="C7" s="132"/>
      <c r="D7" s="132"/>
    </row>
    <row r="8" spans="1:11" ht="16.5" thickBot="1" x14ac:dyDescent="0.3">
      <c r="A8" s="219" t="s">
        <v>27</v>
      </c>
      <c r="B8" s="219"/>
      <c r="C8" s="219"/>
      <c r="D8" s="219"/>
    </row>
    <row r="9" spans="1:11" ht="75.75" customHeight="1" thickBot="1" x14ac:dyDescent="0.3">
      <c r="A9" s="147" t="s">
        <v>2</v>
      </c>
      <c r="B9" s="148" t="s">
        <v>3</v>
      </c>
      <c r="C9" s="289" t="s">
        <v>4</v>
      </c>
      <c r="D9" s="290"/>
    </row>
    <row r="10" spans="1:11" ht="16.5" thickBot="1" x14ac:dyDescent="0.3">
      <c r="A10" s="149"/>
      <c r="B10" s="84" t="s">
        <v>5</v>
      </c>
      <c r="C10" s="291"/>
      <c r="D10" s="292"/>
    </row>
    <row r="11" spans="1:11" ht="64.5" customHeight="1" thickBot="1" x14ac:dyDescent="0.3">
      <c r="A11" s="154" t="s">
        <v>503</v>
      </c>
      <c r="B11" s="155" t="s">
        <v>501</v>
      </c>
      <c r="C11" s="295">
        <f>10.4</f>
        <v>10.4</v>
      </c>
      <c r="D11" s="296"/>
      <c r="K11" s="146"/>
    </row>
    <row r="12" spans="1:11" ht="48" thickBot="1" x14ac:dyDescent="0.3">
      <c r="A12" s="150" t="s">
        <v>7</v>
      </c>
      <c r="B12" s="36" t="s">
        <v>209</v>
      </c>
      <c r="C12" s="293">
        <f>C11*0.2359</f>
        <v>2.45336</v>
      </c>
      <c r="D12" s="294"/>
    </row>
    <row r="13" spans="1:11" ht="16.5" thickBot="1" x14ac:dyDescent="0.3">
      <c r="A13" s="150"/>
      <c r="B13" s="38" t="s">
        <v>9</v>
      </c>
      <c r="C13" s="285">
        <f>SUM(C11:D12)</f>
        <v>12.85336</v>
      </c>
      <c r="D13" s="286"/>
      <c r="E13" s="39"/>
    </row>
    <row r="14" spans="1:11" ht="16.5" thickBot="1" x14ac:dyDescent="0.3">
      <c r="A14" s="150"/>
      <c r="B14" s="38" t="s">
        <v>10</v>
      </c>
      <c r="C14" s="285"/>
      <c r="D14" s="286"/>
    </row>
    <row r="15" spans="1:11" ht="142.5" thickBot="1" x14ac:dyDescent="0.3">
      <c r="A15" s="150" t="s">
        <v>12</v>
      </c>
      <c r="B15" s="93" t="s">
        <v>314</v>
      </c>
      <c r="C15" s="283">
        <f>36.4+70.2+2.6</f>
        <v>109.19999999999999</v>
      </c>
      <c r="D15" s="284"/>
    </row>
    <row r="16" spans="1:11" ht="48" thickBot="1" x14ac:dyDescent="0.3">
      <c r="A16" s="150" t="s">
        <v>15</v>
      </c>
      <c r="B16" s="36" t="s">
        <v>504</v>
      </c>
      <c r="C16" s="285">
        <f>35/990*260</f>
        <v>9.191919191919192</v>
      </c>
      <c r="D16" s="286"/>
    </row>
    <row r="17" spans="1:5" ht="16.5" thickBot="1" x14ac:dyDescent="0.3">
      <c r="A17" s="151"/>
      <c r="B17" s="34" t="s">
        <v>18</v>
      </c>
      <c r="C17" s="285">
        <f>SUM(C15:C16)</f>
        <v>118.39191919191919</v>
      </c>
      <c r="D17" s="286"/>
      <c r="E17" s="40"/>
    </row>
    <row r="18" spans="1:5" ht="16.5" thickBot="1" x14ac:dyDescent="0.3">
      <c r="A18" s="152"/>
      <c r="B18" s="153" t="s">
        <v>19</v>
      </c>
      <c r="C18" s="287">
        <f>SUM(C13,C17)</f>
        <v>131.2452791919192</v>
      </c>
      <c r="D18" s="288"/>
      <c r="E18" s="42"/>
    </row>
    <row r="19" spans="1:5" x14ac:dyDescent="0.25">
      <c r="A19" s="43"/>
      <c r="C19" s="8"/>
      <c r="E19" s="13"/>
    </row>
    <row r="20" spans="1:5" ht="15.75" x14ac:dyDescent="0.25">
      <c r="A20" s="213" t="s">
        <v>20</v>
      </c>
      <c r="B20" s="214"/>
      <c r="C20" s="224">
        <v>260</v>
      </c>
      <c r="D20" s="224"/>
      <c r="E20" s="44"/>
    </row>
    <row r="21" spans="1:5" ht="33" customHeight="1" x14ac:dyDescent="0.25">
      <c r="A21" s="215" t="s">
        <v>28</v>
      </c>
      <c r="B21" s="216"/>
      <c r="C21" s="282">
        <f>C18/C20</f>
        <v>0.50478953535353532</v>
      </c>
      <c r="D21" s="282"/>
      <c r="E21" s="45"/>
    </row>
    <row r="22" spans="1:5" ht="15.75" x14ac:dyDescent="0.25">
      <c r="A22" s="46"/>
    </row>
    <row r="23" spans="1:5" x14ac:dyDescent="0.25">
      <c r="A23" s="78"/>
      <c r="B23" s="78"/>
      <c r="C23" s="203"/>
      <c r="D23" s="203"/>
    </row>
    <row r="24" spans="1:5" x14ac:dyDescent="0.25">
      <c r="A24" s="78"/>
      <c r="B24" s="78"/>
      <c r="C24" s="79"/>
      <c r="D24" s="78"/>
    </row>
    <row r="25" spans="1:5" x14ac:dyDescent="0.25">
      <c r="A25" s="78"/>
      <c r="B25" s="78"/>
      <c r="C25" s="203"/>
      <c r="D25" s="203"/>
    </row>
    <row r="26" spans="1:5" x14ac:dyDescent="0.25">
      <c r="A26" s="78"/>
      <c r="B26" s="78"/>
      <c r="C26" s="78"/>
      <c r="D26" s="78"/>
    </row>
    <row r="27" spans="1:5" x14ac:dyDescent="0.25">
      <c r="A27" s="202"/>
      <c r="B27" s="202"/>
      <c r="C27" s="80"/>
      <c r="D27" s="80"/>
    </row>
    <row r="28" spans="1:5" x14ac:dyDescent="0.25">
      <c r="A28" s="201"/>
      <c r="B28" s="202"/>
      <c r="C28" s="80"/>
      <c r="D28" s="80"/>
    </row>
    <row r="29" spans="1:5" x14ac:dyDescent="0.25">
      <c r="A29" s="57"/>
      <c r="B29" s="80"/>
      <c r="C29" s="81"/>
      <c r="D29" s="81"/>
    </row>
    <row r="30" spans="1:5" x14ac:dyDescent="0.25">
      <c r="A30" s="201"/>
      <c r="B30" s="201"/>
      <c r="C30" s="81"/>
      <c r="D30" s="81"/>
    </row>
  </sheetData>
  <mergeCells count="23">
    <mergeCell ref="C14:D14"/>
    <mergeCell ref="C10:D10"/>
    <mergeCell ref="C12:D12"/>
    <mergeCell ref="C13:D13"/>
    <mergeCell ref="C11:D11"/>
    <mergeCell ref="A2:D2"/>
    <mergeCell ref="A4:D4"/>
    <mergeCell ref="A6:D6"/>
    <mergeCell ref="A8:D8"/>
    <mergeCell ref="C9:D9"/>
    <mergeCell ref="A21:B21"/>
    <mergeCell ref="C21:D21"/>
    <mergeCell ref="C15:D15"/>
    <mergeCell ref="C16:D16"/>
    <mergeCell ref="C17:D17"/>
    <mergeCell ref="C18:D18"/>
    <mergeCell ref="A20:B20"/>
    <mergeCell ref="C20:D20"/>
    <mergeCell ref="C23:D23"/>
    <mergeCell ref="C25:D25"/>
    <mergeCell ref="A27:B27"/>
    <mergeCell ref="A28:B28"/>
    <mergeCell ref="A30:B30"/>
  </mergeCells>
  <pageMargins left="0.70866141732283472" right="0.70866141732283472" top="0.74803149606299213" bottom="0.74803149606299213" header="0.31496062992125984" footer="0.31496062992125984"/>
  <pageSetup paperSize="9" scale="88" fitToHeight="0" orientation="portrait" r:id="rId1"/>
  <headerFoot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T13" sqref="T13"/>
    </sheetView>
  </sheetViews>
  <sheetFormatPr defaultRowHeight="15" x14ac:dyDescent="0.25"/>
  <sheetData/>
  <pageMargins left="0.70866141732283472" right="0.70866141732283472" top="0.74803149606299213" bottom="0.74803149606299213" header="0.31496062992125984" footer="0.31496062992125984"/>
  <pageSetup paperSize="9" fitToHeight="0" orientation="portrait" verticalDpi="0"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view="pageBreakPreview" zoomScale="60" zoomScaleNormal="100" workbookViewId="0">
      <selection activeCell="T13" sqref="T13"/>
    </sheetView>
  </sheetViews>
  <sheetFormatPr defaultRowHeight="15" x14ac:dyDescent="0.25"/>
  <cols>
    <col min="1" max="1" width="19.5703125" customWidth="1"/>
    <col min="2" max="2" width="52.42578125" customWidth="1"/>
    <col min="3" max="3" width="12.7109375" style="7" customWidth="1"/>
    <col min="4" max="4" width="11.85546875" customWidth="1"/>
    <col min="5" max="5" width="25.85546875" style="9" customWidth="1"/>
    <col min="8" max="8" width="7.42578125" bestFit="1" customWidth="1"/>
    <col min="257" max="257" width="19.5703125" customWidth="1"/>
    <col min="258" max="258" width="52.42578125" customWidth="1"/>
    <col min="259" max="259" width="18.42578125" customWidth="1"/>
    <col min="261" max="261" width="25.85546875" customWidth="1"/>
    <col min="264" max="264" width="7.42578125" bestFit="1" customWidth="1"/>
    <col min="513" max="513" width="19.5703125" customWidth="1"/>
    <col min="514" max="514" width="52.42578125" customWidth="1"/>
    <col min="515" max="515" width="18.42578125" customWidth="1"/>
    <col min="517" max="517" width="25.85546875" customWidth="1"/>
    <col min="520" max="520" width="7.42578125" bestFit="1" customWidth="1"/>
    <col min="769" max="769" width="19.5703125" customWidth="1"/>
    <col min="770" max="770" width="52.42578125" customWidth="1"/>
    <col min="771" max="771" width="18.42578125" customWidth="1"/>
    <col min="773" max="773" width="25.85546875" customWidth="1"/>
    <col min="776" max="776" width="7.42578125" bestFit="1" customWidth="1"/>
    <col min="1025" max="1025" width="19.5703125" customWidth="1"/>
    <col min="1026" max="1026" width="52.42578125" customWidth="1"/>
    <col min="1027" max="1027" width="18.42578125" customWidth="1"/>
    <col min="1029" max="1029" width="25.85546875" customWidth="1"/>
    <col min="1032" max="1032" width="7.42578125" bestFit="1" customWidth="1"/>
    <col min="1281" max="1281" width="19.5703125" customWidth="1"/>
    <col min="1282" max="1282" width="52.42578125" customWidth="1"/>
    <col min="1283" max="1283" width="18.42578125" customWidth="1"/>
    <col min="1285" max="1285" width="25.85546875" customWidth="1"/>
    <col min="1288" max="1288" width="7.42578125" bestFit="1" customWidth="1"/>
    <col min="1537" max="1537" width="19.5703125" customWidth="1"/>
    <col min="1538" max="1538" width="52.42578125" customWidth="1"/>
    <col min="1539" max="1539" width="18.42578125" customWidth="1"/>
    <col min="1541" max="1541" width="25.85546875" customWidth="1"/>
    <col min="1544" max="1544" width="7.42578125" bestFit="1" customWidth="1"/>
    <col min="1793" max="1793" width="19.5703125" customWidth="1"/>
    <col min="1794" max="1794" width="52.42578125" customWidth="1"/>
    <col min="1795" max="1795" width="18.42578125" customWidth="1"/>
    <col min="1797" max="1797" width="25.85546875" customWidth="1"/>
    <col min="1800" max="1800" width="7.42578125" bestFit="1" customWidth="1"/>
    <col min="2049" max="2049" width="19.5703125" customWidth="1"/>
    <col min="2050" max="2050" width="52.42578125" customWidth="1"/>
    <col min="2051" max="2051" width="18.42578125" customWidth="1"/>
    <col min="2053" max="2053" width="25.85546875" customWidth="1"/>
    <col min="2056" max="2056" width="7.42578125" bestFit="1" customWidth="1"/>
    <col min="2305" max="2305" width="19.5703125" customWidth="1"/>
    <col min="2306" max="2306" width="52.42578125" customWidth="1"/>
    <col min="2307" max="2307" width="18.42578125" customWidth="1"/>
    <col min="2309" max="2309" width="25.85546875" customWidth="1"/>
    <col min="2312" max="2312" width="7.42578125" bestFit="1" customWidth="1"/>
    <col min="2561" max="2561" width="19.5703125" customWidth="1"/>
    <col min="2562" max="2562" width="52.42578125" customWidth="1"/>
    <col min="2563" max="2563" width="18.42578125" customWidth="1"/>
    <col min="2565" max="2565" width="25.85546875" customWidth="1"/>
    <col min="2568" max="2568" width="7.42578125" bestFit="1" customWidth="1"/>
    <col min="2817" max="2817" width="19.5703125" customWidth="1"/>
    <col min="2818" max="2818" width="52.42578125" customWidth="1"/>
    <col min="2819" max="2819" width="18.42578125" customWidth="1"/>
    <col min="2821" max="2821" width="25.85546875" customWidth="1"/>
    <col min="2824" max="2824" width="7.42578125" bestFit="1" customWidth="1"/>
    <col min="3073" max="3073" width="19.5703125" customWidth="1"/>
    <col min="3074" max="3074" width="52.42578125" customWidth="1"/>
    <col min="3075" max="3075" width="18.42578125" customWidth="1"/>
    <col min="3077" max="3077" width="25.85546875" customWidth="1"/>
    <col min="3080" max="3080" width="7.42578125" bestFit="1" customWidth="1"/>
    <col min="3329" max="3329" width="19.5703125" customWidth="1"/>
    <col min="3330" max="3330" width="52.42578125" customWidth="1"/>
    <col min="3331" max="3331" width="18.42578125" customWidth="1"/>
    <col min="3333" max="3333" width="25.85546875" customWidth="1"/>
    <col min="3336" max="3336" width="7.42578125" bestFit="1" customWidth="1"/>
    <col min="3585" max="3585" width="19.5703125" customWidth="1"/>
    <col min="3586" max="3586" width="52.42578125" customWidth="1"/>
    <col min="3587" max="3587" width="18.42578125" customWidth="1"/>
    <col min="3589" max="3589" width="25.85546875" customWidth="1"/>
    <col min="3592" max="3592" width="7.42578125" bestFit="1" customWidth="1"/>
    <col min="3841" max="3841" width="19.5703125" customWidth="1"/>
    <col min="3842" max="3842" width="52.42578125" customWidth="1"/>
    <col min="3843" max="3843" width="18.42578125" customWidth="1"/>
    <col min="3845" max="3845" width="25.85546875" customWidth="1"/>
    <col min="3848" max="3848" width="7.42578125" bestFit="1" customWidth="1"/>
    <col min="4097" max="4097" width="19.5703125" customWidth="1"/>
    <col min="4098" max="4098" width="52.42578125" customWidth="1"/>
    <col min="4099" max="4099" width="18.42578125" customWidth="1"/>
    <col min="4101" max="4101" width="25.85546875" customWidth="1"/>
    <col min="4104" max="4104" width="7.42578125" bestFit="1" customWidth="1"/>
    <col min="4353" max="4353" width="19.5703125" customWidth="1"/>
    <col min="4354" max="4354" width="52.42578125" customWidth="1"/>
    <col min="4355" max="4355" width="18.42578125" customWidth="1"/>
    <col min="4357" max="4357" width="25.85546875" customWidth="1"/>
    <col min="4360" max="4360" width="7.42578125" bestFit="1" customWidth="1"/>
    <col min="4609" max="4609" width="19.5703125" customWidth="1"/>
    <col min="4610" max="4610" width="52.42578125" customWidth="1"/>
    <col min="4611" max="4611" width="18.42578125" customWidth="1"/>
    <col min="4613" max="4613" width="25.85546875" customWidth="1"/>
    <col min="4616" max="4616" width="7.42578125" bestFit="1" customWidth="1"/>
    <col min="4865" max="4865" width="19.5703125" customWidth="1"/>
    <col min="4866" max="4866" width="52.42578125" customWidth="1"/>
    <col min="4867" max="4867" width="18.42578125" customWidth="1"/>
    <col min="4869" max="4869" width="25.85546875" customWidth="1"/>
    <col min="4872" max="4872" width="7.42578125" bestFit="1" customWidth="1"/>
    <col min="5121" max="5121" width="19.5703125" customWidth="1"/>
    <col min="5122" max="5122" width="52.42578125" customWidth="1"/>
    <col min="5123" max="5123" width="18.42578125" customWidth="1"/>
    <col min="5125" max="5125" width="25.85546875" customWidth="1"/>
    <col min="5128" max="5128" width="7.42578125" bestFit="1" customWidth="1"/>
    <col min="5377" max="5377" width="19.5703125" customWidth="1"/>
    <col min="5378" max="5378" width="52.42578125" customWidth="1"/>
    <col min="5379" max="5379" width="18.42578125" customWidth="1"/>
    <col min="5381" max="5381" width="25.85546875" customWidth="1"/>
    <col min="5384" max="5384" width="7.42578125" bestFit="1" customWidth="1"/>
    <col min="5633" max="5633" width="19.5703125" customWidth="1"/>
    <col min="5634" max="5634" width="52.42578125" customWidth="1"/>
    <col min="5635" max="5635" width="18.42578125" customWidth="1"/>
    <col min="5637" max="5637" width="25.85546875" customWidth="1"/>
    <col min="5640" max="5640" width="7.42578125" bestFit="1" customWidth="1"/>
    <col min="5889" max="5889" width="19.5703125" customWidth="1"/>
    <col min="5890" max="5890" width="52.42578125" customWidth="1"/>
    <col min="5891" max="5891" width="18.42578125" customWidth="1"/>
    <col min="5893" max="5893" width="25.85546875" customWidth="1"/>
    <col min="5896" max="5896" width="7.42578125" bestFit="1" customWidth="1"/>
    <col min="6145" max="6145" width="19.5703125" customWidth="1"/>
    <col min="6146" max="6146" width="52.42578125" customWidth="1"/>
    <col min="6147" max="6147" width="18.42578125" customWidth="1"/>
    <col min="6149" max="6149" width="25.85546875" customWidth="1"/>
    <col min="6152" max="6152" width="7.42578125" bestFit="1" customWidth="1"/>
    <col min="6401" max="6401" width="19.5703125" customWidth="1"/>
    <col min="6402" max="6402" width="52.42578125" customWidth="1"/>
    <col min="6403" max="6403" width="18.42578125" customWidth="1"/>
    <col min="6405" max="6405" width="25.85546875" customWidth="1"/>
    <col min="6408" max="6408" width="7.42578125" bestFit="1" customWidth="1"/>
    <col min="6657" max="6657" width="19.5703125" customWidth="1"/>
    <col min="6658" max="6658" width="52.42578125" customWidth="1"/>
    <col min="6659" max="6659" width="18.42578125" customWidth="1"/>
    <col min="6661" max="6661" width="25.85546875" customWidth="1"/>
    <col min="6664" max="6664" width="7.42578125" bestFit="1" customWidth="1"/>
    <col min="6913" max="6913" width="19.5703125" customWidth="1"/>
    <col min="6914" max="6914" width="52.42578125" customWidth="1"/>
    <col min="6915" max="6915" width="18.42578125" customWidth="1"/>
    <col min="6917" max="6917" width="25.85546875" customWidth="1"/>
    <col min="6920" max="6920" width="7.42578125" bestFit="1" customWidth="1"/>
    <col min="7169" max="7169" width="19.5703125" customWidth="1"/>
    <col min="7170" max="7170" width="52.42578125" customWidth="1"/>
    <col min="7171" max="7171" width="18.42578125" customWidth="1"/>
    <col min="7173" max="7173" width="25.85546875" customWidth="1"/>
    <col min="7176" max="7176" width="7.42578125" bestFit="1" customWidth="1"/>
    <col min="7425" max="7425" width="19.5703125" customWidth="1"/>
    <col min="7426" max="7426" width="52.42578125" customWidth="1"/>
    <col min="7427" max="7427" width="18.42578125" customWidth="1"/>
    <col min="7429" max="7429" width="25.85546875" customWidth="1"/>
    <col min="7432" max="7432" width="7.42578125" bestFit="1" customWidth="1"/>
    <col min="7681" max="7681" width="19.5703125" customWidth="1"/>
    <col min="7682" max="7682" width="52.42578125" customWidth="1"/>
    <col min="7683" max="7683" width="18.42578125" customWidth="1"/>
    <col min="7685" max="7685" width="25.85546875" customWidth="1"/>
    <col min="7688" max="7688" width="7.42578125" bestFit="1" customWidth="1"/>
    <col min="7937" max="7937" width="19.5703125" customWidth="1"/>
    <col min="7938" max="7938" width="52.42578125" customWidth="1"/>
    <col min="7939" max="7939" width="18.42578125" customWidth="1"/>
    <col min="7941" max="7941" width="25.85546875" customWidth="1"/>
    <col min="7944" max="7944" width="7.42578125" bestFit="1" customWidth="1"/>
    <col min="8193" max="8193" width="19.5703125" customWidth="1"/>
    <col min="8194" max="8194" width="52.42578125" customWidth="1"/>
    <col min="8195" max="8195" width="18.42578125" customWidth="1"/>
    <col min="8197" max="8197" width="25.85546875" customWidth="1"/>
    <col min="8200" max="8200" width="7.42578125" bestFit="1" customWidth="1"/>
    <col min="8449" max="8449" width="19.5703125" customWidth="1"/>
    <col min="8450" max="8450" width="52.42578125" customWidth="1"/>
    <col min="8451" max="8451" width="18.42578125" customWidth="1"/>
    <col min="8453" max="8453" width="25.85546875" customWidth="1"/>
    <col min="8456" max="8456" width="7.42578125" bestFit="1" customWidth="1"/>
    <col min="8705" max="8705" width="19.5703125" customWidth="1"/>
    <col min="8706" max="8706" width="52.42578125" customWidth="1"/>
    <col min="8707" max="8707" width="18.42578125" customWidth="1"/>
    <col min="8709" max="8709" width="25.85546875" customWidth="1"/>
    <col min="8712" max="8712" width="7.42578125" bestFit="1" customWidth="1"/>
    <col min="8961" max="8961" width="19.5703125" customWidth="1"/>
    <col min="8962" max="8962" width="52.42578125" customWidth="1"/>
    <col min="8963" max="8963" width="18.42578125" customWidth="1"/>
    <col min="8965" max="8965" width="25.85546875" customWidth="1"/>
    <col min="8968" max="8968" width="7.42578125" bestFit="1" customWidth="1"/>
    <col min="9217" max="9217" width="19.5703125" customWidth="1"/>
    <col min="9218" max="9218" width="52.42578125" customWidth="1"/>
    <col min="9219" max="9219" width="18.42578125" customWidth="1"/>
    <col min="9221" max="9221" width="25.85546875" customWidth="1"/>
    <col min="9224" max="9224" width="7.42578125" bestFit="1" customWidth="1"/>
    <col min="9473" max="9473" width="19.5703125" customWidth="1"/>
    <col min="9474" max="9474" width="52.42578125" customWidth="1"/>
    <col min="9475" max="9475" width="18.42578125" customWidth="1"/>
    <col min="9477" max="9477" width="25.85546875" customWidth="1"/>
    <col min="9480" max="9480" width="7.42578125" bestFit="1" customWidth="1"/>
    <col min="9729" max="9729" width="19.5703125" customWidth="1"/>
    <col min="9730" max="9730" width="52.42578125" customWidth="1"/>
    <col min="9731" max="9731" width="18.42578125" customWidth="1"/>
    <col min="9733" max="9733" width="25.85546875" customWidth="1"/>
    <col min="9736" max="9736" width="7.42578125" bestFit="1" customWidth="1"/>
    <col min="9985" max="9985" width="19.5703125" customWidth="1"/>
    <col min="9986" max="9986" width="52.42578125" customWidth="1"/>
    <col min="9987" max="9987" width="18.42578125" customWidth="1"/>
    <col min="9989" max="9989" width="25.85546875" customWidth="1"/>
    <col min="9992" max="9992" width="7.42578125" bestFit="1" customWidth="1"/>
    <col min="10241" max="10241" width="19.5703125" customWidth="1"/>
    <col min="10242" max="10242" width="52.42578125" customWidth="1"/>
    <col min="10243" max="10243" width="18.42578125" customWidth="1"/>
    <col min="10245" max="10245" width="25.85546875" customWidth="1"/>
    <col min="10248" max="10248" width="7.42578125" bestFit="1" customWidth="1"/>
    <col min="10497" max="10497" width="19.5703125" customWidth="1"/>
    <col min="10498" max="10498" width="52.42578125" customWidth="1"/>
    <col min="10499" max="10499" width="18.42578125" customWidth="1"/>
    <col min="10501" max="10501" width="25.85546875" customWidth="1"/>
    <col min="10504" max="10504" width="7.42578125" bestFit="1" customWidth="1"/>
    <col min="10753" max="10753" width="19.5703125" customWidth="1"/>
    <col min="10754" max="10754" width="52.42578125" customWidth="1"/>
    <col min="10755" max="10755" width="18.42578125" customWidth="1"/>
    <col min="10757" max="10757" width="25.85546875" customWidth="1"/>
    <col min="10760" max="10760" width="7.42578125" bestFit="1" customWidth="1"/>
    <col min="11009" max="11009" width="19.5703125" customWidth="1"/>
    <col min="11010" max="11010" width="52.42578125" customWidth="1"/>
    <col min="11011" max="11011" width="18.42578125" customWidth="1"/>
    <col min="11013" max="11013" width="25.85546875" customWidth="1"/>
    <col min="11016" max="11016" width="7.42578125" bestFit="1" customWidth="1"/>
    <col min="11265" max="11265" width="19.5703125" customWidth="1"/>
    <col min="11266" max="11266" width="52.42578125" customWidth="1"/>
    <col min="11267" max="11267" width="18.42578125" customWidth="1"/>
    <col min="11269" max="11269" width="25.85546875" customWidth="1"/>
    <col min="11272" max="11272" width="7.42578125" bestFit="1" customWidth="1"/>
    <col min="11521" max="11521" width="19.5703125" customWidth="1"/>
    <col min="11522" max="11522" width="52.42578125" customWidth="1"/>
    <col min="11523" max="11523" width="18.42578125" customWidth="1"/>
    <col min="11525" max="11525" width="25.85546875" customWidth="1"/>
    <col min="11528" max="11528" width="7.42578125" bestFit="1" customWidth="1"/>
    <col min="11777" max="11777" width="19.5703125" customWidth="1"/>
    <col min="11778" max="11778" width="52.42578125" customWidth="1"/>
    <col min="11779" max="11779" width="18.42578125" customWidth="1"/>
    <col min="11781" max="11781" width="25.85546875" customWidth="1"/>
    <col min="11784" max="11784" width="7.42578125" bestFit="1" customWidth="1"/>
    <col min="12033" max="12033" width="19.5703125" customWidth="1"/>
    <col min="12034" max="12034" width="52.42578125" customWidth="1"/>
    <col min="12035" max="12035" width="18.42578125" customWidth="1"/>
    <col min="12037" max="12037" width="25.85546875" customWidth="1"/>
    <col min="12040" max="12040" width="7.42578125" bestFit="1" customWidth="1"/>
    <col min="12289" max="12289" width="19.5703125" customWidth="1"/>
    <col min="12290" max="12290" width="52.42578125" customWidth="1"/>
    <col min="12291" max="12291" width="18.42578125" customWidth="1"/>
    <col min="12293" max="12293" width="25.85546875" customWidth="1"/>
    <col min="12296" max="12296" width="7.42578125" bestFit="1" customWidth="1"/>
    <col min="12545" max="12545" width="19.5703125" customWidth="1"/>
    <col min="12546" max="12546" width="52.42578125" customWidth="1"/>
    <col min="12547" max="12547" width="18.42578125" customWidth="1"/>
    <col min="12549" max="12549" width="25.85546875" customWidth="1"/>
    <col min="12552" max="12552" width="7.42578125" bestFit="1" customWidth="1"/>
    <col min="12801" max="12801" width="19.5703125" customWidth="1"/>
    <col min="12802" max="12802" width="52.42578125" customWidth="1"/>
    <col min="12803" max="12803" width="18.42578125" customWidth="1"/>
    <col min="12805" max="12805" width="25.85546875" customWidth="1"/>
    <col min="12808" max="12808" width="7.42578125" bestFit="1" customWidth="1"/>
    <col min="13057" max="13057" width="19.5703125" customWidth="1"/>
    <col min="13058" max="13058" width="52.42578125" customWidth="1"/>
    <col min="13059" max="13059" width="18.42578125" customWidth="1"/>
    <col min="13061" max="13061" width="25.85546875" customWidth="1"/>
    <col min="13064" max="13064" width="7.42578125" bestFit="1" customWidth="1"/>
    <col min="13313" max="13313" width="19.5703125" customWidth="1"/>
    <col min="13314" max="13314" width="52.42578125" customWidth="1"/>
    <col min="13315" max="13315" width="18.42578125" customWidth="1"/>
    <col min="13317" max="13317" width="25.85546875" customWidth="1"/>
    <col min="13320" max="13320" width="7.42578125" bestFit="1" customWidth="1"/>
    <col min="13569" max="13569" width="19.5703125" customWidth="1"/>
    <col min="13570" max="13570" width="52.42578125" customWidth="1"/>
    <col min="13571" max="13571" width="18.42578125" customWidth="1"/>
    <col min="13573" max="13573" width="25.85546875" customWidth="1"/>
    <col min="13576" max="13576" width="7.42578125" bestFit="1" customWidth="1"/>
    <col min="13825" max="13825" width="19.5703125" customWidth="1"/>
    <col min="13826" max="13826" width="52.42578125" customWidth="1"/>
    <col min="13827" max="13827" width="18.42578125" customWidth="1"/>
    <col min="13829" max="13829" width="25.85546875" customWidth="1"/>
    <col min="13832" max="13832" width="7.42578125" bestFit="1" customWidth="1"/>
    <col min="14081" max="14081" width="19.5703125" customWidth="1"/>
    <col min="14082" max="14082" width="52.42578125" customWidth="1"/>
    <col min="14083" max="14083" width="18.42578125" customWidth="1"/>
    <col min="14085" max="14085" width="25.85546875" customWidth="1"/>
    <col min="14088" max="14088" width="7.42578125" bestFit="1" customWidth="1"/>
    <col min="14337" max="14337" width="19.5703125" customWidth="1"/>
    <col min="14338" max="14338" width="52.42578125" customWidth="1"/>
    <col min="14339" max="14339" width="18.42578125" customWidth="1"/>
    <col min="14341" max="14341" width="25.85546875" customWidth="1"/>
    <col min="14344" max="14344" width="7.42578125" bestFit="1" customWidth="1"/>
    <col min="14593" max="14593" width="19.5703125" customWidth="1"/>
    <col min="14594" max="14594" width="52.42578125" customWidth="1"/>
    <col min="14595" max="14595" width="18.42578125" customWidth="1"/>
    <col min="14597" max="14597" width="25.85546875" customWidth="1"/>
    <col min="14600" max="14600" width="7.42578125" bestFit="1" customWidth="1"/>
    <col min="14849" max="14849" width="19.5703125" customWidth="1"/>
    <col min="14850" max="14850" width="52.42578125" customWidth="1"/>
    <col min="14851" max="14851" width="18.42578125" customWidth="1"/>
    <col min="14853" max="14853" width="25.85546875" customWidth="1"/>
    <col min="14856" max="14856" width="7.42578125" bestFit="1" customWidth="1"/>
    <col min="15105" max="15105" width="19.5703125" customWidth="1"/>
    <col min="15106" max="15106" width="52.42578125" customWidth="1"/>
    <col min="15107" max="15107" width="18.42578125" customWidth="1"/>
    <col min="15109" max="15109" width="25.85546875" customWidth="1"/>
    <col min="15112" max="15112" width="7.42578125" bestFit="1" customWidth="1"/>
    <col min="15361" max="15361" width="19.5703125" customWidth="1"/>
    <col min="15362" max="15362" width="52.42578125" customWidth="1"/>
    <col min="15363" max="15363" width="18.42578125" customWidth="1"/>
    <col min="15365" max="15365" width="25.85546875" customWidth="1"/>
    <col min="15368" max="15368" width="7.42578125" bestFit="1" customWidth="1"/>
    <col min="15617" max="15617" width="19.5703125" customWidth="1"/>
    <col min="15618" max="15618" width="52.42578125" customWidth="1"/>
    <col min="15619" max="15619" width="18.42578125" customWidth="1"/>
    <col min="15621" max="15621" width="25.85546875" customWidth="1"/>
    <col min="15624" max="15624" width="7.42578125" bestFit="1" customWidth="1"/>
    <col min="15873" max="15873" width="19.5703125" customWidth="1"/>
    <col min="15874" max="15874" width="52.42578125" customWidth="1"/>
    <col min="15875" max="15875" width="18.42578125" customWidth="1"/>
    <col min="15877" max="15877" width="25.85546875" customWidth="1"/>
    <col min="15880" max="15880" width="7.42578125" bestFit="1" customWidth="1"/>
    <col min="16129" max="16129" width="19.5703125" customWidth="1"/>
    <col min="16130" max="16130" width="52.42578125" customWidth="1"/>
    <col min="16131" max="16131" width="18.42578125" customWidth="1"/>
    <col min="16133" max="16133" width="25.85546875" customWidth="1"/>
    <col min="16136" max="16136" width="7.42578125" bestFit="1" customWidth="1"/>
  </cols>
  <sheetData>
    <row r="1" spans="1:5" ht="14.45" customHeight="1" x14ac:dyDescent="0.25">
      <c r="A1" s="217" t="s">
        <v>0</v>
      </c>
      <c r="B1" s="217"/>
      <c r="C1" s="217"/>
      <c r="D1" s="217"/>
    </row>
    <row r="2" spans="1:5" ht="15.75" x14ac:dyDescent="0.25">
      <c r="D2" s="29"/>
    </row>
    <row r="3" spans="1:5" ht="17.25" customHeight="1" x14ac:dyDescent="0.25">
      <c r="A3" s="281" t="s">
        <v>26</v>
      </c>
      <c r="B3" s="281"/>
      <c r="C3" s="281"/>
      <c r="D3" s="281"/>
    </row>
    <row r="4" spans="1:5" ht="17.25" customHeight="1" x14ac:dyDescent="0.25">
      <c r="A4" s="160"/>
      <c r="B4" s="160"/>
      <c r="C4" s="160"/>
      <c r="D4" s="160"/>
    </row>
    <row r="5" spans="1:5" s="59" customFormat="1" ht="51.75" customHeight="1" x14ac:dyDescent="0.25">
      <c r="A5" s="218" t="s">
        <v>241</v>
      </c>
      <c r="B5" s="218"/>
      <c r="C5" s="218"/>
      <c r="D5" s="218"/>
      <c r="E5" s="58"/>
    </row>
    <row r="6" spans="1:5" s="59" customFormat="1" ht="12.75" customHeight="1" x14ac:dyDescent="0.25">
      <c r="A6" s="158"/>
      <c r="B6" s="158"/>
      <c r="C6" s="158"/>
      <c r="D6" s="158"/>
      <c r="E6" s="58"/>
    </row>
    <row r="7" spans="1:5" ht="16.5" thickBot="1" x14ac:dyDescent="0.3">
      <c r="A7" s="219" t="s">
        <v>27</v>
      </c>
      <c r="B7" s="219"/>
      <c r="C7" s="219"/>
      <c r="D7" s="219"/>
    </row>
    <row r="8" spans="1:5" ht="75.75" customHeight="1" thickBot="1" x14ac:dyDescent="0.3">
      <c r="A8" s="31" t="s">
        <v>2</v>
      </c>
      <c r="B8" s="32" t="s">
        <v>3</v>
      </c>
      <c r="C8" s="272" t="s">
        <v>4</v>
      </c>
      <c r="D8" s="273"/>
    </row>
    <row r="9" spans="1:5" ht="16.5" thickBot="1" x14ac:dyDescent="0.3">
      <c r="A9" s="33"/>
      <c r="B9" s="34" t="s">
        <v>5</v>
      </c>
      <c r="C9" s="220"/>
      <c r="D9" s="221"/>
    </row>
    <row r="10" spans="1:5" ht="81" customHeight="1" x14ac:dyDescent="0.25">
      <c r="A10" s="210" t="s">
        <v>6</v>
      </c>
      <c r="B10" s="65" t="s">
        <v>505</v>
      </c>
      <c r="C10" s="204">
        <f>37.8+8.4</f>
        <v>46.199999999999996</v>
      </c>
      <c r="D10" s="205"/>
    </row>
    <row r="11" spans="1:5" ht="64.5" customHeight="1" x14ac:dyDescent="0.25">
      <c r="A11" s="211"/>
      <c r="B11" s="63" t="s">
        <v>506</v>
      </c>
      <c r="C11" s="204"/>
      <c r="D11" s="205"/>
    </row>
    <row r="12" spans="1:5" ht="16.5" thickBot="1" x14ac:dyDescent="0.3">
      <c r="A12" s="212"/>
      <c r="B12" s="36" t="s">
        <v>316</v>
      </c>
      <c r="C12" s="204"/>
      <c r="D12" s="205"/>
    </row>
    <row r="13" spans="1:5" ht="48" thickBot="1" x14ac:dyDescent="0.3">
      <c r="A13" s="37" t="s">
        <v>7</v>
      </c>
      <c r="B13" s="36" t="s">
        <v>209</v>
      </c>
      <c r="C13" s="204">
        <f>C10*0.2359</f>
        <v>10.898579999999999</v>
      </c>
      <c r="D13" s="205"/>
    </row>
    <row r="14" spans="1:5" ht="16.5" thickBot="1" x14ac:dyDescent="0.3">
      <c r="A14" s="37"/>
      <c r="B14" s="38" t="s">
        <v>9</v>
      </c>
      <c r="C14" s="204">
        <f>SUM(C10:D13)</f>
        <v>57.098579999999998</v>
      </c>
      <c r="D14" s="205"/>
      <c r="E14" s="39"/>
    </row>
    <row r="15" spans="1:5" ht="16.5" thickBot="1" x14ac:dyDescent="0.3">
      <c r="A15" s="37"/>
      <c r="B15" s="38" t="s">
        <v>10</v>
      </c>
      <c r="C15" s="204"/>
      <c r="D15" s="205"/>
    </row>
    <row r="16" spans="1:5" ht="142.5" thickBot="1" x14ac:dyDescent="0.3">
      <c r="A16" s="37" t="s">
        <v>12</v>
      </c>
      <c r="B16" s="94" t="s">
        <v>317</v>
      </c>
      <c r="C16" s="222">
        <f>29.4+26.7+1.75</f>
        <v>57.849999999999994</v>
      </c>
      <c r="D16" s="223"/>
    </row>
    <row r="17" spans="1:5" ht="48" thickBot="1" x14ac:dyDescent="0.3">
      <c r="A17" s="37" t="s">
        <v>15</v>
      </c>
      <c r="B17" s="93" t="s">
        <v>315</v>
      </c>
      <c r="C17" s="222">
        <f>100/990*210</f>
        <v>21.212121212121211</v>
      </c>
      <c r="D17" s="223"/>
    </row>
    <row r="18" spans="1:5" ht="32.25" thickBot="1" x14ac:dyDescent="0.3">
      <c r="A18" s="37" t="s">
        <v>23</v>
      </c>
      <c r="B18" s="93" t="s">
        <v>318</v>
      </c>
      <c r="C18" s="222">
        <v>74</v>
      </c>
      <c r="D18" s="223"/>
    </row>
    <row r="19" spans="1:5" ht="16.5" thickBot="1" x14ac:dyDescent="0.3">
      <c r="A19" s="33"/>
      <c r="B19" s="34" t="s">
        <v>18</v>
      </c>
      <c r="C19" s="204">
        <f>SUM(C16:C18)</f>
        <v>153.06212121212121</v>
      </c>
      <c r="D19" s="205"/>
      <c r="E19" s="40"/>
    </row>
    <row r="20" spans="1:5" ht="16.5" thickBot="1" x14ac:dyDescent="0.3">
      <c r="A20" s="33"/>
      <c r="B20" s="41" t="s">
        <v>19</v>
      </c>
      <c r="C20" s="206">
        <f>SUM(C14,C19)</f>
        <v>210.16070121212121</v>
      </c>
      <c r="D20" s="207"/>
      <c r="E20" s="42"/>
    </row>
    <row r="21" spans="1:5" x14ac:dyDescent="0.25">
      <c r="A21" s="43"/>
      <c r="C21" s="8"/>
      <c r="E21" s="13"/>
    </row>
    <row r="22" spans="1:5" ht="15.75" x14ac:dyDescent="0.25">
      <c r="A22" s="213" t="s">
        <v>20</v>
      </c>
      <c r="B22" s="214"/>
      <c r="C22" s="224">
        <v>210</v>
      </c>
      <c r="D22" s="224"/>
      <c r="E22" s="44"/>
    </row>
    <row r="23" spans="1:5" ht="33.75" customHeight="1" x14ac:dyDescent="0.25">
      <c r="A23" s="215" t="s">
        <v>28</v>
      </c>
      <c r="B23" s="216"/>
      <c r="C23" s="297">
        <f>C20/C22</f>
        <v>1.0007652438672439</v>
      </c>
      <c r="D23" s="297"/>
      <c r="E23" s="45"/>
    </row>
    <row r="24" spans="1:5" ht="15.75" x14ac:dyDescent="0.25">
      <c r="A24" s="46"/>
    </row>
    <row r="25" spans="1:5" x14ac:dyDescent="0.25">
      <c r="A25" s="78"/>
      <c r="B25" s="78"/>
      <c r="C25" s="203"/>
      <c r="D25" s="203"/>
    </row>
    <row r="26" spans="1:5" x14ac:dyDescent="0.25">
      <c r="A26" s="78"/>
      <c r="B26" s="78"/>
      <c r="C26" s="79"/>
      <c r="D26" s="78"/>
    </row>
    <row r="27" spans="1:5" x14ac:dyDescent="0.25">
      <c r="A27" s="78"/>
      <c r="B27" s="78"/>
      <c r="C27" s="203"/>
      <c r="D27" s="203"/>
    </row>
    <row r="28" spans="1:5" x14ac:dyDescent="0.25">
      <c r="A28" s="78"/>
      <c r="B28" s="78"/>
      <c r="C28" s="78"/>
      <c r="D28" s="78"/>
    </row>
    <row r="29" spans="1:5" x14ac:dyDescent="0.25">
      <c r="A29" s="202"/>
      <c r="B29" s="202"/>
      <c r="C29" s="80"/>
      <c r="D29" s="80"/>
    </row>
    <row r="30" spans="1:5" x14ac:dyDescent="0.25">
      <c r="A30" s="201"/>
      <c r="B30" s="202"/>
      <c r="C30" s="80"/>
      <c r="D30" s="80"/>
    </row>
    <row r="31" spans="1:5" x14ac:dyDescent="0.25">
      <c r="A31" s="57"/>
      <c r="B31" s="80"/>
      <c r="C31" s="81"/>
      <c r="D31" s="81"/>
    </row>
    <row r="32" spans="1:5" x14ac:dyDescent="0.25">
      <c r="A32" s="201"/>
      <c r="B32" s="201"/>
      <c r="C32" s="81"/>
      <c r="D32" s="81"/>
    </row>
  </sheetData>
  <mergeCells count="25">
    <mergeCell ref="C15:D15"/>
    <mergeCell ref="C9:D9"/>
    <mergeCell ref="A10:A12"/>
    <mergeCell ref="C10:D12"/>
    <mergeCell ref="C13:D13"/>
    <mergeCell ref="C14:D14"/>
    <mergeCell ref="A1:D1"/>
    <mergeCell ref="A3:D3"/>
    <mergeCell ref="A5:D5"/>
    <mergeCell ref="A7:D7"/>
    <mergeCell ref="C8:D8"/>
    <mergeCell ref="A23:B23"/>
    <mergeCell ref="C23:D23"/>
    <mergeCell ref="C16:D16"/>
    <mergeCell ref="C17:D17"/>
    <mergeCell ref="C18:D18"/>
    <mergeCell ref="C19:D19"/>
    <mergeCell ref="C20:D20"/>
    <mergeCell ref="A22:B22"/>
    <mergeCell ref="C22:D22"/>
    <mergeCell ref="C25:D25"/>
    <mergeCell ref="C27:D27"/>
    <mergeCell ref="A29:B29"/>
    <mergeCell ref="A30:B30"/>
    <mergeCell ref="A32:B32"/>
  </mergeCells>
  <pageMargins left="0.70866141732283472" right="0.70866141732283472" top="0.74803149606299213" bottom="0.74803149606299213" header="0.31496062992125984" footer="0.31496062992125984"/>
  <pageSetup paperSize="9" scale="90" fitToHeight="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80</vt:i4>
      </vt:variant>
      <vt:variant>
        <vt:lpstr>Named Ranges</vt:lpstr>
      </vt:variant>
      <vt:variant>
        <vt:i4>77</vt:i4>
      </vt:variant>
    </vt:vector>
  </HeadingPairs>
  <TitlesOfParts>
    <vt:vector size="157" baseType="lpstr">
      <vt:lpstr>Saturs</vt:lpstr>
      <vt:lpstr>1.1.1.1</vt:lpstr>
      <vt:lpstr>1.1.1.2</vt:lpstr>
      <vt:lpstr>1.1.1.3</vt:lpstr>
      <vt:lpstr>1.1.2.1</vt:lpstr>
      <vt:lpstr>1.1.2.2.</vt:lpstr>
      <vt:lpstr>1.1.2.3.</vt:lpstr>
      <vt:lpstr>1.1.3.1.</vt:lpstr>
      <vt:lpstr>1.1.3.2</vt:lpstr>
      <vt:lpstr>1.1.3.3.</vt:lpstr>
      <vt:lpstr>1.1.4.1</vt:lpstr>
      <vt:lpstr>1.1.4.2</vt:lpstr>
      <vt:lpstr>1.1.4.3</vt:lpstr>
      <vt:lpstr>1.1.5.</vt:lpstr>
      <vt:lpstr>1.1.6.1</vt:lpstr>
      <vt:lpstr>1.1.6.2.</vt:lpstr>
      <vt:lpstr>1.1.6.3.</vt:lpstr>
      <vt:lpstr>1.2.1.</vt:lpstr>
      <vt:lpstr>1.2.2.</vt:lpstr>
      <vt:lpstr>1.2.3.</vt:lpstr>
      <vt:lpstr>1.2.4.</vt:lpstr>
      <vt:lpstr>1.3.1.</vt:lpstr>
      <vt:lpstr>1.3.2.</vt:lpstr>
      <vt:lpstr>1.3.3.</vt:lpstr>
      <vt:lpstr>1.3.4.</vt:lpstr>
      <vt:lpstr>2.1.1.</vt:lpstr>
      <vt:lpstr>2.1.2.</vt:lpstr>
      <vt:lpstr>2.1.3</vt:lpstr>
      <vt:lpstr>2.1.4.</vt:lpstr>
      <vt:lpstr>2.1.5</vt:lpstr>
      <vt:lpstr>2.1.6.</vt:lpstr>
      <vt:lpstr>2.1.7</vt:lpstr>
      <vt:lpstr>2.2.1</vt:lpstr>
      <vt:lpstr>2.2.2.</vt:lpstr>
      <vt:lpstr>2.2.3.</vt:lpstr>
      <vt:lpstr>2.2.4.</vt:lpstr>
      <vt:lpstr>2.2.5.</vt:lpstr>
      <vt:lpstr>2.3.1.</vt:lpstr>
      <vt:lpstr>2.3.2</vt:lpstr>
      <vt:lpstr>2.3.3.</vt:lpstr>
      <vt:lpstr>2.3.4.</vt:lpstr>
      <vt:lpstr>3.1.1.</vt:lpstr>
      <vt:lpstr>3.1.2.</vt:lpstr>
      <vt:lpstr>3.1.3.</vt:lpstr>
      <vt:lpstr>3.1.4</vt:lpstr>
      <vt:lpstr>3.1.5.</vt:lpstr>
      <vt:lpstr>3.1.6.</vt:lpstr>
      <vt:lpstr>3.1.7.</vt:lpstr>
      <vt:lpstr>3.2.1.</vt:lpstr>
      <vt:lpstr>3.2.2.</vt:lpstr>
      <vt:lpstr>3.2.3.</vt:lpstr>
      <vt:lpstr>3.2.4.</vt:lpstr>
      <vt:lpstr>3.2.5.</vt:lpstr>
      <vt:lpstr>3.2.6.</vt:lpstr>
      <vt:lpstr>3.2.7.</vt:lpstr>
      <vt:lpstr>3.3.1.</vt:lpstr>
      <vt:lpstr>3.3.2.</vt:lpstr>
      <vt:lpstr>4.1.2.</vt:lpstr>
      <vt:lpstr>4.1.3.</vt:lpstr>
      <vt:lpstr>4.1.4.</vt:lpstr>
      <vt:lpstr>4.1.6.</vt:lpstr>
      <vt:lpstr>4.2.2.</vt:lpstr>
      <vt:lpstr>4.2.3.</vt:lpstr>
      <vt:lpstr>4.2.4</vt:lpstr>
      <vt:lpstr>4.3.2.</vt:lpstr>
      <vt:lpstr>4.3.3.</vt:lpstr>
      <vt:lpstr>4.3.4.</vt:lpstr>
      <vt:lpstr>4.4.1.</vt:lpstr>
      <vt:lpstr>4.4.2.</vt:lpstr>
      <vt:lpstr>5.1.1.</vt:lpstr>
      <vt:lpstr>5.1.2.</vt:lpstr>
      <vt:lpstr>5.1.3.</vt:lpstr>
      <vt:lpstr>5.1.4.</vt:lpstr>
      <vt:lpstr>5.1.5.</vt:lpstr>
      <vt:lpstr>5.1.6.</vt:lpstr>
      <vt:lpstr>5.1.7.</vt:lpstr>
      <vt:lpstr>5.2.</vt:lpstr>
      <vt:lpstr>5.3.</vt:lpstr>
      <vt:lpstr>Sheet1</vt:lpstr>
      <vt:lpstr>Sheet2</vt:lpstr>
      <vt:lpstr>'1.1.1.1'!Print_Area</vt:lpstr>
      <vt:lpstr>'1.1.1.2'!Print_Area</vt:lpstr>
      <vt:lpstr>'1.1.1.3'!Print_Area</vt:lpstr>
      <vt:lpstr>'1.1.2.1'!Print_Area</vt:lpstr>
      <vt:lpstr>'1.1.2.2.'!Print_Area</vt:lpstr>
      <vt:lpstr>'1.1.2.3.'!Print_Area</vt:lpstr>
      <vt:lpstr>'1.1.3.1.'!Print_Area</vt:lpstr>
      <vt:lpstr>'1.1.3.2'!Print_Area</vt:lpstr>
      <vt:lpstr>'1.1.3.3.'!Print_Area</vt:lpstr>
      <vt:lpstr>'1.1.4.1'!Print_Area</vt:lpstr>
      <vt:lpstr>'1.1.4.2'!Print_Area</vt:lpstr>
      <vt:lpstr>'1.1.4.3'!Print_Area</vt:lpstr>
      <vt:lpstr>'1.1.5.'!Print_Area</vt:lpstr>
      <vt:lpstr>'1.1.6.1'!Print_Area</vt:lpstr>
      <vt:lpstr>'1.1.6.2.'!Print_Area</vt:lpstr>
      <vt:lpstr>'1.1.6.3.'!Print_Area</vt:lpstr>
      <vt:lpstr>'1.2.1.'!Print_Area</vt:lpstr>
      <vt:lpstr>'1.2.2.'!Print_Area</vt:lpstr>
      <vt:lpstr>'1.2.3.'!Print_Area</vt:lpstr>
      <vt:lpstr>'1.2.4.'!Print_Area</vt:lpstr>
      <vt:lpstr>'1.3.1.'!Print_Area</vt:lpstr>
      <vt:lpstr>'1.3.2.'!Print_Area</vt:lpstr>
      <vt:lpstr>'1.3.3.'!Print_Area</vt:lpstr>
      <vt:lpstr>'1.3.4.'!Print_Area</vt:lpstr>
      <vt:lpstr>'2.1.1.'!Print_Area</vt:lpstr>
      <vt:lpstr>'2.1.2.'!Print_Area</vt:lpstr>
      <vt:lpstr>'2.1.3'!Print_Area</vt:lpstr>
      <vt:lpstr>'2.1.4.'!Print_Area</vt:lpstr>
      <vt:lpstr>'2.1.5'!Print_Area</vt:lpstr>
      <vt:lpstr>'2.1.6.'!Print_Area</vt:lpstr>
      <vt:lpstr>'2.1.7'!Print_Area</vt:lpstr>
      <vt:lpstr>'2.2.1'!Print_Area</vt:lpstr>
      <vt:lpstr>'2.2.2.'!Print_Area</vt:lpstr>
      <vt:lpstr>'2.2.3.'!Print_Area</vt:lpstr>
      <vt:lpstr>'2.2.4.'!Print_Area</vt:lpstr>
      <vt:lpstr>'2.2.5.'!Print_Area</vt:lpstr>
      <vt:lpstr>'2.3.1.'!Print_Area</vt:lpstr>
      <vt:lpstr>'2.3.2'!Print_Area</vt:lpstr>
      <vt:lpstr>'2.3.3.'!Print_Area</vt:lpstr>
      <vt:lpstr>'2.3.4.'!Print_Area</vt:lpstr>
      <vt:lpstr>'3.1.1.'!Print_Area</vt:lpstr>
      <vt:lpstr>'3.1.2.'!Print_Area</vt:lpstr>
      <vt:lpstr>'3.1.3.'!Print_Area</vt:lpstr>
      <vt:lpstr>'3.1.4'!Print_Area</vt:lpstr>
      <vt:lpstr>'3.1.5.'!Print_Area</vt:lpstr>
      <vt:lpstr>'3.1.6.'!Print_Area</vt:lpstr>
      <vt:lpstr>'3.1.7.'!Print_Area</vt:lpstr>
      <vt:lpstr>'3.2.1.'!Print_Area</vt:lpstr>
      <vt:lpstr>'3.2.2.'!Print_Area</vt:lpstr>
      <vt:lpstr>'3.2.3.'!Print_Area</vt:lpstr>
      <vt:lpstr>'3.2.4.'!Print_Area</vt:lpstr>
      <vt:lpstr>'3.2.5.'!Print_Area</vt:lpstr>
      <vt:lpstr>'3.2.6.'!Print_Area</vt:lpstr>
      <vt:lpstr>'3.2.7.'!Print_Area</vt:lpstr>
      <vt:lpstr>'3.3.1.'!Print_Area</vt:lpstr>
      <vt:lpstr>'3.3.2.'!Print_Area</vt:lpstr>
      <vt:lpstr>'4.1.2.'!Print_Area</vt:lpstr>
      <vt:lpstr>'4.1.3.'!Print_Area</vt:lpstr>
      <vt:lpstr>'4.1.4.'!Print_Area</vt:lpstr>
      <vt:lpstr>'4.1.6.'!Print_Area</vt:lpstr>
      <vt:lpstr>'4.2.2.'!Print_Area</vt:lpstr>
      <vt:lpstr>'4.2.3.'!Print_Area</vt:lpstr>
      <vt:lpstr>'4.2.4'!Print_Area</vt:lpstr>
      <vt:lpstr>'4.3.2.'!Print_Area</vt:lpstr>
      <vt:lpstr>'4.3.3.'!Print_Area</vt:lpstr>
      <vt:lpstr>'4.3.4.'!Print_Area</vt:lpstr>
      <vt:lpstr>'4.4.1.'!Print_Area</vt:lpstr>
      <vt:lpstr>'4.4.2.'!Print_Area</vt:lpstr>
      <vt:lpstr>'5.1.1.'!Print_Area</vt:lpstr>
      <vt:lpstr>'5.1.2.'!Print_Area</vt:lpstr>
      <vt:lpstr>'5.1.3.'!Print_Area</vt:lpstr>
      <vt:lpstr>'5.1.4.'!Print_Area</vt:lpstr>
      <vt:lpstr>'5.1.5.'!Print_Area</vt:lpstr>
      <vt:lpstr>'5.1.6.'!Print_Area</vt:lpstr>
      <vt:lpstr>'5.1.7.'!Print_Area</vt:lpstr>
      <vt:lpstr>'5.2.'!Print_Area</vt:lpstr>
      <vt:lpstr>Saturs!Print_Area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2.pielikums Ministru kabineta noteikumu projekta "Paula Stradiņa vēstures muzeja makas pakalpojumu cenrādis" sākotnējās (ex-ante) ietekmes novērtējums (anotācijai)</dc:title>
  <dc:subject>2.pielikums anotācijai</dc:subject>
  <dc:creator/>
  <dc:description>Ezeriete, 67334301_x000d_
aija.ezeriete@mvm.lv_x000d_
Zandberga, 67876041_x000d_
Lasma.Zandberga@vm.gov.lv</dc:description>
  <cp:lastModifiedBy/>
  <dcterms:created xsi:type="dcterms:W3CDTF">2006-11-28T10:19:26Z</dcterms:created>
  <dcterms:modified xsi:type="dcterms:W3CDTF">2017-07-05T08:49:19Z</dcterms:modified>
</cp:coreProperties>
</file>