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vs-vraa.namejs.lv/Portal/webdav/52515ca7d981e8d326e9c9122405862720170908071650345/"/>
    </mc:Choice>
  </mc:AlternateContent>
  <bookViews>
    <workbookView xWindow="0" yWindow="0" windowWidth="21570" windowHeight="8160"/>
  </bookViews>
  <sheets>
    <sheet name="NIN_MK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7" l="1"/>
  <c r="T30" i="7" l="1"/>
  <c r="S30" i="7" s="1"/>
  <c r="S35" i="7"/>
  <c r="S62" i="7"/>
  <c r="S65" i="7"/>
  <c r="S64" i="7"/>
  <c r="S63" i="7"/>
  <c r="S60" i="7"/>
  <c r="S59" i="7"/>
  <c r="S58" i="7"/>
  <c r="S57" i="7"/>
  <c r="S56" i="7"/>
  <c r="S55" i="7"/>
  <c r="S54" i="7"/>
  <c r="S53" i="7"/>
  <c r="S52" i="7"/>
  <c r="S51" i="7"/>
  <c r="S50" i="7"/>
  <c r="S49" i="7"/>
  <c r="S48" i="7"/>
  <c r="S47" i="7"/>
  <c r="S46" i="7"/>
  <c r="S45" i="7"/>
  <c r="S44" i="7"/>
  <c r="S43" i="7"/>
  <c r="S39" i="7"/>
  <c r="S38" i="7"/>
  <c r="S37" i="7"/>
  <c r="S33" i="7"/>
  <c r="S32" i="7"/>
  <c r="S31" i="7"/>
  <c r="S29" i="7"/>
  <c r="S28" i="7"/>
  <c r="S27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H70" i="7" l="1"/>
  <c r="R71" i="7"/>
  <c r="T75" i="7"/>
  <c r="T26" i="7"/>
  <c r="T36" i="7" l="1"/>
  <c r="T43" i="7"/>
  <c r="T59" i="7"/>
  <c r="T62" i="7"/>
  <c r="T64" i="7"/>
  <c r="T51" i="7"/>
  <c r="T48" i="7"/>
  <c r="T46" i="7"/>
  <c r="T52" i="7"/>
  <c r="T63" i="7"/>
  <c r="T60" i="7"/>
  <c r="T35" i="7"/>
  <c r="S36" i="7" l="1"/>
  <c r="S26" i="7"/>
  <c r="T42" i="7"/>
  <c r="T40" i="7"/>
  <c r="T34" i="7"/>
  <c r="Q69" i="7"/>
  <c r="F74" i="7"/>
  <c r="E74" i="7"/>
  <c r="D74" i="7"/>
  <c r="L71" i="7"/>
  <c r="K71" i="7"/>
  <c r="H71" i="7"/>
  <c r="L70" i="7"/>
  <c r="H72" i="7"/>
  <c r="T68" i="7"/>
  <c r="T67" i="7"/>
  <c r="V66" i="7"/>
  <c r="L66" i="7"/>
  <c r="J66" i="7"/>
  <c r="H66" i="7"/>
  <c r="H69" i="7" s="1"/>
  <c r="Q65" i="7"/>
  <c r="P65" i="7"/>
  <c r="Q64" i="7"/>
  <c r="P64" i="7"/>
  <c r="N64" i="7"/>
  <c r="M64" i="7"/>
  <c r="I64" i="7"/>
  <c r="Q63" i="7"/>
  <c r="P63" i="7"/>
  <c r="N63" i="7"/>
  <c r="I63" i="7"/>
  <c r="M63" i="7" s="1"/>
  <c r="Q62" i="7"/>
  <c r="N62" i="7"/>
  <c r="I62" i="7"/>
  <c r="M62" i="7" s="1"/>
  <c r="N61" i="7"/>
  <c r="I61" i="7"/>
  <c r="M61" i="7" s="1"/>
  <c r="Q60" i="7"/>
  <c r="P60" i="7"/>
  <c r="N60" i="7"/>
  <c r="I60" i="7"/>
  <c r="M60" i="7" s="1"/>
  <c r="Q59" i="7"/>
  <c r="P59" i="7"/>
  <c r="N59" i="7"/>
  <c r="I59" i="7"/>
  <c r="M59" i="7" s="1"/>
  <c r="Q58" i="7"/>
  <c r="P58" i="7"/>
  <c r="N58" i="7"/>
  <c r="I58" i="7"/>
  <c r="M58" i="7" s="1"/>
  <c r="Q57" i="7"/>
  <c r="P57" i="7"/>
  <c r="N57" i="7"/>
  <c r="I57" i="7"/>
  <c r="M57" i="7" s="1"/>
  <c r="Q56" i="7"/>
  <c r="N56" i="7"/>
  <c r="I56" i="7"/>
  <c r="M56" i="7" s="1"/>
  <c r="Q55" i="7"/>
  <c r="P55" i="7"/>
  <c r="N55" i="7"/>
  <c r="M55" i="7"/>
  <c r="I55" i="7"/>
  <c r="Q54" i="7"/>
  <c r="P54" i="7"/>
  <c r="N54" i="7"/>
  <c r="M54" i="7"/>
  <c r="I54" i="7"/>
  <c r="Q53" i="7"/>
  <c r="P53" i="7"/>
  <c r="N53" i="7"/>
  <c r="I53" i="7"/>
  <c r="M53" i="7" s="1"/>
  <c r="Q52" i="7"/>
  <c r="P52" i="7"/>
  <c r="N52" i="7"/>
  <c r="M52" i="7"/>
  <c r="I52" i="7"/>
  <c r="Q51" i="7"/>
  <c r="P51" i="7"/>
  <c r="N51" i="7"/>
  <c r="I51" i="7"/>
  <c r="M51" i="7" s="1"/>
  <c r="Q50" i="7"/>
  <c r="P50" i="7"/>
  <c r="N50" i="7"/>
  <c r="I50" i="7"/>
  <c r="M50" i="7" s="1"/>
  <c r="Q49" i="7"/>
  <c r="P49" i="7"/>
  <c r="N49" i="7"/>
  <c r="M49" i="7"/>
  <c r="I49" i="7"/>
  <c r="Q48" i="7"/>
  <c r="P48" i="7"/>
  <c r="N48" i="7"/>
  <c r="I48" i="7"/>
  <c r="M48" i="7" s="1"/>
  <c r="Q47" i="7"/>
  <c r="P47" i="7"/>
  <c r="N47" i="7"/>
  <c r="M47" i="7"/>
  <c r="I47" i="7"/>
  <c r="Q46" i="7"/>
  <c r="P46" i="7"/>
  <c r="N46" i="7"/>
  <c r="M46" i="7"/>
  <c r="I46" i="7"/>
  <c r="Q45" i="7"/>
  <c r="P45" i="7"/>
  <c r="N45" i="7"/>
  <c r="I45" i="7"/>
  <c r="M45" i="7" s="1"/>
  <c r="Q44" i="7"/>
  <c r="P44" i="7"/>
  <c r="N44" i="7"/>
  <c r="I44" i="7"/>
  <c r="M44" i="7" s="1"/>
  <c r="Q43" i="7"/>
  <c r="P43" i="7"/>
  <c r="P66" i="7" s="1"/>
  <c r="N43" i="7"/>
  <c r="I43" i="7"/>
  <c r="M43" i="7" s="1"/>
  <c r="V41" i="7"/>
  <c r="V69" i="7" s="1"/>
  <c r="K41" i="7"/>
  <c r="K70" i="7" s="1"/>
  <c r="K72" i="7" s="1"/>
  <c r="J41" i="7"/>
  <c r="J69" i="7" s="1"/>
  <c r="G41" i="7"/>
  <c r="G69" i="7" s="1"/>
  <c r="F41" i="7"/>
  <c r="F69" i="7" s="1"/>
  <c r="E41" i="7"/>
  <c r="E69" i="7" s="1"/>
  <c r="N39" i="7"/>
  <c r="M39" i="7"/>
  <c r="I39" i="7"/>
  <c r="N38" i="7"/>
  <c r="M38" i="7"/>
  <c r="I38" i="7"/>
  <c r="N37" i="7"/>
  <c r="M37" i="7"/>
  <c r="I37" i="7"/>
  <c r="Q36" i="7"/>
  <c r="P36" i="7"/>
  <c r="N36" i="7"/>
  <c r="I36" i="7"/>
  <c r="M36" i="7" s="1"/>
  <c r="Q35" i="7"/>
  <c r="N35" i="7"/>
  <c r="I35" i="7"/>
  <c r="M35" i="7" s="1"/>
  <c r="N34" i="7"/>
  <c r="I34" i="7"/>
  <c r="M34" i="7" s="1"/>
  <c r="N33" i="7"/>
  <c r="I33" i="7"/>
  <c r="M33" i="7" s="1"/>
  <c r="N32" i="7"/>
  <c r="I32" i="7"/>
  <c r="M32" i="7" s="1"/>
  <c r="N31" i="7"/>
  <c r="I31" i="7"/>
  <c r="M31" i="7" s="1"/>
  <c r="Q30" i="7"/>
  <c r="P30" i="7"/>
  <c r="N30" i="7"/>
  <c r="I30" i="7"/>
  <c r="M30" i="7" s="1"/>
  <c r="N29" i="7"/>
  <c r="I29" i="7"/>
  <c r="M29" i="7" s="1"/>
  <c r="N28" i="7"/>
  <c r="I28" i="7"/>
  <c r="M28" i="7" s="1"/>
  <c r="N27" i="7"/>
  <c r="I27" i="7"/>
  <c r="M27" i="7" s="1"/>
  <c r="Q26" i="7"/>
  <c r="P26" i="7"/>
  <c r="P41" i="7" s="1"/>
  <c r="N26" i="7"/>
  <c r="I26" i="7"/>
  <c r="M26" i="7" s="1"/>
  <c r="N25" i="7"/>
  <c r="I25" i="7"/>
  <c r="M25" i="7" s="1"/>
  <c r="N24" i="7"/>
  <c r="I24" i="7"/>
  <c r="M24" i="7" s="1"/>
  <c r="N23" i="7"/>
  <c r="I23" i="7"/>
  <c r="M23" i="7" s="1"/>
  <c r="N22" i="7"/>
  <c r="I22" i="7"/>
  <c r="M22" i="7" s="1"/>
  <c r="N21" i="7"/>
  <c r="I21" i="7"/>
  <c r="M21" i="7" s="1"/>
  <c r="N20" i="7"/>
  <c r="I20" i="7"/>
  <c r="M20" i="7" s="1"/>
  <c r="N19" i="7"/>
  <c r="I19" i="7"/>
  <c r="M19" i="7" s="1"/>
  <c r="N18" i="7"/>
  <c r="I18" i="7"/>
  <c r="M18" i="7" s="1"/>
  <c r="N17" i="7"/>
  <c r="I17" i="7"/>
  <c r="M17" i="7" s="1"/>
  <c r="N16" i="7"/>
  <c r="I16" i="7"/>
  <c r="M16" i="7" s="1"/>
  <c r="N15" i="7"/>
  <c r="I15" i="7"/>
  <c r="M15" i="7" s="1"/>
  <c r="N14" i="7"/>
  <c r="I14" i="7"/>
  <c r="M14" i="7" s="1"/>
  <c r="N13" i="7"/>
  <c r="I13" i="7"/>
  <c r="M13" i="7" s="1"/>
  <c r="N12" i="7"/>
  <c r="I12" i="7"/>
  <c r="M12" i="7" s="1"/>
  <c r="N11" i="7"/>
  <c r="I11" i="7"/>
  <c r="M11" i="7" s="1"/>
  <c r="N10" i="7"/>
  <c r="I10" i="7"/>
  <c r="M10" i="7" s="1"/>
  <c r="N9" i="7"/>
  <c r="I9" i="7"/>
  <c r="M9" i="7" s="1"/>
  <c r="N8" i="7"/>
  <c r="I8" i="7"/>
  <c r="M8" i="7" s="1"/>
  <c r="M41" i="7" l="1"/>
  <c r="P69" i="7"/>
  <c r="L72" i="7"/>
  <c r="K73" i="7" s="1"/>
  <c r="N41" i="7"/>
  <c r="M66" i="7"/>
  <c r="N66" i="7"/>
  <c r="I41" i="7"/>
  <c r="I69" i="7" s="1"/>
  <c r="I66" i="7"/>
  <c r="K69" i="7"/>
  <c r="N69" i="7" l="1"/>
  <c r="M69" i="7"/>
  <c r="M70" i="7" s="1"/>
  <c r="T61" i="7" l="1"/>
  <c r="T66" i="7"/>
  <c r="S69" i="7"/>
  <c r="T41" i="7"/>
  <c r="T69" i="7" s="1"/>
</calcChain>
</file>

<file path=xl/comments1.xml><?xml version="1.0" encoding="utf-8"?>
<comments xmlns="http://schemas.openxmlformats.org/spreadsheetml/2006/main">
  <authors>
    <author>Maruta Kaņepe</author>
  </authors>
  <commentList>
    <comment ref="B34" authorId="0" shapeId="0">
      <text>
        <r>
          <rPr>
            <b/>
            <sz val="9"/>
            <color indexed="81"/>
            <rFont val="Tahoma"/>
            <family val="2"/>
            <charset val="186"/>
          </rPr>
          <t>Maruta Kaņepe:</t>
        </r>
        <r>
          <rPr>
            <sz val="9"/>
            <color indexed="81"/>
            <rFont val="Tahoma"/>
            <family val="2"/>
            <charset val="186"/>
          </rPr>
          <t xml:space="preserve">
precizēta informācija - nodots pašvaldībai -
 rēķins anulēts</t>
        </r>
      </text>
    </comment>
    <comment ref="B61" authorId="0" shapeId="0">
      <text>
        <r>
          <rPr>
            <b/>
            <sz val="9"/>
            <color indexed="81"/>
            <rFont val="Tahoma"/>
            <family val="2"/>
            <charset val="186"/>
          </rPr>
          <t>Maruta Kaņepe:</t>
        </r>
        <r>
          <rPr>
            <sz val="9"/>
            <color indexed="81"/>
            <rFont val="Tahoma"/>
            <family val="2"/>
            <charset val="186"/>
          </rPr>
          <t xml:space="preserve">
precizēta informācija, NĪ speciālists neredz uz kā pamata nodots īpašums anulēts rēķins</t>
        </r>
      </text>
    </comment>
  </commentList>
</comments>
</file>

<file path=xl/sharedStrings.xml><?xml version="1.0" encoding="utf-8"?>
<sst xmlns="http://schemas.openxmlformats.org/spreadsheetml/2006/main" count="157" uniqueCount="102">
  <si>
    <t>Bražciems 1302</t>
  </si>
  <si>
    <t>Dzintari 8901</t>
  </si>
  <si>
    <t>Bažciems 0101</t>
  </si>
  <si>
    <t>Bažciems 0130</t>
  </si>
  <si>
    <t>Bažciems 0131</t>
  </si>
  <si>
    <t>Kūdra 0101</t>
  </si>
  <si>
    <t>Kūdra 0104</t>
  </si>
  <si>
    <t>Kūdra 0110</t>
  </si>
  <si>
    <t>Kūdra 1501</t>
  </si>
  <si>
    <t>Kūdra 1602</t>
  </si>
  <si>
    <t>3ĶNP</t>
  </si>
  <si>
    <t>Jaunķemeri 0102</t>
  </si>
  <si>
    <t>Jaunķemeri 0105</t>
  </si>
  <si>
    <t>Jaunķemeri 0122</t>
  </si>
  <si>
    <t>Jaunķemeri 0123</t>
  </si>
  <si>
    <t>Jaunķemeri 0124</t>
  </si>
  <si>
    <t>Jaunķemeri 0201</t>
  </si>
  <si>
    <t>Jaunķemeri 0203</t>
  </si>
  <si>
    <t>Jaunķemeri 0303</t>
  </si>
  <si>
    <t>Jaunķemeri 0402</t>
  </si>
  <si>
    <t>Jaunķemeri 0405</t>
  </si>
  <si>
    <t>Jaunķemeri 0601</t>
  </si>
  <si>
    <t>Jaunķemeri 1102</t>
  </si>
  <si>
    <t>Jaunķemeri 1201</t>
  </si>
  <si>
    <t>Jaunķemeri 1206</t>
  </si>
  <si>
    <t>Jaunķemeri 2118</t>
  </si>
  <si>
    <t>Jaunķemeri 2149</t>
  </si>
  <si>
    <t>Jaunķemeri 2150</t>
  </si>
  <si>
    <t>Jaunķemeri 2151</t>
  </si>
  <si>
    <t>Jaunķemeri 2158</t>
  </si>
  <si>
    <t>Ķemeri 2610</t>
  </si>
  <si>
    <t>Ķemeri 5108</t>
  </si>
  <si>
    <t>Ķemeri 5109</t>
  </si>
  <si>
    <t>Ķemeri 6103</t>
  </si>
  <si>
    <t>Ķemeri 6104</t>
  </si>
  <si>
    <t>Ķemeri 6106</t>
  </si>
  <si>
    <t>Ķemeri 6110</t>
  </si>
  <si>
    <t>Ķemeri 6403</t>
  </si>
  <si>
    <t>Ķemeri 6404</t>
  </si>
  <si>
    <t>Ķemeri 6405</t>
  </si>
  <si>
    <t>Ķemeri 6406</t>
  </si>
  <si>
    <t>Jaunķemeri 2156</t>
  </si>
  <si>
    <t>Kolkas iela 20B</t>
  </si>
  <si>
    <t>Tūristu iela 6A</t>
  </si>
  <si>
    <t>Zvīņu iela 1</t>
  </si>
  <si>
    <t>Kon.Kl.Nosaukums</t>
  </si>
  <si>
    <t>summa, EUR</t>
  </si>
  <si>
    <t>Jūrmalas pilsētas dome</t>
  </si>
  <si>
    <t>KOPĀ</t>
  </si>
  <si>
    <t>2014.gads</t>
  </si>
  <si>
    <t>2015.gads</t>
  </si>
  <si>
    <t>2016.gads</t>
  </si>
  <si>
    <t>Nekustamā īpašuma adrese</t>
  </si>
  <si>
    <t>Kadastra numurs</t>
  </si>
  <si>
    <t>Personas konta nr.(zeme)</t>
  </si>
  <si>
    <t>NĪN</t>
  </si>
  <si>
    <t>NĪN februārī piestādīts</t>
  </si>
  <si>
    <t>Tūristu iela 4A</t>
  </si>
  <si>
    <t>Jaunķemeri 2124</t>
  </si>
  <si>
    <t>Buļļuciems 0036</t>
  </si>
  <si>
    <t>E.Dārziņa iela 28</t>
  </si>
  <si>
    <t>Meža māja</t>
  </si>
  <si>
    <t>Buļļuciems 1201</t>
  </si>
  <si>
    <t>Buļļuciems 1406</t>
  </si>
  <si>
    <t>Ķemeri 6403A</t>
  </si>
  <si>
    <t xml:space="preserve">Palielinājies NĪN saskaņā ar MK not. Nr.75 </t>
  </si>
  <si>
    <t>Apmaksāts pārrēķins par 2014 un 2015 gadu</t>
  </si>
  <si>
    <t>Piestadīts pārrēķins par 2014 un 2015 gadu</t>
  </si>
  <si>
    <t xml:space="preserve">Apmaksāts NĪN par 2016. gadu </t>
  </si>
  <si>
    <t xml:space="preserve">KOPĀ jāmaksa par 2016.gadu </t>
  </si>
  <si>
    <t xml:space="preserve">parāds par 2016.gadu </t>
  </si>
  <si>
    <t xml:space="preserve">parāds par 2014., 2015.gadu </t>
  </si>
  <si>
    <t xml:space="preserve">soda naudas </t>
  </si>
  <si>
    <t>Gleznotāja M.Ķemera gatve 5</t>
  </si>
  <si>
    <t>201559/206362</t>
  </si>
  <si>
    <t>nodots pašvaldībai</t>
  </si>
  <si>
    <t>NĪN 2018.gadam provizoriski</t>
  </si>
  <si>
    <t>NĪN 2017.gadam piestādīts apmaksai</t>
  </si>
  <si>
    <t xml:space="preserve">Jāmaksā 2017.gadā </t>
  </si>
  <si>
    <t>Samaksāts 2017. gadā</t>
  </si>
  <si>
    <t>Jāmaksā 2017.gadā KOPĀ</t>
  </si>
  <si>
    <t>2014.,2015.gada pārrēķins(iekļauts 2017. gada rēķina apmaksai )</t>
  </si>
  <si>
    <t>4.cet un 3.cet</t>
  </si>
  <si>
    <t>4.cet un daļēji (3.cet)</t>
  </si>
  <si>
    <t>4 cet</t>
  </si>
  <si>
    <t>Piezīmes (apmaksai)</t>
  </si>
  <si>
    <t>Saīsinājumi:</t>
  </si>
  <si>
    <t>Nekustamā īpašuma nodoklis</t>
  </si>
  <si>
    <t xml:space="preserve">*NĪN - </t>
  </si>
  <si>
    <t xml:space="preserve">**MK noteikumi Nr.75 - </t>
  </si>
  <si>
    <t>NĪN*</t>
  </si>
  <si>
    <t>Ministru kabineta 2014.gada 4.februāra noteikumi Nr.75  "Noteikumi par atsevišķām ar nekustamā īpašuma nodokli neapliekamām īpaši aizsargājamām dabas teritorijām"</t>
  </si>
  <si>
    <t>Apmaksāts nekustamā īpašuma nodoklis:</t>
  </si>
  <si>
    <t>Saskaņā ar MK noteikumiem Nr.75** 2017.gadā piestādīti papildus nekustamā īpašuma nodokļa rēķini - par teritorijām, kurām iepriekš netika piestādīti nekustamā īpašuma nodokļa rēķini:</t>
  </si>
  <si>
    <t>budžetā plānots</t>
  </si>
  <si>
    <t>papildus nepieciešams finansējums (2017.gada augustā)</t>
  </si>
  <si>
    <t>papildus nepieciešams (2017.gada sākumā)</t>
  </si>
  <si>
    <t>Saulīte 67026587 diana.saulite@varam.gov.lv</t>
  </si>
  <si>
    <t>Kaņepe 67509760 maruta.kanepe@daba.gov.lv</t>
  </si>
  <si>
    <t>Veikta apropriācija no DAP maksas pakalpojumu un citu pašu ieņēmumu naudas līdzekļu atlikuma</t>
  </si>
  <si>
    <t>pielikums informatīvajam ziņojumam “Par pamatbudžeta apropriācijas pārdali apakšprogrammas 24.08.00 “Nacionālo parku darbības nodrošināšana” ietvaros starp izdevumu ekonomiskās klasifikācijas kodiem 2017. gadā”</t>
  </si>
  <si>
    <t>Jūrmalas pilsētas domes aprēķinātie un sagatavotie nekustamā īpašuma nodokļa rēķini Dabas aizsardzības pārvaldei 2017. 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</si>
</sst>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1"/>
      <color theme="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1"/>
      <color theme="1"/>
      <name val="Times New Roman"/>
      <family val="1"/>
      <charset val="186"/>
    </font>
    <font>
      <b/>
      <sz val="16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9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2" borderId="1" xfId="0" applyFont="1" applyFill="1" applyBorder="1"/>
    <xf numFmtId="0" fontId="5" fillId="0" borderId="3" xfId="0" applyFont="1" applyBorder="1"/>
    <xf numFmtId="0" fontId="3" fillId="0" borderId="3" xfId="0" applyFont="1" applyBorder="1"/>
    <xf numFmtId="0" fontId="5" fillId="0" borderId="6" xfId="0" applyFont="1" applyBorder="1"/>
    <xf numFmtId="0" fontId="5" fillId="0" borderId="1" xfId="0" applyFont="1" applyFill="1" applyBorder="1"/>
    <xf numFmtId="0" fontId="3" fillId="0" borderId="1" xfId="0" applyFont="1" applyBorder="1" applyAlignment="1">
      <alignment horizontal="center"/>
    </xf>
    <xf numFmtId="0" fontId="5" fillId="0" borderId="3" xfId="0" applyFont="1" applyFill="1" applyBorder="1"/>
    <xf numFmtId="0" fontId="3" fillId="0" borderId="3" xfId="0" applyFont="1" applyBorder="1" applyAlignment="1">
      <alignment horizontal="center"/>
    </xf>
    <xf numFmtId="0" fontId="5" fillId="4" borderId="3" xfId="0" applyFont="1" applyFill="1" applyBorder="1"/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6" borderId="1" xfId="0" applyFont="1" applyFill="1" applyBorder="1"/>
    <xf numFmtId="0" fontId="7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0" fontId="8" fillId="2" borderId="1" xfId="0" applyFont="1" applyFill="1" applyBorder="1"/>
    <xf numFmtId="0" fontId="9" fillId="0" borderId="3" xfId="0" applyFont="1" applyBorder="1"/>
    <xf numFmtId="0" fontId="13" fillId="4" borderId="3" xfId="0" applyFont="1" applyFill="1" applyBorder="1"/>
    <xf numFmtId="0" fontId="13" fillId="0" borderId="3" xfId="0" applyFont="1" applyBorder="1"/>
    <xf numFmtId="0" fontId="7" fillId="0" borderId="1" xfId="0" applyFont="1" applyBorder="1"/>
    <xf numFmtId="0" fontId="8" fillId="7" borderId="0" xfId="0" applyFont="1" applyFill="1" applyBorder="1"/>
    <xf numFmtId="0" fontId="8" fillId="7" borderId="0" xfId="0" applyFont="1" applyFill="1" applyBorder="1" applyAlignment="1">
      <alignment horizontal="center"/>
    </xf>
    <xf numFmtId="0" fontId="3" fillId="8" borderId="1" xfId="0" applyFont="1" applyFill="1" applyBorder="1"/>
    <xf numFmtId="0" fontId="8" fillId="8" borderId="1" xfId="0" applyFont="1" applyFill="1" applyBorder="1"/>
    <xf numFmtId="0" fontId="10" fillId="8" borderId="5" xfId="0" applyFont="1" applyFill="1" applyBorder="1" applyAlignment="1">
      <alignment horizontal="center"/>
    </xf>
    <xf numFmtId="0" fontId="11" fillId="8" borderId="1" xfId="0" applyFont="1" applyFill="1" applyBorder="1" applyAlignment="1">
      <alignment wrapText="1"/>
    </xf>
    <xf numFmtId="0" fontId="8" fillId="0" borderId="1" xfId="0" applyFont="1" applyBorder="1"/>
    <xf numFmtId="0" fontId="3" fillId="0" borderId="3" xfId="0" applyFont="1" applyFill="1" applyBorder="1"/>
    <xf numFmtId="0" fontId="3" fillId="8" borderId="3" xfId="0" applyFont="1" applyFill="1" applyBorder="1"/>
    <xf numFmtId="0" fontId="8" fillId="0" borderId="3" xfId="0" applyFont="1" applyBorder="1"/>
    <xf numFmtId="0" fontId="3" fillId="4" borderId="3" xfId="0" applyFont="1" applyFill="1" applyBorder="1"/>
    <xf numFmtId="0" fontId="3" fillId="3" borderId="1" xfId="0" applyFont="1" applyFill="1" applyBorder="1"/>
    <xf numFmtId="0" fontId="9" fillId="6" borderId="3" xfId="0" applyFont="1" applyFill="1" applyBorder="1"/>
    <xf numFmtId="0" fontId="7" fillId="4" borderId="1" xfId="0" applyFont="1" applyFill="1" applyBorder="1" applyAlignment="1">
      <alignment wrapText="1"/>
    </xf>
    <xf numFmtId="0" fontId="3" fillId="0" borderId="1" xfId="0" applyFont="1" applyFill="1" applyBorder="1"/>
    <xf numFmtId="0" fontId="9" fillId="0" borderId="1" xfId="0" applyFont="1" applyBorder="1"/>
    <xf numFmtId="0" fontId="9" fillId="6" borderId="1" xfId="0" applyFont="1" applyFill="1" applyBorder="1"/>
    <xf numFmtId="0" fontId="11" fillId="8" borderId="3" xfId="0" applyFont="1" applyFill="1" applyBorder="1" applyAlignment="1">
      <alignment wrapText="1"/>
    </xf>
    <xf numFmtId="0" fontId="8" fillId="8" borderId="3" xfId="0" applyFont="1" applyFill="1" applyBorder="1"/>
    <xf numFmtId="0" fontId="9" fillId="7" borderId="0" xfId="0" applyFont="1" applyFill="1" applyBorder="1" applyAlignment="1">
      <alignment horizontal="center"/>
    </xf>
    <xf numFmtId="0" fontId="3" fillId="5" borderId="0" xfId="0" applyFont="1" applyFill="1"/>
    <xf numFmtId="2" fontId="8" fillId="2" borderId="1" xfId="0" applyNumberFormat="1" applyFont="1" applyFill="1" applyBorder="1"/>
    <xf numFmtId="0" fontId="8" fillId="3" borderId="1" xfId="0" applyFont="1" applyFill="1" applyBorder="1"/>
    <xf numFmtId="0" fontId="5" fillId="0" borderId="3" xfId="0" applyFont="1" applyBorder="1" applyAlignment="1">
      <alignment horizontal="center"/>
    </xf>
    <xf numFmtId="2" fontId="3" fillId="0" borderId="0" xfId="0" applyNumberFormat="1" applyFont="1"/>
    <xf numFmtId="0" fontId="3" fillId="0" borderId="0" xfId="0" applyFont="1" applyAlignment="1"/>
    <xf numFmtId="0" fontId="3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2" borderId="1" xfId="0" applyFont="1" applyFill="1" applyBorder="1"/>
    <xf numFmtId="0" fontId="5" fillId="2" borderId="3" xfId="0" applyFont="1" applyFill="1" applyBorder="1"/>
    <xf numFmtId="0" fontId="5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/>
    <xf numFmtId="0" fontId="6" fillId="8" borderId="3" xfId="0" applyFont="1" applyFill="1" applyBorder="1"/>
    <xf numFmtId="0" fontId="16" fillId="6" borderId="1" xfId="0" applyFont="1" applyFill="1" applyBorder="1"/>
    <xf numFmtId="0" fontId="16" fillId="8" borderId="3" xfId="0" applyFont="1" applyFill="1" applyBorder="1"/>
    <xf numFmtId="0" fontId="16" fillId="4" borderId="1" xfId="0" applyFont="1" applyFill="1" applyBorder="1"/>
    <xf numFmtId="2" fontId="8" fillId="0" borderId="1" xfId="0" applyNumberFormat="1" applyFont="1" applyBorder="1"/>
    <xf numFmtId="0" fontId="13" fillId="0" borderId="1" xfId="0" applyFont="1" applyBorder="1"/>
    <xf numFmtId="0" fontId="3" fillId="10" borderId="1" xfId="0" applyFont="1" applyFill="1" applyBorder="1"/>
    <xf numFmtId="2" fontId="9" fillId="10" borderId="1" xfId="0" applyNumberFormat="1" applyFont="1" applyFill="1" applyBorder="1"/>
    <xf numFmtId="2" fontId="8" fillId="9" borderId="1" xfId="0" applyNumberFormat="1" applyFont="1" applyFill="1" applyBorder="1"/>
    <xf numFmtId="0" fontId="13" fillId="0" borderId="0" xfId="0" applyFont="1"/>
    <xf numFmtId="0" fontId="13" fillId="4" borderId="1" xfId="0" applyFont="1" applyFill="1" applyBorder="1"/>
    <xf numFmtId="0" fontId="7" fillId="9" borderId="1" xfId="0" applyFont="1" applyFill="1" applyBorder="1"/>
    <xf numFmtId="49" fontId="13" fillId="9" borderId="1" xfId="0" applyNumberFormat="1" applyFont="1" applyFill="1" applyBorder="1" applyAlignment="1">
      <alignment horizontal="left"/>
    </xf>
    <xf numFmtId="164" fontId="9" fillId="9" borderId="1" xfId="0" applyNumberFormat="1" applyFont="1" applyFill="1" applyBorder="1" applyAlignment="1">
      <alignment horizontal="right"/>
    </xf>
    <xf numFmtId="0" fontId="9" fillId="9" borderId="1" xfId="0" applyFont="1" applyFill="1" applyBorder="1" applyAlignment="1">
      <alignment horizontal="right"/>
    </xf>
    <xf numFmtId="0" fontId="7" fillId="9" borderId="3" xfId="0" applyFont="1" applyFill="1" applyBorder="1" applyAlignment="1">
      <alignment wrapText="1"/>
    </xf>
    <xf numFmtId="0" fontId="7" fillId="9" borderId="1" xfId="0" applyFont="1" applyFill="1" applyBorder="1" applyAlignment="1">
      <alignment wrapText="1"/>
    </xf>
    <xf numFmtId="0" fontId="9" fillId="9" borderId="1" xfId="0" applyFont="1" applyFill="1" applyBorder="1" applyAlignment="1">
      <alignment wrapText="1"/>
    </xf>
    <xf numFmtId="0" fontId="9" fillId="9" borderId="1" xfId="0" applyFont="1" applyFill="1" applyBorder="1" applyAlignment="1">
      <alignment horizontal="center" wrapText="1"/>
    </xf>
    <xf numFmtId="0" fontId="7" fillId="9" borderId="8" xfId="0" applyFont="1" applyFill="1" applyBorder="1"/>
    <xf numFmtId="0" fontId="7" fillId="9" borderId="7" xfId="0" applyFont="1" applyFill="1" applyBorder="1"/>
    <xf numFmtId="0" fontId="7" fillId="6" borderId="7" xfId="0" applyFont="1" applyFill="1" applyBorder="1"/>
    <xf numFmtId="0" fontId="3" fillId="0" borderId="0" xfId="0" applyFont="1" applyBorder="1"/>
    <xf numFmtId="0" fontId="12" fillId="3" borderId="1" xfId="0" applyFont="1" applyFill="1" applyBorder="1"/>
    <xf numFmtId="0" fontId="3" fillId="3" borderId="5" xfId="0" applyFont="1" applyFill="1" applyBorder="1"/>
    <xf numFmtId="0" fontId="3" fillId="3" borderId="3" xfId="0" applyFont="1" applyFill="1" applyBorder="1"/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/>
    <xf numFmtId="0" fontId="16" fillId="2" borderId="3" xfId="0" applyFont="1" applyFill="1" applyBorder="1"/>
    <xf numFmtId="0" fontId="8" fillId="0" borderId="1" xfId="0" applyFont="1" applyFill="1" applyBorder="1"/>
    <xf numFmtId="0" fontId="8" fillId="10" borderId="1" xfId="0" applyFont="1" applyFill="1" applyBorder="1"/>
    <xf numFmtId="0" fontId="6" fillId="2" borderId="1" xfId="0" applyFont="1" applyFill="1" applyBorder="1"/>
    <xf numFmtId="0" fontId="16" fillId="2" borderId="1" xfId="0" applyFont="1" applyFill="1" applyBorder="1"/>
    <xf numFmtId="0" fontId="3" fillId="0" borderId="3" xfId="0" applyFont="1" applyFill="1" applyBorder="1" applyAlignment="1">
      <alignment horizontal="center"/>
    </xf>
    <xf numFmtId="0" fontId="9" fillId="3" borderId="1" xfId="0" applyFont="1" applyFill="1" applyBorder="1"/>
    <xf numFmtId="0" fontId="8" fillId="3" borderId="8" xfId="0" applyFont="1" applyFill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6" fillId="10" borderId="3" xfId="0" applyFont="1" applyFill="1" applyBorder="1" applyAlignment="1">
      <alignment horizontal="right"/>
    </xf>
    <xf numFmtId="0" fontId="16" fillId="10" borderId="6" xfId="0" applyFont="1" applyFill="1" applyBorder="1" applyAlignment="1">
      <alignment horizontal="right"/>
    </xf>
    <xf numFmtId="0" fontId="16" fillId="10" borderId="5" xfId="0" applyFont="1" applyFill="1" applyBorder="1" applyAlignment="1">
      <alignment horizontal="right"/>
    </xf>
    <xf numFmtId="0" fontId="8" fillId="9" borderId="2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9" fillId="2" borderId="3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10" fillId="6" borderId="3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81"/>
  <sheetViews>
    <sheetView tabSelected="1" workbookViewId="0">
      <selection activeCell="A4" sqref="A4:P4"/>
    </sheetView>
  </sheetViews>
  <sheetFormatPr defaultRowHeight="15" x14ac:dyDescent="0.25"/>
  <cols>
    <col min="1" max="1" width="9.140625" style="2"/>
    <col min="2" max="2" width="26.28515625" style="2" customWidth="1"/>
    <col min="3" max="3" width="15" style="2" customWidth="1"/>
    <col min="4" max="4" width="11" style="2" customWidth="1"/>
    <col min="5" max="5" width="11.28515625" style="2" customWidth="1"/>
    <col min="6" max="7" width="10.42578125" style="2" customWidth="1"/>
    <col min="8" max="8" width="10.7109375" style="2" customWidth="1"/>
    <col min="9" max="9" width="11.140625" style="2" customWidth="1"/>
    <col min="10" max="10" width="11.42578125" style="2" customWidth="1"/>
    <col min="11" max="11" width="13" style="2" customWidth="1"/>
    <col min="12" max="12" width="11.7109375" style="2" customWidth="1"/>
    <col min="13" max="13" width="10.7109375" style="2" hidden="1" customWidth="1"/>
    <col min="14" max="14" width="10.28515625" style="2" hidden="1" customWidth="1"/>
    <col min="15" max="15" width="0.42578125" style="2" hidden="1" customWidth="1"/>
    <col min="16" max="16" width="12.5703125" style="2" customWidth="1"/>
    <col min="17" max="17" width="16.28515625" style="2" customWidth="1"/>
    <col min="18" max="18" width="11.5703125" style="2" customWidth="1"/>
    <col min="19" max="19" width="12.28515625" style="2" customWidth="1"/>
    <col min="20" max="20" width="11.140625" style="2" customWidth="1"/>
    <col min="21" max="21" width="18.28515625" style="2" customWidth="1"/>
    <col min="22" max="22" width="14" style="2" hidden="1" customWidth="1"/>
    <col min="23" max="16384" width="9.140625" style="2"/>
  </cols>
  <sheetData>
    <row r="1" spans="1:22" ht="15" customHeight="1" x14ac:dyDescent="0.25">
      <c r="L1" s="118" t="s">
        <v>100</v>
      </c>
      <c r="M1" s="118"/>
      <c r="N1" s="118"/>
      <c r="O1" s="118"/>
      <c r="P1" s="118"/>
      <c r="Q1" s="118"/>
      <c r="R1" s="118"/>
      <c r="S1" s="118"/>
      <c r="T1" s="118"/>
      <c r="U1" s="118"/>
    </row>
    <row r="2" spans="1:22" x14ac:dyDescent="0.25"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2" x14ac:dyDescent="0.25"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2" ht="20.25" x14ac:dyDescent="0.3">
      <c r="A4" s="106" t="s">
        <v>101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R4" s="55"/>
      <c r="S4" s="55"/>
      <c r="T4" s="55"/>
      <c r="U4" s="55"/>
    </row>
    <row r="5" spans="1:22" x14ac:dyDescent="0.25">
      <c r="C5" s="3"/>
      <c r="D5" s="3"/>
    </row>
    <row r="6" spans="1:22" x14ac:dyDescent="0.25">
      <c r="C6" s="3"/>
      <c r="D6" s="3"/>
      <c r="E6" s="7" t="s">
        <v>49</v>
      </c>
      <c r="F6" s="7" t="s">
        <v>50</v>
      </c>
      <c r="G6" s="119" t="s">
        <v>51</v>
      </c>
      <c r="H6" s="119"/>
      <c r="I6" s="119"/>
    </row>
    <row r="7" spans="1:22" ht="72.75" customHeight="1" x14ac:dyDescent="0.25">
      <c r="A7" s="4"/>
      <c r="B7" s="5" t="s">
        <v>52</v>
      </c>
      <c r="C7" s="6" t="s">
        <v>53</v>
      </c>
      <c r="D7" s="6" t="s">
        <v>54</v>
      </c>
      <c r="E7" s="7" t="s">
        <v>90</v>
      </c>
      <c r="F7" s="7" t="s">
        <v>55</v>
      </c>
      <c r="G7" s="5" t="s">
        <v>56</v>
      </c>
      <c r="H7" s="65" t="s">
        <v>65</v>
      </c>
      <c r="I7" s="93" t="s">
        <v>69</v>
      </c>
      <c r="J7" s="23" t="s">
        <v>67</v>
      </c>
      <c r="K7" s="1" t="s">
        <v>68</v>
      </c>
      <c r="L7" s="1" t="s">
        <v>66</v>
      </c>
      <c r="M7" s="34" t="s">
        <v>70</v>
      </c>
      <c r="N7" s="34" t="s">
        <v>71</v>
      </c>
      <c r="O7" s="46"/>
      <c r="P7" s="82" t="s">
        <v>77</v>
      </c>
      <c r="Q7" s="83" t="s">
        <v>81</v>
      </c>
      <c r="R7" s="83" t="s">
        <v>80</v>
      </c>
      <c r="S7" s="83" t="s">
        <v>79</v>
      </c>
      <c r="T7" s="84" t="s">
        <v>78</v>
      </c>
      <c r="U7" s="85" t="s">
        <v>85</v>
      </c>
      <c r="V7" s="42" t="s">
        <v>76</v>
      </c>
    </row>
    <row r="8" spans="1:22" x14ac:dyDescent="0.25">
      <c r="A8" s="4"/>
      <c r="B8" s="7" t="s">
        <v>73</v>
      </c>
      <c r="C8" s="8">
        <v>13000262614</v>
      </c>
      <c r="D8" s="8" t="s">
        <v>74</v>
      </c>
      <c r="E8" s="7"/>
      <c r="F8" s="4">
        <v>40.729999999999997</v>
      </c>
      <c r="G8" s="4">
        <v>47.19</v>
      </c>
      <c r="H8" s="66"/>
      <c r="I8" s="94">
        <f>G8+H8</f>
        <v>47.19</v>
      </c>
      <c r="J8" s="11"/>
      <c r="K8" s="9">
        <v>47.19</v>
      </c>
      <c r="L8" s="9"/>
      <c r="M8" s="31">
        <f>I8-K8</f>
        <v>0</v>
      </c>
      <c r="N8" s="31">
        <f>J8-L8</f>
        <v>0</v>
      </c>
      <c r="O8" s="37"/>
      <c r="P8" s="11">
        <v>47.19</v>
      </c>
      <c r="Q8" s="4"/>
      <c r="R8" s="4">
        <v>47.19</v>
      </c>
      <c r="S8" s="4">
        <f>R8-T8</f>
        <v>35.4</v>
      </c>
      <c r="T8" s="35">
        <v>11.79</v>
      </c>
      <c r="U8" s="4" t="s">
        <v>84</v>
      </c>
      <c r="V8" s="4">
        <v>47.19</v>
      </c>
    </row>
    <row r="9" spans="1:22" x14ac:dyDescent="0.25">
      <c r="A9" s="4"/>
      <c r="B9" s="7" t="s">
        <v>12</v>
      </c>
      <c r="C9" s="8">
        <v>13000250105</v>
      </c>
      <c r="D9" s="8">
        <v>201561</v>
      </c>
      <c r="E9" s="7">
        <v>49.95</v>
      </c>
      <c r="F9" s="4">
        <v>49.95</v>
      </c>
      <c r="G9" s="4">
        <v>49.95</v>
      </c>
      <c r="H9" s="66"/>
      <c r="I9" s="94">
        <f t="shared" ref="I9:I39" si="0">G9+H9</f>
        <v>49.95</v>
      </c>
      <c r="J9" s="11"/>
      <c r="K9" s="9">
        <v>49.95</v>
      </c>
      <c r="L9" s="9"/>
      <c r="M9" s="31">
        <f t="shared" ref="M9:N39" si="1">I9-K9</f>
        <v>0</v>
      </c>
      <c r="N9" s="31">
        <f t="shared" si="1"/>
        <v>0</v>
      </c>
      <c r="O9" s="37"/>
      <c r="P9" s="11">
        <v>49.95</v>
      </c>
      <c r="Q9" s="4"/>
      <c r="R9" s="4">
        <v>49.95</v>
      </c>
      <c r="S9" s="4">
        <f t="shared" ref="S9:S25" si="2">R9-T9</f>
        <v>37.47</v>
      </c>
      <c r="T9" s="35">
        <v>12.48</v>
      </c>
      <c r="U9" s="4" t="s">
        <v>84</v>
      </c>
      <c r="V9" s="4">
        <v>49.95</v>
      </c>
    </row>
    <row r="10" spans="1:22" x14ac:dyDescent="0.25">
      <c r="A10" s="4"/>
      <c r="B10" s="7" t="s">
        <v>26</v>
      </c>
      <c r="C10" s="8">
        <v>13000252149</v>
      </c>
      <c r="D10" s="8">
        <v>201579</v>
      </c>
      <c r="E10" s="7">
        <v>145.77000000000001</v>
      </c>
      <c r="F10" s="4">
        <v>145.77000000000001</v>
      </c>
      <c r="G10" s="4">
        <v>145.77000000000001</v>
      </c>
      <c r="H10" s="66"/>
      <c r="I10" s="94">
        <f t="shared" si="0"/>
        <v>145.77000000000001</v>
      </c>
      <c r="J10" s="11"/>
      <c r="K10" s="9">
        <v>145.77000000000001</v>
      </c>
      <c r="L10" s="9"/>
      <c r="M10" s="31">
        <f t="shared" si="1"/>
        <v>0</v>
      </c>
      <c r="N10" s="31">
        <f t="shared" si="1"/>
        <v>0</v>
      </c>
      <c r="O10" s="37"/>
      <c r="P10" s="11">
        <v>145.77000000000001</v>
      </c>
      <c r="Q10" s="4"/>
      <c r="R10" s="4">
        <v>145.77000000000001</v>
      </c>
      <c r="S10" s="4">
        <f t="shared" si="2"/>
        <v>109.33000000000001</v>
      </c>
      <c r="T10" s="35">
        <v>36.44</v>
      </c>
      <c r="U10" s="4" t="s">
        <v>84</v>
      </c>
      <c r="V10" s="4">
        <v>145.77000000000001</v>
      </c>
    </row>
    <row r="11" spans="1:22" x14ac:dyDescent="0.25">
      <c r="A11" s="4"/>
      <c r="B11" s="7" t="s">
        <v>24</v>
      </c>
      <c r="C11" s="8">
        <v>13000251206</v>
      </c>
      <c r="D11" s="8">
        <v>201577</v>
      </c>
      <c r="E11" s="7">
        <v>168.39</v>
      </c>
      <c r="F11" s="4">
        <v>168.39</v>
      </c>
      <c r="G11" s="4">
        <v>168.39</v>
      </c>
      <c r="H11" s="66"/>
      <c r="I11" s="94">
        <f t="shared" si="0"/>
        <v>168.39</v>
      </c>
      <c r="J11" s="11"/>
      <c r="K11" s="9">
        <v>168.39</v>
      </c>
      <c r="L11" s="9"/>
      <c r="M11" s="31">
        <f t="shared" si="1"/>
        <v>0</v>
      </c>
      <c r="N11" s="31">
        <f t="shared" si="1"/>
        <v>0</v>
      </c>
      <c r="O11" s="37"/>
      <c r="P11" s="11">
        <v>168.39</v>
      </c>
      <c r="Q11" s="4"/>
      <c r="R11" s="4">
        <v>168.39</v>
      </c>
      <c r="S11" s="4">
        <f t="shared" si="2"/>
        <v>126.29999999999998</v>
      </c>
      <c r="T11" s="35">
        <v>42.09</v>
      </c>
      <c r="U11" s="4" t="s">
        <v>84</v>
      </c>
      <c r="V11" s="4">
        <v>168.39</v>
      </c>
    </row>
    <row r="12" spans="1:22" x14ac:dyDescent="0.25">
      <c r="A12" s="4"/>
      <c r="B12" s="7" t="s">
        <v>19</v>
      </c>
      <c r="C12" s="8">
        <v>13000250402</v>
      </c>
      <c r="D12" s="8">
        <v>201567</v>
      </c>
      <c r="E12" s="7">
        <v>199.17</v>
      </c>
      <c r="F12" s="4">
        <v>199.17</v>
      </c>
      <c r="G12" s="4">
        <v>199.17</v>
      </c>
      <c r="H12" s="66"/>
      <c r="I12" s="94">
        <f t="shared" si="0"/>
        <v>199.17</v>
      </c>
      <c r="J12" s="11"/>
      <c r="K12" s="9">
        <v>199.17</v>
      </c>
      <c r="L12" s="9"/>
      <c r="M12" s="31">
        <f t="shared" si="1"/>
        <v>0</v>
      </c>
      <c r="N12" s="31">
        <f t="shared" si="1"/>
        <v>0</v>
      </c>
      <c r="O12" s="37"/>
      <c r="P12" s="11">
        <v>199.17</v>
      </c>
      <c r="Q12" s="4"/>
      <c r="R12" s="4">
        <v>199.17</v>
      </c>
      <c r="S12" s="4">
        <f t="shared" si="2"/>
        <v>149.38</v>
      </c>
      <c r="T12" s="35">
        <v>49.79</v>
      </c>
      <c r="U12" s="4" t="s">
        <v>84</v>
      </c>
      <c r="V12" s="4">
        <v>199.17</v>
      </c>
    </row>
    <row r="13" spans="1:22" x14ac:dyDescent="0.25">
      <c r="A13" s="4"/>
      <c r="B13" s="7" t="s">
        <v>31</v>
      </c>
      <c r="C13" s="8">
        <v>13000265108</v>
      </c>
      <c r="D13" s="8">
        <v>201587</v>
      </c>
      <c r="E13" s="7">
        <v>418.86</v>
      </c>
      <c r="F13" s="4">
        <v>418.86</v>
      </c>
      <c r="G13" s="4">
        <v>418.86</v>
      </c>
      <c r="H13" s="66"/>
      <c r="I13" s="94">
        <f t="shared" si="0"/>
        <v>418.86</v>
      </c>
      <c r="J13" s="11"/>
      <c r="K13" s="9">
        <v>418.86</v>
      </c>
      <c r="L13" s="9"/>
      <c r="M13" s="31">
        <f t="shared" si="1"/>
        <v>0</v>
      </c>
      <c r="N13" s="31">
        <f t="shared" si="1"/>
        <v>0</v>
      </c>
      <c r="O13" s="37"/>
      <c r="P13" s="11">
        <v>418.86</v>
      </c>
      <c r="Q13" s="4"/>
      <c r="R13" s="4">
        <v>418.86</v>
      </c>
      <c r="S13" s="4">
        <f t="shared" si="2"/>
        <v>314.15000000000003</v>
      </c>
      <c r="T13" s="35">
        <v>104.71</v>
      </c>
      <c r="U13" s="4" t="s">
        <v>84</v>
      </c>
      <c r="V13" s="4">
        <v>418.86</v>
      </c>
    </row>
    <row r="14" spans="1:22" x14ac:dyDescent="0.25">
      <c r="A14" s="4"/>
      <c r="B14" s="7" t="s">
        <v>23</v>
      </c>
      <c r="C14" s="8">
        <v>13000251201</v>
      </c>
      <c r="D14" s="8">
        <v>201576</v>
      </c>
      <c r="E14" s="7">
        <v>349.11</v>
      </c>
      <c r="F14" s="4">
        <v>349.11</v>
      </c>
      <c r="G14" s="4">
        <v>349.11</v>
      </c>
      <c r="H14" s="66"/>
      <c r="I14" s="94">
        <f t="shared" si="0"/>
        <v>349.11</v>
      </c>
      <c r="J14" s="11"/>
      <c r="K14" s="9">
        <v>349.11</v>
      </c>
      <c r="L14" s="9"/>
      <c r="M14" s="31">
        <f t="shared" si="1"/>
        <v>0</v>
      </c>
      <c r="N14" s="31">
        <f t="shared" si="1"/>
        <v>0</v>
      </c>
      <c r="O14" s="37"/>
      <c r="P14" s="11">
        <v>332.12</v>
      </c>
      <c r="Q14" s="4"/>
      <c r="R14" s="4">
        <v>332.12</v>
      </c>
      <c r="S14" s="4">
        <f t="shared" si="2"/>
        <v>249.09</v>
      </c>
      <c r="T14" s="35">
        <v>83.03</v>
      </c>
      <c r="U14" s="4" t="s">
        <v>84</v>
      </c>
      <c r="V14" s="4">
        <v>332.12</v>
      </c>
    </row>
    <row r="15" spans="1:22" x14ac:dyDescent="0.25">
      <c r="A15" s="4"/>
      <c r="B15" s="7" t="s">
        <v>32</v>
      </c>
      <c r="C15" s="8">
        <v>1300265109</v>
      </c>
      <c r="D15" s="8">
        <v>201588</v>
      </c>
      <c r="E15" s="7">
        <v>365.69</v>
      </c>
      <c r="F15" s="4">
        <v>365.69</v>
      </c>
      <c r="G15" s="4">
        <v>365.69</v>
      </c>
      <c r="H15" s="66"/>
      <c r="I15" s="94">
        <f t="shared" si="0"/>
        <v>365.69</v>
      </c>
      <c r="J15" s="11"/>
      <c r="K15" s="9">
        <v>365.69</v>
      </c>
      <c r="L15" s="9"/>
      <c r="M15" s="31">
        <f t="shared" si="1"/>
        <v>0</v>
      </c>
      <c r="N15" s="31">
        <f t="shared" si="1"/>
        <v>0</v>
      </c>
      <c r="O15" s="37"/>
      <c r="P15" s="11">
        <v>365.69</v>
      </c>
      <c r="Q15" s="4"/>
      <c r="R15" s="4">
        <v>365.69</v>
      </c>
      <c r="S15" s="4">
        <f t="shared" si="2"/>
        <v>274.27</v>
      </c>
      <c r="T15" s="35">
        <v>91.42</v>
      </c>
      <c r="U15" s="4" t="s">
        <v>84</v>
      </c>
      <c r="V15" s="4">
        <v>365.69</v>
      </c>
    </row>
    <row r="16" spans="1:22" x14ac:dyDescent="0.25">
      <c r="A16" s="4"/>
      <c r="B16" s="7" t="s">
        <v>57</v>
      </c>
      <c r="C16" s="8">
        <v>13000260095</v>
      </c>
      <c r="D16" s="8">
        <v>202041</v>
      </c>
      <c r="E16" s="7"/>
      <c r="F16" s="4">
        <v>298.01</v>
      </c>
      <c r="G16" s="4">
        <v>298.01</v>
      </c>
      <c r="H16" s="66"/>
      <c r="I16" s="94">
        <f t="shared" si="0"/>
        <v>298.01</v>
      </c>
      <c r="J16" s="11"/>
      <c r="K16" s="9">
        <v>298.01</v>
      </c>
      <c r="L16" s="9"/>
      <c r="M16" s="31">
        <f t="shared" si="1"/>
        <v>0</v>
      </c>
      <c r="N16" s="31">
        <f t="shared" si="1"/>
        <v>0</v>
      </c>
      <c r="O16" s="37"/>
      <c r="P16" s="11">
        <v>361.34</v>
      </c>
      <c r="Q16" s="4"/>
      <c r="R16" s="4">
        <v>361.34</v>
      </c>
      <c r="S16" s="4">
        <f t="shared" si="2"/>
        <v>271.01</v>
      </c>
      <c r="T16" s="35">
        <v>90.33</v>
      </c>
      <c r="U16" s="4" t="s">
        <v>84</v>
      </c>
      <c r="V16" s="4">
        <v>361.34</v>
      </c>
    </row>
    <row r="17" spans="1:22" x14ac:dyDescent="0.25">
      <c r="A17" s="4"/>
      <c r="B17" s="7" t="s">
        <v>41</v>
      </c>
      <c r="C17" s="8">
        <v>13000252156</v>
      </c>
      <c r="D17" s="8">
        <v>201582</v>
      </c>
      <c r="E17" s="7">
        <v>255.23</v>
      </c>
      <c r="F17" s="4">
        <v>255.23</v>
      </c>
      <c r="G17" s="4">
        <v>255.23</v>
      </c>
      <c r="H17" s="66"/>
      <c r="I17" s="94">
        <f t="shared" si="0"/>
        <v>255.23</v>
      </c>
      <c r="J17" s="11"/>
      <c r="K17" s="9">
        <v>255.23</v>
      </c>
      <c r="L17" s="9"/>
      <c r="M17" s="31">
        <f t="shared" si="1"/>
        <v>0</v>
      </c>
      <c r="N17" s="31">
        <f t="shared" si="1"/>
        <v>0</v>
      </c>
      <c r="O17" s="37"/>
      <c r="P17" s="11">
        <v>255.23</v>
      </c>
      <c r="Q17" s="4"/>
      <c r="R17" s="4">
        <v>255.23</v>
      </c>
      <c r="S17" s="4">
        <f t="shared" si="2"/>
        <v>191.43</v>
      </c>
      <c r="T17" s="35">
        <v>63.8</v>
      </c>
      <c r="U17" s="4" t="s">
        <v>84</v>
      </c>
      <c r="V17" s="4">
        <v>255.23</v>
      </c>
    </row>
    <row r="18" spans="1:22" x14ac:dyDescent="0.25">
      <c r="A18" s="4"/>
      <c r="B18" s="7" t="s">
        <v>11</v>
      </c>
      <c r="C18" s="8">
        <v>13000250102</v>
      </c>
      <c r="D18" s="8">
        <v>201560</v>
      </c>
      <c r="E18" s="7">
        <v>164.3</v>
      </c>
      <c r="F18" s="4">
        <v>164.3</v>
      </c>
      <c r="G18" s="4">
        <v>164.3</v>
      </c>
      <c r="H18" s="66"/>
      <c r="I18" s="94">
        <f t="shared" si="0"/>
        <v>164.3</v>
      </c>
      <c r="J18" s="11"/>
      <c r="K18" s="9">
        <v>164.3</v>
      </c>
      <c r="L18" s="9"/>
      <c r="M18" s="31">
        <f t="shared" si="1"/>
        <v>0</v>
      </c>
      <c r="N18" s="31">
        <f t="shared" si="1"/>
        <v>0</v>
      </c>
      <c r="O18" s="37"/>
      <c r="P18" s="11">
        <v>164.3</v>
      </c>
      <c r="Q18" s="4"/>
      <c r="R18" s="4">
        <v>164.3</v>
      </c>
      <c r="S18" s="4">
        <f t="shared" si="2"/>
        <v>123.23000000000002</v>
      </c>
      <c r="T18" s="35">
        <v>41.07</v>
      </c>
      <c r="U18" s="4" t="s">
        <v>84</v>
      </c>
      <c r="V18" s="4">
        <v>164.3</v>
      </c>
    </row>
    <row r="19" spans="1:22" x14ac:dyDescent="0.25">
      <c r="A19" s="4"/>
      <c r="B19" s="7" t="s">
        <v>20</v>
      </c>
      <c r="C19" s="8">
        <v>13000250405</v>
      </c>
      <c r="D19" s="8">
        <v>201574</v>
      </c>
      <c r="E19" s="7">
        <v>106.25</v>
      </c>
      <c r="F19" s="4">
        <v>106.25</v>
      </c>
      <c r="G19" s="4">
        <v>106.25</v>
      </c>
      <c r="H19" s="66"/>
      <c r="I19" s="94">
        <f t="shared" si="0"/>
        <v>106.25</v>
      </c>
      <c r="J19" s="11"/>
      <c r="K19" s="9">
        <v>106.25</v>
      </c>
      <c r="L19" s="9"/>
      <c r="M19" s="31">
        <f t="shared" si="1"/>
        <v>0</v>
      </c>
      <c r="N19" s="31">
        <f t="shared" si="1"/>
        <v>0</v>
      </c>
      <c r="O19" s="37"/>
      <c r="P19" s="11">
        <v>106.25</v>
      </c>
      <c r="Q19" s="4"/>
      <c r="R19" s="4">
        <v>106.25</v>
      </c>
      <c r="S19" s="4">
        <f t="shared" si="2"/>
        <v>79.69</v>
      </c>
      <c r="T19" s="35">
        <v>26.56</v>
      </c>
      <c r="U19" s="4" t="s">
        <v>84</v>
      </c>
      <c r="V19" s="4">
        <v>106.25</v>
      </c>
    </row>
    <row r="20" spans="1:22" x14ac:dyDescent="0.25">
      <c r="A20" s="4"/>
      <c r="B20" s="7" t="s">
        <v>25</v>
      </c>
      <c r="C20" s="8">
        <v>13000252118</v>
      </c>
      <c r="D20" s="8">
        <v>201578</v>
      </c>
      <c r="E20" s="7">
        <v>31.16</v>
      </c>
      <c r="F20" s="4">
        <v>31.16</v>
      </c>
      <c r="G20" s="4">
        <v>31.16</v>
      </c>
      <c r="H20" s="66"/>
      <c r="I20" s="94">
        <f t="shared" si="0"/>
        <v>31.16</v>
      </c>
      <c r="J20" s="11"/>
      <c r="K20" s="9">
        <v>31.16</v>
      </c>
      <c r="L20" s="9"/>
      <c r="M20" s="31">
        <f t="shared" si="1"/>
        <v>0</v>
      </c>
      <c r="N20" s="31">
        <f t="shared" si="1"/>
        <v>0</v>
      </c>
      <c r="O20" s="37"/>
      <c r="P20" s="11">
        <v>31.16</v>
      </c>
      <c r="Q20" s="4"/>
      <c r="R20" s="4">
        <v>31.16</v>
      </c>
      <c r="S20" s="4">
        <f t="shared" si="2"/>
        <v>23.37</v>
      </c>
      <c r="T20" s="35">
        <v>7.79</v>
      </c>
      <c r="U20" s="4" t="s">
        <v>84</v>
      </c>
      <c r="V20" s="4">
        <v>31.16</v>
      </c>
    </row>
    <row r="21" spans="1:22" x14ac:dyDescent="0.25">
      <c r="A21" s="4"/>
      <c r="B21" s="7" t="s">
        <v>13</v>
      </c>
      <c r="C21" s="8">
        <v>13000250122</v>
      </c>
      <c r="D21" s="8">
        <v>201562</v>
      </c>
      <c r="E21" s="7">
        <v>115.16</v>
      </c>
      <c r="F21" s="4">
        <v>115.16</v>
      </c>
      <c r="G21" s="4">
        <v>115.16</v>
      </c>
      <c r="H21" s="66"/>
      <c r="I21" s="94">
        <f t="shared" si="0"/>
        <v>115.16</v>
      </c>
      <c r="J21" s="11"/>
      <c r="K21" s="9">
        <v>115.16</v>
      </c>
      <c r="L21" s="9"/>
      <c r="M21" s="31">
        <f t="shared" si="1"/>
        <v>0</v>
      </c>
      <c r="N21" s="31">
        <f t="shared" si="1"/>
        <v>0</v>
      </c>
      <c r="O21" s="37"/>
      <c r="P21" s="11">
        <v>115.16</v>
      </c>
      <c r="Q21" s="4"/>
      <c r="R21" s="4">
        <v>115.16</v>
      </c>
      <c r="S21" s="4">
        <f t="shared" si="2"/>
        <v>86.37</v>
      </c>
      <c r="T21" s="35">
        <v>28.79</v>
      </c>
      <c r="U21" s="4" t="s">
        <v>84</v>
      </c>
      <c r="V21" s="4">
        <v>115.16</v>
      </c>
    </row>
    <row r="22" spans="1:22" x14ac:dyDescent="0.25">
      <c r="A22" s="4"/>
      <c r="B22" s="7" t="s">
        <v>58</v>
      </c>
      <c r="C22" s="8">
        <v>13000252124</v>
      </c>
      <c r="D22" s="8">
        <v>201556</v>
      </c>
      <c r="E22" s="7"/>
      <c r="F22" s="4">
        <v>12.72</v>
      </c>
      <c r="G22" s="4">
        <v>12.72</v>
      </c>
      <c r="H22" s="66"/>
      <c r="I22" s="94">
        <f t="shared" si="0"/>
        <v>12.72</v>
      </c>
      <c r="J22" s="11"/>
      <c r="K22" s="9">
        <v>12.72</v>
      </c>
      <c r="L22" s="9"/>
      <c r="M22" s="31">
        <f t="shared" si="1"/>
        <v>0</v>
      </c>
      <c r="N22" s="31">
        <f t="shared" si="1"/>
        <v>0</v>
      </c>
      <c r="O22" s="37"/>
      <c r="P22" s="11">
        <v>12.72</v>
      </c>
      <c r="Q22" s="4"/>
      <c r="R22" s="4">
        <v>12.72</v>
      </c>
      <c r="S22" s="4">
        <f t="shared" si="2"/>
        <v>9.5400000000000009</v>
      </c>
      <c r="T22" s="35">
        <v>3.18</v>
      </c>
      <c r="U22" s="4" t="s">
        <v>84</v>
      </c>
      <c r="V22" s="4">
        <v>12.72</v>
      </c>
    </row>
    <row r="23" spans="1:22" x14ac:dyDescent="0.25">
      <c r="A23" s="4"/>
      <c r="B23" s="7" t="s">
        <v>43</v>
      </c>
      <c r="C23" s="8">
        <v>13000266010</v>
      </c>
      <c r="D23" s="8">
        <v>201594</v>
      </c>
      <c r="E23" s="7">
        <v>2.0699999999999998</v>
      </c>
      <c r="F23" s="4">
        <v>12.41</v>
      </c>
      <c r="G23" s="4">
        <v>12.41</v>
      </c>
      <c r="H23" s="66"/>
      <c r="I23" s="94">
        <f t="shared" si="0"/>
        <v>12.41</v>
      </c>
      <c r="J23" s="11"/>
      <c r="K23" s="9">
        <v>12.41</v>
      </c>
      <c r="L23" s="9"/>
      <c r="M23" s="31">
        <f t="shared" si="1"/>
        <v>0</v>
      </c>
      <c r="N23" s="31">
        <f t="shared" si="1"/>
        <v>0</v>
      </c>
      <c r="O23" s="37"/>
      <c r="P23" s="11">
        <v>12.41</v>
      </c>
      <c r="Q23" s="4"/>
      <c r="R23" s="4">
        <v>12.41</v>
      </c>
      <c r="S23" s="4">
        <f t="shared" si="2"/>
        <v>9.31</v>
      </c>
      <c r="T23" s="35">
        <v>3.1</v>
      </c>
      <c r="U23" s="4" t="s">
        <v>84</v>
      </c>
      <c r="V23" s="4">
        <v>12.41</v>
      </c>
    </row>
    <row r="24" spans="1:22" x14ac:dyDescent="0.25">
      <c r="A24" s="4"/>
      <c r="B24" s="7" t="s">
        <v>14</v>
      </c>
      <c r="C24" s="8">
        <v>13000250123</v>
      </c>
      <c r="D24" s="8">
        <v>201563</v>
      </c>
      <c r="E24" s="7">
        <v>63.39</v>
      </c>
      <c r="F24" s="4">
        <v>63.39</v>
      </c>
      <c r="G24" s="4">
        <v>63.39</v>
      </c>
      <c r="H24" s="66"/>
      <c r="I24" s="94">
        <f t="shared" si="0"/>
        <v>63.39</v>
      </c>
      <c r="J24" s="11"/>
      <c r="K24" s="9">
        <v>63.39</v>
      </c>
      <c r="L24" s="9"/>
      <c r="M24" s="31">
        <f t="shared" si="1"/>
        <v>0</v>
      </c>
      <c r="N24" s="31">
        <f t="shared" si="1"/>
        <v>0</v>
      </c>
      <c r="O24" s="37"/>
      <c r="P24" s="11">
        <v>63.39</v>
      </c>
      <c r="Q24" s="4"/>
      <c r="R24" s="4">
        <v>63.39</v>
      </c>
      <c r="S24" s="4">
        <f t="shared" si="2"/>
        <v>47.55</v>
      </c>
      <c r="T24" s="35">
        <v>15.84</v>
      </c>
      <c r="U24" s="4" t="s">
        <v>84</v>
      </c>
      <c r="V24" s="4">
        <v>63.39</v>
      </c>
    </row>
    <row r="25" spans="1:22" x14ac:dyDescent="0.25">
      <c r="A25" s="4"/>
      <c r="B25" s="7" t="s">
        <v>15</v>
      </c>
      <c r="C25" s="8">
        <v>13000250124</v>
      </c>
      <c r="D25" s="8">
        <v>201564</v>
      </c>
      <c r="E25" s="7">
        <v>128.33000000000001</v>
      </c>
      <c r="F25" s="4">
        <v>128.33000000000001</v>
      </c>
      <c r="G25" s="4">
        <v>128.33000000000001</v>
      </c>
      <c r="H25" s="66"/>
      <c r="I25" s="94">
        <f t="shared" si="0"/>
        <v>128.33000000000001</v>
      </c>
      <c r="J25" s="11"/>
      <c r="K25" s="9">
        <v>128.33000000000001</v>
      </c>
      <c r="L25" s="9"/>
      <c r="M25" s="31">
        <f t="shared" si="1"/>
        <v>0</v>
      </c>
      <c r="N25" s="31">
        <f t="shared" si="1"/>
        <v>0</v>
      </c>
      <c r="O25" s="37"/>
      <c r="P25" s="11">
        <v>128.33000000000001</v>
      </c>
      <c r="Q25" s="4"/>
      <c r="R25" s="4">
        <v>128.33000000000001</v>
      </c>
      <c r="S25" s="4">
        <f t="shared" si="2"/>
        <v>96.250000000000014</v>
      </c>
      <c r="T25" s="35">
        <v>32.08</v>
      </c>
      <c r="U25" s="4" t="s">
        <v>84</v>
      </c>
      <c r="V25" s="4">
        <v>128.33000000000001</v>
      </c>
    </row>
    <row r="26" spans="1:22" x14ac:dyDescent="0.25">
      <c r="A26" s="4"/>
      <c r="B26" s="7" t="s">
        <v>27</v>
      </c>
      <c r="C26" s="8">
        <v>13000252150</v>
      </c>
      <c r="D26" s="8">
        <v>201580</v>
      </c>
      <c r="E26" s="7">
        <v>1456.34</v>
      </c>
      <c r="F26" s="4">
        <v>1456.34</v>
      </c>
      <c r="G26" s="4">
        <v>1456.34</v>
      </c>
      <c r="H26" s="66">
        <v>664.65</v>
      </c>
      <c r="I26" s="94">
        <f t="shared" si="0"/>
        <v>2120.9899999999998</v>
      </c>
      <c r="J26" s="11">
        <v>2785.64</v>
      </c>
      <c r="K26" s="9">
        <v>1463.44</v>
      </c>
      <c r="L26" s="9">
        <v>2785.64</v>
      </c>
      <c r="M26" s="31">
        <f t="shared" si="1"/>
        <v>657.54999999999973</v>
      </c>
      <c r="N26" s="31">
        <f t="shared" si="1"/>
        <v>0</v>
      </c>
      <c r="O26" s="37"/>
      <c r="P26" s="36">
        <f>5588.46-901.56</f>
        <v>4686.8999999999996</v>
      </c>
      <c r="Q26" s="43">
        <f>58.94+188.08+188.08+166.16+530.25+530.25+166.17+530.24+530.24</f>
        <v>2888.41</v>
      </c>
      <c r="R26" s="43">
        <v>7575.3099999999995</v>
      </c>
      <c r="S26" s="43">
        <f>R26-T26</f>
        <v>4951.5499999999993</v>
      </c>
      <c r="T26" s="96">
        <f>1397.11+530.24+530.24+166.17</f>
        <v>2623.76</v>
      </c>
      <c r="U26" s="4" t="s">
        <v>82</v>
      </c>
      <c r="V26" s="31">
        <v>5588.46</v>
      </c>
    </row>
    <row r="27" spans="1:22" x14ac:dyDescent="0.25">
      <c r="A27" s="4"/>
      <c r="B27" s="7" t="s">
        <v>37</v>
      </c>
      <c r="C27" s="8">
        <v>13000266403</v>
      </c>
      <c r="D27" s="8">
        <v>201592</v>
      </c>
      <c r="E27" s="7">
        <v>588.24</v>
      </c>
      <c r="F27" s="4">
        <v>559.27</v>
      </c>
      <c r="G27" s="4">
        <v>515.11</v>
      </c>
      <c r="H27" s="66"/>
      <c r="I27" s="94">
        <f t="shared" si="0"/>
        <v>515.11</v>
      </c>
      <c r="J27" s="11"/>
      <c r="K27" s="9">
        <v>515.11</v>
      </c>
      <c r="L27" s="9"/>
      <c r="M27" s="31">
        <f t="shared" si="1"/>
        <v>0</v>
      </c>
      <c r="N27" s="31">
        <f t="shared" si="1"/>
        <v>0</v>
      </c>
      <c r="O27" s="37"/>
      <c r="P27" s="36">
        <v>515.11</v>
      </c>
      <c r="Q27" s="43"/>
      <c r="R27" s="43">
        <v>515.11</v>
      </c>
      <c r="S27" s="43">
        <f t="shared" ref="S27:S29" si="3">R27-T27</f>
        <v>386.34000000000003</v>
      </c>
      <c r="T27" s="96">
        <v>128.77000000000001</v>
      </c>
      <c r="U27" s="4" t="s">
        <v>84</v>
      </c>
      <c r="V27" s="4">
        <v>515.11</v>
      </c>
    </row>
    <row r="28" spans="1:22" x14ac:dyDescent="0.25">
      <c r="A28" s="4"/>
      <c r="B28" s="7" t="s">
        <v>17</v>
      </c>
      <c r="C28" s="8">
        <v>13000250203</v>
      </c>
      <c r="D28" s="8">
        <v>201565</v>
      </c>
      <c r="E28" s="7">
        <v>254.52</v>
      </c>
      <c r="F28" s="4">
        <v>254.52</v>
      </c>
      <c r="G28" s="4">
        <v>254.52</v>
      </c>
      <c r="H28" s="66"/>
      <c r="I28" s="94">
        <f t="shared" si="0"/>
        <v>254.52</v>
      </c>
      <c r="J28" s="11"/>
      <c r="K28" s="9">
        <v>254.52</v>
      </c>
      <c r="L28" s="9"/>
      <c r="M28" s="31">
        <f t="shared" si="1"/>
        <v>0</v>
      </c>
      <c r="N28" s="31">
        <f t="shared" si="1"/>
        <v>0</v>
      </c>
      <c r="O28" s="37"/>
      <c r="P28" s="36">
        <v>254.52</v>
      </c>
      <c r="Q28" s="43"/>
      <c r="R28" s="43">
        <v>254.52</v>
      </c>
      <c r="S28" s="43">
        <f t="shared" si="3"/>
        <v>190.89000000000001</v>
      </c>
      <c r="T28" s="96">
        <v>63.63</v>
      </c>
      <c r="U28" s="4" t="s">
        <v>84</v>
      </c>
      <c r="V28" s="4">
        <v>254.52</v>
      </c>
    </row>
    <row r="29" spans="1:22" x14ac:dyDescent="0.25">
      <c r="A29" s="4"/>
      <c r="B29" s="7" t="s">
        <v>35</v>
      </c>
      <c r="C29" s="8">
        <v>13000266106</v>
      </c>
      <c r="D29" s="8">
        <v>201591</v>
      </c>
      <c r="E29" s="7">
        <v>148.04</v>
      </c>
      <c r="F29" s="4">
        <v>148.04</v>
      </c>
      <c r="G29" s="4">
        <v>148.04</v>
      </c>
      <c r="H29" s="66"/>
      <c r="I29" s="94">
        <f t="shared" si="0"/>
        <v>148.04</v>
      </c>
      <c r="J29" s="11"/>
      <c r="K29" s="9">
        <v>148.04</v>
      </c>
      <c r="L29" s="9"/>
      <c r="M29" s="31">
        <f t="shared" si="1"/>
        <v>0</v>
      </c>
      <c r="N29" s="31">
        <f t="shared" si="1"/>
        <v>0</v>
      </c>
      <c r="O29" s="37"/>
      <c r="P29" s="36">
        <v>148.04</v>
      </c>
      <c r="Q29" s="43"/>
      <c r="R29" s="43">
        <v>148.04</v>
      </c>
      <c r="S29" s="43">
        <f t="shared" si="3"/>
        <v>111.03</v>
      </c>
      <c r="T29" s="96">
        <v>37.01</v>
      </c>
      <c r="U29" s="4" t="s">
        <v>84</v>
      </c>
      <c r="V29" s="4">
        <v>148.04</v>
      </c>
    </row>
    <row r="30" spans="1:22" x14ac:dyDescent="0.25">
      <c r="A30" s="4"/>
      <c r="B30" s="7" t="s">
        <v>34</v>
      </c>
      <c r="C30" s="8">
        <v>13000266104</v>
      </c>
      <c r="D30" s="8">
        <v>201590</v>
      </c>
      <c r="E30" s="7">
        <v>2235.9</v>
      </c>
      <c r="F30" s="4">
        <v>2235.9</v>
      </c>
      <c r="G30" s="4">
        <v>2234.44</v>
      </c>
      <c r="H30" s="66">
        <v>12178.45</v>
      </c>
      <c r="I30" s="94">
        <f t="shared" si="0"/>
        <v>14412.890000000001</v>
      </c>
      <c r="J30" s="11">
        <v>26589.88</v>
      </c>
      <c r="K30" s="9">
        <v>8013.35</v>
      </c>
      <c r="L30" s="9"/>
      <c r="M30" s="31">
        <f t="shared" si="1"/>
        <v>6399.5400000000009</v>
      </c>
      <c r="N30" s="31">
        <f t="shared" si="1"/>
        <v>26589.88</v>
      </c>
      <c r="O30" s="37"/>
      <c r="P30" s="36">
        <f>14412.89-105.71</f>
        <v>14307.18</v>
      </c>
      <c r="Q30" s="43">
        <f>2954.94+3497.51+3497.51+3044.25+3603.22+3603.22+3044.24+3603.22+3603.22</f>
        <v>30451.33</v>
      </c>
      <c r="R30" s="43">
        <v>44758.51</v>
      </c>
      <c r="S30" s="43">
        <f>R30-T30</f>
        <v>30904.610000000004</v>
      </c>
      <c r="T30" s="96">
        <f>3603.22+3044.24+3603.22+3603.22</f>
        <v>13853.899999999998</v>
      </c>
      <c r="U30" s="4" t="s">
        <v>82</v>
      </c>
      <c r="V30" s="31">
        <v>14412.89</v>
      </c>
    </row>
    <row r="31" spans="1:22" x14ac:dyDescent="0.25">
      <c r="A31" s="4"/>
      <c r="B31" s="7" t="s">
        <v>59</v>
      </c>
      <c r="C31" s="8">
        <v>13000020043</v>
      </c>
      <c r="D31" s="8">
        <v>201882</v>
      </c>
      <c r="E31" s="7"/>
      <c r="F31" s="4">
        <v>507.92</v>
      </c>
      <c r="G31" s="4">
        <v>515.11</v>
      </c>
      <c r="H31" s="66"/>
      <c r="I31" s="94">
        <f t="shared" si="0"/>
        <v>515.11</v>
      </c>
      <c r="J31" s="11"/>
      <c r="K31" s="9">
        <v>515.11</v>
      </c>
      <c r="L31" s="9"/>
      <c r="M31" s="31">
        <f t="shared" si="1"/>
        <v>0</v>
      </c>
      <c r="N31" s="31">
        <f t="shared" si="1"/>
        <v>0</v>
      </c>
      <c r="O31" s="37"/>
      <c r="P31" s="36">
        <v>507.92</v>
      </c>
      <c r="Q31" s="43"/>
      <c r="R31" s="43">
        <v>507.92</v>
      </c>
      <c r="S31" s="43">
        <f t="shared" ref="S31:S33" si="4">R31-T31</f>
        <v>380.94</v>
      </c>
      <c r="T31" s="96">
        <v>126.98</v>
      </c>
      <c r="U31" s="4" t="s">
        <v>84</v>
      </c>
      <c r="V31" s="4">
        <v>507.92</v>
      </c>
    </row>
    <row r="32" spans="1:22" x14ac:dyDescent="0.25">
      <c r="A32" s="4"/>
      <c r="B32" s="7" t="s">
        <v>18</v>
      </c>
      <c r="C32" s="8">
        <v>13000250303</v>
      </c>
      <c r="D32" s="8">
        <v>201566</v>
      </c>
      <c r="E32" s="7">
        <v>1232.78</v>
      </c>
      <c r="F32" s="4">
        <v>1232.78</v>
      </c>
      <c r="G32" s="4">
        <v>1232.78</v>
      </c>
      <c r="H32" s="66"/>
      <c r="I32" s="94">
        <f t="shared" si="0"/>
        <v>1232.78</v>
      </c>
      <c r="J32" s="11"/>
      <c r="K32" s="9">
        <v>1232.78</v>
      </c>
      <c r="L32" s="9"/>
      <c r="M32" s="31">
        <f t="shared" si="1"/>
        <v>0</v>
      </c>
      <c r="N32" s="31">
        <f t="shared" si="1"/>
        <v>0</v>
      </c>
      <c r="O32" s="37"/>
      <c r="P32" s="36">
        <v>1232.78</v>
      </c>
      <c r="Q32" s="43"/>
      <c r="R32" s="43">
        <v>1232.78</v>
      </c>
      <c r="S32" s="43">
        <f t="shared" si="4"/>
        <v>924.58999999999992</v>
      </c>
      <c r="T32" s="96">
        <v>308.19</v>
      </c>
      <c r="U32" s="4" t="s">
        <v>84</v>
      </c>
      <c r="V32" s="4">
        <v>1232.78</v>
      </c>
    </row>
    <row r="33" spans="1:22" x14ac:dyDescent="0.25">
      <c r="A33" s="4"/>
      <c r="B33" s="7" t="s">
        <v>21</v>
      </c>
      <c r="C33" s="8">
        <v>13000250601</v>
      </c>
      <c r="D33" s="8">
        <v>201575</v>
      </c>
      <c r="E33" s="7">
        <v>1358.52</v>
      </c>
      <c r="F33" s="4">
        <v>1358.52</v>
      </c>
      <c r="G33" s="4">
        <v>1358.52</v>
      </c>
      <c r="H33" s="66"/>
      <c r="I33" s="94">
        <f t="shared" si="0"/>
        <v>1358.52</v>
      </c>
      <c r="J33" s="11"/>
      <c r="K33" s="9">
        <v>1358.52</v>
      </c>
      <c r="L33" s="9"/>
      <c r="M33" s="31">
        <f t="shared" si="1"/>
        <v>0</v>
      </c>
      <c r="N33" s="31">
        <f t="shared" si="1"/>
        <v>0</v>
      </c>
      <c r="O33" s="37"/>
      <c r="P33" s="36">
        <v>1358.52</v>
      </c>
      <c r="Q33" s="43"/>
      <c r="R33" s="43">
        <v>1358.52</v>
      </c>
      <c r="S33" s="43">
        <f t="shared" si="4"/>
        <v>1018.89</v>
      </c>
      <c r="T33" s="96">
        <v>339.63</v>
      </c>
      <c r="U33" s="4" t="s">
        <v>84</v>
      </c>
      <c r="V33" s="4">
        <v>1358.52</v>
      </c>
    </row>
    <row r="34" spans="1:22" x14ac:dyDescent="0.25">
      <c r="A34" s="4"/>
      <c r="B34" s="59" t="s">
        <v>60</v>
      </c>
      <c r="C34" s="8">
        <v>13000266011</v>
      </c>
      <c r="D34" s="8">
        <v>201558</v>
      </c>
      <c r="E34" s="7">
        <v>864.65</v>
      </c>
      <c r="F34" s="4">
        <v>2051.67</v>
      </c>
      <c r="G34" s="4"/>
      <c r="H34" s="66"/>
      <c r="I34" s="94">
        <f t="shared" si="0"/>
        <v>0</v>
      </c>
      <c r="J34" s="11"/>
      <c r="K34" s="9"/>
      <c r="L34" s="9"/>
      <c r="M34" s="31">
        <f t="shared" si="1"/>
        <v>0</v>
      </c>
      <c r="N34" s="31">
        <f t="shared" si="1"/>
        <v>0</v>
      </c>
      <c r="O34" s="37"/>
      <c r="P34" s="36">
        <v>0</v>
      </c>
      <c r="Q34" s="43"/>
      <c r="R34" s="43">
        <v>0</v>
      </c>
      <c r="S34" s="43"/>
      <c r="T34" s="96">
        <f t="shared" ref="T34:T61" si="5">R34-S34</f>
        <v>0</v>
      </c>
      <c r="U34" s="4" t="s">
        <v>75</v>
      </c>
      <c r="V34" s="43">
        <v>0</v>
      </c>
    </row>
    <row r="35" spans="1:22" x14ac:dyDescent="0.25">
      <c r="A35" s="4"/>
      <c r="B35" s="7" t="s">
        <v>30</v>
      </c>
      <c r="C35" s="8">
        <v>13000262610</v>
      </c>
      <c r="D35" s="8">
        <v>201586</v>
      </c>
      <c r="E35" s="7">
        <v>2474.63</v>
      </c>
      <c r="F35" s="4">
        <v>2474.63</v>
      </c>
      <c r="G35" s="4">
        <v>2474.63</v>
      </c>
      <c r="H35" s="66">
        <v>18236.89</v>
      </c>
      <c r="I35" s="94">
        <f t="shared" si="0"/>
        <v>20711.52</v>
      </c>
      <c r="J35" s="11">
        <v>34119.14</v>
      </c>
      <c r="K35" s="9">
        <v>12485.35</v>
      </c>
      <c r="L35" s="9"/>
      <c r="M35" s="31">
        <f t="shared" si="1"/>
        <v>8226.17</v>
      </c>
      <c r="N35" s="31">
        <f t="shared" si="1"/>
        <v>34119.14</v>
      </c>
      <c r="O35" s="37"/>
      <c r="P35" s="36">
        <v>20771.52</v>
      </c>
      <c r="Q35" s="43">
        <f>4574.22+5192.88+5192.88+4574.22+5192.88+5192.88+4574.22+5192.88+5192.88</f>
        <v>44879.939999999995</v>
      </c>
      <c r="R35" s="43">
        <v>65651.459999999992</v>
      </c>
      <c r="S35" s="43">
        <f>R35-T35</f>
        <v>45498.599999999991</v>
      </c>
      <c r="T35" s="96">
        <f>5192.88+4574.22+5192.88+5192.88</f>
        <v>20152.86</v>
      </c>
      <c r="U35" s="4" t="s">
        <v>82</v>
      </c>
      <c r="V35" s="31">
        <v>20771.52</v>
      </c>
    </row>
    <row r="36" spans="1:22" x14ac:dyDescent="0.25">
      <c r="A36" s="4"/>
      <c r="B36" s="7" t="s">
        <v>33</v>
      </c>
      <c r="C36" s="8">
        <v>13000266103</v>
      </c>
      <c r="D36" s="8">
        <v>201589</v>
      </c>
      <c r="E36" s="7">
        <v>14742.04</v>
      </c>
      <c r="F36" s="4">
        <v>14742.04</v>
      </c>
      <c r="G36" s="4">
        <v>14742.04</v>
      </c>
      <c r="H36" s="66">
        <v>1137.79</v>
      </c>
      <c r="I36" s="94">
        <f t="shared" si="0"/>
        <v>15879.830000000002</v>
      </c>
      <c r="J36" s="11">
        <v>17017.62</v>
      </c>
      <c r="K36" s="9">
        <v>14742.04</v>
      </c>
      <c r="L36" s="9"/>
      <c r="M36" s="31">
        <f>I36-K36</f>
        <v>1137.7900000000009</v>
      </c>
      <c r="N36" s="31">
        <f t="shared" si="1"/>
        <v>17017.62</v>
      </c>
      <c r="O36" s="37"/>
      <c r="P36" s="36">
        <f>15879.83-6666.94</f>
        <v>9212.89</v>
      </c>
      <c r="Q36" s="43">
        <f>91.21+1272.98+1272.98+284.44+3969.95+3969.95</f>
        <v>10861.509999999998</v>
      </c>
      <c r="R36" s="43">
        <v>20074.399999999998</v>
      </c>
      <c r="S36" s="43">
        <f>R36-T36</f>
        <v>15727.3</v>
      </c>
      <c r="T36" s="96">
        <f>3969.95+377.15</f>
        <v>4347.0999999999995</v>
      </c>
      <c r="U36" s="4" t="s">
        <v>83</v>
      </c>
      <c r="V36" s="31">
        <v>15879.83</v>
      </c>
    </row>
    <row r="37" spans="1:22" x14ac:dyDescent="0.25">
      <c r="A37" s="4"/>
      <c r="B37" s="7" t="s">
        <v>42</v>
      </c>
      <c r="C37" s="8">
        <v>13000252147</v>
      </c>
      <c r="D37" s="8">
        <v>201597</v>
      </c>
      <c r="E37" s="7">
        <v>24.98</v>
      </c>
      <c r="F37" s="4">
        <v>25</v>
      </c>
      <c r="G37" s="4">
        <v>6.33</v>
      </c>
      <c r="H37" s="66"/>
      <c r="I37" s="94">
        <f t="shared" si="0"/>
        <v>6.33</v>
      </c>
      <c r="J37" s="11"/>
      <c r="K37" s="9">
        <v>6.33</v>
      </c>
      <c r="L37" s="9"/>
      <c r="M37" s="31">
        <f t="shared" si="1"/>
        <v>0</v>
      </c>
      <c r="N37" s="31">
        <f t="shared" si="1"/>
        <v>0</v>
      </c>
      <c r="O37" s="37"/>
      <c r="P37" s="36">
        <v>6.33</v>
      </c>
      <c r="Q37" s="43"/>
      <c r="R37" s="43">
        <v>6.33</v>
      </c>
      <c r="S37" s="43">
        <f t="shared" ref="S37:S39" si="6">R37-T37</f>
        <v>4.75</v>
      </c>
      <c r="T37" s="96">
        <v>1.58</v>
      </c>
      <c r="U37" s="4" t="s">
        <v>84</v>
      </c>
      <c r="V37" s="4">
        <v>6.33</v>
      </c>
    </row>
    <row r="38" spans="1:22" x14ac:dyDescent="0.25">
      <c r="A38" s="4"/>
      <c r="B38" s="7" t="s">
        <v>61</v>
      </c>
      <c r="C38" s="8">
        <v>13000262611</v>
      </c>
      <c r="D38" s="8">
        <v>201593</v>
      </c>
      <c r="E38" s="7">
        <v>73.349999999999994</v>
      </c>
      <c r="F38" s="4">
        <v>73.349999999999994</v>
      </c>
      <c r="G38" s="4">
        <v>73.349999999999994</v>
      </c>
      <c r="H38" s="66"/>
      <c r="I38" s="94">
        <f t="shared" si="0"/>
        <v>73.349999999999994</v>
      </c>
      <c r="J38" s="11"/>
      <c r="K38" s="9">
        <v>73.349999999999994</v>
      </c>
      <c r="L38" s="9"/>
      <c r="M38" s="31">
        <f t="shared" si="1"/>
        <v>0</v>
      </c>
      <c r="N38" s="31">
        <f t="shared" si="1"/>
        <v>0</v>
      </c>
      <c r="O38" s="37"/>
      <c r="P38" s="36">
        <v>90.77</v>
      </c>
      <c r="Q38" s="43"/>
      <c r="R38" s="43">
        <v>90.77</v>
      </c>
      <c r="S38" s="43">
        <f t="shared" si="6"/>
        <v>68.08</v>
      </c>
      <c r="T38" s="96">
        <v>22.69</v>
      </c>
      <c r="U38" s="4" t="s">
        <v>84</v>
      </c>
      <c r="V38" s="4">
        <v>90.77</v>
      </c>
    </row>
    <row r="39" spans="1:22" x14ac:dyDescent="0.25">
      <c r="A39" s="4"/>
      <c r="B39" s="10" t="s">
        <v>44</v>
      </c>
      <c r="C39" s="52">
        <v>13000250302</v>
      </c>
      <c r="D39" s="52">
        <v>209461</v>
      </c>
      <c r="E39" s="7"/>
      <c r="F39" s="4"/>
      <c r="G39" s="4">
        <v>473.73</v>
      </c>
      <c r="H39" s="66"/>
      <c r="I39" s="94">
        <f t="shared" si="0"/>
        <v>473.73</v>
      </c>
      <c r="J39" s="11"/>
      <c r="K39" s="9">
        <v>473.73</v>
      </c>
      <c r="L39" s="9"/>
      <c r="M39" s="31">
        <f t="shared" si="1"/>
        <v>0</v>
      </c>
      <c r="N39" s="31">
        <f t="shared" si="1"/>
        <v>0</v>
      </c>
      <c r="O39" s="37"/>
      <c r="P39" s="11">
        <v>473.73</v>
      </c>
      <c r="Q39" s="40"/>
      <c r="R39" s="40">
        <v>473.73</v>
      </c>
      <c r="S39" s="40">
        <f t="shared" si="6"/>
        <v>355.3</v>
      </c>
      <c r="T39" s="35">
        <v>118.43</v>
      </c>
      <c r="U39" s="4" t="s">
        <v>84</v>
      </c>
      <c r="V39" s="4">
        <v>473.73</v>
      </c>
    </row>
    <row r="40" spans="1:22" x14ac:dyDescent="0.25">
      <c r="A40" s="11"/>
      <c r="B40" s="60" t="s">
        <v>72</v>
      </c>
      <c r="C40" s="64"/>
      <c r="D40" s="64"/>
      <c r="E40" s="9">
        <v>2377.7800000000002</v>
      </c>
      <c r="F40" s="4"/>
      <c r="G40" s="4"/>
      <c r="H40" s="66"/>
      <c r="I40" s="94"/>
      <c r="J40" s="11"/>
      <c r="K40" s="9"/>
      <c r="L40" s="9"/>
      <c r="M40" s="31"/>
      <c r="N40" s="31"/>
      <c r="O40" s="37"/>
      <c r="P40" s="11"/>
      <c r="Q40" s="61"/>
      <c r="R40" s="61">
        <v>0</v>
      </c>
      <c r="S40" s="61"/>
      <c r="T40" s="35">
        <f t="shared" si="5"/>
        <v>0</v>
      </c>
      <c r="U40" s="40"/>
      <c r="V40" s="4"/>
    </row>
    <row r="41" spans="1:22" x14ac:dyDescent="0.25">
      <c r="A41" s="11"/>
      <c r="B41" s="12"/>
      <c r="C41" s="52"/>
      <c r="D41" s="52"/>
      <c r="E41" s="28">
        <f>SUM(E8:E40)</f>
        <v>30394.6</v>
      </c>
      <c r="F41" s="28">
        <f t="shared" ref="F41:G41" si="7">SUM(F8:F39)</f>
        <v>30044.61</v>
      </c>
      <c r="G41" s="28">
        <f t="shared" si="7"/>
        <v>28416.03</v>
      </c>
      <c r="H41" s="68">
        <v>32217.78</v>
      </c>
      <c r="I41" s="95">
        <f>SUM(I8:I39)</f>
        <v>60633.810000000005</v>
      </c>
      <c r="J41" s="25">
        <f>SUM(J8:J39)</f>
        <v>80512.28</v>
      </c>
      <c r="K41" s="24">
        <f>SUM(K8:K40)</f>
        <v>44212.76</v>
      </c>
      <c r="L41" s="24">
        <v>2785.64</v>
      </c>
      <c r="M41" s="32">
        <f>SUM(M8:M39)</f>
        <v>16421.050000000003</v>
      </c>
      <c r="N41" s="32">
        <f>SUM(N8:N39)</f>
        <v>77726.64</v>
      </c>
      <c r="O41" s="47"/>
      <c r="P41" s="25">
        <f>SUM(P8:P40)</f>
        <v>56543.64</v>
      </c>
      <c r="Q41" s="4"/>
      <c r="R41" s="4">
        <v>145624.82999999996</v>
      </c>
      <c r="S41" s="4"/>
      <c r="T41" s="97">
        <f>SUM(T8:T40)</f>
        <v>42868.82</v>
      </c>
      <c r="U41" s="4"/>
      <c r="V41" s="44">
        <f>SUM(V8:V40)</f>
        <v>64217.850000000006</v>
      </c>
    </row>
    <row r="42" spans="1:22" ht="35.25" customHeight="1" x14ac:dyDescent="0.25">
      <c r="A42" s="120" t="s">
        <v>93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4"/>
      <c r="R42" s="4">
        <v>0</v>
      </c>
      <c r="S42" s="4"/>
      <c r="T42" s="35">
        <f t="shared" si="5"/>
        <v>0</v>
      </c>
      <c r="U42" s="4"/>
      <c r="V42" s="4"/>
    </row>
    <row r="43" spans="1:22" x14ac:dyDescent="0.25">
      <c r="A43" s="4">
        <v>1</v>
      </c>
      <c r="B43" s="13" t="s">
        <v>62</v>
      </c>
      <c r="C43" s="14">
        <v>13000021201</v>
      </c>
      <c r="D43" s="14">
        <v>201557</v>
      </c>
      <c r="E43" s="7"/>
      <c r="F43" s="4"/>
      <c r="G43" s="4"/>
      <c r="H43" s="98">
        <v>829.26</v>
      </c>
      <c r="I43" s="94">
        <f>H43</f>
        <v>829.26</v>
      </c>
      <c r="J43" s="11">
        <v>1658.52</v>
      </c>
      <c r="K43" s="9">
        <v>829.26</v>
      </c>
      <c r="L43" s="9">
        <v>1658.52</v>
      </c>
      <c r="M43" s="31">
        <f>I43-K43</f>
        <v>0</v>
      </c>
      <c r="N43" s="31">
        <f>J43-L43</f>
        <v>0</v>
      </c>
      <c r="O43" s="37"/>
      <c r="P43" s="36">
        <f>829.26-0.25</f>
        <v>829.01</v>
      </c>
      <c r="Q43" s="43">
        <f>207.05+207.06+207.06+207.31+207.31+207.31</f>
        <v>1243.0999999999999</v>
      </c>
      <c r="R43" s="43">
        <v>2072.1099999999997</v>
      </c>
      <c r="S43" s="43">
        <f t="shared" ref="S43:S65" si="8">R43-T43</f>
        <v>1242.8699999999997</v>
      </c>
      <c r="T43" s="96">
        <f>207.31+207.31+207.31+207.31</f>
        <v>829.24</v>
      </c>
      <c r="U43" s="4" t="s">
        <v>82</v>
      </c>
      <c r="V43" s="4">
        <v>829.26</v>
      </c>
    </row>
    <row r="44" spans="1:22" x14ac:dyDescent="0.25">
      <c r="A44" s="4">
        <v>2</v>
      </c>
      <c r="B44" s="13" t="s">
        <v>63</v>
      </c>
      <c r="C44" s="14">
        <v>13000021406</v>
      </c>
      <c r="D44" s="14">
        <v>210904</v>
      </c>
      <c r="E44" s="7"/>
      <c r="F44" s="4"/>
      <c r="G44" s="4"/>
      <c r="H44" s="98">
        <v>471.63</v>
      </c>
      <c r="I44" s="94">
        <f t="shared" ref="I44:I64" si="9">H44</f>
        <v>471.63</v>
      </c>
      <c r="J44" s="11">
        <v>943.26</v>
      </c>
      <c r="K44" s="9">
        <v>471.63</v>
      </c>
      <c r="L44" s="9">
        <v>943.26</v>
      </c>
      <c r="M44" s="31">
        <f t="shared" ref="M44:N64" si="10">I44-K44</f>
        <v>0</v>
      </c>
      <c r="N44" s="31">
        <f t="shared" si="10"/>
        <v>0</v>
      </c>
      <c r="O44" s="37"/>
      <c r="P44" s="36">
        <f>471.63-0.14</f>
        <v>471.49</v>
      </c>
      <c r="Q44" s="43">
        <f>117.76+117.77+117.77+117.9+117.9+117.9</f>
        <v>707</v>
      </c>
      <c r="R44" s="43">
        <v>1178.49</v>
      </c>
      <c r="S44" s="43">
        <f t="shared" si="8"/>
        <v>1060.5899999999999</v>
      </c>
      <c r="T44" s="96">
        <v>117.9</v>
      </c>
      <c r="U44" s="4" t="s">
        <v>84</v>
      </c>
      <c r="V44" s="4">
        <v>471.63</v>
      </c>
    </row>
    <row r="45" spans="1:22" x14ac:dyDescent="0.25">
      <c r="A45" s="4">
        <v>3</v>
      </c>
      <c r="B45" s="13" t="s">
        <v>40</v>
      </c>
      <c r="C45" s="14">
        <v>13000266406</v>
      </c>
      <c r="D45" s="14">
        <v>107395</v>
      </c>
      <c r="E45" s="7"/>
      <c r="F45" s="4"/>
      <c r="G45" s="4"/>
      <c r="H45" s="98">
        <v>524.22</v>
      </c>
      <c r="I45" s="94">
        <f t="shared" si="9"/>
        <v>524.22</v>
      </c>
      <c r="J45" s="11">
        <v>1048.44</v>
      </c>
      <c r="K45" s="9">
        <v>524.22</v>
      </c>
      <c r="L45" s="9">
        <v>1048.44</v>
      </c>
      <c r="M45" s="31">
        <f t="shared" si="10"/>
        <v>0</v>
      </c>
      <c r="N45" s="31">
        <f t="shared" si="10"/>
        <v>0</v>
      </c>
      <c r="O45" s="37"/>
      <c r="P45" s="36">
        <f>524.22-0.16</f>
        <v>524.06000000000006</v>
      </c>
      <c r="Q45" s="43">
        <f>130.89+130.9+130.9+131.05+131.05+131.05</f>
        <v>785.83999999999992</v>
      </c>
      <c r="R45" s="43">
        <v>1309.9000000000001</v>
      </c>
      <c r="S45" s="43">
        <f t="shared" si="8"/>
        <v>1178.8500000000001</v>
      </c>
      <c r="T45" s="96">
        <v>131.05000000000001</v>
      </c>
      <c r="U45" s="4" t="s">
        <v>84</v>
      </c>
      <c r="V45" s="4">
        <v>524.22</v>
      </c>
    </row>
    <row r="46" spans="1:22" x14ac:dyDescent="0.25">
      <c r="A46" s="4">
        <v>4</v>
      </c>
      <c r="B46" s="13" t="s">
        <v>28</v>
      </c>
      <c r="C46" s="14">
        <v>13000252151</v>
      </c>
      <c r="D46" s="14">
        <v>107391</v>
      </c>
      <c r="E46" s="7"/>
      <c r="F46" s="4"/>
      <c r="G46" s="4"/>
      <c r="H46" s="98">
        <v>4663.74</v>
      </c>
      <c r="I46" s="94">
        <f t="shared" si="9"/>
        <v>4663.74</v>
      </c>
      <c r="J46" s="11">
        <v>9327.48</v>
      </c>
      <c r="K46" s="9">
        <v>4663.74</v>
      </c>
      <c r="L46" s="9"/>
      <c r="M46" s="31">
        <f t="shared" si="10"/>
        <v>0</v>
      </c>
      <c r="N46" s="31">
        <f t="shared" si="10"/>
        <v>9327.48</v>
      </c>
      <c r="O46" s="37"/>
      <c r="P46" s="36">
        <f>4663.74-1.41</f>
        <v>4662.33</v>
      </c>
      <c r="Q46" s="43">
        <f>1164.53+1164.52+1164.52+1165.93+1165.93+1165.93</f>
        <v>6991.3600000000006</v>
      </c>
      <c r="R46" s="43">
        <v>11653.69</v>
      </c>
      <c r="S46" s="43">
        <f t="shared" si="8"/>
        <v>6989.97</v>
      </c>
      <c r="T46" s="96">
        <f>1165.93+1165.93+1165.93+1165.93</f>
        <v>4663.72</v>
      </c>
      <c r="U46" s="4" t="s">
        <v>82</v>
      </c>
      <c r="V46" s="31">
        <v>4663.74</v>
      </c>
    </row>
    <row r="47" spans="1:22" x14ac:dyDescent="0.25">
      <c r="A47" s="4">
        <v>5</v>
      </c>
      <c r="B47" s="13" t="s">
        <v>16</v>
      </c>
      <c r="C47" s="14">
        <v>13000250201</v>
      </c>
      <c r="D47" s="14">
        <v>210915</v>
      </c>
      <c r="E47" s="7"/>
      <c r="F47" s="4"/>
      <c r="G47" s="4"/>
      <c r="H47" s="98">
        <v>118.17</v>
      </c>
      <c r="I47" s="94">
        <f t="shared" si="9"/>
        <v>118.17</v>
      </c>
      <c r="J47" s="11">
        <v>236.34</v>
      </c>
      <c r="K47" s="9">
        <v>118.17</v>
      </c>
      <c r="L47" s="9">
        <v>236.34</v>
      </c>
      <c r="M47" s="31">
        <f t="shared" si="10"/>
        <v>0</v>
      </c>
      <c r="N47" s="31">
        <f t="shared" si="10"/>
        <v>0</v>
      </c>
      <c r="O47" s="37"/>
      <c r="P47" s="36">
        <f>118.17-0.03</f>
        <v>118.14</v>
      </c>
      <c r="Q47" s="43">
        <f>29.52+29.51+29.51+29.54+29.54+29.54</f>
        <v>177.16</v>
      </c>
      <c r="R47" s="43">
        <v>295.3</v>
      </c>
      <c r="S47" s="43">
        <f t="shared" si="8"/>
        <v>265.76</v>
      </c>
      <c r="T47" s="96">
        <v>29.54</v>
      </c>
      <c r="U47" s="4" t="s">
        <v>84</v>
      </c>
      <c r="V47" s="4">
        <v>118.17</v>
      </c>
    </row>
    <row r="48" spans="1:22" x14ac:dyDescent="0.25">
      <c r="A48" s="4">
        <v>6</v>
      </c>
      <c r="B48" s="15" t="s">
        <v>4</v>
      </c>
      <c r="C48" s="16">
        <v>13000220131</v>
      </c>
      <c r="D48" s="16">
        <v>107399</v>
      </c>
      <c r="E48" s="7"/>
      <c r="F48" s="4"/>
      <c r="G48" s="4"/>
      <c r="H48" s="98">
        <v>1458.3</v>
      </c>
      <c r="I48" s="94">
        <f t="shared" si="9"/>
        <v>1458.3</v>
      </c>
      <c r="J48" s="11">
        <v>2916.6</v>
      </c>
      <c r="K48" s="9">
        <v>1458.3</v>
      </c>
      <c r="L48" s="9">
        <v>894.4</v>
      </c>
      <c r="M48" s="31">
        <f t="shared" si="10"/>
        <v>0</v>
      </c>
      <c r="N48" s="31">
        <f t="shared" si="10"/>
        <v>2022.1999999999998</v>
      </c>
      <c r="O48" s="37"/>
      <c r="P48" s="36">
        <f>1458.3-0.44</f>
        <v>1457.86</v>
      </c>
      <c r="Q48" s="43">
        <f>364.13+364.14+364.14+364.57+364.57+364.57</f>
        <v>2186.12</v>
      </c>
      <c r="R48" s="43">
        <v>3643.9799999999996</v>
      </c>
      <c r="S48" s="43">
        <f t="shared" si="8"/>
        <v>2185.6999999999998</v>
      </c>
      <c r="T48" s="96">
        <f>364.57+364.57+364.57+364.57</f>
        <v>1458.28</v>
      </c>
      <c r="U48" s="4" t="s">
        <v>82</v>
      </c>
      <c r="V48" s="4">
        <v>1458.3</v>
      </c>
    </row>
    <row r="49" spans="1:22" x14ac:dyDescent="0.25">
      <c r="A49" s="4">
        <v>7</v>
      </c>
      <c r="B49" s="15" t="s">
        <v>36</v>
      </c>
      <c r="C49" s="16">
        <v>13000266110</v>
      </c>
      <c r="D49" s="16">
        <v>107397</v>
      </c>
      <c r="E49" s="7"/>
      <c r="F49" s="4"/>
      <c r="G49" s="4"/>
      <c r="H49" s="98">
        <v>85.52</v>
      </c>
      <c r="I49" s="94">
        <f t="shared" si="9"/>
        <v>85.52</v>
      </c>
      <c r="J49" s="11">
        <v>171.04</v>
      </c>
      <c r="K49" s="9">
        <v>85.52</v>
      </c>
      <c r="L49" s="9">
        <v>171.04</v>
      </c>
      <c r="M49" s="31">
        <f t="shared" si="10"/>
        <v>0</v>
      </c>
      <c r="N49" s="31">
        <f t="shared" si="10"/>
        <v>0</v>
      </c>
      <c r="O49" s="37"/>
      <c r="P49" s="36">
        <f>85.52-0.03</f>
        <v>85.49</v>
      </c>
      <c r="Q49" s="43">
        <f>21.34+21.35+21.35+21.38+21.38+21.38</f>
        <v>128.17999999999998</v>
      </c>
      <c r="R49" s="43">
        <v>213.66999999999996</v>
      </c>
      <c r="S49" s="43">
        <f t="shared" si="8"/>
        <v>192.28999999999996</v>
      </c>
      <c r="T49" s="96">
        <v>21.38</v>
      </c>
      <c r="U49" s="4" t="s">
        <v>84</v>
      </c>
      <c r="V49" s="4">
        <v>85.52</v>
      </c>
    </row>
    <row r="50" spans="1:22" x14ac:dyDescent="0.25">
      <c r="A50" s="4">
        <v>8</v>
      </c>
      <c r="B50" s="15" t="s">
        <v>38</v>
      </c>
      <c r="C50" s="16">
        <v>13000266404</v>
      </c>
      <c r="D50" s="16">
        <v>107393</v>
      </c>
      <c r="E50" s="7"/>
      <c r="F50" s="4"/>
      <c r="G50" s="4"/>
      <c r="H50" s="98">
        <v>107.19</v>
      </c>
      <c r="I50" s="94">
        <f t="shared" si="9"/>
        <v>107.19</v>
      </c>
      <c r="J50" s="11">
        <v>214.38</v>
      </c>
      <c r="K50" s="9">
        <v>107.19</v>
      </c>
      <c r="L50" s="9">
        <v>214.38</v>
      </c>
      <c r="M50" s="31">
        <f t="shared" si="10"/>
        <v>0</v>
      </c>
      <c r="N50" s="31">
        <f t="shared" si="10"/>
        <v>0</v>
      </c>
      <c r="O50" s="37"/>
      <c r="P50" s="36">
        <f>107.19-0.04</f>
        <v>107.14999999999999</v>
      </c>
      <c r="Q50" s="43">
        <f>26.78+26.76+26.76+26.79+26.79+26.79</f>
        <v>160.66999999999999</v>
      </c>
      <c r="R50" s="43">
        <v>267.82</v>
      </c>
      <c r="S50" s="43">
        <f t="shared" si="8"/>
        <v>241.03</v>
      </c>
      <c r="T50" s="96">
        <v>26.79</v>
      </c>
      <c r="U50" s="4" t="s">
        <v>84</v>
      </c>
      <c r="V50" s="4">
        <v>107.19</v>
      </c>
    </row>
    <row r="51" spans="1:22" x14ac:dyDescent="0.25">
      <c r="A51" s="4">
        <v>9</v>
      </c>
      <c r="B51" s="15" t="s">
        <v>39</v>
      </c>
      <c r="C51" s="16">
        <v>13000266405</v>
      </c>
      <c r="D51" s="16">
        <v>107394</v>
      </c>
      <c r="E51" s="7"/>
      <c r="F51" s="4"/>
      <c r="G51" s="4"/>
      <c r="H51" s="98">
        <v>2293.19</v>
      </c>
      <c r="I51" s="94">
        <f t="shared" si="9"/>
        <v>2293.19</v>
      </c>
      <c r="J51" s="11">
        <v>4586.38</v>
      </c>
      <c r="K51" s="9">
        <v>2293.19</v>
      </c>
      <c r="L51" s="9"/>
      <c r="M51" s="31">
        <f t="shared" si="10"/>
        <v>0</v>
      </c>
      <c r="N51" s="31">
        <f t="shared" si="10"/>
        <v>4586.38</v>
      </c>
      <c r="O51" s="37"/>
      <c r="P51" s="36">
        <f>2293.19-0.69</f>
        <v>2292.5</v>
      </c>
      <c r="Q51" s="43">
        <f>572.6+572.61+572.61+573.29+573.29+573.29</f>
        <v>3437.69</v>
      </c>
      <c r="R51" s="43">
        <v>5730.1900000000005</v>
      </c>
      <c r="S51" s="43">
        <f t="shared" si="8"/>
        <v>3437.0300000000007</v>
      </c>
      <c r="T51" s="96">
        <f>573.29+573.29+573.29+573.29</f>
        <v>2293.16</v>
      </c>
      <c r="U51" s="4" t="s">
        <v>82</v>
      </c>
      <c r="V51" s="4">
        <v>2293.19</v>
      </c>
    </row>
    <row r="52" spans="1:22" x14ac:dyDescent="0.25">
      <c r="A52" s="4">
        <v>10</v>
      </c>
      <c r="B52" s="15" t="s">
        <v>2</v>
      </c>
      <c r="C52" s="100">
        <v>13000220101</v>
      </c>
      <c r="D52" s="100">
        <v>107377</v>
      </c>
      <c r="E52" s="13"/>
      <c r="F52" s="43"/>
      <c r="G52" s="43"/>
      <c r="H52" s="98">
        <v>3644.25</v>
      </c>
      <c r="I52" s="94">
        <f t="shared" si="9"/>
        <v>3644.25</v>
      </c>
      <c r="J52" s="36">
        <v>7288.5</v>
      </c>
      <c r="K52" s="9">
        <v>3644.25</v>
      </c>
      <c r="L52" s="9"/>
      <c r="M52" s="31">
        <f t="shared" si="10"/>
        <v>0</v>
      </c>
      <c r="N52" s="31">
        <f t="shared" si="10"/>
        <v>7288.5</v>
      </c>
      <c r="O52" s="37"/>
      <c r="P52" s="36">
        <f>3644.25-1.1</f>
        <v>3643.15</v>
      </c>
      <c r="Q52" s="43">
        <f>909.97+909.96+909.96+911.06+911.06+911.06</f>
        <v>5463.07</v>
      </c>
      <c r="R52" s="43">
        <v>9106.2199999999993</v>
      </c>
      <c r="S52" s="43">
        <f t="shared" si="8"/>
        <v>5461.98</v>
      </c>
      <c r="T52" s="96">
        <f>911.06+911.06+911.06+911.06</f>
        <v>3644.24</v>
      </c>
      <c r="U52" s="4" t="s">
        <v>82</v>
      </c>
      <c r="V52" s="31">
        <v>3644.25</v>
      </c>
    </row>
    <row r="53" spans="1:22" x14ac:dyDescent="0.25">
      <c r="A53" s="4">
        <v>11</v>
      </c>
      <c r="B53" s="15" t="s">
        <v>3</v>
      </c>
      <c r="C53" s="16">
        <v>13000220130</v>
      </c>
      <c r="D53" s="16">
        <v>107398</v>
      </c>
      <c r="E53" s="7"/>
      <c r="F53" s="4"/>
      <c r="G53" s="4"/>
      <c r="H53" s="98">
        <v>243.33</v>
      </c>
      <c r="I53" s="94">
        <f t="shared" si="9"/>
        <v>243.33</v>
      </c>
      <c r="J53" s="11">
        <v>486.66</v>
      </c>
      <c r="K53" s="9">
        <v>243.33</v>
      </c>
      <c r="L53" s="9">
        <v>486.66</v>
      </c>
      <c r="M53" s="31">
        <f t="shared" si="10"/>
        <v>0</v>
      </c>
      <c r="N53" s="31">
        <f t="shared" si="10"/>
        <v>0</v>
      </c>
      <c r="O53" s="37"/>
      <c r="P53" s="36">
        <f>243.33-0.08</f>
        <v>243.25</v>
      </c>
      <c r="Q53" s="43">
        <f>60.74+60.75+60.75+60.83+60.83+60.83</f>
        <v>364.72999999999996</v>
      </c>
      <c r="R53" s="43">
        <v>607.98</v>
      </c>
      <c r="S53" s="43">
        <f t="shared" si="8"/>
        <v>547.15</v>
      </c>
      <c r="T53" s="96">
        <v>60.83</v>
      </c>
      <c r="U53" s="4" t="s">
        <v>84</v>
      </c>
      <c r="V53" s="4">
        <v>243.33</v>
      </c>
    </row>
    <row r="54" spans="1:22" x14ac:dyDescent="0.25">
      <c r="A54" s="4">
        <v>12</v>
      </c>
      <c r="B54" s="15" t="s">
        <v>9</v>
      </c>
      <c r="C54" s="16">
        <v>13000241602</v>
      </c>
      <c r="D54" s="16">
        <v>107387</v>
      </c>
      <c r="E54" s="7"/>
      <c r="F54" s="4"/>
      <c r="G54" s="4"/>
      <c r="H54" s="98">
        <v>145.91999999999999</v>
      </c>
      <c r="I54" s="94">
        <f t="shared" si="9"/>
        <v>145.91999999999999</v>
      </c>
      <c r="J54" s="11">
        <v>291.83999999999997</v>
      </c>
      <c r="K54" s="9">
        <v>145.91999999999999</v>
      </c>
      <c r="L54" s="9">
        <v>291.83999999999997</v>
      </c>
      <c r="M54" s="31">
        <f t="shared" si="10"/>
        <v>0</v>
      </c>
      <c r="N54" s="31">
        <f t="shared" si="10"/>
        <v>0</v>
      </c>
      <c r="O54" s="37"/>
      <c r="P54" s="36">
        <f>145.92-0.04</f>
        <v>145.88</v>
      </c>
      <c r="Q54" s="43">
        <f>36.44+36.44+36.44+36.48+36.48+36.48</f>
        <v>218.75999999999996</v>
      </c>
      <c r="R54" s="43">
        <v>364.64</v>
      </c>
      <c r="S54" s="43">
        <f t="shared" si="8"/>
        <v>328.15999999999997</v>
      </c>
      <c r="T54" s="96">
        <v>36.479999999999997</v>
      </c>
      <c r="U54" s="4" t="s">
        <v>84</v>
      </c>
      <c r="V54" s="4">
        <v>145.91999999999999</v>
      </c>
    </row>
    <row r="55" spans="1:22" x14ac:dyDescent="0.25">
      <c r="A55" s="4">
        <v>13</v>
      </c>
      <c r="B55" s="15" t="s">
        <v>8</v>
      </c>
      <c r="C55" s="16">
        <v>13000241501</v>
      </c>
      <c r="D55" s="16">
        <v>107386</v>
      </c>
      <c r="E55" s="7"/>
      <c r="F55" s="4"/>
      <c r="G55" s="4"/>
      <c r="H55" s="98">
        <v>238.47</v>
      </c>
      <c r="I55" s="94">
        <f t="shared" si="9"/>
        <v>238.47</v>
      </c>
      <c r="J55" s="11">
        <v>476.94</v>
      </c>
      <c r="K55" s="9">
        <v>238.47</v>
      </c>
      <c r="L55" s="9">
        <v>476.94</v>
      </c>
      <c r="M55" s="31">
        <f t="shared" si="10"/>
        <v>0</v>
      </c>
      <c r="N55" s="31">
        <f t="shared" si="10"/>
        <v>0</v>
      </c>
      <c r="O55" s="37"/>
      <c r="P55" s="36">
        <f>238.47-0.08</f>
        <v>238.39</v>
      </c>
      <c r="Q55" s="43">
        <f>59.56+59.54+59.54+59.61+59.61+59.61</f>
        <v>357.47</v>
      </c>
      <c r="R55" s="43">
        <v>595.86</v>
      </c>
      <c r="S55" s="43">
        <f t="shared" si="8"/>
        <v>536.25</v>
      </c>
      <c r="T55" s="96">
        <v>59.61</v>
      </c>
      <c r="U55" s="4" t="s">
        <v>84</v>
      </c>
      <c r="V55" s="4">
        <v>238.47</v>
      </c>
    </row>
    <row r="56" spans="1:22" x14ac:dyDescent="0.25">
      <c r="A56" s="4">
        <v>14</v>
      </c>
      <c r="B56" s="15" t="s">
        <v>10</v>
      </c>
      <c r="C56" s="16">
        <v>13000241603</v>
      </c>
      <c r="D56" s="16">
        <v>107388</v>
      </c>
      <c r="E56" s="7"/>
      <c r="F56" s="4"/>
      <c r="G56" s="4"/>
      <c r="H56" s="98">
        <v>18.440000000000001</v>
      </c>
      <c r="I56" s="94">
        <f t="shared" si="9"/>
        <v>18.440000000000001</v>
      </c>
      <c r="J56" s="11">
        <v>36.880000000000003</v>
      </c>
      <c r="K56" s="9">
        <v>18.440000000000001</v>
      </c>
      <c r="L56" s="9">
        <v>36.880000000000003</v>
      </c>
      <c r="M56" s="31">
        <f t="shared" si="10"/>
        <v>0</v>
      </c>
      <c r="N56" s="31">
        <f t="shared" si="10"/>
        <v>0</v>
      </c>
      <c r="O56" s="37"/>
      <c r="P56" s="36">
        <v>18.440000000000001</v>
      </c>
      <c r="Q56" s="43">
        <f>4.61+4.61+4.61+4.61+4.61+4.61</f>
        <v>27.66</v>
      </c>
      <c r="R56" s="43">
        <v>46.1</v>
      </c>
      <c r="S56" s="43">
        <f t="shared" si="8"/>
        <v>41.49</v>
      </c>
      <c r="T56" s="96">
        <v>4.6100000000000003</v>
      </c>
      <c r="U56" s="4" t="s">
        <v>84</v>
      </c>
      <c r="V56" s="4">
        <v>18.440000000000001</v>
      </c>
    </row>
    <row r="57" spans="1:22" x14ac:dyDescent="0.25">
      <c r="A57" s="4">
        <v>15</v>
      </c>
      <c r="B57" s="15" t="s">
        <v>1</v>
      </c>
      <c r="C57" s="16">
        <v>13000088901</v>
      </c>
      <c r="D57" s="16">
        <v>172678</v>
      </c>
      <c r="E57" s="7"/>
      <c r="F57" s="4"/>
      <c r="G57" s="4"/>
      <c r="H57" s="98">
        <v>167.6</v>
      </c>
      <c r="I57" s="94">
        <f t="shared" si="9"/>
        <v>167.6</v>
      </c>
      <c r="J57" s="11">
        <v>335.2</v>
      </c>
      <c r="K57" s="9">
        <v>167.6</v>
      </c>
      <c r="L57" s="9">
        <v>335.2</v>
      </c>
      <c r="M57" s="31">
        <f t="shared" si="10"/>
        <v>0</v>
      </c>
      <c r="N57" s="31">
        <f t="shared" si="10"/>
        <v>0</v>
      </c>
      <c r="O57" s="37"/>
      <c r="P57" s="36">
        <f>167.6-0.05</f>
        <v>167.54999999999998</v>
      </c>
      <c r="Q57" s="43">
        <f>41.86+41.85+41.85+41.9+41.9+41.9</f>
        <v>251.26000000000002</v>
      </c>
      <c r="R57" s="43">
        <v>418.81</v>
      </c>
      <c r="S57" s="43">
        <f t="shared" si="8"/>
        <v>376.91</v>
      </c>
      <c r="T57" s="96">
        <v>41.9</v>
      </c>
      <c r="U57" s="4" t="s">
        <v>84</v>
      </c>
      <c r="V57" s="4">
        <v>167.6</v>
      </c>
    </row>
    <row r="58" spans="1:22" x14ac:dyDescent="0.25">
      <c r="A58" s="4">
        <v>16</v>
      </c>
      <c r="B58" s="15" t="s">
        <v>0</v>
      </c>
      <c r="C58" s="16">
        <v>13000061302</v>
      </c>
      <c r="D58" s="16">
        <v>172677</v>
      </c>
      <c r="E58" s="7"/>
      <c r="F58" s="4"/>
      <c r="G58" s="4"/>
      <c r="H58" s="98">
        <v>264.60000000000002</v>
      </c>
      <c r="I58" s="94">
        <f t="shared" si="9"/>
        <v>264.60000000000002</v>
      </c>
      <c r="J58" s="11">
        <v>529.20000000000005</v>
      </c>
      <c r="K58" s="9">
        <v>264.60000000000002</v>
      </c>
      <c r="L58" s="9">
        <v>529.20000000000005</v>
      </c>
      <c r="M58" s="31">
        <f t="shared" si="10"/>
        <v>0</v>
      </c>
      <c r="N58" s="31">
        <f t="shared" si="10"/>
        <v>0</v>
      </c>
      <c r="O58" s="37"/>
      <c r="P58" s="36">
        <f>264.6-0.08</f>
        <v>264.52000000000004</v>
      </c>
      <c r="Q58" s="43">
        <f>66.07+66.07+66.07+66.15+66.15+66.15</f>
        <v>396.65999999999997</v>
      </c>
      <c r="R58" s="43">
        <v>661.18000000000006</v>
      </c>
      <c r="S58" s="43">
        <f t="shared" si="8"/>
        <v>595.03000000000009</v>
      </c>
      <c r="T58" s="96">
        <v>66.150000000000006</v>
      </c>
      <c r="U58" s="4" t="s">
        <v>84</v>
      </c>
      <c r="V58" s="4">
        <v>264.60000000000002</v>
      </c>
    </row>
    <row r="59" spans="1:22" x14ac:dyDescent="0.25">
      <c r="A59" s="4">
        <v>17</v>
      </c>
      <c r="B59" s="15" t="s">
        <v>6</v>
      </c>
      <c r="C59" s="16">
        <v>13000240104</v>
      </c>
      <c r="D59" s="16">
        <v>107385</v>
      </c>
      <c r="E59" s="7"/>
      <c r="F59" s="4"/>
      <c r="G59" s="4"/>
      <c r="H59" s="98">
        <v>1264.28</v>
      </c>
      <c r="I59" s="94">
        <f t="shared" si="9"/>
        <v>1264.28</v>
      </c>
      <c r="J59" s="11">
        <v>2528.56</v>
      </c>
      <c r="K59" s="9">
        <v>1264.28</v>
      </c>
      <c r="L59" s="9">
        <v>2528.56</v>
      </c>
      <c r="M59" s="31">
        <f t="shared" si="10"/>
        <v>0</v>
      </c>
      <c r="N59" s="31">
        <f t="shared" si="10"/>
        <v>0</v>
      </c>
      <c r="O59" s="37"/>
      <c r="P59" s="36">
        <f>1264.28-0.39</f>
        <v>1263.8899999999999</v>
      </c>
      <c r="Q59" s="43">
        <f>315.69+315.68+315.68+316.07+316.07+316.07</f>
        <v>1895.2599999999998</v>
      </c>
      <c r="R59" s="43">
        <v>3159.1499999999996</v>
      </c>
      <c r="S59" s="43">
        <f t="shared" si="8"/>
        <v>1894.8699999999997</v>
      </c>
      <c r="T59" s="96">
        <f>316.07+316.07+316.07+316.07</f>
        <v>1264.28</v>
      </c>
      <c r="U59" s="4" t="s">
        <v>82</v>
      </c>
      <c r="V59" s="31">
        <v>1264.28</v>
      </c>
    </row>
    <row r="60" spans="1:22" x14ac:dyDescent="0.25">
      <c r="A60" s="4">
        <v>18</v>
      </c>
      <c r="B60" s="15" t="s">
        <v>5</v>
      </c>
      <c r="C60" s="52">
        <v>13000240101</v>
      </c>
      <c r="D60" s="52">
        <v>107384</v>
      </c>
      <c r="E60" s="7"/>
      <c r="F60" s="4"/>
      <c r="G60" s="4"/>
      <c r="H60" s="98">
        <v>17381.54</v>
      </c>
      <c r="I60" s="94">
        <f t="shared" si="9"/>
        <v>17381.54</v>
      </c>
      <c r="J60" s="11">
        <v>34763.08</v>
      </c>
      <c r="K60" s="9">
        <v>17381.54</v>
      </c>
      <c r="L60" s="9"/>
      <c r="M60" s="31">
        <f t="shared" si="10"/>
        <v>0</v>
      </c>
      <c r="N60" s="31">
        <f t="shared" si="10"/>
        <v>34763.08</v>
      </c>
      <c r="O60" s="37"/>
      <c r="P60" s="36">
        <f>17381.54-107.6</f>
        <v>17273.940000000002</v>
      </c>
      <c r="Q60" s="43">
        <f>4237.79+4237.78+4237.78+4345.38+4345.38+4345.38</f>
        <v>25749.49</v>
      </c>
      <c r="R60" s="43">
        <v>43023.430000000008</v>
      </c>
      <c r="S60" s="43">
        <f t="shared" si="8"/>
        <v>25641.910000000007</v>
      </c>
      <c r="T60" s="96">
        <f>4345.38+4345.38+4345.38+4345.38</f>
        <v>17381.52</v>
      </c>
      <c r="U60" s="4" t="s">
        <v>82</v>
      </c>
      <c r="V60" s="4">
        <v>17381.54</v>
      </c>
    </row>
    <row r="61" spans="1:22" x14ac:dyDescent="0.25">
      <c r="A61" s="4">
        <v>19</v>
      </c>
      <c r="B61" s="60" t="s">
        <v>64</v>
      </c>
      <c r="C61" s="8">
        <v>13000260083</v>
      </c>
      <c r="D61" s="8">
        <v>210981</v>
      </c>
      <c r="E61" s="7"/>
      <c r="F61" s="4"/>
      <c r="G61" s="4"/>
      <c r="H61" s="98">
        <v>127.2</v>
      </c>
      <c r="I61" s="94">
        <f t="shared" si="9"/>
        <v>127.2</v>
      </c>
      <c r="J61" s="11"/>
      <c r="K61" s="9">
        <v>127.2</v>
      </c>
      <c r="L61" s="9"/>
      <c r="M61" s="31">
        <f t="shared" si="10"/>
        <v>0</v>
      </c>
      <c r="N61" s="31">
        <f t="shared" si="10"/>
        <v>0</v>
      </c>
      <c r="O61" s="37"/>
      <c r="P61" s="36"/>
      <c r="Q61" s="43"/>
      <c r="R61" s="43">
        <v>0</v>
      </c>
      <c r="S61" s="43"/>
      <c r="T61" s="96">
        <f t="shared" si="5"/>
        <v>0</v>
      </c>
      <c r="U61" s="4" t="s">
        <v>75</v>
      </c>
      <c r="V61" s="4"/>
    </row>
    <row r="62" spans="1:22" x14ac:dyDescent="0.25">
      <c r="A62" s="4">
        <v>19</v>
      </c>
      <c r="B62" s="15" t="s">
        <v>22</v>
      </c>
      <c r="C62" s="8">
        <v>13000251102</v>
      </c>
      <c r="D62" s="8">
        <v>107390</v>
      </c>
      <c r="E62" s="7"/>
      <c r="F62" s="4"/>
      <c r="G62" s="4"/>
      <c r="H62" s="98">
        <v>842.3</v>
      </c>
      <c r="I62" s="94">
        <f t="shared" si="9"/>
        <v>842.3</v>
      </c>
      <c r="J62" s="11">
        <v>1665.7</v>
      </c>
      <c r="K62" s="9">
        <v>842.3</v>
      </c>
      <c r="L62" s="9">
        <v>1665.7</v>
      </c>
      <c r="M62" s="31">
        <f t="shared" si="10"/>
        <v>0</v>
      </c>
      <c r="N62" s="31">
        <f t="shared" si="10"/>
        <v>0</v>
      </c>
      <c r="O62" s="37"/>
      <c r="P62" s="36">
        <v>842.3</v>
      </c>
      <c r="Q62" s="43">
        <f>208.21+208.21+210.58+208.21+208.21+210.57+208.21+208.21+210.57</f>
        <v>1880.98</v>
      </c>
      <c r="R62" s="43">
        <v>2723.2799999999997</v>
      </c>
      <c r="S62" s="43">
        <f>R62-T62</f>
        <v>1885.7199999999998</v>
      </c>
      <c r="T62" s="96">
        <f>210.57+208.21+208.21+210.57</f>
        <v>837.56</v>
      </c>
      <c r="U62" s="4" t="s">
        <v>82</v>
      </c>
      <c r="V62" s="4">
        <v>842.3</v>
      </c>
    </row>
    <row r="63" spans="1:22" x14ac:dyDescent="0.25">
      <c r="A63" s="4">
        <v>20</v>
      </c>
      <c r="B63" s="15" t="s">
        <v>7</v>
      </c>
      <c r="C63" s="8">
        <v>13000240110</v>
      </c>
      <c r="D63" s="8">
        <v>201585</v>
      </c>
      <c r="E63" s="7"/>
      <c r="F63" s="4"/>
      <c r="G63" s="4"/>
      <c r="H63" s="98">
        <v>6242.02</v>
      </c>
      <c r="I63" s="94">
        <f t="shared" si="9"/>
        <v>6242.02</v>
      </c>
      <c r="J63" s="11">
        <v>12484.04</v>
      </c>
      <c r="K63" s="9">
        <v>6242.02</v>
      </c>
      <c r="L63" s="9"/>
      <c r="M63" s="31">
        <f t="shared" si="10"/>
        <v>0</v>
      </c>
      <c r="N63" s="31">
        <f t="shared" si="10"/>
        <v>12484.04</v>
      </c>
      <c r="O63" s="37"/>
      <c r="P63" s="36">
        <f>5868.81-577.48</f>
        <v>5291.33</v>
      </c>
      <c r="Q63" s="43">
        <f>946.31+946.3+946.3+1560.5+1560.5+1560.5+1560.5+1560.5+1560.5</f>
        <v>12201.91</v>
      </c>
      <c r="R63" s="43">
        <v>17493.239999999998</v>
      </c>
      <c r="S63" s="43">
        <f t="shared" si="8"/>
        <v>11344.539999999997</v>
      </c>
      <c r="T63" s="96">
        <f>1467.2+1560.5+1560.5+1560.5</f>
        <v>6148.7</v>
      </c>
      <c r="U63" s="4" t="s">
        <v>82</v>
      </c>
      <c r="V63" s="4">
        <v>5868.81</v>
      </c>
    </row>
    <row r="64" spans="1:22" x14ac:dyDescent="0.25">
      <c r="A64" s="4">
        <v>21</v>
      </c>
      <c r="B64" s="15" t="s">
        <v>29</v>
      </c>
      <c r="C64" s="8">
        <v>13000252158</v>
      </c>
      <c r="D64" s="8">
        <v>210919</v>
      </c>
      <c r="E64" s="7"/>
      <c r="F64" s="4"/>
      <c r="G64" s="4"/>
      <c r="H64" s="98">
        <v>2757.17</v>
      </c>
      <c r="I64" s="94">
        <f t="shared" si="9"/>
        <v>2757.17</v>
      </c>
      <c r="J64" s="11">
        <v>5514.34</v>
      </c>
      <c r="K64" s="9">
        <v>2757.17</v>
      </c>
      <c r="L64" s="9">
        <v>5514.34</v>
      </c>
      <c r="M64" s="31">
        <f t="shared" si="10"/>
        <v>0</v>
      </c>
      <c r="N64" s="31">
        <f t="shared" si="10"/>
        <v>0</v>
      </c>
      <c r="O64" s="37"/>
      <c r="P64" s="36">
        <f>2757.17-250.69</f>
        <v>2506.48</v>
      </c>
      <c r="Q64" s="43">
        <f>438.61+438.6+438.6+689.29+689.29+689.29+689.29+689.29+689.29</f>
        <v>5451.55</v>
      </c>
      <c r="R64" s="43">
        <v>7958.0300000000007</v>
      </c>
      <c r="S64" s="43">
        <f t="shared" si="8"/>
        <v>5200.8700000000008</v>
      </c>
      <c r="T64" s="96">
        <f>689.29+689.29+689.29+689.29</f>
        <v>2757.16</v>
      </c>
      <c r="U64" s="4" t="s">
        <v>82</v>
      </c>
      <c r="V64" s="31">
        <v>2757.17</v>
      </c>
    </row>
    <row r="65" spans="1:22" x14ac:dyDescent="0.25">
      <c r="A65" s="4">
        <v>22</v>
      </c>
      <c r="B65" s="13" t="s">
        <v>64</v>
      </c>
      <c r="C65" s="8">
        <v>13000260083</v>
      </c>
      <c r="D65" s="8">
        <v>210981</v>
      </c>
      <c r="E65" s="7"/>
      <c r="F65" s="4"/>
      <c r="G65" s="4"/>
      <c r="H65" s="98"/>
      <c r="I65" s="94"/>
      <c r="J65" s="11"/>
      <c r="K65" s="9"/>
      <c r="L65" s="9"/>
      <c r="M65" s="31"/>
      <c r="N65" s="31"/>
      <c r="O65" s="37"/>
      <c r="P65" s="36">
        <f>127.2-0.03</f>
        <v>127.17</v>
      </c>
      <c r="Q65" s="43">
        <f>44.75+44.75+31.77+44.79+44.79+31.8</f>
        <v>242.65</v>
      </c>
      <c r="R65" s="43">
        <v>369.82</v>
      </c>
      <c r="S65" s="43">
        <f t="shared" si="8"/>
        <v>338.02</v>
      </c>
      <c r="T65" s="96">
        <v>31.8</v>
      </c>
      <c r="U65" s="4" t="s">
        <v>84</v>
      </c>
      <c r="V65" s="31">
        <v>127.2</v>
      </c>
    </row>
    <row r="66" spans="1:22" x14ac:dyDescent="0.25">
      <c r="A66" s="4"/>
      <c r="E66" s="76"/>
      <c r="F66" s="72"/>
      <c r="G66" s="72"/>
      <c r="H66" s="99">
        <f>SUM(H43:H64)</f>
        <v>43888.34</v>
      </c>
      <c r="I66" s="95">
        <f>SUM(I43:I64)</f>
        <v>43888.34</v>
      </c>
      <c r="J66" s="25">
        <f>SUM(J43:J64)</f>
        <v>87503.38</v>
      </c>
      <c r="K66" s="24">
        <v>43888.34</v>
      </c>
      <c r="L66" s="50">
        <f>SUM(L43:L64)</f>
        <v>17031.7</v>
      </c>
      <c r="M66" s="32">
        <f>SUM(M43:M64)</f>
        <v>0</v>
      </c>
      <c r="N66" s="32">
        <f>SUM(N43:N64)</f>
        <v>70471.679999999993</v>
      </c>
      <c r="O66" s="47"/>
      <c r="P66" s="38">
        <f>SUM(P43:P65)</f>
        <v>42574.320000000007</v>
      </c>
      <c r="Q66" s="4"/>
      <c r="R66" s="4">
        <v>112892.89000000001</v>
      </c>
      <c r="S66" s="4"/>
      <c r="T66" s="97">
        <f>SUM(T43:T65)</f>
        <v>41905.899999999994</v>
      </c>
      <c r="U66" s="4"/>
      <c r="V66" s="35">
        <f>SUM(V43:V65)</f>
        <v>43515.13</v>
      </c>
    </row>
    <row r="67" spans="1:22" ht="15" hidden="1" customHeight="1" x14ac:dyDescent="0.25">
      <c r="A67" s="4"/>
      <c r="B67" s="17" t="s">
        <v>48</v>
      </c>
      <c r="C67" s="18"/>
      <c r="D67" s="18"/>
      <c r="E67" s="77">
        <v>30394.6</v>
      </c>
      <c r="F67" s="77">
        <v>30044.61</v>
      </c>
      <c r="G67" s="77">
        <v>28416.03</v>
      </c>
      <c r="H67" s="70">
        <v>75978.92</v>
      </c>
      <c r="I67" s="69"/>
      <c r="J67" s="26">
        <v>168299.33</v>
      </c>
      <c r="K67" s="9">
        <v>88101.1</v>
      </c>
      <c r="L67" s="9">
        <v>18173.599999999999</v>
      </c>
      <c r="M67" s="31"/>
      <c r="N67" s="31"/>
      <c r="O67" s="37"/>
      <c r="P67" s="39"/>
      <c r="Q67" s="4"/>
      <c r="R67" s="4">
        <v>0</v>
      </c>
      <c r="S67" s="4"/>
      <c r="T67" s="35">
        <f t="shared" ref="T67:T68" si="11">Q67+P67</f>
        <v>0</v>
      </c>
      <c r="U67" s="4"/>
      <c r="V67" s="19"/>
    </row>
    <row r="68" spans="1:22" ht="15" hidden="1" customHeight="1" x14ac:dyDescent="0.25">
      <c r="A68" s="4"/>
      <c r="B68" s="4"/>
      <c r="C68" s="14"/>
      <c r="D68" s="14"/>
      <c r="E68" s="72"/>
      <c r="F68" s="72"/>
      <c r="G68" s="72"/>
      <c r="H68" s="66"/>
      <c r="I68" s="67"/>
      <c r="J68" s="27"/>
      <c r="K68" s="9">
        <v>106274.7</v>
      </c>
      <c r="L68" s="9"/>
      <c r="M68" s="31"/>
      <c r="N68" s="31"/>
      <c r="O68" s="37"/>
      <c r="P68" s="11"/>
      <c r="Q68" s="4"/>
      <c r="R68" s="4">
        <v>0</v>
      </c>
      <c r="S68" s="4"/>
      <c r="T68" s="35">
        <f t="shared" si="11"/>
        <v>0</v>
      </c>
      <c r="U68" s="4"/>
      <c r="V68" s="4"/>
    </row>
    <row r="69" spans="1:22" ht="15.75" x14ac:dyDescent="0.25">
      <c r="A69" s="20"/>
      <c r="B69" s="21"/>
      <c r="C69" s="22"/>
      <c r="D69" s="22"/>
      <c r="E69" s="78">
        <f>E41</f>
        <v>30394.6</v>
      </c>
      <c r="F69" s="78">
        <f t="shared" ref="F69:G69" si="12">F41</f>
        <v>30044.61</v>
      </c>
      <c r="G69" s="78">
        <f t="shared" si="12"/>
        <v>28416.03</v>
      </c>
      <c r="H69" s="86">
        <f>H41+H66</f>
        <v>76106.12</v>
      </c>
      <c r="I69" s="87">
        <f>I41+I66</f>
        <v>104522.15</v>
      </c>
      <c r="J69" s="88">
        <f>J41+J66</f>
        <v>168015.66</v>
      </c>
      <c r="K69" s="122">
        <f>K66+L66+L41+K41</f>
        <v>107918.44</v>
      </c>
      <c r="L69" s="123"/>
      <c r="M69" s="33">
        <f>M41+M66</f>
        <v>16421.050000000003</v>
      </c>
      <c r="N69" s="32">
        <f>N41+N66</f>
        <v>148198.32</v>
      </c>
      <c r="O69" s="47"/>
      <c r="P69" s="41">
        <f>P41+P66</f>
        <v>99117.96</v>
      </c>
      <c r="Q69" s="75">
        <f>SUM(Q8:Q66)</f>
        <v>159399.75999999995</v>
      </c>
      <c r="R69" s="75">
        <v>258517.71999999997</v>
      </c>
      <c r="S69" s="75">
        <f>SUM(S8:S66)</f>
        <v>173742.99999999997</v>
      </c>
      <c r="T69" s="74">
        <f>T66+T41</f>
        <v>84774.720000000001</v>
      </c>
      <c r="U69" s="4"/>
      <c r="V69" s="45">
        <f>V41+V66</f>
        <v>107732.98000000001</v>
      </c>
    </row>
    <row r="70" spans="1:22" x14ac:dyDescent="0.25">
      <c r="H70" s="51">
        <f>SUM(H8:H39)</f>
        <v>32217.78</v>
      </c>
      <c r="I70" s="51"/>
      <c r="J70" s="40"/>
      <c r="K70" s="51">
        <f>K41</f>
        <v>44212.76</v>
      </c>
      <c r="L70" s="51">
        <f>SUM(L8:L39)</f>
        <v>2785.64</v>
      </c>
      <c r="M70" s="124">
        <f>M69+N69</f>
        <v>164619.37</v>
      </c>
      <c r="N70" s="125"/>
      <c r="O70" s="48"/>
      <c r="R70" s="71">
        <v>-30000</v>
      </c>
      <c r="S70" s="115" t="s">
        <v>94</v>
      </c>
      <c r="T70" s="116"/>
      <c r="U70" s="117"/>
    </row>
    <row r="71" spans="1:22" x14ac:dyDescent="0.25">
      <c r="B71" s="105" t="s">
        <v>92</v>
      </c>
      <c r="C71" s="105"/>
      <c r="H71" s="101">
        <f>SUM(H43:H64)</f>
        <v>43888.34</v>
      </c>
      <c r="I71" s="90"/>
      <c r="J71" s="40"/>
      <c r="K71" s="51">
        <f>SUM(K43:K64)</f>
        <v>43888.34</v>
      </c>
      <c r="L71" s="51">
        <f>SUM(L43:L64)</f>
        <v>17031.7</v>
      </c>
      <c r="M71" s="29"/>
      <c r="R71" s="50">
        <f>R69+R70</f>
        <v>228517.71999999997</v>
      </c>
      <c r="S71" s="114" t="s">
        <v>96</v>
      </c>
      <c r="T71" s="114"/>
      <c r="U71" s="114"/>
      <c r="V71" s="49"/>
    </row>
    <row r="72" spans="1:22" ht="15.75" thickBot="1" x14ac:dyDescent="0.3">
      <c r="C72" s="62">
        <v>2013</v>
      </c>
      <c r="D72" s="62">
        <v>2014</v>
      </c>
      <c r="E72" s="62">
        <v>2015</v>
      </c>
      <c r="F72" s="62">
        <v>2016</v>
      </c>
      <c r="H72" s="102">
        <f>SUM(H70:H71)</f>
        <v>76106.12</v>
      </c>
      <c r="I72" s="51"/>
      <c r="J72" s="40"/>
      <c r="K72" s="102">
        <f>SUM(K70:K71)</f>
        <v>88101.1</v>
      </c>
      <c r="L72" s="102">
        <f>SUM(L70:L71)</f>
        <v>19817.34</v>
      </c>
      <c r="M72" s="29"/>
    </row>
    <row r="73" spans="1:22" ht="15.75" thickBot="1" x14ac:dyDescent="0.3">
      <c r="B73" s="63" t="s">
        <v>45</v>
      </c>
      <c r="C73" s="63" t="s">
        <v>46</v>
      </c>
      <c r="D73" s="63" t="s">
        <v>46</v>
      </c>
      <c r="E73" s="63" t="s">
        <v>46</v>
      </c>
      <c r="F73" s="63" t="s">
        <v>46</v>
      </c>
      <c r="H73" s="40"/>
      <c r="I73" s="91"/>
      <c r="J73" s="92"/>
      <c r="K73" s="110">
        <f>K72+L72</f>
        <v>107918.44</v>
      </c>
      <c r="L73" s="111"/>
      <c r="M73" s="30"/>
    </row>
    <row r="74" spans="1:22" x14ac:dyDescent="0.25">
      <c r="B74" s="79" t="s">
        <v>47</v>
      </c>
      <c r="C74" s="80">
        <v>28164.47</v>
      </c>
      <c r="D74" s="80">
        <f>30394.6</f>
        <v>30394.6</v>
      </c>
      <c r="E74" s="80">
        <f>30025.96+18.65</f>
        <v>30044.61</v>
      </c>
      <c r="F74" s="81">
        <f>106223.68+1725.62-30.86</f>
        <v>107918.43999999999</v>
      </c>
      <c r="H74" s="89"/>
      <c r="I74" s="89"/>
      <c r="J74" s="112" t="s">
        <v>99</v>
      </c>
      <c r="K74" s="112"/>
      <c r="L74" s="112"/>
      <c r="M74" s="112"/>
      <c r="N74" s="112"/>
      <c r="O74" s="112"/>
      <c r="P74" s="112"/>
      <c r="Q74" s="113"/>
      <c r="R74" s="40">
        <v>143743</v>
      </c>
      <c r="S74" s="40"/>
      <c r="T74" s="40">
        <v>143743</v>
      </c>
    </row>
    <row r="75" spans="1:22" x14ac:dyDescent="0.25">
      <c r="K75" s="107" t="s">
        <v>95</v>
      </c>
      <c r="L75" s="108"/>
      <c r="M75" s="108"/>
      <c r="N75" s="108"/>
      <c r="O75" s="108"/>
      <c r="P75" s="108"/>
      <c r="Q75" s="109"/>
      <c r="R75" s="73">
        <v>84774.719999999972</v>
      </c>
      <c r="S75" s="73"/>
      <c r="T75" s="74">
        <f>R71-T74</f>
        <v>84774.719999999972</v>
      </c>
      <c r="U75" s="53"/>
    </row>
    <row r="76" spans="1:22" x14ac:dyDescent="0.25">
      <c r="B76" s="58" t="s">
        <v>86</v>
      </c>
    </row>
    <row r="77" spans="1:22" x14ac:dyDescent="0.25">
      <c r="B77" s="57" t="s">
        <v>88</v>
      </c>
      <c r="C77" s="104" t="s">
        <v>87</v>
      </c>
      <c r="D77" s="104"/>
      <c r="E77" s="104"/>
    </row>
    <row r="78" spans="1:22" x14ac:dyDescent="0.25">
      <c r="B78" s="57" t="s">
        <v>89</v>
      </c>
      <c r="C78" s="2" t="s">
        <v>91</v>
      </c>
      <c r="D78" s="54"/>
    </row>
    <row r="80" spans="1:22" ht="15" customHeight="1" x14ac:dyDescent="0.25">
      <c r="B80" s="103" t="s">
        <v>97</v>
      </c>
      <c r="C80" s="103" t="s">
        <v>98</v>
      </c>
      <c r="D80" s="103"/>
    </row>
    <row r="81" spans="2:4" x14ac:dyDescent="0.25">
      <c r="B81" s="103"/>
      <c r="C81" s="103"/>
      <c r="D81" s="103"/>
    </row>
  </sheetData>
  <mergeCells count="15">
    <mergeCell ref="S71:U71"/>
    <mergeCell ref="S70:U70"/>
    <mergeCell ref="L1:U2"/>
    <mergeCell ref="G6:I6"/>
    <mergeCell ref="A42:P42"/>
    <mergeCell ref="K69:L69"/>
    <mergeCell ref="M70:N70"/>
    <mergeCell ref="B80:B81"/>
    <mergeCell ref="C80:D81"/>
    <mergeCell ref="C77:E77"/>
    <mergeCell ref="B71:C71"/>
    <mergeCell ref="A4:P4"/>
    <mergeCell ref="K75:Q75"/>
    <mergeCell ref="K73:L73"/>
    <mergeCell ref="J74:Q74"/>
  </mergeCells>
  <pageMargins left="0.7" right="0.7" top="0.75" bottom="0.75" header="0.3" footer="0.3"/>
  <pageSetup paperSize="9" scale="3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NIN_MK</vt:lpstr>
    </vt:vector>
  </TitlesOfParts>
  <Company>VARAM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Informatīvais ziņojums “Par pamatbudžeta apropriācijas pārdali apakšprogrammas 24.08.00 “Nacionālo parku darbības nodrošināšana” ietvaros starp izdevumu ekonomiskās klasifikācijas kodiem 2017. gadā”</dc:title>
  <dc:subject>Pielikums</dc:subject>
  <dc:creator>Diana.Saulite@varam.gov.lv</dc:creator>
  <dc:description>diana.saulite@varam.gov.lv
67026587</dc:description>
  <cp:lastModifiedBy>Madara Gaile</cp:lastModifiedBy>
  <cp:lastPrinted>2017-08-31T06:43:56Z</cp:lastPrinted>
  <dcterms:created xsi:type="dcterms:W3CDTF">2017-02-01T11:19:05Z</dcterms:created>
  <dcterms:modified xsi:type="dcterms:W3CDTF">2017-09-08T07:17:19Z</dcterms:modified>
</cp:coreProperties>
</file>