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8505"/>
  </bookViews>
  <sheets>
    <sheet name="Kopsavilkums" sheetId="2" r:id="rId1"/>
    <sheet name="1.1" sheetId="3" r:id="rId2"/>
    <sheet name="2.2" sheetId="24" r:id="rId3"/>
    <sheet name="2.3_1" sheetId="8" r:id="rId4"/>
    <sheet name="2.3_2" sheetId="19" r:id="rId5"/>
    <sheet name="2.3_3" sheetId="27" r:id="rId6"/>
    <sheet name="2.4" sheetId="9" r:id="rId7"/>
    <sheet name="2.5" sheetId="10" r:id="rId8"/>
    <sheet name="2.6" sheetId="29" r:id="rId9"/>
    <sheet name="2.7_1" sheetId="30" r:id="rId10"/>
    <sheet name="2.7_2" sheetId="12" r:id="rId11"/>
    <sheet name="2.8" sheetId="28" r:id="rId12"/>
    <sheet name="3.3" sheetId="14" r:id="rId13"/>
  </sheets>
  <calcPr calcId="145621"/>
  <customWorkbookViews>
    <customWorkbookView name="astrazdina - Personal View" guid="{BC187337-5DE7-48FA-A7E9-7359FCED48A6}" mergeInterval="0" personalView="1" maximized="1" xWindow="-8" yWindow="-8" windowWidth="1936" windowHeight="1056" activeSheetId="1"/>
  </customWorkbookViews>
</workbook>
</file>

<file path=xl/calcChain.xml><?xml version="1.0" encoding="utf-8"?>
<calcChain xmlns="http://schemas.openxmlformats.org/spreadsheetml/2006/main">
  <c r="I11" i="8" l="1"/>
  <c r="L31" i="8"/>
  <c r="J26" i="8"/>
  <c r="I12" i="8"/>
  <c r="I13" i="8"/>
  <c r="I14" i="8"/>
  <c r="I15" i="8"/>
  <c r="I16" i="8"/>
  <c r="I17" i="8"/>
  <c r="I18" i="8"/>
  <c r="I19" i="8"/>
  <c r="I20" i="8"/>
  <c r="I21" i="8"/>
  <c r="I22" i="8"/>
  <c r="I23" i="8"/>
  <c r="I24" i="8"/>
  <c r="I25" i="8"/>
  <c r="I5" i="24"/>
  <c r="I6" i="24"/>
  <c r="I7" i="24"/>
  <c r="I8" i="24"/>
  <c r="I9" i="24"/>
  <c r="I10" i="24"/>
  <c r="I11" i="24"/>
  <c r="I4" i="24"/>
  <c r="I13" i="24" s="1"/>
  <c r="H5" i="24"/>
  <c r="H6" i="24"/>
  <c r="H7" i="24"/>
  <c r="H8" i="24"/>
  <c r="H9" i="24"/>
  <c r="H10" i="24"/>
  <c r="H11" i="24"/>
  <c r="H12" i="24"/>
  <c r="H26" i="8" l="1"/>
  <c r="J31" i="8" s="1"/>
  <c r="I26" i="8"/>
  <c r="H13" i="24"/>
  <c r="K31" i="8" l="1"/>
  <c r="F37" i="2" l="1"/>
  <c r="G37" i="2"/>
  <c r="H37" i="2"/>
  <c r="B18" i="30"/>
  <c r="D17" i="30"/>
  <c r="E17" i="30"/>
  <c r="D16" i="30"/>
  <c r="E16" i="30"/>
  <c r="D15" i="30"/>
  <c r="E15" i="30"/>
  <c r="D14" i="30"/>
  <c r="E14" i="30"/>
  <c r="D13" i="30"/>
  <c r="E13" i="30"/>
  <c r="D12" i="30"/>
  <c r="E12" i="30"/>
  <c r="D11" i="30"/>
  <c r="E11" i="30"/>
  <c r="C6" i="30"/>
  <c r="D6" i="30"/>
  <c r="D5" i="30"/>
  <c r="C5" i="30"/>
  <c r="B5" i="30"/>
  <c r="F11" i="30"/>
  <c r="G11" i="30"/>
  <c r="F12" i="30"/>
  <c r="G12" i="30"/>
  <c r="F13" i="30"/>
  <c r="G13" i="30"/>
  <c r="F14" i="30"/>
  <c r="G14" i="30"/>
  <c r="F15" i="30"/>
  <c r="G15" i="30"/>
  <c r="F16" i="30"/>
  <c r="G16" i="30"/>
  <c r="F17" i="30"/>
  <c r="G17" i="30"/>
  <c r="G18" i="30"/>
  <c r="B4" i="30"/>
  <c r="B3" i="30"/>
  <c r="B7" i="30"/>
  <c r="D4" i="30"/>
  <c r="D3" i="30"/>
  <c r="C4" i="30"/>
  <c r="C3" i="30"/>
  <c r="C7" i="30"/>
  <c r="D7" i="30"/>
  <c r="E22" i="12"/>
  <c r="D22" i="12"/>
  <c r="C22" i="12"/>
  <c r="B22" i="12"/>
  <c r="H38" i="2"/>
  <c r="G38" i="2"/>
  <c r="F38" i="2"/>
  <c r="D10" i="28"/>
  <c r="E10" i="28"/>
  <c r="K76" i="2"/>
  <c r="J76" i="2"/>
  <c r="K57" i="2"/>
  <c r="L57" i="2"/>
  <c r="N57" i="2"/>
  <c r="N56" i="2"/>
  <c r="K56" i="2"/>
  <c r="L56" i="2"/>
  <c r="L76" i="2"/>
  <c r="L77" i="2"/>
  <c r="K77" i="2"/>
  <c r="J77" i="2"/>
  <c r="F11" i="14"/>
  <c r="E11" i="14"/>
  <c r="D11" i="14"/>
  <c r="K25" i="2"/>
  <c r="L25" i="2"/>
  <c r="N25" i="2"/>
  <c r="J25" i="2"/>
  <c r="F13" i="3"/>
  <c r="E13" i="3"/>
  <c r="D13" i="3"/>
  <c r="D17" i="29"/>
  <c r="M13" i="29"/>
  <c r="G7" i="29"/>
  <c r="G6" i="29"/>
  <c r="G5" i="29"/>
  <c r="G8" i="29"/>
  <c r="B22" i="29"/>
  <c r="F22" i="10"/>
  <c r="H22" i="10"/>
  <c r="J22" i="10"/>
  <c r="D24" i="10"/>
  <c r="F23" i="10"/>
  <c r="H23" i="10"/>
  <c r="J23" i="10"/>
  <c r="D23" i="10"/>
  <c r="C10" i="28"/>
  <c r="H10" i="27"/>
  <c r="G10" i="27"/>
  <c r="F10" i="27"/>
  <c r="I16" i="10"/>
  <c r="G16" i="10"/>
  <c r="E16" i="10"/>
  <c r="K16" i="10"/>
  <c r="J30" i="8"/>
  <c r="I15" i="10"/>
  <c r="G15" i="10"/>
  <c r="E15" i="10"/>
  <c r="K15" i="10"/>
  <c r="I17" i="10"/>
  <c r="G17" i="10"/>
  <c r="K17" i="10"/>
  <c r="E17" i="10"/>
  <c r="H7" i="12"/>
  <c r="D5" i="9"/>
  <c r="C5" i="9"/>
  <c r="B5" i="9"/>
  <c r="D5" i="14"/>
  <c r="K9" i="10"/>
  <c r="I9" i="10"/>
  <c r="G9" i="10"/>
  <c r="K8" i="10"/>
  <c r="I8" i="10"/>
  <c r="G8" i="10"/>
  <c r="E8" i="10"/>
  <c r="E7" i="10"/>
  <c r="J7" i="10"/>
  <c r="F7" i="10"/>
  <c r="I6" i="10"/>
  <c r="G6" i="10"/>
  <c r="E6" i="10"/>
  <c r="D22" i="10"/>
  <c r="N39" i="2"/>
  <c r="L39" i="2"/>
  <c r="K39" i="2"/>
  <c r="J39" i="2"/>
  <c r="I7" i="10"/>
  <c r="K7" i="10"/>
  <c r="G7" i="10"/>
  <c r="E10" i="10"/>
  <c r="K6" i="10"/>
  <c r="K10" i="10"/>
  <c r="J24" i="10"/>
  <c r="I10" i="10"/>
  <c r="H24" i="10"/>
  <c r="G10" i="10"/>
  <c r="F24" i="10"/>
  <c r="J26" i="2"/>
  <c r="B14" i="12"/>
  <c r="B13" i="12"/>
  <c r="B12" i="12"/>
  <c r="G9" i="12"/>
  <c r="F9" i="12"/>
  <c r="D9" i="12"/>
  <c r="C9" i="12"/>
  <c r="J8" i="12"/>
  <c r="H8" i="12"/>
  <c r="J7" i="12"/>
  <c r="J9" i="12"/>
  <c r="E9" i="12"/>
  <c r="H9" i="12"/>
  <c r="I8" i="12"/>
  <c r="K8" i="12"/>
  <c r="I7" i="12"/>
  <c r="I9" i="12"/>
  <c r="K7" i="12"/>
  <c r="K9" i="12"/>
  <c r="M7" i="12"/>
  <c r="M9" i="12"/>
  <c r="N7" i="12"/>
  <c r="N9" i="12"/>
  <c r="L7" i="12"/>
  <c r="L9" i="12"/>
  <c r="J9" i="24"/>
  <c r="J10" i="24"/>
  <c r="J11" i="24"/>
  <c r="L30" i="8"/>
  <c r="K30" i="8"/>
  <c r="N54" i="2"/>
  <c r="J57" i="2"/>
  <c r="N50" i="2"/>
  <c r="L50" i="2"/>
  <c r="K50" i="2"/>
  <c r="J50" i="2"/>
  <c r="L54" i="2"/>
  <c r="K54" i="2"/>
  <c r="J54" i="2"/>
  <c r="N38" i="2"/>
  <c r="L38" i="2"/>
  <c r="K38" i="2"/>
  <c r="J38" i="2"/>
  <c r="N33" i="2"/>
  <c r="L33" i="2"/>
  <c r="K33" i="2"/>
  <c r="J33" i="2"/>
  <c r="N26" i="2"/>
  <c r="L26" i="2"/>
  <c r="K26" i="2"/>
  <c r="J56" i="2"/>
  <c r="N53" i="2"/>
  <c r="L53" i="2"/>
  <c r="K53" i="2"/>
  <c r="J53" i="2"/>
  <c r="N49" i="2"/>
  <c r="L49" i="2"/>
  <c r="K49" i="2"/>
  <c r="J49" i="2"/>
  <c r="N43" i="2"/>
  <c r="N37" i="2"/>
  <c r="L37" i="2"/>
  <c r="K37" i="2"/>
  <c r="K8" i="2" s="1"/>
  <c r="J37" i="2"/>
  <c r="N32" i="2"/>
  <c r="L32" i="2"/>
  <c r="K32" i="2"/>
  <c r="J32" i="2"/>
  <c r="N6" i="2"/>
  <c r="N8" i="2"/>
  <c r="L6" i="2"/>
  <c r="L8" i="2"/>
  <c r="J6" i="2"/>
  <c r="J8" i="2"/>
  <c r="N40" i="2"/>
  <c r="L40" i="2"/>
  <c r="K40" i="2"/>
  <c r="J40" i="2"/>
  <c r="J43" i="2"/>
  <c r="K43" i="2"/>
  <c r="L43" i="2"/>
  <c r="K6" i="2" l="1"/>
  <c r="J13" i="24"/>
</calcChain>
</file>

<file path=xl/sharedStrings.xml><?xml version="1.0" encoding="utf-8"?>
<sst xmlns="http://schemas.openxmlformats.org/spreadsheetml/2006/main" count="520" uniqueCount="392">
  <si>
    <t>Pasākums</t>
  </si>
  <si>
    <t>2017.gads</t>
  </si>
  <si>
    <t>2018.gads</t>
  </si>
  <si>
    <t>2019.gads</t>
  </si>
  <si>
    <t>Gada finansējums EUR</t>
  </si>
  <si>
    <t>Budžeta programmas (apakšprogrammas kods un nosaukums)</t>
  </si>
  <si>
    <t>Vidēja termiņa budžeta ietvara likumā plānotais finansējums</t>
  </si>
  <si>
    <t>turpmākajā laikposmā līdz pasākuma pabeigšanai (ja pasākuma īstenošana ir terminēta)</t>
  </si>
  <si>
    <t>turpmāk ik gadu
 (ja pasākuma izpilde nav terminēta)</t>
  </si>
  <si>
    <t>Finansējums plāna realizācijai kopā</t>
  </si>
  <si>
    <t>Uzdevums</t>
  </si>
  <si>
    <t>29 Veselības ministrija</t>
  </si>
  <si>
    <t>tajā skaitā:</t>
  </si>
  <si>
    <t>Nepieciešamais papildu finansējums</t>
  </si>
  <si>
    <t xml:space="preserve">Kopsavilkums par plānā iekļauto uzdevumu īstenošanai nepieciešamo valsts budžeta finansējumu </t>
  </si>
  <si>
    <t>Pielikums</t>
  </si>
  <si>
    <t>2020.gads</t>
  </si>
  <si>
    <t>Sagatavoti priekšlikumi secīgai laboratorisko izmeklējumu ieviešanai (izmeklējumu prioritizēšana)</t>
  </si>
  <si>
    <t>Noteikta kārtība nosūtīšanai uz diagnostikas izmeklējumiem (multidisciplinārs ārstu konsilijs kurā iekļauts ārsts - ģenētiķis)</t>
  </si>
  <si>
    <t xml:space="preserve">- NGS DNS sekvenēšana; </t>
  </si>
  <si>
    <t>- Lielo delēciju/insērciju noteikšanas, izmantojot MLPA.</t>
  </si>
  <si>
    <t>- Purīnu un pirimidīnu noteikšana ar HPLC;</t>
  </si>
  <si>
    <t>- Iedzimtu glikolizēšanās traucējumu selektīvais skrīnings ar IEF.</t>
  </si>
  <si>
    <t>Pakāpeniski iekļaut testējamās patoloģijas valsts apmaksāto pakalpojumu sarakstā, pakalpojumu atlasē izvēloties laboratorijas, kas veiks pasūtījumu.</t>
  </si>
  <si>
    <t>Izveidota atsevišķa programma BKUS RS pacientu laboratorisko izmeklējumu apmaksai</t>
  </si>
  <si>
    <t>Precizēta kārtība kā pacienti pēc 18 gadu vecuma var tikt nosūtīti uz ģenētiskiem izmeklējumiem un kas šos nozīmējumus var veikt.</t>
  </si>
  <si>
    <t>Sagatavoti priekšlikumi NA grozījumiem</t>
  </si>
  <si>
    <t>Izvērtētas RS pacientu biomateriāla un saistītās klīniskās informācijas datu sasaistes iespējas.</t>
  </si>
  <si>
    <t>Precizēta sadarbības kārtība starp KUS kā tiek izmatota bioloģisko materiālu un klīnisko datu kolekcijas (datu bāzes) RS pētniecībā un veicināta šo pētījumu rezultātu ieviešana klīniskajā praksē.</t>
  </si>
  <si>
    <t>Sagatavota informācija par šobrīd pieejamo RS pacientu ārstēšanu.</t>
  </si>
  <si>
    <t>Pārskatīti medikamentu izrakstīšanas nosacījumi attiecībā uz kompensējamām zālēm</t>
  </si>
  <si>
    <t xml:space="preserve">Sagatavoti priekšlikumi NA grozījumiem </t>
  </si>
  <si>
    <t xml:space="preserve">Definēti kritēriji, atbilstoši kuriem pacienti tiek iekļauti šajā programmā un kuros gadījumos pacienti tiek izslēgti no tās </t>
  </si>
  <si>
    <t xml:space="preserve">Paredzēt iespēju apmaksāt speciālo ārstniecisko uzturu noteiktu retu metabolo traucējumu gadījumos, un iekļaut to "Reto slimību medikamentozā ārstēšana bērniem" programmā </t>
  </si>
  <si>
    <t xml:space="preserve">90% no bērniem, kuriem noteiktas indikācijas ārstnieciskā uztura saņemšanai, tas tiek nodrošināts </t>
  </si>
  <si>
    <t>Iespēja elastīgāk reaģēt uz reto slimību pacientu vajadzībām, iekļaut jaunas zāles,  izsekot terapijas rezultātiem un  analizēt tos, kā arī nodrošināt terapijas pastāvīgumu neatkarīgi no pacienta vecuma.</t>
  </si>
  <si>
    <t xml:space="preserve">Izvērtēta ārstu konsīlija loma medikamentu nozīmēšanā un atcelšanā, kā arī klīniskās efektivitātes izvērtējuma nepieciešamība nozīmējot šos medikamentus. </t>
  </si>
  <si>
    <t>Noteikti multidisciplinārajā komandā iekļautie speciālisti un sniegtā pakalpojuma apjoms, kā arī kārtība kādā tiek  noteikts pacienta ārstējošais/ atbildīgais ārsts multidisciplinārā komandā</t>
  </si>
  <si>
    <t>Izvērtēts kuros gadījumos veselības aprūpes pakalpojumiem, kurus saņem RS pacients, nepieciešams palielināt esošos tarifus un noteikti kritēriji atbilstoši kuriem tie var tikt piemēroti</t>
  </si>
  <si>
    <t xml:space="preserve">Par 30% uzlabosies pieejamība RS pacientiem pie atbilstoša speciālista </t>
  </si>
  <si>
    <t>Izveidot koordinācijas atbalsta "vienības"  PKUS un RAKUS.</t>
  </si>
  <si>
    <t>1.2. RS bioloģisko paraugu un saistīto klīnisko datu kolekcijas (datu bāzes) veidošana un uzturēšana</t>
  </si>
  <si>
    <t>1.1. Uzlabot RS diagnostikas pieejamību</t>
  </si>
  <si>
    <t>2.1. Noteiktas esošas un iespējamās izmaksas RS ārstēšanai.</t>
  </si>
  <si>
    <t>2.6. Nodrošināt multidisciplināru pieeju RS pacientu ārstēšanā un aprūpē, piesaistot ārsta- ģenētiķa piedalīšanos</t>
  </si>
  <si>
    <t>3.1. Pilnveidot RS pacientu medicīnisko datu uzskaiti</t>
  </si>
  <si>
    <t>3.2. Uzlabot sabiedrības un profesionāļu informētību par RS.</t>
  </si>
  <si>
    <t>3.3. RS pacienta kartes izveide.</t>
  </si>
  <si>
    <t>Pasākuma īstenošanas gads               (ja pasākuma īstenošana ir terminēta)</t>
  </si>
  <si>
    <t xml:space="preserve"> </t>
  </si>
  <si>
    <t>Izvērtēti nepieciešamo laboratorisko izmeklējumu veidi un apjoms pacientiem ar RS.</t>
  </si>
  <si>
    <t xml:space="preserve">Pakāpeniski paplašināts no valsts budžeta līdzekļiem apmaksājamo laboratorisko izmeklējumu grozs </t>
  </si>
  <si>
    <t xml:space="preserve">  - Sangera DNS sekvenēšana; </t>
  </si>
  <si>
    <t>Molekulārā citoģenētika (SNParry/ salīdzinošā hibridizācija);</t>
  </si>
  <si>
    <t>Paaugstināta izglītība par RS</t>
  </si>
  <si>
    <t xml:space="preserve">Par 20% uzlabojas zināšanas par RS. </t>
  </si>
  <si>
    <t>Sagatvoti priekšlikumi NA grozījumiem</t>
  </si>
  <si>
    <t>Pilnīgākas informācijas uzkrāšana</t>
  </si>
  <si>
    <t xml:space="preserve">Identificēts RS pacientu skaits un RS izplatība </t>
  </si>
  <si>
    <t>Izvērtēta iespēja iekļaut retās slimības ORPHA kodu vienotās veselības nozares elektroniskās informācijas sistēmas (e-veselības sistēma) pacienta pamatdatos un medicīniskajos dokumentos.</t>
  </si>
  <si>
    <t>KUS izveidota iekšēja uzskaites sistēma, kurā ir iespējams izsekot RS pacientam</t>
  </si>
  <si>
    <t>Uzlabojas izsekojamība par RS pacientu, par viņam veiktajām manipulācijām, ārstēšanu.</t>
  </si>
  <si>
    <t>Noteikta vienotā datu platformā iekļaujamā informācija, kas nodrošinātu komunikāciju starp esošajām datu bāzēm (NVD, SPKC, iedzīvotāju reģistrs), un kādu informāciju nepieciešams uzkrāt papildus (manipulāciju kvalitātes uzskaites nodrošināšanai, ārstēšanas rezultāta izvērtēšanai u.c.)</t>
  </si>
  <si>
    <t>Sagatavoti priekšlikumi par datu struktūru un apmaiņu</t>
  </si>
  <si>
    <t>Regulāra informācijas apmaiņa kvalitātes uzraudzībai starp dažādām datu bāzēm par RS pacientiem</t>
  </si>
  <si>
    <t xml:space="preserve">Informācijas aprites uzlabošana, publicēti informatīvie materiāli par dažādām slimību grupām </t>
  </si>
  <si>
    <t>Izstrādāts informatīvais materiāls  par Orphanet portālā pieejamo informāciju</t>
  </si>
  <si>
    <t>Izstrādāti informatīvie materiāli par RS pacientiem, sabiedrībai un profesionāļiem.</t>
  </si>
  <si>
    <t>Par 30% uzlabojas informētība.</t>
  </si>
  <si>
    <t xml:space="preserve">Izstrādāta reto slimību pacienta karte  </t>
  </si>
  <si>
    <t>2.3. "Reto slimību medikamentozā ārstēšana bērniem" programmas darbības pilnveide</t>
  </si>
  <si>
    <t>Noteiktas RS, kurām nepieciešams nodrošināt akūta stāvokļa/ krīzes kupēšana un noteikta kārtība piekļuvei nepieciešamajiem medikamentiem šis programmas ietvaros</t>
  </si>
  <si>
    <t>2.5. Iekļaut valsts apmaksātajos veselības aprūpes pakalpojumos plaušu transplantāciju,  pulmonālo endarterektomiju u.c ārstēšanas metodes .</t>
  </si>
  <si>
    <t>Reto slimību strukturēšana atbilstoši diagnožu grupām, kā arī to norises smaguma pakāpei un prognozei (neatgriezeniskums un invaliditātes risks)</t>
  </si>
  <si>
    <t>RS datu sasaite ar EVAK kārtē iekālujamo informāciju</t>
  </si>
  <si>
    <t xml:space="preserve">BKUS laboratorijas ierīču pakāpeniska atjaunināšana. </t>
  </si>
  <si>
    <t xml:space="preserve">Pārskatīti veselības aprūpes pakalpojumā ietvertie aprūpes epizožu un manipulāciju tarifi un ar to saistīto kompensējamo zāļu apmaksas kārtība </t>
  </si>
  <si>
    <t>Izstrādāta kārtība, atbilstoši kurai tiek nozīmēts medikaments vai ārstnieciskais uzturs RS ārstēšanai,kā arī vienota, uz pierādījumiem balstīta pieeja ārstēšanā.</t>
  </si>
  <si>
    <t xml:space="preserve">Reto slimību centra izveide BKUS </t>
  </si>
  <si>
    <t>-  Kreatīna biosintēzes defektu un peroksismālo slimību noteikšanu ar gāzes hromatogrāfijas/  masspektrometrijas metodi;</t>
  </si>
  <si>
    <t xml:space="preserve">Sadarbībā ar speciālistiem, noteiktas RS, kurām tiek nodrošināta ārstēšana un kurām RS ārstēsana var tikt nodrošināta, uzlabojot piekļuvi zālēm un/vai ārstnieciskajam uzturam. </t>
  </si>
  <si>
    <t>BKUS</t>
  </si>
  <si>
    <t>29.Veselības ministrija</t>
  </si>
  <si>
    <t>Noteikti skaidri un nepārprotami kritēriji pieaugušo ar RS iekļaušanai programmā un izslēgšanai no tās,  terapijas kontroles regularitāte (ikgadēja zāļu efektivitātes pārbaude, kritēriji terapijas uzsākšanai, pārtraukšanai).</t>
  </si>
  <si>
    <t>33.16.00 "Pārējo ambulatoro  veselības aprūpes pakalpojumu nodrošināšana"</t>
  </si>
  <si>
    <t>45.01.00 "Veselības aprūpes finansējuma administrēšana un ekonomiskā novērtēšana"</t>
  </si>
  <si>
    <t>2.7. RS pacientu plūsmas koordinācija</t>
  </si>
  <si>
    <t>SSK-10
ORPHA</t>
  </si>
  <si>
    <t>Zāļu nosaukums</t>
  </si>
  <si>
    <t>Cistiskā fibroze</t>
  </si>
  <si>
    <t>Orkambi</t>
  </si>
  <si>
    <t>Tauku vielmaiņas traucējumi</t>
  </si>
  <si>
    <t>KetoCal</t>
  </si>
  <si>
    <t>Liquigen</t>
  </si>
  <si>
    <t>Infantr-Aptamil</t>
  </si>
  <si>
    <t>Trubas ebt barošana</t>
  </si>
  <si>
    <t>Spinālā muskuļu atrofija</t>
  </si>
  <si>
    <t>G 12.0</t>
  </si>
  <si>
    <t>Spinraza (Nusinersen)</t>
  </si>
  <si>
    <t>Primārs IGF – 1 deficīts</t>
  </si>
  <si>
    <t>E 34.3</t>
  </si>
  <si>
    <t>Mecaserminum (Increlex)</t>
  </si>
  <si>
    <t>Fenilketonūrija (klasiskā forma)</t>
  </si>
  <si>
    <t>E 70.1</t>
  </si>
  <si>
    <t>Sapropterini dihydrochloridum (Kuvan)</t>
  </si>
  <si>
    <t>Homocistinūrija</t>
  </si>
  <si>
    <t>E 72.1</t>
  </si>
  <si>
    <t>Betaine anhydrous (Cystadane)</t>
  </si>
  <si>
    <t>Urea cikla traucējumu slimības</t>
  </si>
  <si>
    <t>E 72.2</t>
  </si>
  <si>
    <t>Sodium phenylbutyrate (Ammonaps)</t>
  </si>
  <si>
    <t>Pompes slimība</t>
  </si>
  <si>
    <t>E74.0</t>
  </si>
  <si>
    <t>Alglucosidasum alfa (Myozyme)</t>
  </si>
  <si>
    <t>Gošē slimība</t>
  </si>
  <si>
    <t>E 75.2</t>
  </si>
  <si>
    <t xml:space="preserve">Imiglucerase (Cerezyme) </t>
  </si>
  <si>
    <t>Mukopolisaharidoze 1. tips</t>
  </si>
  <si>
    <t>E76.0</t>
  </si>
  <si>
    <t>Laronidasum (Aldurazyme)</t>
  </si>
  <si>
    <t>Mukopolisaharidoze 2. tips</t>
  </si>
  <si>
    <t>E 76.1</t>
  </si>
  <si>
    <t xml:space="preserve">Elaprase (Idursulfase) </t>
  </si>
  <si>
    <t>Tuberozā skleroze</t>
  </si>
  <si>
    <t>Q85.1</t>
  </si>
  <si>
    <t>Everolimusum (Votubia)</t>
  </si>
  <si>
    <t>Cita veida precizētas demielinizējošas centrālās nervu sistēmas slimības</t>
  </si>
  <si>
    <t>G37.8</t>
  </si>
  <si>
    <t>Immunoglobulinum humanum normale (Gammanorm)</t>
  </si>
  <si>
    <t>Galvas matainās daļas un kakla ļaundabīga melanoma</t>
  </si>
  <si>
    <t>C43.4</t>
  </si>
  <si>
    <t>Ipilimumabum (Yervoy)</t>
  </si>
  <si>
    <t>Pārmantots VIII faktora deficīts</t>
  </si>
  <si>
    <t>D66.0</t>
  </si>
  <si>
    <t xml:space="preserve">Octocogum alfa (Recombinate 1000SV/5ml, 500SV/5ml) </t>
  </si>
  <si>
    <t>Hemolītiski urēmiskais sindroms</t>
  </si>
  <si>
    <t>D59.3</t>
  </si>
  <si>
    <t>Eculizumabum (Soliris)</t>
  </si>
  <si>
    <t>Dišēna muskuļu distrofija</t>
  </si>
  <si>
    <t>G71.0</t>
  </si>
  <si>
    <t>Atalurenum (Translarna)</t>
  </si>
  <si>
    <t>Smaga olbaltumvielu nepanesība un izteikts malabsorbcijas sindroms</t>
  </si>
  <si>
    <t>Neocate</t>
  </si>
  <si>
    <t>Neocate advanced</t>
  </si>
  <si>
    <t>Pacientu skaits</t>
  </si>
  <si>
    <t>Diagnoze</t>
  </si>
  <si>
    <t>KOPĀ:</t>
  </si>
  <si>
    <t>Pacientu skaits (gadā)</t>
  </si>
  <si>
    <t>Sangera sekvenēšana</t>
  </si>
  <si>
    <t>NGS - DNS sekvenēšana</t>
  </si>
  <si>
    <t>aCGH</t>
  </si>
  <si>
    <t xml:space="preserve">Lielo delēciju/insērciju noteikšana </t>
  </si>
  <si>
    <t>karnitīnu/acilkarnitīnu spektra noteikšana ar TMS</t>
  </si>
  <si>
    <t>Kreatīna biosintēzes defektu un peroksismālo slimību noteikšanu ar gāzes hromatogrāfijas/  masspektrometrijas metodi</t>
  </si>
  <si>
    <t>Purīnu un pirimidīnu noteikšana ar HPLC</t>
  </si>
  <si>
    <t>Iedzimtu glikolizēšanās traucējumu selektīvais skrīnings ar IEF</t>
  </si>
  <si>
    <t>Nr.p.k.</t>
  </si>
  <si>
    <t>Izmaksu veids</t>
  </si>
  <si>
    <t>Darba alga, ieskaitot DD nodokļus</t>
  </si>
  <si>
    <t>darba vietas aprīkošana</t>
  </si>
  <si>
    <t>dalība pasākumos</t>
  </si>
  <si>
    <t>kancelejas preces</t>
  </si>
  <si>
    <t>Kopā</t>
  </si>
  <si>
    <t>Karnitīnu/acilkarnitīnu spektra noteikšana ar TMS</t>
  </si>
  <si>
    <t>Ammonul (sodium phenylacetate/benzoate) flakons 10%/10% 50ml N1</t>
  </si>
  <si>
    <t>U</t>
  </si>
  <si>
    <t>N</t>
  </si>
  <si>
    <t>A</t>
  </si>
  <si>
    <t>D</t>
  </si>
  <si>
    <t>S</t>
  </si>
  <si>
    <t>M</t>
  </si>
  <si>
    <t>Citi sfingolipidozes varianti (Fabri)</t>
  </si>
  <si>
    <t>E75.2</t>
  </si>
  <si>
    <t>Fabrazyme</t>
  </si>
  <si>
    <t>Citi porfīrijas varianti</t>
  </si>
  <si>
    <t>E80.2</t>
  </si>
  <si>
    <t>Normosang (Hematin 5)</t>
  </si>
  <si>
    <t>Vara vielmaiņas traucējumi (Vilsona)</t>
  </si>
  <si>
    <t>E83.0</t>
  </si>
  <si>
    <t>Cuprenil</t>
  </si>
  <si>
    <t>Amiloidoze</t>
  </si>
  <si>
    <t>E85</t>
  </si>
  <si>
    <t>Sekundāra sistēmiska amiloidoze</t>
  </si>
  <si>
    <t>E85.3</t>
  </si>
  <si>
    <t>Cistiskā plaušu fibroze</t>
  </si>
  <si>
    <t>E84</t>
  </si>
  <si>
    <t>Esbriet</t>
  </si>
  <si>
    <t>Hantingtona (Huntington) slimība</t>
  </si>
  <si>
    <t>G10</t>
  </si>
  <si>
    <t>Tetrabenazine (Xenazine) </t>
  </si>
  <si>
    <t>Pārmantota ataksija</t>
  </si>
  <si>
    <t>G11</t>
  </si>
  <si>
    <t>Gošē (Gaucher) slimība. M</t>
  </si>
  <si>
    <t>Cerezyme (Imiglucerase) 400 DV</t>
  </si>
  <si>
    <t xml:space="preserve">Piezīme: pacientu skaits vairākās diagnožu grupās, it īpaši reimatoloģijā var būt ievērojami lielāks, kas tādējādi ietekmē arī ārstēšanas izmaksu apmēru. </t>
  </si>
  <si>
    <t>Darba samaksa, EUR</t>
  </si>
  <si>
    <t>Valsts sociālās apdrošināšanas obligātās iemaksas, EUR</t>
  </si>
  <si>
    <t>E</t>
  </si>
  <si>
    <t>ārstam</t>
  </si>
  <si>
    <t>māsai</t>
  </si>
  <si>
    <t>Kopējās izmaksas gādā multidisciplinārajiem konsīlijiem ir:</t>
  </si>
  <si>
    <t>STRADIŅI</t>
  </si>
  <si>
    <t xml:space="preserve">Pielikums 1.1 </t>
  </si>
  <si>
    <t>N.p.k.</t>
  </si>
  <si>
    <t>Kabinetu skaits</t>
  </si>
  <si>
    <t>Ārstniecības un pacientu aprūpes persona</t>
  </si>
  <si>
    <t xml:space="preserve">Darbības nodrošināšanai nepieciešamie līdzekļi, EUR </t>
  </si>
  <si>
    <t>Finansējuma gada apjoms, EUR</t>
  </si>
  <si>
    <t>Personu skaits</t>
  </si>
  <si>
    <t>Slodzes apjoms</t>
  </si>
  <si>
    <t xml:space="preserve">Slodzes apjoms </t>
  </si>
  <si>
    <t>papildus nepieciešams</t>
  </si>
  <si>
    <t>Reto slimību kabinets (3 kab.)</t>
  </si>
  <si>
    <t>Psihologa kabinets</t>
  </si>
  <si>
    <t>Apmeklējumi Reto slimību kabinetā*</t>
  </si>
  <si>
    <t>* apmeklējumu skaits rēķināts ņemot vērā apmeklējumu skaitu pie ārsta darba dienā</t>
  </si>
  <si>
    <t>33.03.00 "Kompensējamo medikamentu un materiālu apmaksāšana"</t>
  </si>
  <si>
    <t>Vidējās izmaksas vienam pacientam</t>
  </si>
  <si>
    <t>pacientu skaits</t>
  </si>
  <si>
    <t>izmaksas kopā</t>
  </si>
  <si>
    <t>Plaušu transplantācija (veic Tartu slimnīcā)</t>
  </si>
  <si>
    <t>Kompensējamie medikamenti ambulatorai lietošanai (jālieto visa mūža garumā)</t>
  </si>
  <si>
    <t>Pacientiem no iepriekšējiem gadiem</t>
  </si>
  <si>
    <t>Izmaksu sadārdzinājums saistībā ar papildus lauka ieviešanu EVAK kartes otrajā pusē un nepieciešamību ieviest datu izdruku kartes otrajā pusē</t>
  </si>
  <si>
    <t>* izmaiņas  jāveic visām izgatavojamām EVAK</t>
  </si>
  <si>
    <t>Vidēja termiņa budžeta ietvara likumā plānotais finansējums 33.12.00 "Reto slimību medikamentoza ārstēšana bērniem"</t>
  </si>
  <si>
    <t xml:space="preserve"> Rekombinantās terapijas  pacientu skaits, kas to turpina pēc 18 gadu sasniegšanas</t>
  </si>
  <si>
    <t>+3 katru gadu</t>
  </si>
  <si>
    <t>Pielikums 2.7_1</t>
  </si>
  <si>
    <t>3.gados</t>
  </si>
  <si>
    <t>1.gadā</t>
  </si>
  <si>
    <t>mēnesī</t>
  </si>
  <si>
    <t>Kabineta uzturēšana, t.sk. atlīdzība</t>
  </si>
  <si>
    <t xml:space="preserve"> t.sk. atlīdzība</t>
  </si>
  <si>
    <t>t.sk. kabineta izmaksas</t>
  </si>
  <si>
    <t xml:space="preserve">Informatīvās platformas uzturēšana </t>
  </si>
  <si>
    <t>Reģistra uzturēšana 6 850 euro gadā, mājas lapa, programmas licences, publikācijas, izglītojoši pasākumi 1 600 gadā</t>
  </si>
  <si>
    <r>
      <rPr>
        <sz val="10"/>
        <color theme="1"/>
        <rFont val="Times New Roman"/>
        <family val="1"/>
        <charset val="186"/>
      </rPr>
      <t xml:space="preserve">Kopā, </t>
    </r>
    <r>
      <rPr>
        <i/>
        <sz val="10"/>
        <color theme="1"/>
        <rFont val="Times New Roman"/>
        <family val="1"/>
        <charset val="186"/>
      </rPr>
      <t>euro</t>
    </r>
    <r>
      <rPr>
        <sz val="10"/>
        <color theme="1"/>
        <rFont val="Times New Roman"/>
        <family val="1"/>
        <charset val="186"/>
      </rPr>
      <t>:</t>
    </r>
  </si>
  <si>
    <t>Atlīdzības aprēķins</t>
  </si>
  <si>
    <t>Amata nosaukums</t>
  </si>
  <si>
    <t>Slodžu skaits</t>
  </si>
  <si>
    <t>Atalgojums</t>
  </si>
  <si>
    <t>DD VSAOI</t>
  </si>
  <si>
    <t>Atalgojuma mainīgā daļa, 5%</t>
  </si>
  <si>
    <t>Koordinatora amata alga</t>
  </si>
  <si>
    <t>Pediatrs ar kompetenci retajās slimībās (&lt; 18 g.v.)</t>
  </si>
  <si>
    <t>Internists ar kompetenci retajās slimībās (&gt; 18 g.v.)</t>
  </si>
  <si>
    <t>Uztura speciālists</t>
  </si>
  <si>
    <t>Psihologs</t>
  </si>
  <si>
    <t>Sociālais darbinieks</t>
  </si>
  <si>
    <t>Māsa</t>
  </si>
  <si>
    <t>Pielikums 3.3</t>
  </si>
  <si>
    <t>Sadārdzinājums %</t>
  </si>
  <si>
    <t>Skaits</t>
  </si>
  <si>
    <r>
      <t>Vienas EVAK kartes izgatavošana (2017.gada iepirkuma rezultāts),</t>
    </r>
    <r>
      <rPr>
        <i/>
        <sz val="10"/>
        <color theme="1"/>
        <rFont val="Times New Roman"/>
        <family val="1"/>
        <charset val="186"/>
      </rPr>
      <t xml:space="preserve"> euro</t>
    </r>
  </si>
  <si>
    <t>Kārtējā gada jauniem pacientiem</t>
  </si>
  <si>
    <t>Pielikums 2.7_2</t>
  </si>
  <si>
    <t>Nepieciešamību nodrošināt A hemofīlijas pacientus ar rekombinanto terapiju arī pēc 18 gadu sasniegšanas.  Šobrīd līdz 18.gadu vecumam to  saņem 33.03.00 apakšprogrammas ietvaros. Lai saņemtu terapiju arī pēc 18 gadu vecuma, t.i. turpinātu jau uzsākto, ik gadu 18 gadus sasniedz vidēji 3 pacienti. Viena pacienta vidējās izmaksas ir 10 000 euro.</t>
  </si>
  <si>
    <t>Pielikums 2.4.</t>
  </si>
  <si>
    <r>
      <t xml:space="preserve">Kopā, </t>
    </r>
    <r>
      <rPr>
        <i/>
        <sz val="10"/>
        <color indexed="8"/>
        <rFont val="Times New Roman"/>
        <family val="1"/>
        <charset val="186"/>
      </rPr>
      <t>euro</t>
    </r>
    <r>
      <rPr>
        <sz val="10"/>
        <color indexed="8"/>
        <rFont val="Times New Roman"/>
        <family val="1"/>
        <charset val="186"/>
      </rPr>
      <t>:</t>
    </r>
  </si>
  <si>
    <t xml:space="preserve">2018.gads </t>
  </si>
  <si>
    <t xml:space="preserve">2019.gads </t>
  </si>
  <si>
    <t xml:space="preserve">2020.gads </t>
  </si>
  <si>
    <t>33.19.00 "Starptautiskie norēķini par sniegtajiem veselības aprūpes pakalpojumiem"</t>
  </si>
  <si>
    <t>Pulmunārā endarterektomija</t>
  </si>
  <si>
    <t>Plaušu transplantācija un pulmunārā endarterektomija</t>
  </si>
  <si>
    <t xml:space="preserve">Kompensējamie medikamenti ambulatorai lietošanai </t>
  </si>
  <si>
    <t xml:space="preserve">                       Pielikums 2.3_3</t>
  </si>
  <si>
    <r>
      <t xml:space="preserve">Kopā, </t>
    </r>
    <r>
      <rPr>
        <i/>
        <sz val="10"/>
        <color rgb="FF000000"/>
        <rFont val="Times New Roman"/>
        <family val="1"/>
        <charset val="186"/>
      </rPr>
      <t>euro</t>
    </r>
    <r>
      <rPr>
        <sz val="10"/>
        <color rgb="FF000000"/>
        <rFont val="Times New Roman"/>
        <family val="1"/>
        <charset val="186"/>
      </rPr>
      <t>:</t>
    </r>
  </si>
  <si>
    <t>33.15.00 "Laboratorisko izmeklējumu nodrošināšana ambulatorajā aprūpē"</t>
  </si>
  <si>
    <r>
      <t xml:space="preserve">Viena pacienta vid izmaksas, </t>
    </r>
    <r>
      <rPr>
        <i/>
        <sz val="10"/>
        <color theme="1"/>
        <rFont val="Times New Roman"/>
        <family val="1"/>
        <charset val="186"/>
      </rPr>
      <t>euro</t>
    </r>
  </si>
  <si>
    <t>33.03.00 "Kompensējamo medikamentu un materiālu apmaksāšana", euro</t>
  </si>
  <si>
    <r>
      <rPr>
        <sz val="10"/>
        <color theme="1"/>
        <rFont val="Times New Roman"/>
        <family val="1"/>
        <charset val="186"/>
      </rPr>
      <t>Kopā,</t>
    </r>
    <r>
      <rPr>
        <i/>
        <sz val="10"/>
        <color theme="1"/>
        <rFont val="Times New Roman"/>
        <family val="1"/>
        <charset val="186"/>
      </rPr>
      <t xml:space="preserve"> euro</t>
    </r>
    <r>
      <rPr>
        <sz val="10"/>
        <color theme="1"/>
        <rFont val="Times New Roman"/>
        <family val="1"/>
        <charset val="186"/>
      </rPr>
      <t>:</t>
    </r>
  </si>
  <si>
    <t>Pielikums 2.5</t>
  </si>
  <si>
    <t>turpmākajā periodā</t>
  </si>
  <si>
    <r>
      <t xml:space="preserve">Sadārdzinājums - kopā, </t>
    </r>
    <r>
      <rPr>
        <i/>
        <sz val="10"/>
        <color theme="1"/>
        <rFont val="Times New Roman"/>
        <family val="1"/>
        <charset val="186"/>
      </rPr>
      <t>euro</t>
    </r>
  </si>
  <si>
    <t>Veidot vienotu pieeju RS diagnostikai, ārstēšanai un dinamiskai novērošanai</t>
  </si>
  <si>
    <t>Pielikums 2.8</t>
  </si>
  <si>
    <t>46.01.00 "Uzraudzība kontrole"</t>
  </si>
  <si>
    <r>
      <t>Kopā,</t>
    </r>
    <r>
      <rPr>
        <i/>
        <sz val="10"/>
        <color rgb="FF000000"/>
        <rFont val="Times New Roman"/>
        <family val="1"/>
        <charset val="186"/>
      </rPr>
      <t xml:space="preserve"> euro</t>
    </r>
    <r>
      <rPr>
        <sz val="10"/>
        <color rgb="FF000000"/>
        <rFont val="Times New Roman"/>
        <family val="1"/>
        <charset val="186"/>
      </rPr>
      <t>:</t>
    </r>
  </si>
  <si>
    <t>Izmaksas plaušu transplantācijai un kompensējamiem medikamentiem ambulatorai ārstēšanai pēc plaušu transplantācijas</t>
  </si>
  <si>
    <t>Izmaksas pulmunārai endarterektomijai un kompensējamiem medikamentiem ambulatorai ārstēšanai pēc pulmunārās endarterektomijas</t>
  </si>
  <si>
    <r>
      <t>Kopējās izmaksas,</t>
    </r>
    <r>
      <rPr>
        <i/>
        <sz val="10"/>
        <color theme="1"/>
        <rFont val="Times New Roman"/>
        <family val="1"/>
        <charset val="186"/>
      </rPr>
      <t xml:space="preserve"> euro </t>
    </r>
    <r>
      <rPr>
        <sz val="10"/>
        <color theme="1"/>
        <rFont val="Times New Roman"/>
        <family val="1"/>
        <charset val="186"/>
      </rPr>
      <t>- plaušu transplantācijai un kompensējamiem medikamentiem</t>
    </r>
  </si>
  <si>
    <r>
      <t>2.4.</t>
    </r>
    <r>
      <rPr>
        <sz val="11"/>
        <rFont val="Times New Roman"/>
        <family val="1"/>
      </rPr>
      <t>M</t>
    </r>
    <r>
      <rPr>
        <sz val="11"/>
        <rFont val="Times New Roman"/>
        <family val="1"/>
        <charset val="186"/>
      </rPr>
      <t>edikamentu pēctecības nodrošināšana RS pacientiem, pārejot no pediatriskās aprūpes (18 gadi), uz pieaugušo aprūpi</t>
    </r>
  </si>
  <si>
    <r>
      <t xml:space="preserve">2.8. </t>
    </r>
    <r>
      <rPr>
        <sz val="11"/>
        <rFont val="Times New Roman"/>
        <family val="1"/>
      </rPr>
      <t xml:space="preserve"> Veidot  vienotu pieeju RS diagnostiskai, ārstēšanai un dinamiskai novērošanai</t>
    </r>
  </si>
  <si>
    <r>
      <t>2.</t>
    </r>
    <r>
      <rPr>
        <sz val="11"/>
        <rFont val="Times New Roman"/>
        <family val="1"/>
      </rPr>
      <t>10.</t>
    </r>
    <r>
      <rPr>
        <sz val="11"/>
        <rFont val="Times New Roman"/>
        <family val="1"/>
        <charset val="186"/>
      </rPr>
      <t xml:space="preserve"> Pilnveidot Tālākizglītības programmas ar kursiem par RS.</t>
    </r>
  </si>
  <si>
    <t>Tarifs. EUR</t>
  </si>
  <si>
    <t>Pacienta iemaksas</t>
  </si>
  <si>
    <t xml:space="preserve"> Skaits</t>
  </si>
  <si>
    <t>275 min.</t>
  </si>
  <si>
    <t>95 min.</t>
  </si>
  <si>
    <t>Tarifs</t>
  </si>
  <si>
    <t>Pacientu skaits vidēji gadā</t>
  </si>
  <si>
    <t>Laiks (minūtes)</t>
  </si>
  <si>
    <t>Laiks (minūtēs)</t>
  </si>
  <si>
    <t>Konsīlijs (starp KUS-iem)</t>
  </si>
  <si>
    <r>
      <t xml:space="preserve">Finansējuma summa, </t>
    </r>
    <r>
      <rPr>
        <i/>
        <sz val="10"/>
        <color theme="1"/>
        <rFont val="Times New Roman"/>
        <family val="1"/>
        <charset val="186"/>
      </rPr>
      <t>euro</t>
    </r>
  </si>
  <si>
    <t>5 speciālisti kopā  ar konsīliju</t>
  </si>
  <si>
    <t>Pielikums 2.6.</t>
  </si>
  <si>
    <r>
      <t xml:space="preserve">                                                                                                                                                       </t>
    </r>
    <r>
      <rPr>
        <sz val="10"/>
        <color theme="1"/>
        <rFont val="Times New Roman"/>
        <family val="1"/>
        <charset val="186"/>
      </rPr>
      <t xml:space="preserve"> Pielikums 2.3_2</t>
    </r>
  </si>
  <si>
    <t>Citi izmeklējumi, piem., imūnhistoķīmija</t>
  </si>
  <si>
    <t>10</t>
  </si>
  <si>
    <t>400</t>
  </si>
  <si>
    <t>Nepieciešamais papildus finasējums  medikamentiem, kas ir jau iekļauti valsts budžeta plānotajā finasējumā</t>
  </si>
  <si>
    <r>
      <t xml:space="preserve">Kopā, </t>
    </r>
    <r>
      <rPr>
        <i/>
        <sz val="10"/>
        <color theme="1"/>
        <rFont val="Times New Roman"/>
        <family val="1"/>
        <charset val="186"/>
      </rPr>
      <t>euro</t>
    </r>
    <r>
      <rPr>
        <sz val="10"/>
        <color theme="1"/>
        <rFont val="Times New Roman"/>
        <family val="1"/>
        <charset val="186"/>
      </rPr>
      <t>:</t>
    </r>
  </si>
  <si>
    <t>Pielikums 2.3_1</t>
  </si>
  <si>
    <r>
      <t xml:space="preserve">Kopā nepieciešamais papildus finansējums, </t>
    </r>
    <r>
      <rPr>
        <i/>
        <sz val="10"/>
        <color theme="1"/>
        <rFont val="Times New Roman"/>
        <family val="1"/>
        <charset val="186"/>
      </rPr>
      <t xml:space="preserve">euro: </t>
    </r>
  </si>
  <si>
    <t>2019.gads (10% pieaugums no iepriekšējā gada)</t>
  </si>
  <si>
    <t>2020.gads (10% pieaugums no iepriekšējā gada)</t>
  </si>
  <si>
    <t>2019.gads (15% pieaugums no iepriekšējā gada)</t>
  </si>
  <si>
    <t>2020.gads (15% pieaugums no iepriekšējā gada)</t>
  </si>
  <si>
    <r>
      <t>Izmeklējuma cena (e</t>
    </r>
    <r>
      <rPr>
        <i/>
        <sz val="10"/>
        <color indexed="8"/>
        <rFont val="Times New Roman"/>
        <family val="1"/>
        <charset val="186"/>
      </rPr>
      <t>uro</t>
    </r>
    <r>
      <rPr>
        <sz val="10"/>
        <color indexed="8"/>
        <rFont val="Times New Roman"/>
        <family val="1"/>
        <charset val="186"/>
      </rPr>
      <t>)</t>
    </r>
  </si>
  <si>
    <t xml:space="preserve">2018.gads  </t>
  </si>
  <si>
    <t>2019.gads (20% pieaugums no iepriekšējā gada)</t>
  </si>
  <si>
    <t>2020.gads (20% pieaugums no iepriekšējā gada)</t>
  </si>
  <si>
    <t xml:space="preserve"> Diagnozes, kas netika ietvertas iepriekšminētā likuma plānotajā finansējumā</t>
  </si>
  <si>
    <r>
      <t>RS metodiskās vadības nodrošināšana: izstrādātas to RS diagnostikas, ārstēšanas un dinamiskās novērošanas rekomendācijas - klīniskie algoritmi un RS pacienta "</t>
    </r>
    <r>
      <rPr>
        <i/>
        <sz val="11"/>
        <rFont val="Times New Roman"/>
        <family val="1"/>
        <charset val="186"/>
      </rPr>
      <t>ceļa karte</t>
    </r>
    <r>
      <rPr>
        <sz val="11"/>
        <rFont val="Times New Roman"/>
        <family val="1"/>
        <charset val="186"/>
      </rPr>
      <t>", ietverot diagnostiku, ārstēšanu un dinamisko novērošanu, kas pieejama klīnisko universitātes slimnīcu interneta mājas lapā</t>
    </r>
  </si>
  <si>
    <t>2.9. Izvērtēt iespēju pacientus ar RS atbrīvot no pacientu iemaksas arī pēc 18 gadu vecuma</t>
  </si>
  <si>
    <t>Noteiktas RS pacientu grupas (ar noteiktām diagnozēm) kuriem veselības stāvokļa dēļ būtu nepieciešami atvieglojumi veselības aprūpes pakalpojuma saņemšanai</t>
  </si>
  <si>
    <t xml:space="preserve">Apzināti  nepieciešamie grozījumi NA, lai uzlabotu  ar noteiktām slimībām slimojošu pacientu reģistra datus par RS pacientiem </t>
  </si>
  <si>
    <t>Pacienti programmā tiek iekļauti un izslēgti no tās atbilstoši apstiprinātiem kritērijiem. Jaunu diagnožu (diagnozes, kuras nav iekļautas likuma "Par vidēja termiņa budžeta ietvaru 2017., 2018. un 2019.gadam" plānotājā finasējuma apakšprogrammā 33.12.00 "Reto slimību medikamentozā ārstēšana bērniem") un esošo diagnožu pieaugums uz esošo pacienta skaita pieaugumu.</t>
  </si>
  <si>
    <r>
      <t xml:space="preserve">Kopā nepieciešamā finansējuma summa, </t>
    </r>
    <r>
      <rPr>
        <i/>
        <sz val="10"/>
        <color theme="1"/>
        <rFont val="Times New Roman"/>
        <family val="1"/>
        <charset val="186"/>
      </rPr>
      <t>euro</t>
    </r>
  </si>
  <si>
    <t>Eksperta pirmreizēja konsultācija</t>
  </si>
  <si>
    <t>Eksperta atkārtota konsultācija</t>
  </si>
  <si>
    <r>
      <t>Karšu printeris  - 1gb (iegāde plānota 2018.gadā),</t>
    </r>
    <r>
      <rPr>
        <i/>
        <sz val="10"/>
        <color theme="1"/>
        <rFont val="Times New Roman"/>
        <family val="1"/>
        <charset val="186"/>
      </rPr>
      <t xml:space="preserve"> euro</t>
    </r>
  </si>
  <si>
    <r>
      <t>Vienas plastikāta kartes izgatavošana,</t>
    </r>
    <r>
      <rPr>
        <i/>
        <sz val="10"/>
        <color theme="1"/>
        <rFont val="Times New Roman"/>
        <family val="1"/>
        <charset val="186"/>
      </rPr>
      <t xml:space="preserve"> euro</t>
    </r>
    <r>
      <rPr>
        <sz val="10"/>
        <color theme="1"/>
        <rFont val="Times New Roman"/>
        <family val="1"/>
        <charset val="186"/>
      </rPr>
      <t xml:space="preserve"> </t>
    </r>
  </si>
  <si>
    <r>
      <t>Nepieciešamais finansējums 2018.gadā,</t>
    </r>
    <r>
      <rPr>
        <i/>
        <sz val="10"/>
        <color theme="1"/>
        <rFont val="Times New Roman"/>
        <family val="1"/>
        <charset val="186"/>
      </rPr>
      <t xml:space="preserve"> euro</t>
    </r>
    <r>
      <rPr>
        <sz val="10"/>
        <color theme="1"/>
        <rFont val="Times New Roman"/>
        <family val="1"/>
        <charset val="186"/>
      </rPr>
      <t xml:space="preserve"> </t>
    </r>
  </si>
  <si>
    <r>
      <t>Nepieciešamais finansējums 2019.gadā,</t>
    </r>
    <r>
      <rPr>
        <i/>
        <sz val="10"/>
        <color theme="1"/>
        <rFont val="Times New Roman"/>
        <family val="1"/>
        <charset val="186"/>
      </rPr>
      <t xml:space="preserve"> euro</t>
    </r>
    <r>
      <rPr>
        <sz val="10"/>
        <color theme="1"/>
        <rFont val="Times New Roman"/>
        <family val="1"/>
        <charset val="186"/>
      </rPr>
      <t xml:space="preserve"> </t>
    </r>
  </si>
  <si>
    <r>
      <t>Nepieciešamais finansējums 2020.gadā,</t>
    </r>
    <r>
      <rPr>
        <i/>
        <sz val="10"/>
        <color theme="1"/>
        <rFont val="Times New Roman"/>
        <family val="1"/>
        <charset val="186"/>
      </rPr>
      <t xml:space="preserve"> euro</t>
    </r>
    <r>
      <rPr>
        <sz val="10"/>
        <color theme="1"/>
        <rFont val="Times New Roman"/>
        <family val="1"/>
        <charset val="186"/>
      </rPr>
      <t xml:space="preserve"> </t>
    </r>
  </si>
  <si>
    <t>Pielikums "Plānam reto slimību jomā 2017.-2020.gadam"</t>
  </si>
  <si>
    <t>33.12.00                          "Reto slimību medikamentozā ārstēšana bērniem" (plānots mainīt nosaukumu"Reto slimību ārstēšana"</t>
  </si>
  <si>
    <t>2800</t>
  </si>
  <si>
    <t>125</t>
  </si>
  <si>
    <t>800</t>
  </si>
  <si>
    <t>500</t>
  </si>
  <si>
    <t>588,1</t>
  </si>
  <si>
    <t>547,23</t>
  </si>
  <si>
    <t>Reto slimību kabinetu finansējuma aprēķins</t>
  </si>
  <si>
    <r>
      <t xml:space="preserve">Likumā "Par vidēja termiņa budžeta ietvaru 2017., 2018. un 2019.gadam" plānotais finansējums apakšprogrammā 33.12.00 "Reto slimību medikamentozā ārstēšana bērniem" - </t>
    </r>
    <r>
      <rPr>
        <b/>
        <sz val="10"/>
        <color theme="1"/>
        <rFont val="Times New Roman"/>
        <family val="1"/>
        <charset val="186"/>
      </rPr>
      <t xml:space="preserve">1 990 076 </t>
    </r>
    <r>
      <rPr>
        <b/>
        <i/>
        <sz val="10"/>
        <color theme="1"/>
        <rFont val="Times New Roman"/>
        <family val="1"/>
        <charset val="186"/>
      </rPr>
      <t>euro</t>
    </r>
    <r>
      <rPr>
        <sz val="10"/>
        <color theme="1"/>
        <rFont val="Times New Roman"/>
        <family val="1"/>
        <charset val="186"/>
      </rPr>
      <t xml:space="preserve">. Ņemot vērā to, ka pacientu skaits pieaug, līdz ar to tika veikts procentuāls finansējuma pieauguma  aprēķins (20% apmērā par bāzi ņemot 1 990 076 </t>
    </r>
    <r>
      <rPr>
        <i/>
        <sz val="10"/>
        <color theme="1"/>
        <rFont val="Times New Roman"/>
        <family val="1"/>
        <charset val="186"/>
      </rPr>
      <t>euro</t>
    </r>
    <r>
      <rPr>
        <sz val="10"/>
        <color theme="1"/>
        <rFont val="Times New Roman"/>
        <family val="1"/>
        <charset val="186"/>
      </rPr>
      <t>):</t>
    </r>
  </si>
  <si>
    <t>Kabineta izmaksas</t>
  </si>
  <si>
    <t>Telpu izmaksas (komunālie maksājumi, NĪN)</t>
  </si>
  <si>
    <t>Telpu amortizācija</t>
  </si>
  <si>
    <t>Noliktava (saimniecības preces)</t>
  </si>
  <si>
    <t>Pakalpojumi (atkritumu izvešana, sakaru nodrošināšana)</t>
  </si>
  <si>
    <t>Pamatlīdzekļu nolietojums, mazvērtīgais inventārs</t>
  </si>
  <si>
    <t>Pieskaitāmās izmaksas</t>
  </si>
  <si>
    <t>Darbības nodrošināšanai nepieciešamo līdzekļu atšifrējums pa tarifa formulas elementiem, EUR *</t>
  </si>
  <si>
    <t>Kabinets</t>
  </si>
  <si>
    <t>Pieskaitāmās un netiešās ražošanas izmaksas (U)</t>
  </si>
  <si>
    <t>Amortizācija (N)</t>
  </si>
  <si>
    <t>Administratīvie izdevumi (A)</t>
  </si>
  <si>
    <t>U – pieskaitāmās un netiešās ražošanas izmaksas (ar pacientu uzturēšanu saistītie izdevumi pakalpojumu apmaksai, riska maksājuma veikšanai, materiālu, energoresursu, ūdens un inventāra iegādei);</t>
  </si>
  <si>
    <t>N – amortizācija  - ēku, būvju un pārējo pamatlīdzekļu nolietojums (vērtības pakāpeniska iekļaušana izdevumos);</t>
  </si>
  <si>
    <t xml:space="preserve"> A - administratīvie izdevumi - izmaksu daļa, kas saistīta ar administrācijas uzturēšanu. </t>
  </si>
  <si>
    <t>* pamatojums 2013.gada 17.decembra MK noteikumu Nr.1529 "Veselības aprūpes organizēšanas un finansēšanas kārtība" 15. pielikums, kur</t>
  </si>
  <si>
    <r>
      <t>Zāļu cena (</t>
    </r>
    <r>
      <rPr>
        <i/>
        <sz val="10"/>
        <color indexed="8"/>
        <rFont val="Times New Roman"/>
        <family val="1"/>
        <charset val="186"/>
      </rPr>
      <t>euro</t>
    </r>
    <r>
      <rPr>
        <sz val="10"/>
        <color indexed="8"/>
        <rFont val="Times New Roman"/>
        <family val="1"/>
        <charset val="186"/>
      </rPr>
      <t>)</t>
    </r>
  </si>
  <si>
    <t xml:space="preserve">Luveris </t>
  </si>
  <si>
    <r>
      <t>Zāļu cena 1 pacientam gadā (</t>
    </r>
    <r>
      <rPr>
        <i/>
        <sz val="10"/>
        <color indexed="8"/>
        <rFont val="Times New Roman"/>
        <family val="1"/>
        <charset val="186"/>
      </rPr>
      <t>euro</t>
    </r>
    <r>
      <rPr>
        <sz val="10"/>
        <color indexed="8"/>
        <rFont val="Times New Roman"/>
        <family val="1"/>
        <charset val="186"/>
      </rPr>
      <t>)</t>
    </r>
  </si>
  <si>
    <t>Koordinators</t>
  </si>
  <si>
    <t>Kopā, euro:</t>
  </si>
  <si>
    <t>KOPĀ</t>
  </si>
  <si>
    <t>Atvaļinājuma rezerve</t>
  </si>
  <si>
    <t>Kopā mēnesī, ņemot vērā slodžu skaitu</t>
  </si>
  <si>
    <t xml:space="preserve">Sagatavoti priekšlikumi NA grozījumiem RS prenatālai un postnatālai diagnostikai:             </t>
  </si>
  <si>
    <t>Sagatavoti priekšlikumi NA grozījumiem reto iedzimto metabolisma slimību ģenētiskām bioķīmijas selektīvā skrīninga metodēm:</t>
  </si>
  <si>
    <t>2.2. Īpašas programmas izveide pieaugušo RS medikamentozai ārstēšanai  ar atsevišķu (ar ZIKS nesaistītu) finansējumu</t>
  </si>
  <si>
    <t>RS metodiskās vadības nodrošināšana - tiks izveidota amata vieta reto slimību metodiskais vadītājs*</t>
  </si>
  <si>
    <t>* Amata vieta tiks veidota esošo nozarei noteikto amata vietu ietvaros (papildus amata vietas izveide resorā nav plānota)</t>
  </si>
  <si>
    <t>Plānotais pacientu skaits 2018.gadā</t>
  </si>
  <si>
    <t>1295002</t>
  </si>
  <si>
    <t>1295003</t>
  </si>
  <si>
    <t>1295004</t>
  </si>
  <si>
    <t>1295005</t>
  </si>
  <si>
    <t>1295006</t>
  </si>
  <si>
    <t>1295007</t>
  </si>
  <si>
    <t>1295008</t>
  </si>
  <si>
    <t>1295009</t>
  </si>
  <si>
    <t>1295010</t>
  </si>
  <si>
    <t>1295011</t>
  </si>
  <si>
    <t>1295012</t>
  </si>
  <si>
    <t>1295013</t>
  </si>
  <si>
    <t>1295014</t>
  </si>
  <si>
    <t>1295015</t>
  </si>
  <si>
    <t>1</t>
  </si>
  <si>
    <t>Plānotais pacientu skaits 2019.gadā</t>
  </si>
  <si>
    <r>
      <t>Zāļu cena uz 1 pacientu gadā (</t>
    </r>
    <r>
      <rPr>
        <i/>
        <sz val="10"/>
        <color rgb="FF000000"/>
        <rFont val="Times New Roman"/>
        <family val="1"/>
        <charset val="186"/>
      </rPr>
      <t>euro</t>
    </r>
    <r>
      <rPr>
        <sz val="10"/>
        <color rgb="FF000000"/>
        <rFont val="Times New Roman"/>
        <family val="1"/>
        <charset val="186"/>
      </rPr>
      <t>)*</t>
    </r>
  </si>
  <si>
    <t>*zāļu cenas var mainīties</t>
  </si>
  <si>
    <t>Plānotais pacientu skaits 2020.gadā</t>
  </si>
  <si>
    <t>23</t>
  </si>
  <si>
    <r>
      <t>Zāļu cena uz 1 pacientu gadā (</t>
    </r>
    <r>
      <rPr>
        <i/>
        <sz val="10"/>
        <color indexed="8"/>
        <rFont val="Times New Roman"/>
        <family val="1"/>
        <charset val="186"/>
      </rPr>
      <t>euro</t>
    </r>
    <r>
      <rPr>
        <sz val="10"/>
        <color indexed="8"/>
        <rFont val="Times New Roman"/>
        <family val="1"/>
        <charset val="186"/>
      </rPr>
      <t>)*</t>
    </r>
  </si>
  <si>
    <t>Veselības ministre</t>
  </si>
  <si>
    <t>Anda Čakša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</si>
</sst>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57" x14ac:knownFonts="1">
    <font>
      <sz val="11"/>
      <color theme="1"/>
      <name val="Calibri"/>
      <family val="2"/>
      <charset val="186"/>
      <scheme val="minor"/>
    </font>
    <font>
      <sz val="12"/>
      <name val="Times New Roman"/>
      <family val="1"/>
      <charset val="186"/>
    </font>
    <font>
      <sz val="11"/>
      <color theme="1"/>
      <name val="Calibri"/>
      <family val="2"/>
      <charset val="186"/>
      <scheme val="minor"/>
    </font>
    <font>
      <b/>
      <sz val="12"/>
      <name val="Times New Roman"/>
      <family val="1"/>
      <charset val="186"/>
    </font>
    <font>
      <strike/>
      <sz val="12"/>
      <name val="Times New Roman"/>
      <family val="1"/>
      <charset val="186"/>
    </font>
    <font>
      <sz val="12"/>
      <name val="Calibri"/>
      <family val="2"/>
      <charset val="186"/>
      <scheme val="minor"/>
    </font>
    <font>
      <sz val="12"/>
      <name val="Times New Roman"/>
      <family val="1"/>
    </font>
    <font>
      <sz val="12"/>
      <color rgb="FFFF0000"/>
      <name val="Times New Roman"/>
      <family val="1"/>
    </font>
    <font>
      <b/>
      <strike/>
      <sz val="12"/>
      <name val="Times New Roman"/>
      <family val="1"/>
      <charset val="186"/>
    </font>
    <font>
      <sz val="11"/>
      <color indexed="8"/>
      <name val="Times New Roman"/>
      <family val="1"/>
      <charset val="186"/>
    </font>
    <font>
      <sz val="10"/>
      <color theme="1"/>
      <name val="Times New Roman"/>
      <family val="1"/>
      <charset val="186"/>
    </font>
    <font>
      <b/>
      <sz val="10"/>
      <color theme="1"/>
      <name val="Times New Roman"/>
      <family val="1"/>
      <charset val="186"/>
    </font>
    <font>
      <sz val="10"/>
      <color indexed="8"/>
      <name val="Helvetica"/>
    </font>
    <font>
      <b/>
      <sz val="10"/>
      <color indexed="8"/>
      <name val="Times New Roman"/>
      <family val="1"/>
      <charset val="186"/>
    </font>
    <font>
      <sz val="10"/>
      <color indexed="8"/>
      <name val="Times New Roman"/>
      <family val="1"/>
      <charset val="186"/>
    </font>
    <font>
      <b/>
      <sz val="10"/>
      <color rgb="FF000000"/>
      <name val="Times New Roman"/>
      <family val="1"/>
      <charset val="186"/>
    </font>
    <font>
      <sz val="10"/>
      <color theme="1"/>
      <name val="Calibri"/>
      <family val="2"/>
      <charset val="186"/>
      <scheme val="minor"/>
    </font>
    <font>
      <i/>
      <sz val="10"/>
      <color indexed="8"/>
      <name val="Times New Roman"/>
      <family val="1"/>
      <charset val="186"/>
    </font>
    <font>
      <sz val="11"/>
      <color rgb="FF000000"/>
      <name val="Calibri"/>
      <family val="2"/>
      <charset val="186"/>
    </font>
    <font>
      <sz val="10"/>
      <name val="Arial"/>
      <family val="2"/>
      <charset val="186"/>
    </font>
    <font>
      <sz val="10"/>
      <name val="Times New Roman"/>
      <family val="1"/>
      <charset val="186"/>
    </font>
    <font>
      <b/>
      <sz val="10"/>
      <name val="Times New Roman"/>
      <family val="1"/>
      <charset val="186"/>
    </font>
    <font>
      <sz val="10"/>
      <color rgb="FF000000"/>
      <name val="Times New Roman"/>
      <family val="1"/>
      <charset val="186"/>
    </font>
    <font>
      <b/>
      <sz val="11"/>
      <color theme="1"/>
      <name val="Calibri"/>
      <family val="2"/>
      <charset val="186"/>
      <scheme val="minor"/>
    </font>
    <font>
      <i/>
      <sz val="10"/>
      <color theme="1"/>
      <name val="Times New Roman"/>
      <family val="1"/>
      <charset val="186"/>
    </font>
    <font>
      <i/>
      <sz val="10"/>
      <color rgb="FF000000"/>
      <name val="Times New Roman"/>
      <family val="1"/>
      <charset val="186"/>
    </font>
    <font>
      <b/>
      <sz val="11"/>
      <name val="Times New Roman"/>
      <family val="1"/>
      <charset val="186"/>
    </font>
    <font>
      <sz val="11"/>
      <name val="Times New Roman"/>
      <family val="1"/>
      <charset val="186"/>
    </font>
    <font>
      <sz val="11"/>
      <color rgb="FFFF0000"/>
      <name val="Times New Roman"/>
      <family val="1"/>
    </font>
    <font>
      <sz val="11"/>
      <color rgb="FFFF0000"/>
      <name val="Times New Roman"/>
      <family val="1"/>
      <charset val="186"/>
    </font>
    <font>
      <sz val="11"/>
      <name val="Times New Roman"/>
      <family val="1"/>
    </font>
    <font>
      <sz val="11"/>
      <name val="Calibri"/>
      <family val="2"/>
      <charset val="186"/>
      <scheme val="minor"/>
    </font>
    <font>
      <b/>
      <sz val="11"/>
      <color rgb="FFFF0000"/>
      <name val="Times New Roman"/>
      <family val="1"/>
      <charset val="186"/>
    </font>
    <font>
      <sz val="11"/>
      <name val="Calibri"/>
      <family val="2"/>
      <scheme val="minor"/>
    </font>
    <font>
      <i/>
      <sz val="11"/>
      <color theme="1"/>
      <name val="Times New Roman"/>
      <family val="1"/>
      <charset val="186"/>
    </font>
    <font>
      <b/>
      <i/>
      <sz val="10"/>
      <color theme="1"/>
      <name val="Times New Roman"/>
      <family val="1"/>
      <charset val="186"/>
    </font>
    <font>
      <i/>
      <sz val="11"/>
      <name val="Times New Roman"/>
      <family val="1"/>
      <charset val="186"/>
    </font>
    <font>
      <b/>
      <sz val="12"/>
      <name val="Calibri"/>
      <family val="2"/>
      <scheme val="minor"/>
    </font>
    <font>
      <sz val="9"/>
      <color theme="1"/>
      <name val="Calibri"/>
      <family val="2"/>
      <charset val="186"/>
      <scheme val="minor"/>
    </font>
    <font>
      <b/>
      <sz val="9"/>
      <name val="Times New Roman"/>
      <family val="1"/>
      <charset val="186"/>
    </font>
    <font>
      <sz val="9"/>
      <name val="Times New Roman"/>
      <family val="1"/>
      <charset val="186"/>
    </font>
    <font>
      <sz val="11"/>
      <color theme="1"/>
      <name val="Times New Roman"/>
      <family val="1"/>
      <charset val="186"/>
    </font>
    <font>
      <sz val="9"/>
      <color theme="1"/>
      <name val="Times New Roman"/>
      <family val="1"/>
      <charset val="186"/>
    </font>
    <font>
      <i/>
      <sz val="9"/>
      <color theme="1"/>
      <name val="Times New Roman"/>
      <family val="1"/>
      <charset val="186"/>
    </font>
    <font>
      <b/>
      <sz val="9"/>
      <color theme="1"/>
      <name val="Times New Roman"/>
      <family val="1"/>
      <charset val="186"/>
    </font>
    <font>
      <sz val="9"/>
      <color rgb="FFFF0000"/>
      <name val="Times New Roman"/>
      <family val="1"/>
      <charset val="186"/>
    </font>
    <font>
      <i/>
      <sz val="9"/>
      <color rgb="FF0070C0"/>
      <name val="Times New Roman"/>
      <family val="1"/>
      <charset val="186"/>
    </font>
    <font>
      <b/>
      <u val="singleAccounting"/>
      <sz val="11"/>
      <name val="Times New Roman"/>
      <family val="1"/>
      <charset val="186"/>
    </font>
    <font>
      <u val="singleAccounting"/>
      <sz val="11"/>
      <name val="Times New Roman"/>
      <family val="1"/>
      <charset val="186"/>
    </font>
    <font>
      <u/>
      <sz val="9"/>
      <color theme="1"/>
      <name val="Times New Roman"/>
      <family val="1"/>
      <charset val="186"/>
    </font>
    <font>
      <b/>
      <u/>
      <sz val="9"/>
      <color theme="1"/>
      <name val="Times New Roman"/>
      <family val="1"/>
      <charset val="186"/>
    </font>
    <font>
      <b/>
      <u/>
      <sz val="9"/>
      <name val="Times New Roman"/>
      <family val="1"/>
      <charset val="186"/>
    </font>
    <font>
      <u/>
      <sz val="9"/>
      <name val="Times New Roman"/>
      <family val="1"/>
      <charset val="186"/>
    </font>
    <font>
      <b/>
      <u val="singleAccounting"/>
      <sz val="11"/>
      <name val="Times New Roman"/>
      <family val="1"/>
    </font>
    <font>
      <b/>
      <sz val="11"/>
      <name val="Times New Roman"/>
      <family val="1"/>
    </font>
    <font>
      <u val="singleAccounting"/>
      <sz val="10"/>
      <color theme="1"/>
      <name val="Times New Roman"/>
      <family val="1"/>
      <charset val="186"/>
    </font>
    <font>
      <sz val="14"/>
      <name val="Calibri"/>
      <family val="2"/>
      <charset val="186"/>
      <scheme val="minor"/>
    </font>
  </fonts>
  <fills count="1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rgb="FFFFFFFF"/>
        <bgColor rgb="FFF2F2F2"/>
      </patternFill>
    </fill>
    <fill>
      <patternFill patternType="solid">
        <fgColor theme="2" tint="-9.9978637043366805E-2"/>
        <bgColor indexed="64"/>
      </patternFill>
    </fill>
    <fill>
      <patternFill patternType="solid">
        <fgColor theme="4"/>
        <bgColor indexed="64"/>
      </patternFill>
    </fill>
    <fill>
      <patternFill patternType="solid">
        <fgColor rgb="FFFFFFFF"/>
        <bgColor rgb="FF000000"/>
      </patternFill>
    </fill>
    <fill>
      <patternFill patternType="solid">
        <fgColor theme="0"/>
        <b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43" fontId="2" fillId="0" borderId="0" applyFont="0" applyFill="0" applyBorder="0" applyAlignment="0" applyProtection="0"/>
    <xf numFmtId="0" fontId="12" fillId="0" borderId="0" applyNumberFormat="0" applyFill="0" applyBorder="0" applyProtection="0">
      <alignment vertical="top" wrapText="1"/>
    </xf>
    <xf numFmtId="0" fontId="18" fillId="0" borderId="0"/>
    <xf numFmtId="0" fontId="2" fillId="0" borderId="0"/>
    <xf numFmtId="0" fontId="19" fillId="0" borderId="0"/>
    <xf numFmtId="0" fontId="19" fillId="0" borderId="0"/>
    <xf numFmtId="9" fontId="2" fillId="0" borderId="0" applyFont="0" applyFill="0" applyBorder="0" applyAlignment="0" applyProtection="0"/>
  </cellStyleXfs>
  <cellXfs count="450">
    <xf numFmtId="0" fontId="0" fillId="0" borderId="0" xfId="0"/>
    <xf numFmtId="0" fontId="1" fillId="0" borderId="0" xfId="0" applyFont="1" applyAlignment="1">
      <alignment wrapText="1"/>
    </xf>
    <xf numFmtId="0" fontId="5" fillId="0" borderId="0" xfId="0" applyFont="1" applyAlignment="1">
      <alignment wrapText="1"/>
    </xf>
    <xf numFmtId="0" fontId="6" fillId="0" borderId="0" xfId="0" applyFont="1" applyBorder="1" applyAlignment="1">
      <alignment horizontal="left" vertical="center" wrapText="1"/>
    </xf>
    <xf numFmtId="0" fontId="5" fillId="0" borderId="0" xfId="0" applyFont="1" applyBorder="1" applyAlignment="1">
      <alignment wrapText="1"/>
    </xf>
    <xf numFmtId="0" fontId="6" fillId="0" borderId="0" xfId="0" applyFont="1" applyBorder="1" applyAlignment="1">
      <alignment horizontal="left" vertical="center" wrapText="1"/>
    </xf>
    <xf numFmtId="0" fontId="1" fillId="4" borderId="1" xfId="0" applyFont="1" applyFill="1" applyBorder="1" applyAlignment="1">
      <alignment wrapText="1"/>
    </xf>
    <xf numFmtId="0" fontId="1" fillId="3" borderId="1" xfId="0" applyFont="1" applyFill="1" applyBorder="1" applyAlignment="1">
      <alignment wrapText="1"/>
    </xf>
    <xf numFmtId="0" fontId="1" fillId="0" borderId="1" xfId="0" applyFont="1" applyFill="1" applyBorder="1" applyAlignment="1">
      <alignment wrapText="1"/>
    </xf>
    <xf numFmtId="0" fontId="4" fillId="4" borderId="1" xfId="0" applyFont="1" applyFill="1" applyBorder="1" applyAlignment="1">
      <alignment wrapText="1"/>
    </xf>
    <xf numFmtId="164" fontId="1" fillId="5" borderId="1" xfId="1" applyNumberFormat="1" applyFont="1" applyFill="1" applyBorder="1" applyAlignment="1">
      <alignment horizontal="center" vertical="top" wrapText="1"/>
    </xf>
    <xf numFmtId="0" fontId="1" fillId="5" borderId="1" xfId="0" applyFont="1" applyFill="1" applyBorder="1" applyAlignment="1">
      <alignment wrapText="1"/>
    </xf>
    <xf numFmtId="0" fontId="8" fillId="5" borderId="1" xfId="0" applyFont="1" applyFill="1" applyBorder="1" applyAlignment="1">
      <alignment horizontal="center" wrapText="1"/>
    </xf>
    <xf numFmtId="0" fontId="3" fillId="5" borderId="1" xfId="0" applyFont="1" applyFill="1" applyBorder="1" applyAlignment="1">
      <alignment vertical="center" wrapText="1"/>
    </xf>
    <xf numFmtId="0" fontId="8" fillId="5" borderId="1" xfId="0" applyFont="1" applyFill="1" applyBorder="1" applyAlignment="1">
      <alignment vertical="center" wrapText="1"/>
    </xf>
    <xf numFmtId="0" fontId="1" fillId="5" borderId="2" xfId="0" applyFont="1" applyFill="1" applyBorder="1" applyAlignment="1">
      <alignment horizontal="center" wrapText="1"/>
    </xf>
    <xf numFmtId="0" fontId="6" fillId="0" borderId="0" xfId="0" applyFont="1" applyBorder="1" applyAlignment="1">
      <alignment horizontal="left" vertical="center" wrapText="1"/>
    </xf>
    <xf numFmtId="0" fontId="3" fillId="5" borderId="1" xfId="0" applyFont="1" applyFill="1" applyBorder="1" applyAlignment="1">
      <alignmen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 fillId="4" borderId="0" xfId="0" applyFont="1" applyFill="1" applyBorder="1" applyAlignment="1">
      <alignment wrapText="1"/>
    </xf>
    <xf numFmtId="0" fontId="3" fillId="4" borderId="0" xfId="0" applyFont="1" applyFill="1" applyBorder="1" applyAlignment="1">
      <alignment wrapText="1"/>
    </xf>
    <xf numFmtId="0" fontId="4" fillId="4" borderId="0" xfId="0" applyFont="1" applyFill="1" applyBorder="1" applyAlignment="1">
      <alignment wrapText="1"/>
    </xf>
    <xf numFmtId="0" fontId="1" fillId="4" borderId="0" xfId="0" applyFont="1" applyFill="1" applyBorder="1" applyAlignment="1">
      <alignment horizontal="center" wrapText="1"/>
    </xf>
    <xf numFmtId="0" fontId="3" fillId="4" borderId="0" xfId="0" applyFont="1" applyFill="1" applyBorder="1" applyAlignment="1">
      <alignment horizontal="center" vertical="top" wrapText="1"/>
    </xf>
    <xf numFmtId="164" fontId="1" fillId="4" borderId="0" xfId="1" applyNumberFormat="1" applyFont="1" applyFill="1" applyBorder="1" applyAlignment="1">
      <alignment horizontal="center" vertical="top" wrapText="1"/>
    </xf>
    <xf numFmtId="0" fontId="8" fillId="4" borderId="0" xfId="0" applyFont="1" applyFill="1" applyBorder="1" applyAlignment="1">
      <alignment horizontal="center" wrapText="1"/>
    </xf>
    <xf numFmtId="0" fontId="3" fillId="4" borderId="0" xfId="0" applyFont="1" applyFill="1" applyBorder="1" applyAlignment="1">
      <alignment vertical="center" wrapText="1"/>
    </xf>
    <xf numFmtId="0" fontId="8"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Alignment="1">
      <alignment wrapText="1"/>
    </xf>
    <xf numFmtId="0" fontId="1" fillId="5" borderId="3" xfId="0" applyFont="1" applyFill="1" applyBorder="1" applyAlignment="1">
      <alignment wrapText="1"/>
    </xf>
    <xf numFmtId="0" fontId="1" fillId="4" borderId="0" xfId="0" applyFont="1" applyFill="1" applyAlignment="1">
      <alignment wrapText="1"/>
    </xf>
    <xf numFmtId="0" fontId="1" fillId="6" borderId="4" xfId="0" applyFont="1" applyFill="1" applyBorder="1" applyAlignment="1">
      <alignment horizontal="center" wrapText="1"/>
    </xf>
    <xf numFmtId="0" fontId="10" fillId="0" borderId="0" xfId="0" applyFont="1"/>
    <xf numFmtId="0" fontId="11" fillId="0" borderId="0" xfId="0" applyFont="1"/>
    <xf numFmtId="0" fontId="10" fillId="0" borderId="1" xfId="0" applyFont="1" applyBorder="1" applyAlignment="1">
      <alignment horizontal="left" vertical="center" wrapText="1"/>
    </xf>
    <xf numFmtId="0" fontId="13" fillId="4" borderId="1" xfId="2" applyNumberFormat="1" applyFont="1" applyFill="1" applyBorder="1" applyAlignment="1">
      <alignment horizontal="center" vertical="top" wrapText="1"/>
    </xf>
    <xf numFmtId="0" fontId="14" fillId="4" borderId="1" xfId="2" applyNumberFormat="1"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10" fillId="0" borderId="3" xfId="0" applyFont="1" applyBorder="1" applyAlignment="1">
      <alignment wrapText="1"/>
    </xf>
    <xf numFmtId="0" fontId="7" fillId="0" borderId="0" xfId="0" applyFont="1" applyBorder="1" applyAlignment="1">
      <alignment vertical="center" wrapText="1"/>
    </xf>
    <xf numFmtId="0" fontId="16" fillId="0" borderId="0" xfId="0" applyFont="1"/>
    <xf numFmtId="0" fontId="14" fillId="7" borderId="6" xfId="0" applyNumberFormat="1" applyFont="1" applyFill="1" applyBorder="1" applyAlignment="1">
      <alignment horizontal="center" vertical="center"/>
    </xf>
    <xf numFmtId="0" fontId="14" fillId="7" borderId="0" xfId="0" applyNumberFormat="1"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14" fillId="7" borderId="0" xfId="0" applyNumberFormat="1" applyFont="1" applyFill="1" applyBorder="1" applyAlignment="1">
      <alignment horizontal="right" vertical="center" wrapText="1"/>
    </xf>
    <xf numFmtId="49" fontId="14" fillId="7" borderId="6" xfId="0" applyNumberFormat="1" applyFont="1" applyFill="1" applyBorder="1" applyAlignment="1">
      <alignment horizontal="left" vertical="center" wrapText="1"/>
    </xf>
    <xf numFmtId="0" fontId="13" fillId="7" borderId="1" xfId="0" applyNumberFormat="1" applyFont="1" applyFill="1" applyBorder="1" applyAlignment="1">
      <alignment horizontal="center" vertical="center"/>
    </xf>
    <xf numFmtId="0" fontId="18" fillId="0" borderId="0" xfId="3" applyAlignment="1">
      <alignment wrapText="1"/>
    </xf>
    <xf numFmtId="0" fontId="18" fillId="0" borderId="0" xfId="3"/>
    <xf numFmtId="0" fontId="18" fillId="0" borderId="0" xfId="3" applyFont="1" applyAlignment="1">
      <alignment wrapText="1"/>
    </xf>
    <xf numFmtId="0" fontId="10" fillId="0" borderId="1" xfId="0" applyFont="1" applyBorder="1" applyAlignment="1">
      <alignment horizontal="center"/>
    </xf>
    <xf numFmtId="0" fontId="1" fillId="8" borderId="1" xfId="0" applyFont="1" applyFill="1" applyBorder="1" applyAlignment="1">
      <alignment wrapText="1"/>
    </xf>
    <xf numFmtId="0" fontId="4" fillId="8" borderId="1" xfId="0" applyFont="1" applyFill="1" applyBorder="1" applyAlignment="1">
      <alignment wrapText="1"/>
    </xf>
    <xf numFmtId="0" fontId="1" fillId="11" borderId="1" xfId="0" applyFont="1" applyFill="1" applyBorder="1" applyAlignment="1">
      <alignment wrapText="1"/>
    </xf>
    <xf numFmtId="0" fontId="20" fillId="4" borderId="0" xfId="6" applyFont="1" applyFill="1" applyAlignment="1">
      <alignment vertical="center"/>
    </xf>
    <xf numFmtId="0" fontId="22" fillId="12" borderId="1" xfId="0" applyFont="1" applyFill="1" applyBorder="1" applyAlignment="1">
      <alignment horizontal="center" vertical="center" wrapText="1"/>
    </xf>
    <xf numFmtId="0" fontId="20" fillId="4" borderId="1" xfId="6" applyFont="1" applyFill="1" applyBorder="1" applyAlignment="1">
      <alignment horizontal="center" vertical="center"/>
    </xf>
    <xf numFmtId="0" fontId="20" fillId="4" borderId="1" xfId="6" applyFont="1" applyFill="1" applyBorder="1" applyAlignment="1">
      <alignment horizontal="center" vertical="center" wrapText="1"/>
    </xf>
    <xf numFmtId="3" fontId="20" fillId="4" borderId="1" xfId="6" applyNumberFormat="1" applyFont="1" applyFill="1" applyBorder="1" applyAlignment="1">
      <alignment horizontal="center" vertical="center" wrapText="1"/>
    </xf>
    <xf numFmtId="165" fontId="20" fillId="4" borderId="1" xfId="6" applyNumberFormat="1" applyFont="1" applyFill="1" applyBorder="1" applyAlignment="1">
      <alignment horizontal="center" vertical="center" wrapText="1"/>
    </xf>
    <xf numFmtId="3" fontId="20" fillId="0" borderId="1" xfId="6" applyNumberFormat="1" applyFont="1" applyBorder="1" applyAlignment="1">
      <alignment horizontal="center" vertical="center"/>
    </xf>
    <xf numFmtId="3" fontId="20" fillId="4" borderId="1" xfId="6" applyNumberFormat="1" applyFont="1" applyFill="1" applyBorder="1" applyAlignment="1">
      <alignment horizontal="center" vertical="center"/>
    </xf>
    <xf numFmtId="165" fontId="20" fillId="4" borderId="1" xfId="6"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0" fillId="0" borderId="1" xfId="6" applyFont="1" applyBorder="1" applyAlignment="1">
      <alignment horizontal="center"/>
    </xf>
    <xf numFmtId="3" fontId="20" fillId="0" borderId="1" xfId="6" applyNumberFormat="1" applyFont="1" applyBorder="1" applyAlignment="1">
      <alignment horizontal="center"/>
    </xf>
    <xf numFmtId="3" fontId="10"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0" fontId="22" fillId="0" borderId="0" xfId="3" applyFont="1" applyAlignment="1">
      <alignment wrapText="1"/>
    </xf>
    <xf numFmtId="0" fontId="14" fillId="7" borderId="5" xfId="0" applyNumberFormat="1" applyFont="1" applyFill="1" applyBorder="1" applyAlignment="1">
      <alignment horizontal="center" vertical="center" wrapText="1"/>
    </xf>
    <xf numFmtId="49" fontId="14" fillId="7" borderId="5" xfId="0" applyNumberFormat="1" applyFont="1" applyFill="1" applyBorder="1" applyAlignment="1">
      <alignment horizontal="center" vertical="center" wrapText="1"/>
    </xf>
    <xf numFmtId="49" fontId="14" fillId="0" borderId="5" xfId="0" applyNumberFormat="1" applyFont="1" applyBorder="1" applyAlignment="1">
      <alignment horizontal="center" vertical="top" wrapText="1"/>
    </xf>
    <xf numFmtId="0" fontId="14" fillId="0" borderId="5" xfId="0" applyNumberFormat="1" applyFont="1" applyBorder="1" applyAlignment="1">
      <alignment horizontal="center" vertical="top" wrapText="1"/>
    </xf>
    <xf numFmtId="49" fontId="14" fillId="7" borderId="5" xfId="0" applyNumberFormat="1" applyFont="1" applyFill="1" applyBorder="1" applyAlignment="1">
      <alignment horizontal="left" vertical="center" wrapText="1"/>
    </xf>
    <xf numFmtId="0" fontId="14" fillId="7" borderId="6" xfId="0" applyNumberFormat="1" applyFont="1" applyFill="1" applyBorder="1" applyAlignment="1">
      <alignment horizontal="center" vertical="center" wrapText="1"/>
    </xf>
    <xf numFmtId="49" fontId="14" fillId="7" borderId="10"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49" fontId="14" fillId="7" borderId="11" xfId="0" applyNumberFormat="1" applyFont="1" applyFill="1" applyBorder="1" applyAlignment="1">
      <alignment horizontal="left" vertical="center" wrapText="1"/>
    </xf>
    <xf numFmtId="0" fontId="14" fillId="7" borderId="13" xfId="0" applyNumberFormat="1" applyFont="1" applyFill="1" applyBorder="1" applyAlignment="1">
      <alignment horizontal="center" vertical="center" wrapText="1"/>
    </xf>
    <xf numFmtId="49" fontId="14" fillId="7" borderId="5" xfId="0" applyNumberFormat="1" applyFont="1" applyFill="1" applyBorder="1" applyAlignment="1">
      <alignment horizontal="left" wrapText="1"/>
    </xf>
    <xf numFmtId="49" fontId="14" fillId="7" borderId="5" xfId="0" applyNumberFormat="1" applyFont="1" applyFill="1" applyBorder="1" applyAlignment="1">
      <alignment horizontal="center"/>
    </xf>
    <xf numFmtId="0" fontId="14" fillId="7" borderId="5" xfId="0" applyNumberFormat="1" applyFont="1" applyFill="1" applyBorder="1" applyAlignment="1">
      <alignment horizontal="center" wrapText="1"/>
    </xf>
    <xf numFmtId="49" fontId="14" fillId="0" borderId="5" xfId="0" applyNumberFormat="1" applyFont="1" applyBorder="1" applyAlignment="1">
      <alignment horizontal="left" vertical="center" wrapText="1"/>
    </xf>
    <xf numFmtId="0" fontId="23" fillId="0" borderId="0" xfId="0" applyFont="1"/>
    <xf numFmtId="3" fontId="14" fillId="7"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1" fillId="10" borderId="1" xfId="0" applyFont="1" applyFill="1" applyBorder="1"/>
    <xf numFmtId="3" fontId="11" fillId="10" borderId="1" xfId="0" applyNumberFormat="1" applyFont="1" applyFill="1" applyBorder="1"/>
    <xf numFmtId="0" fontId="10" fillId="4" borderId="0" xfId="0" applyFont="1" applyFill="1" applyAlignment="1">
      <alignment wrapText="1"/>
    </xf>
    <xf numFmtId="0" fontId="10" fillId="0" borderId="0" xfId="0" quotePrefix="1" applyFont="1"/>
    <xf numFmtId="0" fontId="11" fillId="4" borderId="1" xfId="0" applyFont="1" applyFill="1" applyBorder="1" applyAlignment="1">
      <alignment horizontal="left" vertical="center" wrapText="1"/>
    </xf>
    <xf numFmtId="3" fontId="11" fillId="4" borderId="1" xfId="0" applyNumberFormat="1" applyFont="1" applyFill="1" applyBorder="1" applyAlignment="1">
      <alignment horizontal="center" vertical="center"/>
    </xf>
    <xf numFmtId="49" fontId="14" fillId="4" borderId="1" xfId="2" applyNumberFormat="1" applyFont="1" applyFill="1" applyBorder="1" applyAlignment="1">
      <alignment vertical="top" wrapText="1"/>
    </xf>
    <xf numFmtId="0" fontId="11" fillId="10" borderId="8" xfId="0" applyFont="1" applyFill="1" applyBorder="1" applyAlignment="1"/>
    <xf numFmtId="0" fontId="11" fillId="10" borderId="12" xfId="0" applyFont="1" applyFill="1" applyBorder="1" applyAlignment="1"/>
    <xf numFmtId="0" fontId="11" fillId="10" borderId="9" xfId="0" applyFont="1" applyFill="1" applyBorder="1" applyAlignment="1"/>
    <xf numFmtId="0" fontId="0" fillId="0" borderId="0" xfId="0" applyAlignment="1">
      <alignment horizontal="right"/>
    </xf>
    <xf numFmtId="0" fontId="6" fillId="0" borderId="0" xfId="0" applyFont="1" applyBorder="1" applyAlignment="1">
      <alignment horizontal="left" vertical="center" wrapText="1"/>
    </xf>
    <xf numFmtId="0" fontId="10" fillId="0" borderId="1" xfId="0" applyFont="1" applyBorder="1" applyAlignment="1">
      <alignment horizontal="center" vertical="center" wrapText="1"/>
    </xf>
    <xf numFmtId="3"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6" fillId="4" borderId="0" xfId="0" applyFont="1" applyFill="1"/>
    <xf numFmtId="0" fontId="10" fillId="4" borderId="1" xfId="0" applyFont="1" applyFill="1" applyBorder="1" applyAlignment="1">
      <alignment horizontal="center"/>
    </xf>
    <xf numFmtId="0" fontId="10" fillId="0" borderId="0" xfId="0" applyFont="1" applyBorder="1"/>
    <xf numFmtId="0" fontId="10" fillId="4" borderId="0" xfId="0" applyFont="1" applyFill="1" applyBorder="1"/>
    <xf numFmtId="0" fontId="11" fillId="4" borderId="1" xfId="0" applyFont="1" applyFill="1" applyBorder="1" applyAlignment="1">
      <alignment horizontal="center" vertical="center"/>
    </xf>
    <xf numFmtId="0" fontId="6" fillId="0" borderId="0" xfId="0" applyFont="1" applyBorder="1" applyAlignment="1">
      <alignment horizontal="left" vertical="center" wrapText="1"/>
    </xf>
    <xf numFmtId="0" fontId="10" fillId="0" borderId="1" xfId="0" applyFont="1" applyBorder="1" applyAlignment="1">
      <alignment horizontal="center"/>
    </xf>
    <xf numFmtId="0" fontId="10" fillId="0" borderId="0" xfId="0" applyFont="1" applyAlignment="1">
      <alignment horizontal="left"/>
    </xf>
    <xf numFmtId="0" fontId="14" fillId="4" borderId="5" xfId="0" applyFont="1" applyFill="1" applyBorder="1" applyAlignment="1">
      <alignment horizontal="center" vertical="center" wrapText="1"/>
    </xf>
    <xf numFmtId="0" fontId="14" fillId="4" borderId="5" xfId="0" applyNumberFormat="1" applyFont="1" applyFill="1" applyBorder="1" applyAlignment="1">
      <alignment horizontal="center" vertical="center" wrapText="1"/>
    </xf>
    <xf numFmtId="49" fontId="14" fillId="4" borderId="5" xfId="0" applyNumberFormat="1" applyFont="1" applyFill="1" applyBorder="1" applyAlignment="1">
      <alignment vertical="center" wrapText="1"/>
    </xf>
    <xf numFmtId="3" fontId="14" fillId="4" borderId="5" xfId="0" applyNumberFormat="1" applyFont="1" applyFill="1" applyBorder="1" applyAlignment="1">
      <alignment horizontal="center" vertical="center" wrapText="1"/>
    </xf>
    <xf numFmtId="3" fontId="14" fillId="4" borderId="5" xfId="0" applyNumberFormat="1" applyFont="1" applyFill="1" applyBorder="1" applyAlignment="1">
      <alignment horizontal="center"/>
    </xf>
    <xf numFmtId="49" fontId="14" fillId="4" borderId="5" xfId="0" applyNumberFormat="1" applyFont="1" applyFill="1" applyBorder="1" applyAlignment="1">
      <alignment horizontal="center" vertical="top" wrapText="1"/>
    </xf>
    <xf numFmtId="0" fontId="14" fillId="4" borderId="5" xfId="0" applyNumberFormat="1" applyFont="1" applyFill="1" applyBorder="1" applyAlignment="1">
      <alignment horizontal="center" vertical="top" wrapText="1"/>
    </xf>
    <xf numFmtId="49" fontId="14" fillId="4" borderId="6" xfId="0" applyNumberFormat="1" applyFont="1" applyFill="1" applyBorder="1" applyAlignment="1">
      <alignment horizontal="center" vertical="top" wrapText="1"/>
    </xf>
    <xf numFmtId="0" fontId="14" fillId="4" borderId="6" xfId="0" applyNumberFormat="1" applyFont="1" applyFill="1" applyBorder="1" applyAlignment="1">
      <alignment horizontal="center" vertical="top" wrapText="1"/>
    </xf>
    <xf numFmtId="49" fontId="14" fillId="4" borderId="6" xfId="0" applyNumberFormat="1" applyFont="1" applyFill="1" applyBorder="1" applyAlignment="1">
      <alignment horizontal="left" vertical="center" wrapText="1"/>
    </xf>
    <xf numFmtId="3" fontId="14" fillId="4" borderId="6" xfId="0" applyNumberFormat="1" applyFont="1" applyFill="1" applyBorder="1" applyAlignment="1">
      <alignment horizontal="center" vertical="center" wrapText="1"/>
    </xf>
    <xf numFmtId="49" fontId="14" fillId="4" borderId="5" xfId="0" applyNumberFormat="1" applyFont="1" applyFill="1" applyBorder="1" applyAlignment="1">
      <alignment horizontal="left" vertical="center" wrapText="1"/>
    </xf>
    <xf numFmtId="0" fontId="14" fillId="4" borderId="5" xfId="0" applyFont="1" applyFill="1" applyBorder="1" applyAlignment="1">
      <alignment horizontal="center" vertical="center"/>
    </xf>
    <xf numFmtId="0" fontId="14" fillId="4" borderId="5" xfId="0" applyNumberFormat="1" applyFont="1" applyFill="1" applyBorder="1" applyAlignment="1">
      <alignment horizontal="center" vertical="center"/>
    </xf>
    <xf numFmtId="49" fontId="14" fillId="4" borderId="5" xfId="0" applyNumberFormat="1" applyFont="1" applyFill="1" applyBorder="1" applyAlignment="1">
      <alignment horizontal="center" vertical="center" wrapText="1"/>
    </xf>
    <xf numFmtId="3" fontId="13" fillId="4" borderId="1" xfId="0" applyNumberFormat="1" applyFont="1" applyFill="1" applyBorder="1" applyAlignment="1">
      <alignment horizontal="center"/>
    </xf>
    <xf numFmtId="49" fontId="14" fillId="4" borderId="0" xfId="0" applyNumberFormat="1" applyFont="1" applyFill="1" applyBorder="1" applyAlignment="1">
      <alignment horizontal="left" vertical="top" wrapText="1"/>
    </xf>
    <xf numFmtId="3" fontId="13" fillId="4" borderId="0" xfId="0" applyNumberFormat="1" applyFont="1" applyFill="1" applyBorder="1" applyAlignment="1">
      <alignment horizontal="center"/>
    </xf>
    <xf numFmtId="0" fontId="22" fillId="4" borderId="1" xfId="3" applyFont="1" applyFill="1" applyBorder="1" applyAlignment="1">
      <alignment horizontal="left" vertical="center" wrapText="1"/>
    </xf>
    <xf numFmtId="1" fontId="15" fillId="0" borderId="1" xfId="3" applyNumberFormat="1" applyFont="1" applyBorder="1" applyAlignment="1">
      <alignment horizontal="center" wrapText="1"/>
    </xf>
    <xf numFmtId="0" fontId="10" fillId="4" borderId="1" xfId="0" applyFont="1" applyFill="1" applyBorder="1" applyAlignment="1">
      <alignment horizontal="left" vertical="center" wrapText="1"/>
    </xf>
    <xf numFmtId="0" fontId="10" fillId="4" borderId="1" xfId="0" applyFont="1" applyFill="1" applyBorder="1" applyAlignment="1"/>
    <xf numFmtId="0" fontId="16" fillId="4" borderId="0" xfId="0" applyFont="1" applyFill="1" applyBorder="1"/>
    <xf numFmtId="0" fontId="22" fillId="0" borderId="8" xfId="0" applyFont="1" applyBorder="1"/>
    <xf numFmtId="0" fontId="22" fillId="0" borderId="9" xfId="0" applyFont="1" applyBorder="1"/>
    <xf numFmtId="0" fontId="6" fillId="4" borderId="0" xfId="0" applyFont="1" applyFill="1" applyBorder="1" applyAlignment="1">
      <alignment vertical="center" wrapText="1"/>
    </xf>
    <xf numFmtId="0" fontId="6" fillId="0" borderId="0" xfId="0" applyFont="1" applyBorder="1" applyAlignment="1">
      <alignment horizontal="right" vertical="center" wrapText="1"/>
    </xf>
    <xf numFmtId="0" fontId="6" fillId="4" borderId="0" xfId="0" applyFont="1" applyFill="1" applyBorder="1" applyAlignment="1">
      <alignment horizontal="left" vertical="center" wrapText="1"/>
    </xf>
    <xf numFmtId="0" fontId="26" fillId="2" borderId="1" xfId="0" applyFont="1" applyFill="1" applyBorder="1" applyAlignment="1">
      <alignment horizontal="center" vertical="top" wrapText="1"/>
    </xf>
    <xf numFmtId="0" fontId="26" fillId="0" borderId="1" xfId="0" applyFont="1" applyBorder="1" applyAlignment="1">
      <alignment horizontal="center" vertical="top" wrapText="1"/>
    </xf>
    <xf numFmtId="0" fontId="26" fillId="5" borderId="1" xfId="0" applyFont="1" applyFill="1" applyBorder="1" applyAlignment="1">
      <alignment vertical="top" wrapText="1"/>
    </xf>
    <xf numFmtId="0" fontId="27" fillId="5" borderId="1" xfId="0" applyFont="1" applyFill="1" applyBorder="1" applyAlignment="1">
      <alignment horizontal="center" vertical="top" wrapText="1"/>
    </xf>
    <xf numFmtId="164" fontId="27" fillId="5" borderId="1" xfId="1" applyNumberFormat="1" applyFont="1" applyFill="1" applyBorder="1" applyAlignment="1">
      <alignment horizontal="center" vertical="top" wrapText="1"/>
    </xf>
    <xf numFmtId="164" fontId="26" fillId="5" borderId="1" xfId="1" applyNumberFormat="1" applyFont="1" applyFill="1" applyBorder="1" applyAlignment="1">
      <alignment horizontal="center" vertical="top" wrapText="1"/>
    </xf>
    <xf numFmtId="0" fontId="27" fillId="3" borderId="1" xfId="0" applyFont="1" applyFill="1" applyBorder="1" applyAlignment="1">
      <alignment wrapText="1"/>
    </xf>
    <xf numFmtId="0" fontId="27" fillId="3" borderId="1" xfId="0" applyFont="1" applyFill="1" applyBorder="1" applyAlignment="1">
      <alignment horizontal="center" vertical="top" wrapText="1"/>
    </xf>
    <xf numFmtId="164" fontId="26" fillId="3" borderId="1" xfId="1" applyNumberFormat="1" applyFont="1" applyFill="1" applyBorder="1" applyAlignment="1">
      <alignment horizontal="center" vertical="top" wrapText="1"/>
    </xf>
    <xf numFmtId="0" fontId="27" fillId="5" borderId="1" xfId="0" applyFont="1" applyFill="1" applyBorder="1" applyAlignment="1">
      <alignment horizontal="left" wrapText="1"/>
    </xf>
    <xf numFmtId="0" fontId="28" fillId="0" borderId="1" xfId="0" applyFont="1" applyFill="1" applyBorder="1" applyAlignment="1">
      <alignment horizontal="center" vertical="top" wrapText="1"/>
    </xf>
    <xf numFmtId="0" fontId="27" fillId="4" borderId="1" xfId="0" applyFont="1" applyFill="1" applyBorder="1" applyAlignment="1">
      <alignment horizontal="left" vertical="top" wrapText="1"/>
    </xf>
    <xf numFmtId="0" fontId="27" fillId="4" borderId="1" xfId="0" applyFont="1" applyFill="1" applyBorder="1" applyAlignment="1">
      <alignment wrapText="1"/>
    </xf>
    <xf numFmtId="164" fontId="27" fillId="4" borderId="1" xfId="1" applyNumberFormat="1" applyFont="1" applyFill="1" applyBorder="1" applyAlignment="1">
      <alignment horizontal="center" vertical="top" wrapText="1"/>
    </xf>
    <xf numFmtId="0" fontId="29" fillId="0" borderId="1" xfId="0" applyFont="1" applyFill="1" applyBorder="1" applyAlignment="1">
      <alignment horizontal="center" vertical="top" wrapText="1"/>
    </xf>
    <xf numFmtId="0" fontId="27" fillId="0" borderId="1" xfId="0" applyFont="1" applyFill="1" applyBorder="1" applyAlignment="1">
      <alignment horizontal="center" vertical="top" wrapText="1"/>
    </xf>
    <xf numFmtId="0" fontId="30" fillId="4" borderId="1" xfId="0" applyFont="1" applyFill="1" applyBorder="1" applyAlignment="1">
      <alignment horizontal="left" vertical="top" wrapText="1"/>
    </xf>
    <xf numFmtId="0" fontId="30" fillId="0" borderId="1" xfId="0" applyFont="1" applyBorder="1" applyAlignment="1">
      <alignment horizontal="right" vertical="top" wrapText="1"/>
    </xf>
    <xf numFmtId="164" fontId="27" fillId="0" borderId="1" xfId="1" applyNumberFormat="1" applyFont="1" applyFill="1" applyBorder="1" applyAlignment="1">
      <alignment horizontal="center" vertical="top" wrapText="1"/>
    </xf>
    <xf numFmtId="0" fontId="30" fillId="0" borderId="1" xfId="0" applyFont="1" applyBorder="1" applyAlignment="1">
      <alignment horizontal="right" vertical="center" wrapText="1"/>
    </xf>
    <xf numFmtId="49" fontId="9" fillId="4" borderId="1" xfId="2" applyNumberFormat="1" applyFont="1" applyFill="1" applyBorder="1" applyAlignment="1">
      <alignment horizontal="right" vertical="top" wrapText="1"/>
    </xf>
    <xf numFmtId="0" fontId="30" fillId="0" borderId="1" xfId="0" applyFont="1" applyBorder="1" applyAlignment="1">
      <alignment horizontal="right" wrapText="1"/>
    </xf>
    <xf numFmtId="0" fontId="31" fillId="4" borderId="1" xfId="0" applyFont="1" applyFill="1" applyBorder="1" applyAlignment="1">
      <alignment wrapText="1"/>
    </xf>
    <xf numFmtId="164" fontId="28" fillId="4" borderId="1" xfId="1" applyNumberFormat="1" applyFont="1" applyFill="1" applyBorder="1" applyAlignment="1">
      <alignment horizontal="center" vertical="top" wrapText="1"/>
    </xf>
    <xf numFmtId="0" fontId="31" fillId="4" borderId="0" xfId="0" applyFont="1" applyFill="1" applyAlignment="1">
      <alignment wrapText="1"/>
    </xf>
    <xf numFmtId="0" fontId="30" fillId="0" borderId="1" xfId="0" applyFont="1" applyBorder="1" applyAlignment="1">
      <alignment horizontal="left" vertical="top" wrapText="1"/>
    </xf>
    <xf numFmtId="0" fontId="28" fillId="5" borderId="1" xfId="0" applyFont="1" applyFill="1" applyBorder="1" applyAlignment="1">
      <alignment horizontal="center" vertical="top"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left" vertical="top" wrapText="1"/>
    </xf>
    <xf numFmtId="0" fontId="26" fillId="5" borderId="1" xfId="0" applyFont="1" applyFill="1" applyBorder="1" applyAlignment="1">
      <alignment horizontal="justify" vertical="top" wrapText="1"/>
    </xf>
    <xf numFmtId="164" fontId="26" fillId="5" borderId="1" xfId="1" applyNumberFormat="1" applyFont="1" applyFill="1" applyBorder="1" applyAlignment="1">
      <alignment horizontal="justify" vertical="top" wrapText="1"/>
    </xf>
    <xf numFmtId="0" fontId="30" fillId="5" borderId="0" xfId="0" applyFont="1" applyFill="1" applyBorder="1" applyAlignment="1">
      <alignment horizontal="left" vertical="center" wrapText="1"/>
    </xf>
    <xf numFmtId="0" fontId="27" fillId="5" borderId="1" xfId="0" applyFont="1" applyFill="1" applyBorder="1" applyAlignment="1">
      <alignment horizontal="justify" vertical="top" wrapText="1"/>
    </xf>
    <xf numFmtId="0" fontId="30" fillId="2" borderId="1" xfId="0" applyFont="1" applyFill="1" applyBorder="1" applyAlignment="1">
      <alignment horizontal="left" vertical="top" wrapText="1"/>
    </xf>
    <xf numFmtId="0" fontId="27" fillId="4" borderId="1" xfId="0" applyFont="1" applyFill="1" applyBorder="1" applyAlignment="1">
      <alignment horizontal="justify" vertical="top" wrapText="1"/>
    </xf>
    <xf numFmtId="164" fontId="27" fillId="4" borderId="1" xfId="1" applyNumberFormat="1" applyFont="1" applyFill="1" applyBorder="1" applyAlignment="1">
      <alignment horizontal="justify" vertical="top" wrapText="1"/>
    </xf>
    <xf numFmtId="0" fontId="30" fillId="2" borderId="1" xfId="0" applyFont="1" applyFill="1" applyBorder="1" applyAlignment="1">
      <alignment vertical="top" wrapText="1"/>
    </xf>
    <xf numFmtId="0" fontId="29" fillId="0" borderId="1" xfId="0" applyFont="1" applyFill="1" applyBorder="1" applyAlignment="1">
      <alignment horizontal="center" vertical="top" wrapText="1"/>
    </xf>
    <xf numFmtId="0" fontId="30" fillId="0" borderId="1" xfId="0" applyFont="1" applyBorder="1" applyAlignment="1">
      <alignment vertical="top" wrapText="1"/>
    </xf>
    <xf numFmtId="0" fontId="32" fillId="5" borderId="1" xfId="0" applyFont="1" applyFill="1" applyBorder="1" applyAlignment="1">
      <alignment horizontal="left" vertical="top" wrapText="1"/>
    </xf>
    <xf numFmtId="164" fontId="27" fillId="0" borderId="1" xfId="1" applyNumberFormat="1" applyFont="1" applyFill="1" applyBorder="1" applyAlignment="1">
      <alignment vertical="top" wrapText="1"/>
    </xf>
    <xf numFmtId="164" fontId="27" fillId="4" borderId="1" xfId="1" applyNumberFormat="1" applyFont="1" applyFill="1" applyBorder="1" applyAlignment="1">
      <alignment vertical="top" wrapText="1"/>
    </xf>
    <xf numFmtId="0" fontId="32" fillId="0" borderId="1" xfId="0" applyFont="1" applyFill="1" applyBorder="1" applyAlignment="1">
      <alignment horizontal="center" vertical="top" wrapText="1"/>
    </xf>
    <xf numFmtId="0" fontId="26" fillId="5" borderId="1" xfId="0" applyFont="1" applyFill="1" applyBorder="1" applyAlignment="1">
      <alignment horizontal="center" vertical="top" wrapText="1"/>
    </xf>
    <xf numFmtId="0" fontId="32" fillId="5" borderId="1" xfId="0" applyFont="1" applyFill="1" applyBorder="1" applyAlignment="1">
      <alignment horizontal="center" vertical="top" wrapText="1"/>
    </xf>
    <xf numFmtId="0" fontId="27" fillId="4" borderId="1" xfId="0" applyFont="1" applyFill="1" applyBorder="1" applyAlignment="1">
      <alignment horizontal="center" vertical="top" wrapText="1"/>
    </xf>
    <xf numFmtId="0" fontId="30" fillId="4" borderId="1" xfId="0" applyFont="1" applyFill="1" applyBorder="1" applyAlignment="1">
      <alignment vertical="top" wrapText="1"/>
    </xf>
    <xf numFmtId="0" fontId="32" fillId="5" borderId="1" xfId="0" applyFont="1" applyFill="1" applyBorder="1" applyAlignment="1">
      <alignment horizontal="center" vertical="center" wrapText="1"/>
    </xf>
    <xf numFmtId="0" fontId="26" fillId="5" borderId="1" xfId="0" applyFont="1" applyFill="1" applyBorder="1" applyAlignment="1">
      <alignment vertical="center" wrapText="1"/>
    </xf>
    <xf numFmtId="164" fontId="26" fillId="5" borderId="1" xfId="1" applyNumberFormat="1" applyFont="1" applyFill="1" applyBorder="1" applyAlignment="1">
      <alignment horizontal="center" vertical="center" wrapText="1"/>
    </xf>
    <xf numFmtId="164" fontId="27" fillId="5" borderId="1" xfId="1" applyNumberFormat="1" applyFont="1" applyFill="1" applyBorder="1" applyAlignment="1">
      <alignment horizontal="center" vertical="center" wrapText="1"/>
    </xf>
    <xf numFmtId="0" fontId="27" fillId="4"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30" fillId="5" borderId="1" xfId="0" applyFont="1" applyFill="1" applyBorder="1" applyAlignment="1">
      <alignment horizontal="left" vertical="top" wrapText="1"/>
    </xf>
    <xf numFmtId="0" fontId="30" fillId="2" borderId="1" xfId="0" applyFont="1" applyFill="1" applyBorder="1" applyAlignment="1">
      <alignment horizontal="justify" vertical="top" wrapText="1"/>
    </xf>
    <xf numFmtId="0" fontId="30" fillId="5" borderId="1" xfId="0" applyFont="1" applyFill="1" applyBorder="1" applyAlignment="1">
      <alignment vertical="center" wrapText="1"/>
    </xf>
    <xf numFmtId="0" fontId="27" fillId="5" borderId="1" xfId="0" applyFont="1" applyFill="1" applyBorder="1" applyAlignment="1">
      <alignment vertical="center" wrapText="1"/>
    </xf>
    <xf numFmtId="164" fontId="26" fillId="5" borderId="1" xfId="1" applyNumberFormat="1" applyFont="1" applyFill="1" applyBorder="1" applyAlignment="1">
      <alignment vertical="center" wrapText="1"/>
    </xf>
    <xf numFmtId="164" fontId="26" fillId="5" borderId="1" xfId="1" applyNumberFormat="1" applyFont="1" applyFill="1" applyBorder="1" applyAlignment="1">
      <alignment horizontal="left" vertical="center" wrapText="1"/>
    </xf>
    <xf numFmtId="14" fontId="29" fillId="0" borderId="1" xfId="0" applyNumberFormat="1" applyFont="1" applyFill="1" applyBorder="1" applyAlignment="1">
      <alignment vertical="top" wrapText="1"/>
    </xf>
    <xf numFmtId="0" fontId="27" fillId="3" borderId="1" xfId="0" applyFont="1" applyFill="1" applyBorder="1" applyAlignment="1">
      <alignment vertical="top" wrapText="1"/>
    </xf>
    <xf numFmtId="164" fontId="27" fillId="4" borderId="1" xfId="0" applyNumberFormat="1" applyFont="1" applyFill="1" applyBorder="1" applyAlignment="1">
      <alignment horizontal="left" vertical="top" wrapText="1"/>
    </xf>
    <xf numFmtId="164" fontId="27" fillId="4" borderId="1" xfId="1" applyNumberFormat="1" applyFont="1" applyFill="1" applyBorder="1" applyAlignment="1">
      <alignment horizontal="left" vertical="top" wrapText="1"/>
    </xf>
    <xf numFmtId="14" fontId="27" fillId="0" borderId="1" xfId="0" applyNumberFormat="1" applyFont="1" applyFill="1" applyBorder="1" applyAlignment="1">
      <alignment horizontal="left" vertical="top" wrapText="1"/>
    </xf>
    <xf numFmtId="14" fontId="27" fillId="5" borderId="1" xfId="0" applyNumberFormat="1" applyFont="1" applyFill="1" applyBorder="1" applyAlignment="1">
      <alignment horizontal="left" vertical="top" wrapText="1"/>
    </xf>
    <xf numFmtId="0" fontId="30" fillId="5" borderId="1" xfId="0" applyFont="1" applyFill="1" applyBorder="1" applyAlignment="1">
      <alignment vertical="top" wrapText="1"/>
    </xf>
    <xf numFmtId="164" fontId="27" fillId="5" borderId="1" xfId="1" applyNumberFormat="1" applyFont="1" applyFill="1" applyBorder="1" applyAlignment="1">
      <alignment horizontal="justify" vertical="top" wrapText="1"/>
    </xf>
    <xf numFmtId="164" fontId="27" fillId="5" borderId="1" xfId="1" applyNumberFormat="1" applyFont="1" applyFill="1" applyBorder="1" applyAlignment="1">
      <alignment horizontal="left" vertical="top" wrapText="1"/>
    </xf>
    <xf numFmtId="14" fontId="29" fillId="5" borderId="1" xfId="0" applyNumberFormat="1" applyFont="1" applyFill="1" applyBorder="1" applyAlignment="1">
      <alignment horizontal="center" vertical="top" wrapText="1"/>
    </xf>
    <xf numFmtId="0" fontId="27" fillId="5" borderId="1" xfId="0" applyFont="1" applyFill="1" applyBorder="1" applyAlignment="1">
      <alignment horizontal="left" vertical="top" wrapText="1"/>
    </xf>
    <xf numFmtId="164" fontId="27" fillId="5" borderId="1" xfId="1" applyNumberFormat="1" applyFont="1" applyFill="1" applyBorder="1" applyAlignment="1">
      <alignment vertical="top" wrapText="1"/>
    </xf>
    <xf numFmtId="164" fontId="27" fillId="5" borderId="3" xfId="1" applyNumberFormat="1" applyFont="1" applyFill="1" applyBorder="1" applyAlignment="1">
      <alignment horizontal="left" vertical="top" wrapText="1"/>
    </xf>
    <xf numFmtId="14" fontId="29" fillId="0" borderId="1" xfId="0" applyNumberFormat="1" applyFont="1" applyFill="1" applyBorder="1" applyAlignment="1">
      <alignment horizontal="left" vertical="top" wrapText="1"/>
    </xf>
    <xf numFmtId="14" fontId="29" fillId="5" borderId="1" xfId="0" applyNumberFormat="1" applyFont="1" applyFill="1" applyBorder="1" applyAlignment="1">
      <alignment horizontal="left" vertical="top" wrapText="1"/>
    </xf>
    <xf numFmtId="0" fontId="33" fillId="5" borderId="1" xfId="0" applyFont="1" applyFill="1" applyBorder="1" applyAlignment="1">
      <alignment vertical="top" wrapText="1"/>
    </xf>
    <xf numFmtId="14" fontId="29" fillId="0" borderId="1" xfId="0" applyNumberFormat="1" applyFont="1" applyFill="1" applyBorder="1" applyAlignment="1">
      <alignment horizontal="center" vertical="top" wrapText="1"/>
    </xf>
    <xf numFmtId="0" fontId="27" fillId="5" borderId="1" xfId="0" applyFont="1" applyFill="1" applyBorder="1" applyAlignment="1">
      <alignment vertical="top" wrapText="1"/>
    </xf>
    <xf numFmtId="0" fontId="30" fillId="3" borderId="1" xfId="0" applyFont="1" applyFill="1" applyBorder="1" applyAlignment="1">
      <alignment vertical="top" wrapText="1"/>
    </xf>
    <xf numFmtId="0" fontId="27" fillId="3" borderId="1" xfId="0" applyFont="1" applyFill="1" applyBorder="1" applyAlignment="1">
      <alignment horizontal="justify" vertical="top" wrapText="1"/>
    </xf>
    <xf numFmtId="164" fontId="26" fillId="5" borderId="1" xfId="1" applyNumberFormat="1" applyFont="1" applyFill="1" applyBorder="1" applyAlignment="1">
      <alignment vertical="top" wrapText="1"/>
    </xf>
    <xf numFmtId="164" fontId="27" fillId="4" borderId="1" xfId="1" applyNumberFormat="1" applyFont="1" applyFill="1" applyBorder="1" applyAlignment="1">
      <alignment horizontal="center" vertical="top" wrapText="1"/>
    </xf>
    <xf numFmtId="164" fontId="27" fillId="5" borderId="2" xfId="1" applyNumberFormat="1" applyFont="1" applyFill="1" applyBorder="1" applyAlignment="1">
      <alignment horizontal="center" vertical="top" wrapText="1"/>
    </xf>
    <xf numFmtId="0" fontId="27" fillId="3" borderId="1" xfId="0" applyFont="1" applyFill="1" applyBorder="1" applyAlignment="1">
      <alignment horizontal="left" vertical="top" wrapText="1"/>
    </xf>
    <xf numFmtId="164" fontId="27" fillId="4" borderId="4" xfId="1" applyNumberFormat="1" applyFont="1" applyFill="1" applyBorder="1" applyAlignment="1">
      <alignment horizontal="center" vertical="top" wrapText="1"/>
    </xf>
    <xf numFmtId="164" fontId="26" fillId="5" borderId="2" xfId="1" applyNumberFormat="1" applyFont="1" applyFill="1" applyBorder="1" applyAlignment="1">
      <alignment horizontal="center" vertical="top" wrapText="1"/>
    </xf>
    <xf numFmtId="0" fontId="15" fillId="4" borderId="0" xfId="0" applyFont="1" applyFill="1"/>
    <xf numFmtId="0" fontId="10" fillId="4" borderId="0" xfId="0" applyFont="1" applyFill="1"/>
    <xf numFmtId="0" fontId="20" fillId="4" borderId="1" xfId="0" applyFont="1" applyFill="1" applyBorder="1" applyAlignment="1" applyProtection="1">
      <alignment horizontal="center" vertical="center" wrapText="1"/>
      <protection locked="0"/>
    </xf>
    <xf numFmtId="2" fontId="10" fillId="4" borderId="1" xfId="0" applyNumberFormat="1" applyFont="1" applyFill="1" applyBorder="1" applyAlignment="1">
      <alignment horizontal="center"/>
    </xf>
    <xf numFmtId="0" fontId="10" fillId="4" borderId="3" xfId="0"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2" fontId="10" fillId="4" borderId="0" xfId="0" applyNumberFormat="1" applyFont="1" applyFill="1"/>
    <xf numFmtId="0" fontId="10" fillId="4" borderId="8" xfId="0" applyFont="1" applyFill="1" applyBorder="1" applyAlignment="1">
      <alignment horizontal="center" vertical="center"/>
    </xf>
    <xf numFmtId="0" fontId="10" fillId="4" borderId="1"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2" fontId="10" fillId="4" borderId="0" xfId="0" applyNumberFormat="1" applyFont="1" applyFill="1" applyBorder="1" applyAlignment="1">
      <alignment horizontal="center"/>
    </xf>
    <xf numFmtId="2" fontId="11" fillId="4" borderId="0" xfId="0" applyNumberFormat="1" applyFont="1" applyFill="1" applyBorder="1" applyAlignment="1">
      <alignment horizontal="center"/>
    </xf>
    <xf numFmtId="1" fontId="11" fillId="4" borderId="9" xfId="0" applyNumberFormat="1" applyFont="1" applyFill="1" applyBorder="1" applyAlignment="1">
      <alignment horizontal="center" vertical="center"/>
    </xf>
    <xf numFmtId="0" fontId="24" fillId="0" borderId="0" xfId="0" applyFont="1"/>
    <xf numFmtId="1" fontId="11" fillId="0" borderId="1" xfId="0" applyNumberFormat="1" applyFont="1" applyBorder="1" applyAlignment="1">
      <alignment horizontal="center" vertical="center"/>
    </xf>
    <xf numFmtId="0" fontId="34" fillId="0" borderId="0" xfId="0" applyFont="1"/>
    <xf numFmtId="49" fontId="14" fillId="4" borderId="1" xfId="2" applyNumberFormat="1" applyFont="1" applyFill="1" applyBorder="1" applyAlignment="1">
      <alignment horizontal="center" vertical="top" wrapText="1"/>
    </xf>
    <xf numFmtId="0" fontId="30" fillId="4" borderId="1" xfId="0" applyFont="1" applyFill="1" applyBorder="1" applyAlignment="1">
      <alignment horizontal="left" wrapText="1"/>
    </xf>
    <xf numFmtId="0" fontId="11" fillId="0" borderId="1" xfId="0" applyFont="1" applyBorder="1" applyAlignment="1">
      <alignment horizontal="center" vertical="center"/>
    </xf>
    <xf numFmtId="164" fontId="27" fillId="4" borderId="1" xfId="1" applyNumberFormat="1" applyFont="1" applyFill="1" applyBorder="1" applyAlignment="1">
      <alignment horizontal="right" vertical="top" wrapText="1"/>
    </xf>
    <xf numFmtId="0" fontId="0" fillId="0" borderId="0" xfId="0" applyAlignment="1">
      <alignment horizontal="center" vertical="center" wrapText="1"/>
    </xf>
    <xf numFmtId="0" fontId="10" fillId="0" borderId="1" xfId="0" applyFont="1" applyBorder="1" applyAlignment="1">
      <alignment horizontal="center" wrapText="1"/>
    </xf>
    <xf numFmtId="3" fontId="10" fillId="0" borderId="1" xfId="0" applyNumberFormat="1" applyFont="1" applyBorder="1" applyAlignment="1">
      <alignment horizontal="center"/>
    </xf>
    <xf numFmtId="0" fontId="10" fillId="0" borderId="3" xfId="0" applyFont="1" applyBorder="1" applyAlignment="1">
      <alignment horizontal="center" vertical="center"/>
    </xf>
    <xf numFmtId="1" fontId="22" fillId="4" borderId="1" xfId="3" applyNumberFormat="1" applyFont="1" applyFill="1" applyBorder="1" applyAlignment="1">
      <alignment horizontal="center" vertical="center" wrapText="1"/>
    </xf>
    <xf numFmtId="3" fontId="22" fillId="4" borderId="1" xfId="3" applyNumberFormat="1" applyFont="1" applyFill="1" applyBorder="1" applyAlignment="1">
      <alignment horizontal="center" vertical="center" wrapText="1"/>
    </xf>
    <xf numFmtId="0" fontId="22" fillId="4" borderId="1" xfId="3" applyFont="1" applyFill="1" applyBorder="1" applyAlignment="1">
      <alignment horizontal="center" vertical="center" wrapText="1"/>
    </xf>
    <xf numFmtId="49" fontId="14" fillId="4" borderId="1" xfId="2" applyNumberFormat="1" applyFont="1" applyFill="1" applyBorder="1" applyAlignment="1">
      <alignment horizontal="center" vertical="center" wrapText="1"/>
    </xf>
    <xf numFmtId="0" fontId="14" fillId="4" borderId="1" xfId="2" applyNumberFormat="1" applyFont="1" applyFill="1" applyBorder="1" applyAlignment="1">
      <alignment horizontal="center" vertical="center" wrapText="1"/>
    </xf>
    <xf numFmtId="49" fontId="14" fillId="0" borderId="5" xfId="0" applyNumberFormat="1" applyFont="1" applyBorder="1" applyAlignment="1">
      <alignment horizontal="center" vertical="center" wrapText="1"/>
    </xf>
    <xf numFmtId="0" fontId="16" fillId="0" borderId="0" xfId="0" applyFont="1" applyAlignment="1"/>
    <xf numFmtId="0" fontId="15" fillId="0" borderId="9" xfId="0" applyFont="1" applyBorder="1" applyAlignment="1">
      <alignment horizontal="center" vertical="center"/>
    </xf>
    <xf numFmtId="0" fontId="27" fillId="5" borderId="0" xfId="0" applyFont="1" applyFill="1" applyBorder="1" applyAlignment="1">
      <alignment vertical="top" wrapText="1"/>
    </xf>
    <xf numFmtId="0" fontId="31" fillId="4" borderId="1" xfId="0" applyFont="1" applyFill="1" applyBorder="1" applyAlignment="1">
      <alignment horizontal="center" wrapText="1"/>
    </xf>
    <xf numFmtId="0" fontId="14" fillId="4" borderId="1" xfId="2" applyNumberFormat="1" applyFont="1" applyFill="1" applyBorder="1" applyAlignment="1">
      <alignment horizontal="right" vertical="top" wrapText="1"/>
    </xf>
    <xf numFmtId="3" fontId="10" fillId="0" borderId="1" xfId="0" applyNumberFormat="1" applyFont="1" applyBorder="1" applyAlignment="1">
      <alignment vertical="top"/>
    </xf>
    <xf numFmtId="0" fontId="10" fillId="4" borderId="0" xfId="0" applyFont="1" applyFill="1" applyBorder="1" applyAlignment="1">
      <alignment horizontal="left" vertical="center" wrapText="1"/>
    </xf>
    <xf numFmtId="1" fontId="11" fillId="4" borderId="0" xfId="0" applyNumberFormat="1" applyFont="1" applyFill="1" applyBorder="1" applyAlignment="1">
      <alignment horizontal="center" vertical="center"/>
    </xf>
    <xf numFmtId="0" fontId="24" fillId="0" borderId="0" xfId="0" applyFont="1" applyAlignment="1">
      <alignment horizontal="left"/>
    </xf>
    <xf numFmtId="0" fontId="30" fillId="5" borderId="1" xfId="0" applyFont="1" applyFill="1" applyBorder="1" applyAlignment="1">
      <alignment horizontal="left" vertical="top" wrapText="1"/>
    </xf>
    <xf numFmtId="0" fontId="20" fillId="0" borderId="0" xfId="3" applyFont="1" applyAlignment="1">
      <alignment horizontal="left" wrapText="1"/>
    </xf>
    <xf numFmtId="0" fontId="22" fillId="0" borderId="9" xfId="3" applyFont="1" applyBorder="1" applyAlignment="1">
      <alignment horizontal="left" wrapText="1"/>
    </xf>
    <xf numFmtId="3" fontId="14" fillId="4" borderId="5" xfId="0" applyNumberFormat="1" applyFont="1" applyFill="1" applyBorder="1" applyAlignment="1">
      <alignment horizontal="center" vertical="center"/>
    </xf>
    <xf numFmtId="0" fontId="20" fillId="4" borderId="1" xfId="3"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49" fontId="14" fillId="4" borderId="9" xfId="0" applyNumberFormat="1" applyFont="1" applyFill="1" applyBorder="1" applyAlignment="1">
      <alignment horizontal="left" vertical="top" wrapText="1"/>
    </xf>
    <xf numFmtId="0" fontId="20" fillId="0" borderId="1" xfId="6" applyFont="1" applyFill="1" applyBorder="1" applyAlignment="1">
      <alignment horizontal="center" vertical="center" wrapText="1"/>
    </xf>
    <xf numFmtId="0" fontId="38" fillId="0" borderId="0" xfId="0" applyFont="1"/>
    <xf numFmtId="0" fontId="10" fillId="0" borderId="0" xfId="0" applyFont="1" applyFill="1"/>
    <xf numFmtId="0" fontId="10" fillId="0" borderId="1" xfId="0" applyFont="1" applyFill="1" applyBorder="1" applyAlignment="1">
      <alignment horizontal="center" vertical="center"/>
    </xf>
    <xf numFmtId="0" fontId="20" fillId="0" borderId="1" xfId="5" applyFont="1" applyFill="1" applyBorder="1" applyAlignment="1">
      <alignment horizontal="center" wrapText="1"/>
    </xf>
    <xf numFmtId="0" fontId="10" fillId="0" borderId="1" xfId="0" applyFont="1" applyFill="1" applyBorder="1" applyAlignment="1">
      <alignment horizontal="left"/>
    </xf>
    <xf numFmtId="3" fontId="10" fillId="0" borderId="1" xfId="0" applyNumberFormat="1" applyFont="1" applyFill="1" applyBorder="1" applyAlignment="1">
      <alignment horizontal="center" vertical="center"/>
    </xf>
    <xf numFmtId="49" fontId="22" fillId="0" borderId="1" xfId="3" applyNumberFormat="1" applyFont="1" applyBorder="1" applyAlignment="1">
      <alignment horizontal="center" vertical="center" wrapText="1"/>
    </xf>
    <xf numFmtId="49" fontId="22" fillId="9" borderId="1" xfId="3" applyNumberFormat="1" applyFont="1" applyFill="1" applyBorder="1" applyAlignment="1">
      <alignment horizontal="center" vertical="center" wrapText="1"/>
    </xf>
    <xf numFmtId="0" fontId="22" fillId="9" borderId="1" xfId="3" applyFont="1" applyFill="1" applyBorder="1" applyAlignment="1">
      <alignment horizontal="center" vertical="center" wrapText="1"/>
    </xf>
    <xf numFmtId="0" fontId="20" fillId="4" borderId="1" xfId="3" applyFont="1" applyFill="1" applyBorder="1" applyAlignment="1">
      <alignment horizontal="left" vertical="center" wrapText="1"/>
    </xf>
    <xf numFmtId="49" fontId="14" fillId="7" borderId="5" xfId="0" applyNumberFormat="1" applyFont="1" applyFill="1" applyBorder="1" applyAlignment="1">
      <alignment horizontal="center" vertical="center"/>
    </xf>
    <xf numFmtId="0" fontId="22" fillId="0" borderId="1" xfId="0" applyFont="1" applyBorder="1" applyAlignment="1">
      <alignment horizontal="center"/>
    </xf>
    <xf numFmtId="0" fontId="39" fillId="0" borderId="1" xfId="0" applyFont="1" applyFill="1" applyBorder="1" applyAlignment="1">
      <alignment horizontal="center" vertical="center" wrapText="1"/>
    </xf>
    <xf numFmtId="0" fontId="40" fillId="0" borderId="1" xfId="0" applyFont="1" applyFill="1" applyBorder="1" applyAlignment="1">
      <alignment vertical="center" wrapText="1"/>
    </xf>
    <xf numFmtId="1" fontId="40" fillId="0" borderId="1" xfId="0" applyNumberFormat="1" applyFont="1" applyFill="1" applyBorder="1"/>
    <xf numFmtId="0" fontId="41" fillId="0" borderId="0" xfId="0" applyFont="1"/>
    <xf numFmtId="0" fontId="42" fillId="0" borderId="1" xfId="0" applyFont="1" applyBorder="1"/>
    <xf numFmtId="0" fontId="42" fillId="0" borderId="1" xfId="0" applyFont="1" applyBorder="1" applyAlignment="1">
      <alignment horizontal="center"/>
    </xf>
    <xf numFmtId="0" fontId="42" fillId="0" borderId="0" xfId="0" applyFont="1"/>
    <xf numFmtId="3" fontId="42" fillId="0" borderId="1" xfId="0" applyNumberFormat="1" applyFont="1" applyBorder="1"/>
    <xf numFmtId="2" fontId="43" fillId="0" borderId="1" xfId="0" applyNumberFormat="1" applyFont="1" applyBorder="1" applyAlignment="1">
      <alignment horizontal="left" indent="4"/>
    </xf>
    <xf numFmtId="0" fontId="43" fillId="0" borderId="0" xfId="0" applyFont="1"/>
    <xf numFmtId="0" fontId="44" fillId="0" borderId="1" xfId="0" applyFont="1" applyBorder="1"/>
    <xf numFmtId="3" fontId="44" fillId="0" borderId="1" xfId="0" applyNumberFormat="1" applyFont="1" applyBorder="1"/>
    <xf numFmtId="0" fontId="44" fillId="0" borderId="0" xfId="0" applyFont="1"/>
    <xf numFmtId="0" fontId="39" fillId="0" borderId="9" xfId="0" applyFont="1" applyFill="1" applyBorder="1" applyAlignment="1">
      <alignment horizontal="center" vertical="center" wrapText="1"/>
    </xf>
    <xf numFmtId="0" fontId="40" fillId="0" borderId="9" xfId="0" applyFont="1" applyFill="1" applyBorder="1"/>
    <xf numFmtId="0" fontId="40" fillId="0" borderId="1" xfId="0" applyFont="1" applyFill="1" applyBorder="1"/>
    <xf numFmtId="2" fontId="40" fillId="0" borderId="1" xfId="0" applyNumberFormat="1" applyFont="1" applyFill="1" applyBorder="1"/>
    <xf numFmtId="0" fontId="45" fillId="0" borderId="0" xfId="0" applyFont="1"/>
    <xf numFmtId="0" fontId="46" fillId="0" borderId="0" xfId="0" applyFont="1"/>
    <xf numFmtId="164" fontId="47" fillId="5" borderId="1" xfId="1" applyNumberFormat="1" applyFont="1" applyFill="1" applyBorder="1" applyAlignment="1">
      <alignment horizontal="center" vertical="top" wrapText="1"/>
    </xf>
    <xf numFmtId="3" fontId="49" fillId="0" borderId="1" xfId="0" applyNumberFormat="1" applyFont="1" applyBorder="1"/>
    <xf numFmtId="3" fontId="50" fillId="0" borderId="1" xfId="0" applyNumberFormat="1" applyFont="1" applyBorder="1"/>
    <xf numFmtId="0" fontId="51" fillId="0" borderId="1" xfId="0" applyFont="1" applyFill="1" applyBorder="1" applyAlignment="1">
      <alignment horizontal="center" vertical="center" wrapText="1"/>
    </xf>
    <xf numFmtId="2" fontId="52" fillId="0" borderId="1" xfId="0" applyNumberFormat="1" applyFont="1" applyFill="1" applyBorder="1"/>
    <xf numFmtId="4" fontId="52" fillId="0" borderId="1" xfId="0" applyNumberFormat="1" applyFont="1" applyFill="1" applyBorder="1"/>
    <xf numFmtId="4" fontId="50" fillId="4" borderId="1" xfId="0" applyNumberFormat="1" applyFont="1" applyFill="1" applyBorder="1"/>
    <xf numFmtId="1" fontId="52" fillId="0" borderId="1" xfId="0" applyNumberFormat="1" applyFont="1" applyFill="1" applyBorder="1"/>
    <xf numFmtId="164" fontId="53" fillId="5" borderId="1" xfId="1" applyNumberFormat="1" applyFont="1" applyFill="1" applyBorder="1" applyAlignment="1">
      <alignment horizontal="center" vertical="top" wrapText="1"/>
    </xf>
    <xf numFmtId="164" fontId="48" fillId="5" borderId="1" xfId="1" applyNumberFormat="1" applyFont="1" applyFill="1" applyBorder="1" applyAlignment="1">
      <alignment horizontal="center" vertical="top" wrapText="1"/>
    </xf>
    <xf numFmtId="164" fontId="48" fillId="5" borderId="1" xfId="1" applyNumberFormat="1" applyFont="1" applyFill="1" applyBorder="1" applyAlignment="1">
      <alignment horizontal="center" vertical="center" wrapText="1"/>
    </xf>
    <xf numFmtId="0" fontId="20" fillId="0" borderId="0" xfId="3" applyFont="1" applyAlignment="1">
      <alignment horizontal="left" wrapText="1"/>
    </xf>
    <xf numFmtId="0" fontId="10" fillId="0" borderId="9" xfId="0" applyFont="1" applyBorder="1" applyAlignment="1">
      <alignment horizontal="left" wrapText="1"/>
    </xf>
    <xf numFmtId="164" fontId="27" fillId="4" borderId="1" xfId="1" applyNumberFormat="1" applyFont="1" applyFill="1" applyBorder="1" applyAlignment="1">
      <alignment horizontal="center" vertical="top" wrapText="1"/>
    </xf>
    <xf numFmtId="49" fontId="14" fillId="7" borderId="6" xfId="0" applyNumberFormat="1" applyFont="1" applyFill="1" applyBorder="1" applyAlignment="1">
      <alignment horizontal="center" vertical="center" wrapText="1"/>
    </xf>
    <xf numFmtId="49" fontId="14" fillId="7" borderId="13" xfId="0" applyNumberFormat="1" applyFont="1" applyFill="1" applyBorder="1" applyAlignment="1">
      <alignment horizontal="center" vertical="center" wrapText="1"/>
    </xf>
    <xf numFmtId="0" fontId="15" fillId="0" borderId="9" xfId="3" applyFont="1" applyBorder="1" applyAlignment="1">
      <alignment horizontal="center" wrapText="1"/>
    </xf>
    <xf numFmtId="49" fontId="22" fillId="13" borderId="1" xfId="3" applyNumberFormat="1" applyFont="1" applyFill="1" applyBorder="1" applyAlignment="1">
      <alignment horizontal="center" vertical="center" wrapText="1"/>
    </xf>
    <xf numFmtId="1" fontId="20" fillId="0" borderId="0" xfId="3" applyNumberFormat="1" applyFont="1" applyAlignment="1">
      <alignment horizontal="left" wrapText="1"/>
    </xf>
    <xf numFmtId="164" fontId="6" fillId="0" borderId="0" xfId="0" applyNumberFormat="1" applyFont="1" applyBorder="1" applyAlignment="1">
      <alignment vertical="center" wrapText="1"/>
    </xf>
    <xf numFmtId="0" fontId="22" fillId="0" borderId="14" xfId="3" applyFont="1" applyBorder="1" applyAlignment="1">
      <alignment horizontal="right" wrapText="1"/>
    </xf>
    <xf numFmtId="1" fontId="0" fillId="0" borderId="0" xfId="0" applyNumberFormat="1"/>
    <xf numFmtId="3" fontId="14" fillId="4" borderId="0" xfId="0" applyNumberFormat="1" applyFont="1" applyFill="1" applyBorder="1" applyAlignment="1">
      <alignment horizontal="center"/>
    </xf>
    <xf numFmtId="3" fontId="14" fillId="4" borderId="0" xfId="0" applyNumberFormat="1" applyFont="1" applyFill="1" applyBorder="1" applyAlignment="1">
      <alignment horizontal="center" vertical="center" wrapText="1"/>
    </xf>
    <xf numFmtId="3" fontId="14" fillId="7" borderId="0" xfId="0" applyNumberFormat="1" applyFont="1" applyFill="1" applyBorder="1" applyAlignment="1">
      <alignment horizontal="center" vertical="center" wrapText="1"/>
    </xf>
    <xf numFmtId="3" fontId="14" fillId="7" borderId="0" xfId="0" applyNumberFormat="1" applyFont="1" applyFill="1" applyBorder="1" applyAlignment="1">
      <alignment horizontal="center"/>
    </xf>
    <xf numFmtId="3" fontId="14" fillId="4" borderId="1" xfId="0" applyNumberFormat="1" applyFont="1" applyFill="1" applyBorder="1" applyAlignment="1">
      <alignment horizontal="center"/>
    </xf>
    <xf numFmtId="3" fontId="14" fillId="4" borderId="1" xfId="0" applyNumberFormat="1" applyFont="1" applyFill="1" applyBorder="1" applyAlignment="1">
      <alignment horizontal="center" vertical="center" wrapText="1"/>
    </xf>
    <xf numFmtId="3" fontId="14" fillId="7" borderId="1" xfId="0" applyNumberFormat="1" applyFont="1" applyFill="1" applyBorder="1" applyAlignment="1">
      <alignment horizontal="center"/>
    </xf>
    <xf numFmtId="49" fontId="14" fillId="4" borderId="10" xfId="0" applyNumberFormat="1" applyFont="1" applyFill="1" applyBorder="1" applyAlignment="1">
      <alignment horizontal="center" vertical="center" wrapText="1"/>
    </xf>
    <xf numFmtId="1" fontId="14" fillId="4" borderId="5" xfId="0" applyNumberFormat="1" applyFont="1" applyFill="1" applyBorder="1" applyAlignment="1">
      <alignment horizontal="center" vertical="center" wrapText="1"/>
    </xf>
    <xf numFmtId="1" fontId="14" fillId="4" borderId="10" xfId="0" applyNumberFormat="1" applyFont="1" applyFill="1" applyBorder="1" applyAlignment="1">
      <alignment horizontal="center" vertical="center" wrapText="1"/>
    </xf>
    <xf numFmtId="1" fontId="13" fillId="4" borderId="9" xfId="0" applyNumberFormat="1" applyFont="1" applyFill="1" applyBorder="1" applyAlignment="1">
      <alignment horizontal="center" vertical="center" wrapText="1"/>
    </xf>
    <xf numFmtId="1" fontId="13" fillId="4" borderId="12" xfId="0" applyNumberFormat="1" applyFont="1" applyFill="1" applyBorder="1" applyAlignment="1">
      <alignment horizontal="center" vertical="center" wrapText="1"/>
    </xf>
    <xf numFmtId="3" fontId="0" fillId="0" borderId="0" xfId="0" applyNumberFormat="1"/>
    <xf numFmtId="3" fontId="10" fillId="4" borderId="1" xfId="0" applyNumberFormat="1" applyFont="1" applyFill="1" applyBorder="1" applyAlignment="1">
      <alignment vertical="top"/>
    </xf>
    <xf numFmtId="164" fontId="27" fillId="4" borderId="1" xfId="1" applyNumberFormat="1" applyFont="1" applyFill="1" applyBorder="1" applyAlignment="1">
      <alignment horizontal="center" vertical="top" wrapText="1"/>
    </xf>
    <xf numFmtId="164" fontId="26" fillId="4" borderId="1" xfId="1" applyNumberFormat="1" applyFont="1" applyFill="1" applyBorder="1" applyAlignment="1">
      <alignment horizontal="center" vertical="top" wrapText="1"/>
    </xf>
    <xf numFmtId="164" fontId="54" fillId="5" borderId="1" xfId="1" applyNumberFormat="1" applyFont="1" applyFill="1" applyBorder="1" applyAlignment="1">
      <alignment horizontal="center" vertical="top" wrapText="1"/>
    </xf>
    <xf numFmtId="164" fontId="54" fillId="3" borderId="1" xfId="1" applyNumberFormat="1" applyFont="1" applyFill="1" applyBorder="1" applyAlignment="1">
      <alignment horizontal="center" vertical="top" wrapText="1"/>
    </xf>
    <xf numFmtId="164" fontId="48" fillId="4" borderId="1" xfId="1" applyNumberFormat="1" applyFont="1" applyFill="1" applyBorder="1" applyAlignment="1">
      <alignment vertical="top" wrapText="1"/>
    </xf>
    <xf numFmtId="164" fontId="47" fillId="5" borderId="1" xfId="1" applyNumberFormat="1" applyFont="1" applyFill="1" applyBorder="1" applyAlignment="1">
      <alignment horizontal="center" vertical="center" wrapText="1"/>
    </xf>
    <xf numFmtId="3" fontId="55" fillId="4" borderId="1" xfId="0" applyNumberFormat="1" applyFont="1" applyFill="1" applyBorder="1" applyAlignment="1">
      <alignment vertical="top"/>
    </xf>
    <xf numFmtId="164" fontId="26" fillId="5" borderId="1" xfId="1" applyNumberFormat="1" applyFont="1" applyFill="1" applyBorder="1" applyAlignment="1">
      <alignment horizontal="left" vertical="top" wrapText="1"/>
    </xf>
    <xf numFmtId="0" fontId="56" fillId="0" borderId="0" xfId="0" applyFont="1" applyAlignment="1">
      <alignment wrapText="1"/>
    </xf>
    <xf numFmtId="3"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14" fontId="29" fillId="0" borderId="3" xfId="0" applyNumberFormat="1" applyFont="1" applyFill="1" applyBorder="1" applyAlignment="1">
      <alignment horizontal="center" vertical="top" wrapText="1"/>
    </xf>
    <xf numFmtId="14" fontId="29" fillId="0" borderId="4" xfId="0" applyNumberFormat="1" applyFont="1" applyFill="1" applyBorder="1" applyAlignment="1">
      <alignment horizontal="center" vertical="top" wrapText="1"/>
    </xf>
    <xf numFmtId="14" fontId="29" fillId="0" borderId="2" xfId="0" applyNumberFormat="1" applyFont="1" applyFill="1" applyBorder="1" applyAlignment="1">
      <alignment horizontal="center" vertical="top" wrapText="1"/>
    </xf>
    <xf numFmtId="0" fontId="27" fillId="5" borderId="3" xfId="0" applyFont="1" applyFill="1" applyBorder="1" applyAlignment="1">
      <alignment horizontal="left" vertical="top" wrapText="1"/>
    </xf>
    <xf numFmtId="0" fontId="27" fillId="5" borderId="4" xfId="0" applyFont="1" applyFill="1" applyBorder="1" applyAlignment="1">
      <alignment horizontal="left" vertical="top" wrapText="1"/>
    </xf>
    <xf numFmtId="0" fontId="27" fillId="5" borderId="2" xfId="0" applyFont="1" applyFill="1" applyBorder="1" applyAlignment="1">
      <alignment horizontal="left" vertical="top" wrapText="1"/>
    </xf>
    <xf numFmtId="0" fontId="30" fillId="2" borderId="3" xfId="0" applyFont="1" applyFill="1" applyBorder="1" applyAlignment="1">
      <alignment horizontal="left" vertical="top" wrapText="1"/>
    </xf>
    <xf numFmtId="0" fontId="30" fillId="2" borderId="4" xfId="0" applyFont="1" applyFill="1" applyBorder="1" applyAlignment="1">
      <alignment horizontal="left" vertical="top" wrapText="1"/>
    </xf>
    <xf numFmtId="0" fontId="30" fillId="2" borderId="2" xfId="0" applyFont="1" applyFill="1" applyBorder="1" applyAlignment="1">
      <alignment horizontal="left" vertical="top" wrapText="1"/>
    </xf>
    <xf numFmtId="164" fontId="27" fillId="4" borderId="3" xfId="1" applyNumberFormat="1" applyFont="1" applyFill="1" applyBorder="1" applyAlignment="1">
      <alignment horizontal="center" vertical="top" wrapText="1"/>
    </xf>
    <xf numFmtId="164" fontId="27" fillId="4" borderId="2" xfId="1" applyNumberFormat="1" applyFont="1" applyFill="1" applyBorder="1" applyAlignment="1">
      <alignment horizontal="center" vertical="top" wrapText="1"/>
    </xf>
    <xf numFmtId="0" fontId="30" fillId="4" borderId="1" xfId="0" applyFont="1" applyFill="1" applyBorder="1" applyAlignment="1">
      <alignment horizontal="left" vertical="top" wrapText="1"/>
    </xf>
    <xf numFmtId="164" fontId="27" fillId="4" borderId="1" xfId="1" applyNumberFormat="1" applyFont="1" applyFill="1" applyBorder="1" applyAlignment="1">
      <alignment horizontal="center" vertical="top" wrapText="1"/>
    </xf>
    <xf numFmtId="0" fontId="27" fillId="4" borderId="1" xfId="0" applyFont="1" applyFill="1" applyBorder="1" applyAlignment="1">
      <alignment horizontal="center" vertical="top" wrapText="1"/>
    </xf>
    <xf numFmtId="0" fontId="1" fillId="4" borderId="3" xfId="0" applyFont="1" applyFill="1" applyBorder="1" applyAlignment="1">
      <alignment horizontal="center" wrapText="1"/>
    </xf>
    <xf numFmtId="0" fontId="1" fillId="4" borderId="2" xfId="0" applyFont="1" applyFill="1" applyBorder="1" applyAlignment="1">
      <alignment horizontal="center" wrapText="1"/>
    </xf>
    <xf numFmtId="0" fontId="27" fillId="5" borderId="1" xfId="0" applyFont="1" applyFill="1" applyBorder="1" applyAlignment="1">
      <alignment horizontal="left" vertical="top" wrapText="1"/>
    </xf>
    <xf numFmtId="14" fontId="29" fillId="0" borderId="1" xfId="0" applyNumberFormat="1" applyFont="1" applyFill="1" applyBorder="1" applyAlignment="1">
      <alignment horizontal="center" vertical="top" wrapText="1"/>
    </xf>
    <xf numFmtId="0" fontId="30" fillId="0" borderId="1" xfId="0" applyFont="1" applyBorder="1" applyAlignment="1">
      <alignment horizontal="left" vertical="top" wrapText="1"/>
    </xf>
    <xf numFmtId="0" fontId="3" fillId="0" borderId="0" xfId="0" applyFont="1" applyBorder="1" applyAlignment="1">
      <alignment horizontal="left" wrapText="1"/>
    </xf>
    <xf numFmtId="0" fontId="27" fillId="4" borderId="1" xfId="0" applyFont="1" applyFill="1" applyBorder="1" applyAlignment="1">
      <alignment horizontal="left" vertical="top" wrapText="1"/>
    </xf>
    <xf numFmtId="0" fontId="26" fillId="2" borderId="1" xfId="0" applyFont="1" applyFill="1" applyBorder="1" applyAlignment="1">
      <alignment horizontal="center" vertical="top" wrapText="1"/>
    </xf>
    <xf numFmtId="0" fontId="26" fillId="0" borderId="1" xfId="0" applyFont="1" applyBorder="1" applyAlignment="1">
      <alignment horizontal="center" vertical="top" wrapText="1"/>
    </xf>
    <xf numFmtId="0" fontId="29" fillId="0" borderId="1" xfId="0" applyFont="1" applyFill="1" applyBorder="1" applyAlignment="1">
      <alignment horizontal="center" vertical="top" wrapText="1"/>
    </xf>
    <xf numFmtId="0" fontId="30" fillId="2" borderId="1" xfId="0" applyFont="1" applyFill="1" applyBorder="1" applyAlignment="1">
      <alignment horizontal="left" vertical="top" wrapText="1"/>
    </xf>
    <xf numFmtId="0" fontId="30" fillId="5" borderId="1" xfId="0" applyFont="1" applyFill="1" applyBorder="1" applyAlignment="1">
      <alignment horizontal="left" vertical="top" wrapText="1"/>
    </xf>
    <xf numFmtId="0" fontId="37" fillId="0" borderId="0" xfId="0" applyFont="1" applyAlignment="1">
      <alignment horizontal="right" wrapText="1"/>
    </xf>
    <xf numFmtId="0" fontId="30" fillId="2" borderId="3" xfId="0" applyFont="1" applyFill="1" applyBorder="1" applyAlignment="1">
      <alignment horizontal="left" vertical="center" wrapText="1"/>
    </xf>
    <xf numFmtId="0" fontId="30" fillId="2" borderId="2" xfId="0" applyFont="1" applyFill="1" applyBorder="1" applyAlignment="1">
      <alignment horizontal="left" vertical="center" wrapText="1"/>
    </xf>
    <xf numFmtId="0" fontId="3" fillId="0" borderId="1" xfId="0" applyFont="1" applyBorder="1" applyAlignment="1">
      <alignment horizontal="center" vertical="top" wrapText="1"/>
    </xf>
    <xf numFmtId="0" fontId="27" fillId="3" borderId="1" xfId="0" applyFont="1" applyFill="1" applyBorder="1" applyAlignment="1">
      <alignment horizontal="left" vertical="top" wrapText="1"/>
    </xf>
    <xf numFmtId="0" fontId="10" fillId="0" borderId="14" xfId="0" applyFont="1" applyBorder="1" applyAlignment="1">
      <alignment horizontal="right"/>
    </xf>
    <xf numFmtId="49" fontId="14" fillId="4" borderId="8" xfId="2" applyNumberFormat="1" applyFont="1" applyFill="1" applyBorder="1" applyAlignment="1">
      <alignment horizontal="left" vertical="top" wrapText="1"/>
    </xf>
    <xf numFmtId="49" fontId="14" fillId="4" borderId="12" xfId="2" applyNumberFormat="1" applyFont="1" applyFill="1" applyBorder="1" applyAlignment="1">
      <alignment horizontal="left" vertical="top" wrapText="1"/>
    </xf>
    <xf numFmtId="49" fontId="14" fillId="4" borderId="9" xfId="2" applyNumberFormat="1" applyFont="1" applyFill="1" applyBorder="1" applyAlignment="1">
      <alignment horizontal="left" vertical="top" wrapText="1"/>
    </xf>
    <xf numFmtId="0" fontId="20" fillId="0" borderId="0" xfId="3" applyFont="1" applyAlignment="1">
      <alignment horizontal="left" wrapText="1"/>
    </xf>
    <xf numFmtId="0" fontId="22" fillId="0" borderId="8" xfId="3" applyFont="1" applyBorder="1" applyAlignment="1">
      <alignment horizontal="left" wrapText="1"/>
    </xf>
    <xf numFmtId="0" fontId="22" fillId="0" borderId="12" xfId="3" applyFont="1" applyBorder="1" applyAlignment="1">
      <alignment horizontal="left" wrapText="1"/>
    </xf>
    <xf numFmtId="0" fontId="22" fillId="0" borderId="9" xfId="3" applyFont="1" applyBorder="1" applyAlignment="1">
      <alignment horizontal="left" wrapText="1"/>
    </xf>
    <xf numFmtId="0" fontId="10" fillId="0" borderId="0" xfId="0" applyFont="1" applyAlignment="1">
      <alignment horizontal="right"/>
    </xf>
    <xf numFmtId="0" fontId="0" fillId="0" borderId="0" xfId="0" applyAlignment="1">
      <alignment horizontal="right"/>
    </xf>
    <xf numFmtId="0" fontId="10" fillId="0" borderId="8" xfId="0" applyFont="1" applyBorder="1" applyAlignment="1">
      <alignment horizontal="left" wrapText="1"/>
    </xf>
    <xf numFmtId="0" fontId="10" fillId="0" borderId="12" xfId="0" applyFont="1" applyBorder="1" applyAlignment="1">
      <alignment horizontal="left" wrapText="1"/>
    </xf>
    <xf numFmtId="0" fontId="10" fillId="0" borderId="9" xfId="0" applyFont="1" applyBorder="1" applyAlignment="1">
      <alignment horizontal="left" wrapText="1"/>
    </xf>
    <xf numFmtId="0" fontId="10" fillId="0" borderId="7" xfId="0" applyFont="1" applyBorder="1" applyAlignment="1">
      <alignment horizontal="left" vertical="top"/>
    </xf>
    <xf numFmtId="0" fontId="10" fillId="0" borderId="0" xfId="0" applyFont="1" applyBorder="1" applyAlignment="1">
      <alignment horizontal="left" vertical="top"/>
    </xf>
    <xf numFmtId="49" fontId="14" fillId="4" borderId="8" xfId="0" applyNumberFormat="1" applyFont="1" applyFill="1" applyBorder="1" applyAlignment="1">
      <alignment horizontal="left" vertical="top" wrapText="1"/>
    </xf>
    <xf numFmtId="49" fontId="14" fillId="4" borderId="12" xfId="0" applyNumberFormat="1" applyFont="1" applyFill="1" applyBorder="1" applyAlignment="1">
      <alignment horizontal="left" vertical="top" wrapText="1"/>
    </xf>
    <xf numFmtId="49" fontId="14" fillId="4" borderId="9" xfId="0" applyNumberFormat="1" applyFont="1" applyFill="1" applyBorder="1" applyAlignment="1">
      <alignment horizontal="left" vertical="top" wrapText="1"/>
    </xf>
    <xf numFmtId="0" fontId="10" fillId="0" borderId="0" xfId="0" applyFont="1" applyAlignment="1">
      <alignment horizontal="left" vertical="center" wrapText="1"/>
    </xf>
    <xf numFmtId="0" fontId="14" fillId="7" borderId="1" xfId="0" applyNumberFormat="1" applyFont="1" applyFill="1" applyBorder="1" applyAlignment="1">
      <alignment horizontal="left" vertical="center" wrapText="1"/>
    </xf>
    <xf numFmtId="0" fontId="16" fillId="0" borderId="7" xfId="0" applyFont="1" applyBorder="1" applyAlignment="1">
      <alignment horizontal="center"/>
    </xf>
    <xf numFmtId="0" fontId="10" fillId="0" borderId="7" xfId="0" applyFont="1" applyBorder="1" applyAlignment="1">
      <alignment horizontal="right"/>
    </xf>
    <xf numFmtId="49" fontId="14" fillId="4" borderId="5" xfId="0" applyNumberFormat="1" applyFont="1" applyFill="1" applyBorder="1" applyAlignment="1">
      <alignment horizontal="left" vertical="center" wrapText="1"/>
    </xf>
    <xf numFmtId="0" fontId="13" fillId="4" borderId="5" xfId="0" applyNumberFormat="1" applyFont="1" applyFill="1" applyBorder="1" applyAlignment="1">
      <alignment horizontal="left" vertical="center" wrapText="1"/>
    </xf>
    <xf numFmtId="0" fontId="13" fillId="4" borderId="6" xfId="0" applyNumberFormat="1" applyFont="1" applyFill="1" applyBorder="1" applyAlignment="1">
      <alignment horizontal="left" vertical="center" wrapText="1"/>
    </xf>
    <xf numFmtId="0" fontId="10" fillId="4" borderId="0" xfId="0" applyFont="1" applyFill="1" applyAlignment="1">
      <alignment horizontal="right"/>
    </xf>
    <xf numFmtId="0" fontId="10"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Alignment="1">
      <alignment horizontal="right"/>
    </xf>
    <xf numFmtId="0" fontId="10" fillId="0" borderId="0" xfId="0" applyFont="1" applyAlignment="1">
      <alignment horizontal="left"/>
    </xf>
    <xf numFmtId="0" fontId="10" fillId="0" borderId="1" xfId="0" applyFont="1" applyBorder="1" applyAlignment="1">
      <alignment horizontal="center"/>
    </xf>
    <xf numFmtId="0" fontId="10" fillId="4" borderId="1" xfId="0" applyFont="1" applyFill="1" applyBorder="1" applyAlignment="1">
      <alignment horizontal="center"/>
    </xf>
    <xf numFmtId="3" fontId="11" fillId="4" borderId="8" xfId="0" applyNumberFormat="1" applyFont="1" applyFill="1" applyBorder="1" applyAlignment="1">
      <alignment horizontal="center" vertical="center"/>
    </xf>
    <xf numFmtId="0" fontId="11" fillId="4" borderId="9" xfId="0" applyFont="1" applyFill="1" applyBorder="1" applyAlignment="1">
      <alignment horizontal="center" vertical="center"/>
    </xf>
    <xf numFmtId="0" fontId="10" fillId="4" borderId="0" xfId="0" applyFont="1" applyFill="1" applyAlignment="1">
      <alignment horizontal="left"/>
    </xf>
    <xf numFmtId="0" fontId="11" fillId="4" borderId="8" xfId="0" applyFont="1" applyFill="1" applyBorder="1" applyAlignment="1">
      <alignment horizontal="center" vertical="center"/>
    </xf>
    <xf numFmtId="3"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0" fillId="4" borderId="8" xfId="0" applyFont="1" applyFill="1" applyBorder="1" applyAlignment="1">
      <alignment horizontal="center"/>
    </xf>
    <xf numFmtId="0" fontId="10" fillId="4" borderId="9" xfId="0" applyFont="1" applyFill="1" applyBorder="1" applyAlignment="1">
      <alignment horizontal="center"/>
    </xf>
    <xf numFmtId="2" fontId="10" fillId="4" borderId="8" xfId="0" applyNumberFormat="1" applyFont="1" applyFill="1" applyBorder="1" applyAlignment="1">
      <alignment horizontal="center"/>
    </xf>
    <xf numFmtId="2" fontId="10" fillId="4" borderId="9" xfId="0" applyNumberFormat="1" applyFont="1" applyFill="1" applyBorder="1" applyAlignment="1">
      <alignment horizontal="center"/>
    </xf>
    <xf numFmtId="0" fontId="10" fillId="4" borderId="17"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0" xfId="0" applyFont="1" applyAlignment="1">
      <alignment vertical="center" wrapText="1"/>
    </xf>
    <xf numFmtId="0" fontId="10" fillId="0" borderId="0" xfId="0" applyFont="1" applyFill="1" applyAlignment="1">
      <alignment horizontal="left" vertical="center" wrapText="1"/>
    </xf>
    <xf numFmtId="0" fontId="20" fillId="4" borderId="1" xfId="6" applyFont="1" applyFill="1" applyBorder="1" applyAlignment="1">
      <alignment horizontal="center" vertical="center" wrapText="1"/>
    </xf>
    <xf numFmtId="0" fontId="20" fillId="0" borderId="1" xfId="6" applyFont="1" applyBorder="1" applyAlignment="1">
      <alignment horizontal="left"/>
    </xf>
    <xf numFmtId="0" fontId="20" fillId="4" borderId="1" xfId="6" applyFont="1" applyFill="1" applyBorder="1" applyAlignment="1">
      <alignment horizontal="center" vertical="center"/>
    </xf>
    <xf numFmtId="2" fontId="20" fillId="4" borderId="1" xfId="6" applyNumberFormat="1" applyFont="1" applyFill="1" applyBorder="1" applyAlignment="1">
      <alignment horizontal="center" vertical="center" wrapText="1"/>
    </xf>
    <xf numFmtId="0" fontId="10" fillId="0" borderId="0" xfId="0" applyFont="1" applyAlignment="1">
      <alignment horizontal="right" vertical="top"/>
    </xf>
    <xf numFmtId="0" fontId="10" fillId="0" borderId="0" xfId="0" applyFont="1" applyAlignment="1">
      <alignment wrapText="1"/>
    </xf>
  </cellXfs>
  <cellStyles count="8">
    <cellStyle name="Comma" xfId="1" builtinId="3"/>
    <cellStyle name="Normal" xfId="0" builtinId="0"/>
    <cellStyle name="Normal 10 2" xfId="5"/>
    <cellStyle name="Normal 2" xfId="2"/>
    <cellStyle name="Normal 2 2" xfId="6"/>
    <cellStyle name="Normal 3" xfId="3"/>
    <cellStyle name="Normal 39" xfId="4"/>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abSelected="1" zoomScale="69" zoomScaleNormal="69" workbookViewId="0">
      <pane ySplit="5" topLeftCell="A6" activePane="bottomLeft" state="frozen"/>
      <selection pane="bottomLeft" activeCell="E6" sqref="E6"/>
    </sheetView>
  </sheetViews>
  <sheetFormatPr defaultColWidth="8.85546875" defaultRowHeight="15.75" x14ac:dyDescent="0.25"/>
  <cols>
    <col min="1" max="1" width="13.85546875" style="2" customWidth="1"/>
    <col min="2" max="3" width="22.42578125" style="2" customWidth="1"/>
    <col min="4" max="4" width="24.85546875" style="2" customWidth="1"/>
    <col min="5" max="5" width="19.140625" style="2" customWidth="1"/>
    <col min="6" max="6" width="11.85546875" style="2" customWidth="1"/>
    <col min="7" max="7" width="12" style="2" customWidth="1"/>
    <col min="8" max="8" width="12.28515625" style="2" customWidth="1"/>
    <col min="9" max="10" width="12.42578125" style="2" customWidth="1"/>
    <col min="11" max="11" width="12.85546875" style="2" customWidth="1"/>
    <col min="12" max="12" width="15" style="2" customWidth="1"/>
    <col min="13" max="13" width="13.42578125" style="2" customWidth="1"/>
    <col min="14" max="14" width="12.5703125" style="2" customWidth="1"/>
    <col min="15" max="15" width="15.140625" style="2" hidden="1" customWidth="1"/>
    <col min="16" max="16" width="4.5703125" style="30" customWidth="1"/>
    <col min="17" max="17" width="25.140625" style="2" customWidth="1"/>
    <col min="18" max="18" width="27.5703125" style="2" customWidth="1"/>
    <col min="19" max="16384" width="8.85546875" style="2"/>
  </cols>
  <sheetData>
    <row r="1" spans="1:20" ht="21.6" customHeight="1" x14ac:dyDescent="0.25">
      <c r="I1" s="386" t="s">
        <v>329</v>
      </c>
      <c r="J1" s="386"/>
      <c r="K1" s="386"/>
      <c r="L1" s="386"/>
      <c r="M1" s="386"/>
      <c r="N1" s="386"/>
    </row>
    <row r="2" spans="1:20" ht="16.149999999999999" customHeight="1" x14ac:dyDescent="0.25">
      <c r="A2" s="379" t="s">
        <v>14</v>
      </c>
      <c r="B2" s="379"/>
      <c r="C2" s="379"/>
      <c r="D2" s="379"/>
      <c r="E2" s="379"/>
      <c r="F2" s="379"/>
      <c r="G2" s="379"/>
      <c r="H2" s="379"/>
      <c r="I2" s="379"/>
      <c r="J2" s="379"/>
      <c r="K2" s="379"/>
      <c r="L2" s="379"/>
      <c r="M2" s="379"/>
      <c r="N2" s="1"/>
      <c r="O2" s="1" t="s">
        <v>15</v>
      </c>
      <c r="P2" s="32"/>
    </row>
    <row r="3" spans="1:20" ht="15.6" customHeight="1" x14ac:dyDescent="0.25">
      <c r="A3" s="381" t="s">
        <v>10</v>
      </c>
      <c r="B3" s="381" t="s">
        <v>0</v>
      </c>
      <c r="C3" s="381"/>
      <c r="D3" s="381"/>
      <c r="E3" s="382" t="s">
        <v>5</v>
      </c>
      <c r="F3" s="382" t="s">
        <v>6</v>
      </c>
      <c r="G3" s="382"/>
      <c r="H3" s="382"/>
      <c r="I3" s="381" t="s">
        <v>13</v>
      </c>
      <c r="J3" s="381"/>
      <c r="K3" s="381"/>
      <c r="L3" s="381"/>
      <c r="M3" s="381"/>
      <c r="N3" s="381"/>
      <c r="O3" s="389" t="s">
        <v>48</v>
      </c>
      <c r="P3" s="24"/>
    </row>
    <row r="4" spans="1:20" x14ac:dyDescent="0.25">
      <c r="A4" s="381"/>
      <c r="B4" s="381"/>
      <c r="C4" s="381"/>
      <c r="D4" s="381"/>
      <c r="E4" s="382"/>
      <c r="F4" s="382"/>
      <c r="G4" s="382"/>
      <c r="H4" s="382"/>
      <c r="I4" s="147" t="s">
        <v>1</v>
      </c>
      <c r="J4" s="147" t="s">
        <v>2</v>
      </c>
      <c r="K4" s="147" t="s">
        <v>3</v>
      </c>
      <c r="L4" s="147" t="s">
        <v>16</v>
      </c>
      <c r="M4" s="381" t="s">
        <v>7</v>
      </c>
      <c r="N4" s="381" t="s">
        <v>8</v>
      </c>
      <c r="O4" s="389"/>
      <c r="P4" s="24"/>
    </row>
    <row r="5" spans="1:20" ht="115.5" customHeight="1" x14ac:dyDescent="0.25">
      <c r="A5" s="382"/>
      <c r="B5" s="381"/>
      <c r="C5" s="381"/>
      <c r="D5" s="381"/>
      <c r="E5" s="382"/>
      <c r="F5" s="148" t="s">
        <v>1</v>
      </c>
      <c r="G5" s="148" t="s">
        <v>2</v>
      </c>
      <c r="H5" s="148" t="s">
        <v>3</v>
      </c>
      <c r="I5" s="147" t="s">
        <v>4</v>
      </c>
      <c r="J5" s="147" t="s">
        <v>4</v>
      </c>
      <c r="K5" s="147" t="s">
        <v>4</v>
      </c>
      <c r="L5" s="147" t="s">
        <v>4</v>
      </c>
      <c r="M5" s="381"/>
      <c r="N5" s="381"/>
      <c r="O5" s="389"/>
      <c r="P5" s="24"/>
    </row>
    <row r="6" spans="1:20" ht="45" customHeight="1" x14ac:dyDescent="0.25">
      <c r="A6" s="149" t="s">
        <v>9</v>
      </c>
      <c r="B6" s="150"/>
      <c r="C6" s="150"/>
      <c r="D6" s="150"/>
      <c r="E6" s="150"/>
      <c r="F6" s="151">
        <v>1990076</v>
      </c>
      <c r="G6" s="151">
        <v>1990076</v>
      </c>
      <c r="H6" s="151">
        <v>1990076</v>
      </c>
      <c r="I6" s="151"/>
      <c r="J6" s="321">
        <f>J25+J32+J37+J40+J43+J49+J53+J56+J76</f>
        <v>5028474</v>
      </c>
      <c r="K6" s="321">
        <f t="shared" ref="K6:N6" si="0">K25+K32+K37+K40+K43+K49+K53+K56+K76</f>
        <v>31357099</v>
      </c>
      <c r="L6" s="351">
        <f t="shared" si="0"/>
        <v>30480917</v>
      </c>
      <c r="M6" s="351"/>
      <c r="N6" s="351">
        <f t="shared" si="0"/>
        <v>30499917</v>
      </c>
      <c r="O6" s="11"/>
      <c r="P6" s="20"/>
    </row>
    <row r="7" spans="1:20" x14ac:dyDescent="0.25">
      <c r="A7" s="153" t="s">
        <v>12</v>
      </c>
      <c r="B7" s="154"/>
      <c r="C7" s="154"/>
      <c r="D7" s="154"/>
      <c r="E7" s="154"/>
      <c r="F7" s="349"/>
      <c r="G7" s="349"/>
      <c r="H7" s="349"/>
      <c r="I7" s="155"/>
      <c r="J7" s="350"/>
      <c r="K7" s="350"/>
      <c r="L7" s="352"/>
      <c r="M7" s="352"/>
      <c r="N7" s="352"/>
      <c r="O7" s="7"/>
      <c r="P7" s="20"/>
    </row>
    <row r="8" spans="1:20" ht="30" x14ac:dyDescent="0.25">
      <c r="A8" s="156" t="s">
        <v>11</v>
      </c>
      <c r="B8" s="150"/>
      <c r="C8" s="150"/>
      <c r="D8" s="150"/>
      <c r="E8" s="150"/>
      <c r="F8" s="151">
        <v>1990076</v>
      </c>
      <c r="G8" s="151">
        <v>1990076</v>
      </c>
      <c r="H8" s="151">
        <v>1990076</v>
      </c>
      <c r="I8" s="151"/>
      <c r="J8" s="313">
        <f>J25+J32+J37+J40+J43+J49+J53+J56+J76</f>
        <v>5028474</v>
      </c>
      <c r="K8" s="313">
        <f t="shared" ref="K8:N8" si="1">K25+K32+K37+K40+K43+K49+K53+K56+K76</f>
        <v>31357099</v>
      </c>
      <c r="L8" s="351">
        <f t="shared" si="1"/>
        <v>30480917</v>
      </c>
      <c r="M8" s="351"/>
      <c r="N8" s="351">
        <f t="shared" si="1"/>
        <v>30499917</v>
      </c>
      <c r="O8" s="10"/>
      <c r="P8" s="25"/>
    </row>
    <row r="9" spans="1:20" ht="63.75" customHeight="1" x14ac:dyDescent="0.25">
      <c r="A9" s="157"/>
      <c r="B9" s="376" t="s">
        <v>42</v>
      </c>
      <c r="C9" s="380" t="s">
        <v>50</v>
      </c>
      <c r="D9" s="158" t="s">
        <v>17</v>
      </c>
      <c r="E9" s="159"/>
      <c r="F9" s="160"/>
      <c r="G9" s="160"/>
      <c r="H9" s="160"/>
      <c r="I9" s="160"/>
      <c r="J9" s="160"/>
      <c r="K9" s="160"/>
      <c r="L9" s="160"/>
      <c r="M9" s="160"/>
      <c r="N9" s="160"/>
      <c r="O9" s="6"/>
      <c r="P9" s="20"/>
      <c r="Q9" s="18" t="s">
        <v>49</v>
      </c>
      <c r="R9" s="3"/>
      <c r="S9" s="4"/>
      <c r="T9" s="4"/>
    </row>
    <row r="10" spans="1:20" ht="87.6" customHeight="1" x14ac:dyDescent="0.25">
      <c r="A10" s="161"/>
      <c r="B10" s="376"/>
      <c r="C10" s="380"/>
      <c r="D10" s="158" t="s">
        <v>18</v>
      </c>
      <c r="E10" s="159"/>
      <c r="F10" s="160"/>
      <c r="G10" s="160"/>
      <c r="H10" s="160"/>
      <c r="I10" s="160"/>
      <c r="J10" s="160"/>
      <c r="K10" s="160"/>
      <c r="L10" s="160"/>
      <c r="M10" s="160"/>
      <c r="N10" s="160"/>
      <c r="O10" s="6"/>
      <c r="P10" s="20"/>
      <c r="Q10" s="18"/>
      <c r="R10" s="19"/>
      <c r="S10" s="4"/>
      <c r="T10" s="4"/>
    </row>
    <row r="11" spans="1:20" ht="54.75" customHeight="1" x14ac:dyDescent="0.25">
      <c r="A11" s="162"/>
      <c r="B11" s="376"/>
      <c r="C11" s="390" t="s">
        <v>51</v>
      </c>
      <c r="D11" s="163" t="s">
        <v>363</v>
      </c>
      <c r="E11" s="159"/>
      <c r="F11" s="160"/>
      <c r="G11" s="160"/>
      <c r="H11" s="160"/>
      <c r="I11" s="160"/>
      <c r="J11" s="160"/>
      <c r="K11" s="160"/>
      <c r="L11" s="160"/>
      <c r="M11" s="160"/>
      <c r="N11" s="160"/>
      <c r="O11" s="6"/>
      <c r="P11" s="20"/>
      <c r="Q11" s="18"/>
      <c r="R11" s="3"/>
      <c r="S11" s="4"/>
      <c r="T11" s="4"/>
    </row>
    <row r="12" spans="1:20" ht="16.5" customHeight="1" x14ac:dyDescent="0.25">
      <c r="A12" s="161"/>
      <c r="B12" s="376"/>
      <c r="C12" s="390"/>
      <c r="D12" s="164" t="s">
        <v>52</v>
      </c>
      <c r="E12" s="163"/>
      <c r="F12" s="165"/>
      <c r="G12" s="165"/>
      <c r="H12" s="165"/>
      <c r="I12" s="165"/>
      <c r="J12" s="269">
        <v>156000</v>
      </c>
      <c r="K12" s="269">
        <v>179400</v>
      </c>
      <c r="L12" s="269">
        <v>206310</v>
      </c>
      <c r="M12" s="254"/>
      <c r="N12" s="269">
        <v>206310</v>
      </c>
      <c r="O12" s="8"/>
      <c r="P12" s="20"/>
      <c r="Q12" s="18"/>
      <c r="R12" s="3"/>
      <c r="S12" s="4"/>
      <c r="T12" s="4"/>
    </row>
    <row r="13" spans="1:20" ht="19.149999999999999" customHeight="1" x14ac:dyDescent="0.25">
      <c r="A13" s="161"/>
      <c r="B13" s="376"/>
      <c r="C13" s="390"/>
      <c r="D13" s="164" t="s">
        <v>19</v>
      </c>
      <c r="E13" s="163"/>
      <c r="F13" s="165"/>
      <c r="G13" s="165"/>
      <c r="H13" s="165"/>
      <c r="I13" s="165"/>
      <c r="J13" s="269">
        <v>270000</v>
      </c>
      <c r="K13" s="269">
        <v>310500</v>
      </c>
      <c r="L13" s="269">
        <v>357075</v>
      </c>
      <c r="M13" s="254"/>
      <c r="N13" s="269">
        <v>357075</v>
      </c>
      <c r="O13" s="8"/>
      <c r="P13" s="20"/>
      <c r="Q13" s="18"/>
      <c r="R13" s="3"/>
      <c r="S13" s="4"/>
      <c r="T13" s="4"/>
    </row>
    <row r="14" spans="1:20" ht="50.45" customHeight="1" x14ac:dyDescent="0.25">
      <c r="A14" s="161"/>
      <c r="B14" s="376"/>
      <c r="C14" s="390"/>
      <c r="D14" s="164" t="s">
        <v>53</v>
      </c>
      <c r="E14" s="163"/>
      <c r="F14" s="165"/>
      <c r="G14" s="165"/>
      <c r="H14" s="165"/>
      <c r="I14" s="165"/>
      <c r="J14" s="269">
        <v>50000</v>
      </c>
      <c r="K14" s="269">
        <v>57500</v>
      </c>
      <c r="L14" s="269">
        <v>66125</v>
      </c>
      <c r="M14" s="254"/>
      <c r="N14" s="269">
        <v>66125</v>
      </c>
      <c r="O14" s="8"/>
      <c r="P14" s="20"/>
      <c r="Q14" s="18"/>
      <c r="R14" s="3"/>
      <c r="S14" s="4"/>
      <c r="T14" s="4"/>
    </row>
    <row r="15" spans="1:20" ht="44.45" customHeight="1" x14ac:dyDescent="0.25">
      <c r="A15" s="161"/>
      <c r="B15" s="376"/>
      <c r="C15" s="390"/>
      <c r="D15" s="164" t="s">
        <v>20</v>
      </c>
      <c r="E15" s="163"/>
      <c r="F15" s="160"/>
      <c r="G15" s="160"/>
      <c r="H15" s="160"/>
      <c r="I15" s="160"/>
      <c r="J15" s="269">
        <v>14000</v>
      </c>
      <c r="K15" s="269">
        <v>16100</v>
      </c>
      <c r="L15" s="269">
        <v>18515</v>
      </c>
      <c r="M15" s="254"/>
      <c r="N15" s="269">
        <v>18515</v>
      </c>
      <c r="O15" s="6"/>
      <c r="P15" s="20"/>
      <c r="Q15" s="18"/>
      <c r="R15" s="3"/>
      <c r="S15" s="4"/>
      <c r="T15" s="4"/>
    </row>
    <row r="16" spans="1:20" ht="84" customHeight="1" x14ac:dyDescent="0.25">
      <c r="A16" s="162"/>
      <c r="B16" s="376"/>
      <c r="C16" s="390"/>
      <c r="D16" s="166" t="s">
        <v>364</v>
      </c>
      <c r="E16" s="163"/>
      <c r="F16" s="165"/>
      <c r="G16" s="165"/>
      <c r="H16" s="165"/>
      <c r="I16" s="165"/>
      <c r="J16" s="254"/>
      <c r="K16" s="254"/>
      <c r="L16" s="254"/>
      <c r="M16" s="254"/>
      <c r="N16" s="254"/>
      <c r="O16" s="8"/>
      <c r="P16" s="20"/>
      <c r="Q16" s="18"/>
      <c r="R16" s="3"/>
      <c r="S16" s="4"/>
      <c r="T16" s="4"/>
    </row>
    <row r="17" spans="1:20" ht="32.25" customHeight="1" x14ac:dyDescent="0.25">
      <c r="A17" s="161"/>
      <c r="B17" s="376"/>
      <c r="C17" s="390"/>
      <c r="D17" s="167" t="s">
        <v>163</v>
      </c>
      <c r="E17" s="163"/>
      <c r="F17" s="160"/>
      <c r="G17" s="160"/>
      <c r="H17" s="160"/>
      <c r="I17" s="160"/>
      <c r="J17" s="269">
        <v>12482</v>
      </c>
      <c r="K17" s="269">
        <v>14354</v>
      </c>
      <c r="L17" s="269">
        <v>16507</v>
      </c>
      <c r="M17" s="254"/>
      <c r="N17" s="269">
        <v>16507</v>
      </c>
      <c r="O17" s="6"/>
      <c r="P17" s="20"/>
      <c r="Q17" s="18"/>
      <c r="R17" s="3"/>
      <c r="S17" s="4"/>
      <c r="T17" s="4"/>
    </row>
    <row r="18" spans="1:20" ht="87" customHeight="1" x14ac:dyDescent="0.25">
      <c r="A18" s="161"/>
      <c r="B18" s="376"/>
      <c r="C18" s="390"/>
      <c r="D18" s="164" t="s">
        <v>79</v>
      </c>
      <c r="E18" s="163"/>
      <c r="F18" s="160"/>
      <c r="G18" s="160"/>
      <c r="H18" s="160"/>
      <c r="I18" s="160"/>
      <c r="J18" s="269">
        <v>12482</v>
      </c>
      <c r="K18" s="269">
        <v>14354</v>
      </c>
      <c r="L18" s="269">
        <v>16507</v>
      </c>
      <c r="M18" s="254"/>
      <c r="N18" s="269">
        <v>16507</v>
      </c>
      <c r="O18" s="6"/>
      <c r="P18" s="20"/>
      <c r="Q18" s="18"/>
      <c r="R18" s="3"/>
      <c r="S18" s="4"/>
      <c r="T18" s="4"/>
    </row>
    <row r="19" spans="1:20" ht="34.5" customHeight="1" x14ac:dyDescent="0.25">
      <c r="A19" s="161"/>
      <c r="B19" s="376"/>
      <c r="C19" s="390"/>
      <c r="D19" s="164" t="s">
        <v>21</v>
      </c>
      <c r="E19" s="163"/>
      <c r="F19" s="165"/>
      <c r="G19" s="165"/>
      <c r="H19" s="165"/>
      <c r="I19" s="165"/>
      <c r="J19" s="269">
        <v>7200</v>
      </c>
      <c r="K19" s="269">
        <v>8280</v>
      </c>
      <c r="L19" s="269">
        <v>9522</v>
      </c>
      <c r="M19" s="254"/>
      <c r="N19" s="269">
        <v>9522</v>
      </c>
      <c r="O19" s="8"/>
      <c r="P19" s="20"/>
      <c r="Q19" s="18"/>
      <c r="R19" s="3"/>
      <c r="S19" s="4"/>
      <c r="T19" s="4"/>
    </row>
    <row r="20" spans="1:20" ht="54.75" customHeight="1" x14ac:dyDescent="0.25">
      <c r="A20" s="161"/>
      <c r="B20" s="376"/>
      <c r="C20" s="390"/>
      <c r="D20" s="164" t="s">
        <v>22</v>
      </c>
      <c r="E20" s="163"/>
      <c r="F20" s="165"/>
      <c r="G20" s="165"/>
      <c r="H20" s="165"/>
      <c r="I20" s="165"/>
      <c r="J20" s="269">
        <v>5600</v>
      </c>
      <c r="K20" s="269">
        <v>6440</v>
      </c>
      <c r="L20" s="269">
        <v>7406</v>
      </c>
      <c r="M20" s="254"/>
      <c r="N20" s="269">
        <v>7406</v>
      </c>
      <c r="O20" s="8"/>
      <c r="P20" s="20"/>
      <c r="Q20" s="18"/>
      <c r="R20" s="3"/>
      <c r="S20" s="4"/>
      <c r="T20" s="4"/>
    </row>
    <row r="21" spans="1:20" ht="27.75" customHeight="1" x14ac:dyDescent="0.25">
      <c r="A21" s="184"/>
      <c r="B21" s="376"/>
      <c r="C21" s="230"/>
      <c r="D21" s="168" t="s">
        <v>300</v>
      </c>
      <c r="E21" s="252"/>
      <c r="F21" s="165"/>
      <c r="G21" s="165"/>
      <c r="H21" s="165"/>
      <c r="I21" s="165"/>
      <c r="J21" s="269">
        <v>4000</v>
      </c>
      <c r="K21" s="269">
        <v>4600</v>
      </c>
      <c r="L21" s="269">
        <v>5290</v>
      </c>
      <c r="M21" s="254"/>
      <c r="N21" s="269">
        <v>5290</v>
      </c>
      <c r="O21" s="8"/>
      <c r="P21" s="20"/>
      <c r="Q21" s="18"/>
      <c r="R21" s="116"/>
      <c r="S21" s="4"/>
      <c r="T21" s="4"/>
    </row>
    <row r="22" spans="1:20" ht="64.900000000000006" customHeight="1" x14ac:dyDescent="0.25">
      <c r="A22" s="161"/>
      <c r="B22" s="376"/>
      <c r="C22" s="378" t="s">
        <v>23</v>
      </c>
      <c r="D22" s="163" t="s">
        <v>24</v>
      </c>
      <c r="E22" s="163"/>
      <c r="F22" s="160"/>
      <c r="G22" s="160"/>
      <c r="H22" s="160"/>
      <c r="I22" s="160"/>
      <c r="J22" s="160"/>
      <c r="K22" s="160"/>
      <c r="L22" s="160"/>
      <c r="M22" s="160"/>
      <c r="N22" s="160"/>
      <c r="O22" s="6"/>
      <c r="P22" s="20"/>
      <c r="Q22" s="18"/>
      <c r="R22" s="3"/>
      <c r="S22" s="4"/>
      <c r="T22" s="4"/>
    </row>
    <row r="23" spans="1:20" ht="35.25" customHeight="1" x14ac:dyDescent="0.25">
      <c r="A23" s="161"/>
      <c r="B23" s="376"/>
      <c r="C23" s="378"/>
      <c r="D23" s="163" t="s">
        <v>75</v>
      </c>
      <c r="E23" s="159"/>
      <c r="F23" s="160"/>
      <c r="G23" s="169"/>
      <c r="H23" s="160"/>
      <c r="I23" s="170"/>
      <c r="J23" s="171"/>
      <c r="K23" s="160"/>
      <c r="L23" s="160"/>
      <c r="M23" s="160"/>
      <c r="N23" s="160"/>
      <c r="O23" s="6"/>
      <c r="P23" s="20"/>
      <c r="Q23" s="18"/>
      <c r="R23" s="3"/>
      <c r="S23" s="4"/>
      <c r="T23" s="4"/>
    </row>
    <row r="24" spans="1:20" ht="78.75" customHeight="1" x14ac:dyDescent="0.25">
      <c r="A24" s="157"/>
      <c r="B24" s="376"/>
      <c r="C24" s="172" t="s">
        <v>25</v>
      </c>
      <c r="D24" s="163" t="s">
        <v>26</v>
      </c>
      <c r="E24" s="159"/>
      <c r="F24" s="160"/>
      <c r="G24" s="169"/>
      <c r="H24" s="160"/>
      <c r="I24" s="160"/>
      <c r="J24" s="160"/>
      <c r="K24" s="160"/>
      <c r="L24" s="160"/>
      <c r="M24" s="160"/>
      <c r="N24" s="160"/>
      <c r="O24" s="6"/>
      <c r="P24" s="20"/>
      <c r="Q24" s="18"/>
      <c r="R24" s="3"/>
      <c r="S24" s="4"/>
      <c r="T24" s="4"/>
    </row>
    <row r="25" spans="1:20" ht="30.75" customHeight="1" x14ac:dyDescent="0.25">
      <c r="A25" s="173"/>
      <c r="B25" s="174" t="s">
        <v>82</v>
      </c>
      <c r="C25" s="175"/>
      <c r="D25" s="175"/>
      <c r="E25" s="176"/>
      <c r="F25" s="177"/>
      <c r="G25" s="152"/>
      <c r="H25" s="177"/>
      <c r="I25" s="177"/>
      <c r="J25" s="177">
        <f>SUM(J12:J21)</f>
        <v>531764</v>
      </c>
      <c r="K25" s="177">
        <f t="shared" ref="K25:N25" si="2">SUM(K12:K21)</f>
        <v>611528</v>
      </c>
      <c r="L25" s="177">
        <f t="shared" si="2"/>
        <v>703257</v>
      </c>
      <c r="M25" s="177"/>
      <c r="N25" s="177">
        <f t="shared" si="2"/>
        <v>703257</v>
      </c>
      <c r="O25" s="17"/>
      <c r="P25" s="21"/>
      <c r="Q25" s="18"/>
      <c r="R25" s="5"/>
      <c r="S25" s="4"/>
      <c r="T25" s="4"/>
    </row>
    <row r="26" spans="1:20" ht="71.25" customHeight="1" x14ac:dyDescent="0.25">
      <c r="A26" s="173"/>
      <c r="B26" s="174"/>
      <c r="C26" s="175"/>
      <c r="D26" s="175"/>
      <c r="E26" s="178" t="s">
        <v>269</v>
      </c>
      <c r="F26" s="177"/>
      <c r="G26" s="152"/>
      <c r="H26" s="177"/>
      <c r="I26" s="177"/>
      <c r="J26" s="151">
        <f>SUM(J12:J22)</f>
        <v>531764</v>
      </c>
      <c r="K26" s="151">
        <f>SUM(K12:K22)</f>
        <v>611528</v>
      </c>
      <c r="L26" s="151">
        <f>SUM(L12:L22)</f>
        <v>703257</v>
      </c>
      <c r="M26" s="151"/>
      <c r="N26" s="151">
        <f>SUM(N12:N22)</f>
        <v>703257</v>
      </c>
      <c r="O26" s="17"/>
      <c r="P26" s="21"/>
      <c r="Q26" s="42"/>
      <c r="R26" s="5"/>
      <c r="S26" s="4"/>
      <c r="T26" s="4"/>
    </row>
    <row r="27" spans="1:20" ht="108" customHeight="1" x14ac:dyDescent="0.25">
      <c r="A27" s="157"/>
      <c r="B27" s="179" t="s">
        <v>41</v>
      </c>
      <c r="C27" s="180" t="s">
        <v>27</v>
      </c>
      <c r="D27" s="180" t="s">
        <v>28</v>
      </c>
      <c r="E27" s="181"/>
      <c r="F27" s="182"/>
      <c r="G27" s="160"/>
      <c r="H27" s="182"/>
      <c r="I27" s="182"/>
      <c r="J27" s="182"/>
      <c r="K27" s="182"/>
      <c r="L27" s="182"/>
      <c r="M27" s="182"/>
      <c r="N27" s="182"/>
      <c r="O27" s="6"/>
      <c r="P27" s="20"/>
      <c r="Q27" s="18"/>
      <c r="R27" s="3"/>
      <c r="S27" s="4"/>
      <c r="T27" s="4"/>
    </row>
    <row r="28" spans="1:20" ht="35.25" customHeight="1" x14ac:dyDescent="0.25">
      <c r="A28" s="173"/>
      <c r="B28" s="174" t="s">
        <v>82</v>
      </c>
      <c r="C28" s="175"/>
      <c r="D28" s="175"/>
      <c r="E28" s="176"/>
      <c r="F28" s="177"/>
      <c r="G28" s="152"/>
      <c r="H28" s="177"/>
      <c r="I28" s="177"/>
      <c r="J28" s="177"/>
      <c r="K28" s="177"/>
      <c r="L28" s="177"/>
      <c r="M28" s="177"/>
      <c r="N28" s="177"/>
      <c r="O28" s="17"/>
      <c r="P28" s="21"/>
      <c r="Q28" s="16"/>
      <c r="R28" s="16"/>
      <c r="S28" s="4"/>
      <c r="T28" s="4"/>
    </row>
    <row r="29" spans="1:20" ht="116.45" customHeight="1" x14ac:dyDescent="0.25">
      <c r="A29" s="157"/>
      <c r="B29" s="179" t="s">
        <v>43</v>
      </c>
      <c r="C29" s="183" t="s">
        <v>80</v>
      </c>
      <c r="D29" s="183" t="s">
        <v>29</v>
      </c>
      <c r="E29" s="181"/>
      <c r="F29" s="182"/>
      <c r="G29" s="160"/>
      <c r="H29" s="182"/>
      <c r="I29" s="182"/>
      <c r="J29" s="182"/>
      <c r="K29" s="182"/>
      <c r="L29" s="182"/>
      <c r="M29" s="182"/>
      <c r="N29" s="182"/>
      <c r="O29" s="9"/>
      <c r="P29" s="22"/>
      <c r="Q29" s="18"/>
      <c r="R29" s="4"/>
      <c r="S29" s="4"/>
      <c r="T29" s="4"/>
    </row>
    <row r="30" spans="1:20" ht="31.5" customHeight="1" x14ac:dyDescent="0.25">
      <c r="A30" s="173"/>
      <c r="B30" s="174" t="s">
        <v>82</v>
      </c>
      <c r="C30" s="175"/>
      <c r="D30" s="175"/>
      <c r="E30" s="176"/>
      <c r="F30" s="177"/>
      <c r="G30" s="152"/>
      <c r="H30" s="177"/>
      <c r="I30" s="177"/>
      <c r="J30" s="177"/>
      <c r="K30" s="177"/>
      <c r="L30" s="177"/>
      <c r="M30" s="177"/>
      <c r="N30" s="177"/>
      <c r="O30" s="17"/>
      <c r="P30" s="21"/>
      <c r="Q30" s="18"/>
      <c r="R30" s="4"/>
      <c r="S30" s="4"/>
      <c r="T30" s="4"/>
    </row>
    <row r="31" spans="1:20" ht="128.25" customHeight="1" x14ac:dyDescent="0.25">
      <c r="A31" s="184"/>
      <c r="B31" s="201" t="s">
        <v>365</v>
      </c>
      <c r="C31" s="172" t="s">
        <v>35</v>
      </c>
      <c r="D31" s="185" t="s">
        <v>83</v>
      </c>
      <c r="E31" s="186"/>
      <c r="F31" s="187"/>
      <c r="G31" s="165"/>
      <c r="H31" s="187"/>
      <c r="I31" s="188"/>
      <c r="J31" s="353">
        <v>1000000</v>
      </c>
      <c r="K31" s="353">
        <v>3614227</v>
      </c>
      <c r="L31" s="188">
        <v>3017362</v>
      </c>
      <c r="M31" s="188"/>
      <c r="N31" s="188">
        <v>3017362</v>
      </c>
      <c r="O31" s="9"/>
      <c r="P31" s="22"/>
      <c r="Q31" s="144"/>
      <c r="R31" s="4"/>
      <c r="S31" s="4"/>
      <c r="T31" s="4"/>
    </row>
    <row r="32" spans="1:20" ht="33.75" customHeight="1" x14ac:dyDescent="0.25">
      <c r="A32" s="189"/>
      <c r="B32" s="175" t="s">
        <v>82</v>
      </c>
      <c r="C32" s="175"/>
      <c r="D32" s="149"/>
      <c r="E32" s="190"/>
      <c r="F32" s="152"/>
      <c r="G32" s="152"/>
      <c r="H32" s="152"/>
      <c r="I32" s="152"/>
      <c r="J32" s="313">
        <f>SUM(J31:J31)</f>
        <v>1000000</v>
      </c>
      <c r="K32" s="313">
        <f>SUM(K31:K31)</f>
        <v>3614227</v>
      </c>
      <c r="L32" s="152">
        <f>SUM(L31:L31)</f>
        <v>3017362</v>
      </c>
      <c r="M32" s="152"/>
      <c r="N32" s="152">
        <f>SUM(N31:N31)</f>
        <v>3017362</v>
      </c>
      <c r="O32" s="12"/>
      <c r="Q32" s="332"/>
      <c r="R32" s="4"/>
      <c r="S32" s="4"/>
      <c r="T32" s="4"/>
    </row>
    <row r="33" spans="1:20" ht="129.75" customHeight="1" x14ac:dyDescent="0.25">
      <c r="A33" s="191"/>
      <c r="B33" s="175"/>
      <c r="C33" s="175"/>
      <c r="D33" s="149"/>
      <c r="E33" s="274" t="s">
        <v>330</v>
      </c>
      <c r="F33" s="152"/>
      <c r="G33" s="152"/>
      <c r="H33" s="152"/>
      <c r="I33" s="152"/>
      <c r="J33" s="322">
        <f>SUM(J31:J31)</f>
        <v>1000000</v>
      </c>
      <c r="K33" s="322">
        <f>SUM(K31:K31)</f>
        <v>3614227</v>
      </c>
      <c r="L33" s="151">
        <f>SUM(L31:L31)</f>
        <v>3017362</v>
      </c>
      <c r="M33" s="151"/>
      <c r="N33" s="151">
        <f>SUM(N31:N31)</f>
        <v>3017362</v>
      </c>
      <c r="O33" s="12"/>
      <c r="Q33" s="42"/>
      <c r="R33" s="4"/>
      <c r="S33" s="4"/>
      <c r="T33" s="4"/>
    </row>
    <row r="34" spans="1:20" ht="204" customHeight="1" x14ac:dyDescent="0.25">
      <c r="A34" s="383"/>
      <c r="B34" s="376" t="s">
        <v>70</v>
      </c>
      <c r="C34" s="378" t="s">
        <v>32</v>
      </c>
      <c r="D34" s="163" t="s">
        <v>320</v>
      </c>
      <c r="E34" s="192"/>
      <c r="F34" s="349">
        <v>1990076</v>
      </c>
      <c r="G34" s="349">
        <v>1990076</v>
      </c>
      <c r="H34" s="349">
        <v>1990076</v>
      </c>
      <c r="I34" s="326"/>
      <c r="J34" s="355">
        <v>2963062</v>
      </c>
      <c r="K34" s="355">
        <v>26390571</v>
      </c>
      <c r="L34" s="348">
        <v>25773142</v>
      </c>
      <c r="M34" s="188"/>
      <c r="N34" s="270">
        <v>25773142</v>
      </c>
      <c r="O34" s="6"/>
      <c r="Q34" s="358"/>
      <c r="R34" s="4"/>
      <c r="S34" s="4"/>
      <c r="T34" s="4"/>
    </row>
    <row r="35" spans="1:20" ht="108.75" customHeight="1" x14ac:dyDescent="0.25">
      <c r="A35" s="383"/>
      <c r="B35" s="376"/>
      <c r="C35" s="378"/>
      <c r="D35" s="193" t="s">
        <v>71</v>
      </c>
      <c r="E35" s="192"/>
      <c r="F35" s="160"/>
      <c r="G35" s="160"/>
      <c r="H35" s="160"/>
      <c r="I35" s="160"/>
      <c r="J35" s="160">
        <v>2850</v>
      </c>
      <c r="K35" s="160">
        <v>2850</v>
      </c>
      <c r="L35" s="160">
        <v>2850</v>
      </c>
      <c r="M35" s="160"/>
      <c r="N35" s="160">
        <v>2850</v>
      </c>
      <c r="O35" s="9"/>
      <c r="P35" s="26"/>
      <c r="Q35" s="359"/>
      <c r="R35" s="4"/>
      <c r="S35" s="4"/>
      <c r="T35" s="4"/>
    </row>
    <row r="36" spans="1:20" ht="112.5" customHeight="1" x14ac:dyDescent="0.25">
      <c r="A36" s="383"/>
      <c r="B36" s="376"/>
      <c r="C36" s="185" t="s">
        <v>33</v>
      </c>
      <c r="D36" s="193" t="s">
        <v>34</v>
      </c>
      <c r="E36" s="192"/>
      <c r="F36" s="160"/>
      <c r="G36" s="160"/>
      <c r="H36" s="160"/>
      <c r="I36" s="160"/>
      <c r="J36" s="160">
        <v>34088</v>
      </c>
      <c r="K36" s="160">
        <v>36688</v>
      </c>
      <c r="L36" s="160">
        <v>39288</v>
      </c>
      <c r="M36" s="160"/>
      <c r="N36" s="160">
        <v>39288</v>
      </c>
      <c r="O36" s="9"/>
      <c r="P36" s="26"/>
      <c r="Q36" s="359"/>
      <c r="R36" s="4"/>
      <c r="S36" s="4"/>
      <c r="T36" s="4"/>
    </row>
    <row r="37" spans="1:20" ht="31.5" customHeight="1" x14ac:dyDescent="0.25">
      <c r="A37" s="194"/>
      <c r="B37" s="174" t="s">
        <v>82</v>
      </c>
      <c r="C37" s="195"/>
      <c r="D37" s="195"/>
      <c r="E37" s="174"/>
      <c r="F37" s="197">
        <f t="shared" ref="F37:H38" si="3">SUM(F34:F36)</f>
        <v>1990076</v>
      </c>
      <c r="G37" s="197">
        <f t="shared" si="3"/>
        <v>1990076</v>
      </c>
      <c r="H37" s="197">
        <f t="shared" si="3"/>
        <v>1990076</v>
      </c>
      <c r="I37" s="196"/>
      <c r="J37" s="354">
        <f>SUM(J34:J36)</f>
        <v>3000000</v>
      </c>
      <c r="K37" s="354">
        <f>SUM(K34:K36)</f>
        <v>26430109</v>
      </c>
      <c r="L37" s="196">
        <f>SUM(L34:L36)</f>
        <v>25815280</v>
      </c>
      <c r="M37" s="196"/>
      <c r="N37" s="196">
        <f>SUM(N34:N36)</f>
        <v>25815280</v>
      </c>
      <c r="O37" s="14"/>
      <c r="P37" s="20"/>
      <c r="Q37" s="18"/>
      <c r="R37" s="4"/>
      <c r="S37" s="4"/>
      <c r="T37" s="4"/>
    </row>
    <row r="38" spans="1:20" ht="140.25" customHeight="1" x14ac:dyDescent="0.25">
      <c r="A38" s="194"/>
      <c r="B38" s="174"/>
      <c r="C38" s="195"/>
      <c r="D38" s="195"/>
      <c r="E38" s="274" t="s">
        <v>330</v>
      </c>
      <c r="F38" s="197">
        <f t="shared" si="3"/>
        <v>1990076</v>
      </c>
      <c r="G38" s="197">
        <f t="shared" si="3"/>
        <v>1990076</v>
      </c>
      <c r="H38" s="197">
        <f t="shared" si="3"/>
        <v>1990076</v>
      </c>
      <c r="I38" s="196"/>
      <c r="J38" s="323">
        <f>SUM(J34:J36)</f>
        <v>3000000</v>
      </c>
      <c r="K38" s="323">
        <f>SUM(K34:K36)</f>
        <v>26430109</v>
      </c>
      <c r="L38" s="197">
        <f>SUM(L34:L36)</f>
        <v>25815280</v>
      </c>
      <c r="M38" s="197"/>
      <c r="N38" s="197">
        <f>SUM(N34:N36)</f>
        <v>25815280</v>
      </c>
      <c r="O38" s="14"/>
      <c r="P38" s="20"/>
      <c r="Q38" s="42"/>
      <c r="R38" s="4"/>
      <c r="S38" s="4"/>
      <c r="T38" s="4"/>
    </row>
    <row r="39" spans="1:20" ht="64.5" customHeight="1" x14ac:dyDescent="0.25">
      <c r="A39" s="161"/>
      <c r="B39" s="179" t="s">
        <v>283</v>
      </c>
      <c r="C39" s="172" t="s">
        <v>30</v>
      </c>
      <c r="D39" s="163" t="s">
        <v>31</v>
      </c>
      <c r="E39" s="198"/>
      <c r="F39" s="160"/>
      <c r="G39" s="160"/>
      <c r="H39" s="160"/>
      <c r="I39" s="160"/>
      <c r="J39" s="160">
        <f>30000</f>
        <v>30000</v>
      </c>
      <c r="K39" s="160">
        <f>60000</f>
        <v>60000</v>
      </c>
      <c r="L39" s="160">
        <f>90000</f>
        <v>90000</v>
      </c>
      <c r="M39" s="160"/>
      <c r="N39" s="160">
        <f>120000</f>
        <v>120000</v>
      </c>
      <c r="O39" s="54"/>
      <c r="P39" s="22"/>
      <c r="Q39" s="145"/>
      <c r="R39" s="4"/>
      <c r="S39" s="4"/>
      <c r="T39" s="4"/>
    </row>
    <row r="40" spans="1:20" ht="30.75" customHeight="1" x14ac:dyDescent="0.25">
      <c r="A40" s="194"/>
      <c r="B40" s="174" t="s">
        <v>82</v>
      </c>
      <c r="C40" s="199"/>
      <c r="D40" s="199"/>
      <c r="E40" s="174"/>
      <c r="F40" s="196"/>
      <c r="G40" s="196"/>
      <c r="H40" s="196"/>
      <c r="I40" s="196"/>
      <c r="J40" s="196">
        <f>SUM(J39)</f>
        <v>30000</v>
      </c>
      <c r="K40" s="196">
        <f>SUM(K39)</f>
        <v>60000</v>
      </c>
      <c r="L40" s="196">
        <f>SUM(L39)</f>
        <v>90000</v>
      </c>
      <c r="M40" s="196"/>
      <c r="N40" s="196">
        <f>SUM(N39)</f>
        <v>120000</v>
      </c>
      <c r="O40" s="13"/>
      <c r="P40" s="27"/>
      <c r="Q40" s="18"/>
      <c r="R40" s="4"/>
      <c r="S40" s="4"/>
      <c r="T40" s="4"/>
    </row>
    <row r="41" spans="1:20" ht="78.75" customHeight="1" x14ac:dyDescent="0.25">
      <c r="A41" s="194"/>
      <c r="B41" s="174"/>
      <c r="C41" s="199"/>
      <c r="D41" s="199"/>
      <c r="E41" s="200" t="s">
        <v>216</v>
      </c>
      <c r="F41" s="196"/>
      <c r="G41" s="196"/>
      <c r="H41" s="196"/>
      <c r="I41" s="196"/>
      <c r="J41" s="197">
        <v>30000</v>
      </c>
      <c r="K41" s="197">
        <v>60000</v>
      </c>
      <c r="L41" s="197">
        <v>90000</v>
      </c>
      <c r="M41" s="197"/>
      <c r="N41" s="197">
        <v>120000</v>
      </c>
      <c r="O41" s="13"/>
      <c r="P41" s="27"/>
      <c r="Q41" s="18"/>
      <c r="R41" s="4"/>
      <c r="S41" s="4"/>
      <c r="T41" s="4"/>
    </row>
    <row r="42" spans="1:20" ht="97.5" customHeight="1" x14ac:dyDescent="0.25">
      <c r="A42" s="161"/>
      <c r="B42" s="201" t="s">
        <v>72</v>
      </c>
      <c r="C42" s="202" t="s">
        <v>76</v>
      </c>
      <c r="D42" s="163" t="s">
        <v>26</v>
      </c>
      <c r="E42" s="192"/>
      <c r="F42" s="160"/>
      <c r="G42" s="160"/>
      <c r="H42" s="160"/>
      <c r="I42" s="160"/>
      <c r="J42" s="160">
        <v>158000</v>
      </c>
      <c r="K42" s="160">
        <v>335000</v>
      </c>
      <c r="L42" s="160">
        <v>531000</v>
      </c>
      <c r="M42" s="160"/>
      <c r="N42" s="160">
        <v>588000</v>
      </c>
      <c r="O42" s="55"/>
      <c r="P42" s="22"/>
      <c r="Q42" s="18"/>
      <c r="R42" s="4"/>
      <c r="S42" s="4"/>
      <c r="T42" s="4"/>
    </row>
    <row r="43" spans="1:20" ht="33.75" customHeight="1" x14ac:dyDescent="0.25">
      <c r="A43" s="194"/>
      <c r="B43" s="195" t="s">
        <v>82</v>
      </c>
      <c r="C43" s="203"/>
      <c r="D43" s="203"/>
      <c r="E43" s="204"/>
      <c r="F43" s="205"/>
      <c r="G43" s="205"/>
      <c r="H43" s="205"/>
      <c r="I43" s="205"/>
      <c r="J43" s="206">
        <f>SUM(J42)</f>
        <v>158000</v>
      </c>
      <c r="K43" s="196">
        <f>SUM(K42)</f>
        <v>335000</v>
      </c>
      <c r="L43" s="196">
        <f>SUM(L42)</f>
        <v>531000</v>
      </c>
      <c r="M43" s="205"/>
      <c r="N43" s="205">
        <f>SUM(N42)</f>
        <v>588000</v>
      </c>
      <c r="O43" s="14"/>
      <c r="P43" s="28"/>
      <c r="Q43" s="18"/>
      <c r="R43" s="4"/>
      <c r="S43" s="4"/>
      <c r="T43" s="4"/>
    </row>
    <row r="44" spans="1:20" ht="65.25" customHeight="1" x14ac:dyDescent="0.25">
      <c r="A44" s="194"/>
      <c r="B44" s="195"/>
      <c r="C44" s="203"/>
      <c r="D44" s="203"/>
      <c r="E44" s="267" t="s">
        <v>263</v>
      </c>
      <c r="F44" s="205"/>
      <c r="G44" s="205"/>
      <c r="H44" s="205"/>
      <c r="I44" s="205"/>
      <c r="J44" s="215">
        <v>123000</v>
      </c>
      <c r="K44" s="151">
        <v>246000</v>
      </c>
      <c r="L44" s="151">
        <v>369000</v>
      </c>
      <c r="M44" s="218"/>
      <c r="N44" s="218">
        <v>369000</v>
      </c>
      <c r="O44" s="14"/>
      <c r="P44" s="28"/>
      <c r="Q44" s="18"/>
      <c r="R44" s="4"/>
      <c r="S44" s="4"/>
      <c r="T44" s="4"/>
    </row>
    <row r="45" spans="1:20" ht="64.5" customHeight="1" x14ac:dyDescent="0.25">
      <c r="A45" s="194"/>
      <c r="B45" s="195"/>
      <c r="C45" s="203"/>
      <c r="D45" s="203"/>
      <c r="E45" s="224" t="s">
        <v>216</v>
      </c>
      <c r="F45" s="205"/>
      <c r="G45" s="205"/>
      <c r="H45" s="205"/>
      <c r="I45" s="205"/>
      <c r="J45" s="215">
        <v>35000</v>
      </c>
      <c r="K45" s="151">
        <v>89000</v>
      </c>
      <c r="L45" s="151">
        <v>162000</v>
      </c>
      <c r="M45" s="218"/>
      <c r="N45" s="218">
        <v>219000</v>
      </c>
      <c r="O45" s="14"/>
      <c r="P45" s="28"/>
      <c r="Q45" s="42"/>
      <c r="R45" s="4"/>
      <c r="S45" s="4"/>
      <c r="T45" s="4"/>
    </row>
    <row r="46" spans="1:20" ht="137.44999999999999" customHeight="1" x14ac:dyDescent="0.25">
      <c r="A46" s="207"/>
      <c r="B46" s="376" t="s">
        <v>44</v>
      </c>
      <c r="C46" s="180" t="s">
        <v>37</v>
      </c>
      <c r="D46" s="208" t="s">
        <v>26</v>
      </c>
      <c r="E46" s="209"/>
      <c r="F46" s="210"/>
      <c r="G46" s="228"/>
      <c r="H46" s="210"/>
      <c r="I46" s="210"/>
      <c r="J46" s="210">
        <v>35258</v>
      </c>
      <c r="K46" s="210">
        <v>38783</v>
      </c>
      <c r="L46" s="210">
        <v>42661</v>
      </c>
      <c r="M46" s="210"/>
      <c r="N46" s="210">
        <v>42661</v>
      </c>
      <c r="O46" s="6"/>
      <c r="P46" s="20"/>
      <c r="Q46" s="18"/>
      <c r="R46" s="4"/>
      <c r="S46" s="4"/>
      <c r="T46" s="4"/>
    </row>
    <row r="47" spans="1:20" ht="112.9" customHeight="1" x14ac:dyDescent="0.25">
      <c r="A47" s="207"/>
      <c r="B47" s="376"/>
      <c r="C47" s="180" t="s">
        <v>36</v>
      </c>
      <c r="D47" s="208" t="s">
        <v>77</v>
      </c>
      <c r="E47" s="209"/>
      <c r="F47" s="210"/>
      <c r="G47" s="228"/>
      <c r="H47" s="210"/>
      <c r="I47" s="210"/>
      <c r="J47" s="210"/>
      <c r="K47" s="210"/>
      <c r="L47" s="210"/>
      <c r="M47" s="210"/>
      <c r="N47" s="210"/>
      <c r="O47" s="6"/>
      <c r="P47" s="20"/>
      <c r="Q47" s="18"/>
      <c r="R47" s="4"/>
      <c r="S47" s="4"/>
      <c r="T47" s="4"/>
    </row>
    <row r="48" spans="1:20" ht="126" customHeight="1" x14ac:dyDescent="0.25">
      <c r="A48" s="211"/>
      <c r="B48" s="376"/>
      <c r="C48" s="185" t="s">
        <v>38</v>
      </c>
      <c r="D48" s="185" t="s">
        <v>26</v>
      </c>
      <c r="E48" s="181"/>
      <c r="F48" s="182"/>
      <c r="G48" s="228"/>
      <c r="H48" s="210"/>
      <c r="I48" s="210"/>
      <c r="J48" s="210"/>
      <c r="K48" s="210"/>
      <c r="L48" s="210"/>
      <c r="M48" s="210"/>
      <c r="N48" s="210"/>
      <c r="O48" s="6"/>
      <c r="P48" s="20"/>
      <c r="Q48" s="18"/>
      <c r="R48" s="4"/>
      <c r="S48" s="4"/>
      <c r="T48" s="4"/>
    </row>
    <row r="49" spans="1:20" ht="33" customHeight="1" x14ac:dyDescent="0.25">
      <c r="A49" s="212"/>
      <c r="B49" s="195" t="s">
        <v>82</v>
      </c>
      <c r="C49" s="213"/>
      <c r="D49" s="213"/>
      <c r="E49" s="179"/>
      <c r="F49" s="214"/>
      <c r="G49" s="151"/>
      <c r="H49" s="215"/>
      <c r="I49" s="215"/>
      <c r="J49" s="227">
        <f>SUM(J46:J48)</f>
        <v>35258</v>
      </c>
      <c r="K49" s="227">
        <f>SUM(K46:K48)</f>
        <v>38783</v>
      </c>
      <c r="L49" s="227">
        <f>SUM(L46:L48)</f>
        <v>42661</v>
      </c>
      <c r="M49" s="227"/>
      <c r="N49" s="227">
        <f>SUM(N46:N48)</f>
        <v>42661</v>
      </c>
      <c r="O49" s="11"/>
      <c r="P49" s="20"/>
      <c r="Q49" s="18"/>
      <c r="R49" s="4"/>
      <c r="S49" s="4"/>
      <c r="T49" s="4"/>
    </row>
    <row r="50" spans="1:20" ht="83.45" customHeight="1" x14ac:dyDescent="0.25">
      <c r="A50" s="216"/>
      <c r="B50" s="195"/>
      <c r="C50" s="150"/>
      <c r="D50" s="179"/>
      <c r="E50" s="217" t="s">
        <v>84</v>
      </c>
      <c r="F50" s="215"/>
      <c r="G50" s="151"/>
      <c r="H50" s="215"/>
      <c r="I50" s="215"/>
      <c r="J50" s="218">
        <f>SUM(J46)</f>
        <v>35258</v>
      </c>
      <c r="K50" s="219">
        <f>SUM(K46)</f>
        <v>38783</v>
      </c>
      <c r="L50" s="219">
        <f>SUM(L46)</f>
        <v>42661</v>
      </c>
      <c r="M50" s="219"/>
      <c r="N50" s="219">
        <f>SUM(N46)</f>
        <v>42661</v>
      </c>
      <c r="O50" s="31"/>
      <c r="P50" s="20"/>
      <c r="Q50" s="18"/>
      <c r="R50" s="4"/>
      <c r="S50" s="4"/>
      <c r="T50" s="4"/>
    </row>
    <row r="51" spans="1:20" ht="47.25" customHeight="1" x14ac:dyDescent="0.25">
      <c r="A51" s="220"/>
      <c r="B51" s="376" t="s">
        <v>86</v>
      </c>
      <c r="C51" s="172" t="s">
        <v>78</v>
      </c>
      <c r="D51" s="387" t="s">
        <v>39</v>
      </c>
      <c r="E51" s="158"/>
      <c r="F51" s="210"/>
      <c r="G51" s="210"/>
      <c r="H51" s="210"/>
      <c r="I51" s="210"/>
      <c r="J51" s="210">
        <v>126060</v>
      </c>
      <c r="K51" s="210">
        <v>126060</v>
      </c>
      <c r="L51" s="210">
        <v>126060</v>
      </c>
      <c r="M51" s="210"/>
      <c r="N51" s="210">
        <v>126060</v>
      </c>
      <c r="O51" s="56"/>
      <c r="P51" s="20"/>
      <c r="Q51" s="3"/>
      <c r="R51" s="4"/>
      <c r="S51" s="4"/>
      <c r="T51" s="4"/>
    </row>
    <row r="52" spans="1:20" ht="48.75" customHeight="1" x14ac:dyDescent="0.25">
      <c r="A52" s="220"/>
      <c r="B52" s="376"/>
      <c r="C52" s="172" t="s">
        <v>40</v>
      </c>
      <c r="D52" s="388"/>
      <c r="E52" s="158"/>
      <c r="F52" s="210"/>
      <c r="G52" s="210"/>
      <c r="H52" s="210"/>
      <c r="I52" s="210"/>
      <c r="J52" s="210">
        <v>51552</v>
      </c>
      <c r="K52" s="210">
        <v>51552</v>
      </c>
      <c r="L52" s="210">
        <v>51552</v>
      </c>
      <c r="M52" s="210"/>
      <c r="N52" s="210">
        <v>51552</v>
      </c>
      <c r="O52" s="6"/>
      <c r="P52" s="20"/>
      <c r="Q52" s="146"/>
      <c r="R52" s="4"/>
      <c r="S52" s="4"/>
      <c r="T52" s="4"/>
    </row>
    <row r="53" spans="1:20" ht="33.75" customHeight="1" x14ac:dyDescent="0.25">
      <c r="A53" s="221"/>
      <c r="B53" s="195" t="s">
        <v>82</v>
      </c>
      <c r="C53" s="201"/>
      <c r="D53" s="222"/>
      <c r="E53" s="217"/>
      <c r="F53" s="215"/>
      <c r="G53" s="215"/>
      <c r="H53" s="215"/>
      <c r="I53" s="215"/>
      <c r="J53" s="356">
        <f>SUM(J51:J52)</f>
        <v>177612</v>
      </c>
      <c r="K53" s="356">
        <f>SUM(K51:K52)</f>
        <v>177612</v>
      </c>
      <c r="L53" s="356">
        <f>SUM(L51:L52)</f>
        <v>177612</v>
      </c>
      <c r="M53" s="356"/>
      <c r="N53" s="356">
        <f>SUM(N51:N52)</f>
        <v>177612</v>
      </c>
      <c r="O53" s="11"/>
      <c r="P53" s="20"/>
      <c r="Q53" s="104"/>
      <c r="R53" s="4"/>
      <c r="S53" s="4"/>
      <c r="T53" s="4"/>
    </row>
    <row r="54" spans="1:20" s="30" customFormat="1" ht="75.75" customHeight="1" x14ac:dyDescent="0.25">
      <c r="A54" s="221"/>
      <c r="B54" s="195"/>
      <c r="C54" s="201"/>
      <c r="D54" s="222"/>
      <c r="E54" s="217" t="s">
        <v>84</v>
      </c>
      <c r="F54" s="215"/>
      <c r="G54" s="215"/>
      <c r="H54" s="215"/>
      <c r="I54" s="215"/>
      <c r="J54" s="215">
        <f>SUM(J51:J52)</f>
        <v>177612</v>
      </c>
      <c r="K54" s="215">
        <f>SUM(K51:K52)</f>
        <v>177612</v>
      </c>
      <c r="L54" s="215">
        <f>SUM(L51:L52)</f>
        <v>177612</v>
      </c>
      <c r="M54" s="215"/>
      <c r="N54" s="215">
        <f>SUM(N51:N52)</f>
        <v>177612</v>
      </c>
      <c r="O54" s="11"/>
      <c r="P54" s="20"/>
      <c r="Q54" s="146"/>
      <c r="R54" s="29"/>
      <c r="S54" s="29"/>
      <c r="T54" s="29"/>
    </row>
    <row r="55" spans="1:20" ht="171.75" customHeight="1" x14ac:dyDescent="0.25">
      <c r="A55" s="223"/>
      <c r="B55" s="224" t="s">
        <v>284</v>
      </c>
      <c r="C55" s="225" t="s">
        <v>73</v>
      </c>
      <c r="D55" s="226" t="s">
        <v>316</v>
      </c>
      <c r="E55" s="158"/>
      <c r="F55" s="210"/>
      <c r="G55" s="188"/>
      <c r="H55" s="210"/>
      <c r="I55" s="210"/>
      <c r="J55" s="188">
        <v>23840</v>
      </c>
      <c r="K55" s="210">
        <v>21840</v>
      </c>
      <c r="L55" s="210">
        <v>21840</v>
      </c>
      <c r="M55" s="210"/>
      <c r="N55" s="210">
        <v>21840</v>
      </c>
      <c r="O55" s="6"/>
      <c r="P55" s="20"/>
      <c r="Q55" s="146"/>
      <c r="R55" s="4"/>
      <c r="S55" s="4"/>
      <c r="T55" s="4"/>
    </row>
    <row r="56" spans="1:20" ht="33.75" customHeight="1" x14ac:dyDescent="0.25">
      <c r="A56" s="216"/>
      <c r="B56" s="195" t="s">
        <v>82</v>
      </c>
      <c r="C56" s="150"/>
      <c r="D56" s="179"/>
      <c r="E56" s="217"/>
      <c r="F56" s="215"/>
      <c r="G56" s="151"/>
      <c r="H56" s="215"/>
      <c r="I56" s="215"/>
      <c r="J56" s="227">
        <f>SUM(J55:J55)</f>
        <v>23840</v>
      </c>
      <c r="K56" s="227">
        <f t="shared" ref="K56:L56" si="4">SUM(K55:K55)</f>
        <v>21840</v>
      </c>
      <c r="L56" s="227">
        <f t="shared" si="4"/>
        <v>21840</v>
      </c>
      <c r="M56" s="227"/>
      <c r="N56" s="227">
        <f t="shared" ref="N56" si="5">SUM(N55:N55)</f>
        <v>21840</v>
      </c>
      <c r="O56" s="11"/>
      <c r="P56" s="20"/>
      <c r="Q56" s="4"/>
      <c r="R56" s="4"/>
      <c r="S56" s="4"/>
      <c r="T56" s="4"/>
    </row>
    <row r="57" spans="1:20" s="30" customFormat="1" ht="32.25" customHeight="1" x14ac:dyDescent="0.25">
      <c r="A57" s="216"/>
      <c r="B57" s="195"/>
      <c r="C57" s="150"/>
      <c r="D57" s="179"/>
      <c r="E57" s="217" t="s">
        <v>278</v>
      </c>
      <c r="F57" s="215"/>
      <c r="G57" s="151"/>
      <c r="H57" s="215"/>
      <c r="I57" s="215"/>
      <c r="J57" s="218">
        <f>SUM(J55:J55)</f>
        <v>23840</v>
      </c>
      <c r="K57" s="218">
        <f t="shared" ref="K57:N57" si="6">SUM(K55:K55)</f>
        <v>21840</v>
      </c>
      <c r="L57" s="218">
        <f t="shared" si="6"/>
        <v>21840</v>
      </c>
      <c r="M57" s="218"/>
      <c r="N57" s="218">
        <f t="shared" si="6"/>
        <v>21840</v>
      </c>
      <c r="O57" s="31"/>
      <c r="P57" s="20"/>
      <c r="Q57" s="29"/>
      <c r="R57" s="29"/>
      <c r="S57" s="29"/>
      <c r="T57" s="29"/>
    </row>
    <row r="58" spans="1:20" ht="78" customHeight="1" x14ac:dyDescent="0.25">
      <c r="A58" s="377"/>
      <c r="B58" s="385" t="s">
        <v>317</v>
      </c>
      <c r="C58" s="384" t="s">
        <v>318</v>
      </c>
      <c r="D58" s="384" t="s">
        <v>31</v>
      </c>
      <c r="E58" s="373"/>
      <c r="F58" s="372"/>
      <c r="G58" s="372"/>
      <c r="H58" s="372"/>
      <c r="I58" s="372"/>
      <c r="J58" s="372"/>
      <c r="K58" s="372"/>
      <c r="L58" s="372"/>
      <c r="M58" s="372"/>
      <c r="N58" s="372"/>
      <c r="O58" s="374"/>
      <c r="P58" s="23"/>
      <c r="Q58" s="4"/>
      <c r="R58" s="4"/>
      <c r="S58" s="4"/>
      <c r="T58" s="4"/>
    </row>
    <row r="59" spans="1:20" ht="31.5" customHeight="1" x14ac:dyDescent="0.25">
      <c r="A59" s="377"/>
      <c r="B59" s="385"/>
      <c r="C59" s="384"/>
      <c r="D59" s="384"/>
      <c r="E59" s="373"/>
      <c r="F59" s="372"/>
      <c r="G59" s="372"/>
      <c r="H59" s="372"/>
      <c r="I59" s="372"/>
      <c r="J59" s="372"/>
      <c r="K59" s="372"/>
      <c r="L59" s="372"/>
      <c r="M59" s="372"/>
      <c r="N59" s="372"/>
      <c r="O59" s="375"/>
      <c r="P59" s="23"/>
      <c r="Q59" s="4"/>
      <c r="R59" s="4"/>
      <c r="S59" s="4"/>
      <c r="T59" s="4"/>
    </row>
    <row r="60" spans="1:20" ht="37.5" customHeight="1" x14ac:dyDescent="0.25">
      <c r="A60" s="216"/>
      <c r="B60" s="195" t="s">
        <v>82</v>
      </c>
      <c r="C60" s="201"/>
      <c r="D60" s="201"/>
      <c r="E60" s="150"/>
      <c r="F60" s="151"/>
      <c r="G60" s="151"/>
      <c r="H60" s="151"/>
      <c r="I60" s="151"/>
      <c r="J60" s="151"/>
      <c r="K60" s="151"/>
      <c r="L60" s="151"/>
      <c r="M60" s="151"/>
      <c r="N60" s="151"/>
      <c r="O60" s="15"/>
      <c r="P60" s="23"/>
      <c r="Q60" s="4"/>
      <c r="R60" s="4"/>
      <c r="S60" s="4"/>
      <c r="T60" s="4"/>
    </row>
    <row r="61" spans="1:20" ht="57.6" customHeight="1" x14ac:dyDescent="0.25">
      <c r="A61" s="220"/>
      <c r="B61" s="179" t="s">
        <v>285</v>
      </c>
      <c r="C61" s="180" t="s">
        <v>54</v>
      </c>
      <c r="D61" s="180" t="s">
        <v>55</v>
      </c>
      <c r="E61" s="158"/>
      <c r="F61" s="210"/>
      <c r="G61" s="210"/>
      <c r="H61" s="210"/>
      <c r="I61" s="210"/>
      <c r="J61" s="171"/>
      <c r="K61" s="210"/>
      <c r="L61" s="210"/>
      <c r="M61" s="210"/>
      <c r="N61" s="210"/>
      <c r="O61" s="6"/>
      <c r="P61" s="20"/>
      <c r="Q61" s="4"/>
      <c r="R61" s="4"/>
      <c r="S61" s="4"/>
      <c r="T61" s="4"/>
    </row>
    <row r="62" spans="1:20" ht="33" customHeight="1" x14ac:dyDescent="0.25">
      <c r="A62" s="216"/>
      <c r="B62" s="195" t="s">
        <v>82</v>
      </c>
      <c r="C62" s="201"/>
      <c r="D62" s="201"/>
      <c r="E62" s="150"/>
      <c r="F62" s="151"/>
      <c r="G62" s="151"/>
      <c r="H62" s="151"/>
      <c r="I62" s="151"/>
      <c r="J62" s="151"/>
      <c r="K62" s="229"/>
      <c r="L62" s="229"/>
      <c r="M62" s="229"/>
      <c r="N62" s="229"/>
      <c r="O62" s="15"/>
      <c r="P62" s="23"/>
      <c r="Q62" s="4"/>
      <c r="R62" s="4"/>
      <c r="S62" s="4"/>
      <c r="T62" s="4"/>
    </row>
    <row r="63" spans="1:20" ht="93.6" customHeight="1" x14ac:dyDescent="0.25">
      <c r="A63" s="161"/>
      <c r="B63" s="224" t="s">
        <v>45</v>
      </c>
      <c r="C63" s="180" t="s">
        <v>319</v>
      </c>
      <c r="D63" s="180" t="s">
        <v>56</v>
      </c>
      <c r="E63" s="158"/>
      <c r="F63" s="228"/>
      <c r="G63" s="210"/>
      <c r="H63" s="210"/>
      <c r="I63" s="210"/>
      <c r="J63" s="210"/>
      <c r="K63" s="210"/>
      <c r="L63" s="210"/>
      <c r="M63" s="210"/>
      <c r="N63" s="210"/>
      <c r="O63" s="6"/>
      <c r="P63" s="20"/>
      <c r="Q63" s="4"/>
      <c r="R63" s="4"/>
      <c r="S63" s="4"/>
      <c r="T63" s="4"/>
    </row>
    <row r="64" spans="1:20" ht="36" customHeight="1" x14ac:dyDescent="0.25">
      <c r="A64" s="161"/>
      <c r="B64" s="224"/>
      <c r="C64" s="180" t="s">
        <v>57</v>
      </c>
      <c r="D64" s="180" t="s">
        <v>58</v>
      </c>
      <c r="E64" s="158"/>
      <c r="F64" s="210"/>
      <c r="G64" s="228"/>
      <c r="H64" s="210"/>
      <c r="I64" s="210"/>
      <c r="J64" s="210"/>
      <c r="K64" s="210"/>
      <c r="L64" s="210"/>
      <c r="M64" s="210"/>
      <c r="N64" s="210"/>
      <c r="O64" s="6"/>
      <c r="P64" s="20"/>
      <c r="Q64" s="4"/>
      <c r="R64" s="4"/>
      <c r="S64" s="4"/>
      <c r="T64" s="4"/>
    </row>
    <row r="65" spans="1:20" ht="124.5" customHeight="1" x14ac:dyDescent="0.25">
      <c r="A65" s="161"/>
      <c r="B65" s="224"/>
      <c r="C65" s="202" t="s">
        <v>59</v>
      </c>
      <c r="D65" s="202" t="s">
        <v>26</v>
      </c>
      <c r="E65" s="158"/>
      <c r="F65" s="210"/>
      <c r="G65" s="228"/>
      <c r="H65" s="210"/>
      <c r="I65" s="210"/>
      <c r="J65" s="210"/>
      <c r="K65" s="210"/>
      <c r="L65" s="210"/>
      <c r="M65" s="210"/>
      <c r="N65" s="210"/>
      <c r="O65" s="6"/>
      <c r="P65" s="20"/>
      <c r="Q65" s="4"/>
      <c r="R65" s="4"/>
      <c r="S65" s="4"/>
      <c r="T65" s="4"/>
    </row>
    <row r="66" spans="1:20" ht="67.5" customHeight="1" x14ac:dyDescent="0.25">
      <c r="A66" s="161"/>
      <c r="B66" s="224"/>
      <c r="C66" s="202" t="s">
        <v>60</v>
      </c>
      <c r="D66" s="180" t="s">
        <v>61</v>
      </c>
      <c r="E66" s="158"/>
      <c r="F66" s="210"/>
      <c r="G66" s="228"/>
      <c r="H66" s="228"/>
      <c r="I66" s="210"/>
      <c r="J66" s="210"/>
      <c r="K66" s="210"/>
      <c r="L66" s="210"/>
      <c r="M66" s="210"/>
      <c r="N66" s="210"/>
      <c r="O66" s="6"/>
      <c r="P66" s="20"/>
    </row>
    <row r="67" spans="1:20" ht="85.9" customHeight="1" x14ac:dyDescent="0.25">
      <c r="A67" s="211"/>
      <c r="B67" s="224"/>
      <c r="C67" s="384" t="s">
        <v>62</v>
      </c>
      <c r="D67" s="180" t="s">
        <v>63</v>
      </c>
      <c r="E67" s="158"/>
      <c r="F67" s="210"/>
      <c r="G67" s="228"/>
      <c r="H67" s="228"/>
      <c r="I67" s="210"/>
      <c r="J67" s="210"/>
      <c r="K67" s="210"/>
      <c r="L67" s="210"/>
      <c r="M67" s="210"/>
      <c r="N67" s="210"/>
      <c r="O67" s="6"/>
      <c r="P67" s="20"/>
    </row>
    <row r="68" spans="1:20" ht="105.75" customHeight="1" x14ac:dyDescent="0.25">
      <c r="A68" s="161"/>
      <c r="B68" s="224"/>
      <c r="C68" s="384"/>
      <c r="D68" s="230" t="s">
        <v>64</v>
      </c>
      <c r="E68" s="158"/>
      <c r="F68" s="210"/>
      <c r="G68" s="268"/>
      <c r="H68" s="228"/>
      <c r="I68" s="210"/>
      <c r="J68" s="210"/>
      <c r="K68" s="210"/>
      <c r="L68" s="210"/>
      <c r="M68" s="210"/>
      <c r="N68" s="210"/>
      <c r="O68" s="6"/>
      <c r="P68" s="20"/>
    </row>
    <row r="69" spans="1:20" ht="31.9" customHeight="1" x14ac:dyDescent="0.25">
      <c r="A69" s="216"/>
      <c r="B69" s="195" t="s">
        <v>82</v>
      </c>
      <c r="C69" s="201"/>
      <c r="D69" s="201"/>
      <c r="E69" s="150"/>
      <c r="F69" s="151"/>
      <c r="G69" s="151"/>
      <c r="H69" s="151"/>
      <c r="I69" s="151"/>
      <c r="J69" s="151"/>
      <c r="K69" s="229"/>
      <c r="L69" s="229"/>
      <c r="M69" s="229"/>
      <c r="N69" s="229"/>
      <c r="O69" s="15"/>
      <c r="P69" s="23"/>
    </row>
    <row r="70" spans="1:20" ht="86.25" customHeight="1" x14ac:dyDescent="0.25">
      <c r="A70" s="161"/>
      <c r="B70" s="376" t="s">
        <v>46</v>
      </c>
      <c r="C70" s="180" t="s">
        <v>65</v>
      </c>
      <c r="D70" s="180" t="s">
        <v>66</v>
      </c>
      <c r="E70" s="158"/>
      <c r="F70" s="210"/>
      <c r="G70" s="210"/>
      <c r="H70" s="210"/>
      <c r="I70" s="210"/>
      <c r="J70" s="210"/>
      <c r="K70" s="210"/>
      <c r="L70" s="210"/>
      <c r="M70" s="210"/>
      <c r="N70" s="210"/>
      <c r="O70" s="6"/>
      <c r="P70" s="20"/>
    </row>
    <row r="71" spans="1:20" ht="66.75" customHeight="1" x14ac:dyDescent="0.25">
      <c r="A71" s="161"/>
      <c r="B71" s="376"/>
      <c r="C71" s="180" t="s">
        <v>67</v>
      </c>
      <c r="D71" s="180" t="s">
        <v>68</v>
      </c>
      <c r="E71" s="158"/>
      <c r="F71" s="210"/>
      <c r="G71" s="210"/>
      <c r="H71" s="169"/>
      <c r="I71" s="210"/>
      <c r="J71" s="210"/>
      <c r="K71" s="210"/>
      <c r="L71" s="210"/>
      <c r="M71" s="210"/>
      <c r="N71" s="210"/>
      <c r="O71" s="6"/>
      <c r="P71" s="20"/>
    </row>
    <row r="72" spans="1:20" ht="27.75" customHeight="1" x14ac:dyDescent="0.25">
      <c r="A72" s="216"/>
      <c r="B72" s="195" t="s">
        <v>82</v>
      </c>
      <c r="C72" s="201"/>
      <c r="D72" s="201"/>
      <c r="E72" s="150"/>
      <c r="F72" s="151"/>
      <c r="G72" s="151"/>
      <c r="H72" s="151"/>
      <c r="I72" s="151"/>
      <c r="J72" s="151"/>
      <c r="K72" s="229"/>
      <c r="L72" s="229"/>
      <c r="M72" s="229"/>
      <c r="N72" s="229"/>
      <c r="O72" s="15"/>
      <c r="P72" s="23"/>
    </row>
    <row r="73" spans="1:20" ht="33" customHeight="1" x14ac:dyDescent="0.25">
      <c r="A73" s="360"/>
      <c r="B73" s="363" t="s">
        <v>47</v>
      </c>
      <c r="C73" s="366" t="s">
        <v>69</v>
      </c>
      <c r="D73" s="163" t="s">
        <v>26</v>
      </c>
      <c r="E73" s="192"/>
      <c r="F73" s="160"/>
      <c r="G73" s="160"/>
      <c r="H73" s="160"/>
      <c r="I73" s="160"/>
      <c r="J73" s="160">
        <v>72000</v>
      </c>
      <c r="K73" s="231">
        <v>68000</v>
      </c>
      <c r="L73" s="231">
        <v>68000</v>
      </c>
      <c r="M73" s="231"/>
      <c r="N73" s="231"/>
      <c r="O73" s="33"/>
      <c r="P73" s="23"/>
    </row>
    <row r="74" spans="1:20" ht="15.75" customHeight="1" x14ac:dyDescent="0.25">
      <c r="A74" s="361"/>
      <c r="B74" s="364"/>
      <c r="C74" s="367"/>
      <c r="D74" s="371" t="s">
        <v>74</v>
      </c>
      <c r="E74" s="380"/>
      <c r="F74" s="372"/>
      <c r="G74" s="372"/>
      <c r="H74" s="373"/>
      <c r="I74" s="372"/>
      <c r="J74" s="372"/>
      <c r="K74" s="369"/>
      <c r="L74" s="369">
        <v>13905</v>
      </c>
      <c r="M74" s="369"/>
      <c r="N74" s="369">
        <v>13905</v>
      </c>
      <c r="O74" s="374"/>
      <c r="P74" s="23"/>
    </row>
    <row r="75" spans="1:20" ht="21.75" customHeight="1" x14ac:dyDescent="0.25">
      <c r="A75" s="362"/>
      <c r="B75" s="365"/>
      <c r="C75" s="368"/>
      <c r="D75" s="371"/>
      <c r="E75" s="380"/>
      <c r="F75" s="372"/>
      <c r="G75" s="372"/>
      <c r="H75" s="373"/>
      <c r="I75" s="372"/>
      <c r="J75" s="372"/>
      <c r="K75" s="370"/>
      <c r="L75" s="370"/>
      <c r="M75" s="370"/>
      <c r="N75" s="370"/>
      <c r="O75" s="375"/>
      <c r="P75" s="23"/>
    </row>
    <row r="76" spans="1:20" ht="30.75" customHeight="1" x14ac:dyDescent="0.25">
      <c r="A76" s="216"/>
      <c r="B76" s="174" t="s">
        <v>82</v>
      </c>
      <c r="C76" s="201"/>
      <c r="D76" s="201"/>
      <c r="E76" s="150"/>
      <c r="F76" s="151"/>
      <c r="G76" s="151"/>
      <c r="H76" s="151"/>
      <c r="I76" s="151"/>
      <c r="J76" s="152">
        <f>SUM(J73)</f>
        <v>72000</v>
      </c>
      <c r="K76" s="232">
        <f>SUM(K73)</f>
        <v>68000</v>
      </c>
      <c r="L76" s="232">
        <f>SUM(L73+L74)</f>
        <v>81905</v>
      </c>
      <c r="M76" s="232"/>
      <c r="N76" s="232">
        <v>13905</v>
      </c>
      <c r="O76" s="15"/>
      <c r="P76" s="23"/>
    </row>
    <row r="77" spans="1:20" ht="82.5" customHeight="1" x14ac:dyDescent="0.25">
      <c r="A77" s="216"/>
      <c r="B77" s="204"/>
      <c r="C77" s="150"/>
      <c r="D77" s="179"/>
      <c r="E77" s="217" t="s">
        <v>85</v>
      </c>
      <c r="F77" s="215"/>
      <c r="G77" s="151"/>
      <c r="H77" s="215"/>
      <c r="I77" s="215"/>
      <c r="J77" s="218">
        <f>SUM(J73)</f>
        <v>72000</v>
      </c>
      <c r="K77" s="215">
        <f>SUM(K73)</f>
        <v>68000</v>
      </c>
      <c r="L77" s="215">
        <f>SUM(L73+L74)</f>
        <v>81905</v>
      </c>
      <c r="M77" s="215"/>
      <c r="N77" s="229">
        <v>13905</v>
      </c>
      <c r="O77" s="11"/>
    </row>
    <row r="81" spans="2:5" ht="18.75" x14ac:dyDescent="0.3">
      <c r="B81" s="357" t="s">
        <v>390</v>
      </c>
      <c r="E81" s="357" t="s">
        <v>391</v>
      </c>
    </row>
  </sheetData>
  <mergeCells count="53">
    <mergeCell ref="I1:N1"/>
    <mergeCell ref="D51:D52"/>
    <mergeCell ref="O3:O5"/>
    <mergeCell ref="C22:C23"/>
    <mergeCell ref="E74:E75"/>
    <mergeCell ref="F74:F75"/>
    <mergeCell ref="E58:E59"/>
    <mergeCell ref="F58:F59"/>
    <mergeCell ref="C11:C20"/>
    <mergeCell ref="D58:D59"/>
    <mergeCell ref="J58:J59"/>
    <mergeCell ref="G58:G59"/>
    <mergeCell ref="H58:H59"/>
    <mergeCell ref="I58:I59"/>
    <mergeCell ref="M74:M75"/>
    <mergeCell ref="N74:N75"/>
    <mergeCell ref="O74:O75"/>
    <mergeCell ref="A2:M2"/>
    <mergeCell ref="C9:C10"/>
    <mergeCell ref="A3:A5"/>
    <mergeCell ref="E3:E5"/>
    <mergeCell ref="F3:H4"/>
    <mergeCell ref="I3:N3"/>
    <mergeCell ref="M4:M5"/>
    <mergeCell ref="N4:N5"/>
    <mergeCell ref="B3:D5"/>
    <mergeCell ref="B9:B24"/>
    <mergeCell ref="A34:A36"/>
    <mergeCell ref="C58:C59"/>
    <mergeCell ref="C67:C68"/>
    <mergeCell ref="B70:B71"/>
    <mergeCell ref="B58:B59"/>
    <mergeCell ref="B51:B52"/>
    <mergeCell ref="B46:B48"/>
    <mergeCell ref="A58:A59"/>
    <mergeCell ref="C34:C35"/>
    <mergeCell ref="B34:B36"/>
    <mergeCell ref="Q34:Q36"/>
    <mergeCell ref="A73:A75"/>
    <mergeCell ref="B73:B75"/>
    <mergeCell ref="C73:C75"/>
    <mergeCell ref="K74:K75"/>
    <mergeCell ref="L74:L75"/>
    <mergeCell ref="D74:D75"/>
    <mergeCell ref="G74:G75"/>
    <mergeCell ref="J74:J75"/>
    <mergeCell ref="H74:H75"/>
    <mergeCell ref="I74:I75"/>
    <mergeCell ref="K58:K59"/>
    <mergeCell ref="L58:L59"/>
    <mergeCell ref="M58:M59"/>
    <mergeCell ref="N58:N59"/>
    <mergeCell ref="O58:O59"/>
  </mergeCells>
  <pageMargins left="0.23622047244094491" right="0.23622047244094491" top="0.35433070866141736" bottom="0.15748031496062992"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opLeftCell="A10" workbookViewId="0">
      <selection activeCell="E28" sqref="E28"/>
    </sheetView>
  </sheetViews>
  <sheetFormatPr defaultRowHeight="15" x14ac:dyDescent="0.25"/>
  <cols>
    <col min="1" max="1" width="29.140625" customWidth="1"/>
    <col min="6" max="6" width="10.42578125" customWidth="1"/>
  </cols>
  <sheetData>
    <row r="1" spans="1:17" ht="14.45" x14ac:dyDescent="0.3">
      <c r="A1" s="399" t="s">
        <v>228</v>
      </c>
      <c r="B1" s="399"/>
      <c r="C1" s="399"/>
      <c r="D1" s="399"/>
      <c r="E1" s="399"/>
      <c r="F1" s="399"/>
      <c r="G1" s="399"/>
    </row>
    <row r="2" spans="1:17" x14ac:dyDescent="0.25">
      <c r="A2" s="298"/>
      <c r="B2" s="299" t="s">
        <v>229</v>
      </c>
      <c r="C2" s="299" t="s">
        <v>230</v>
      </c>
      <c r="D2" s="299" t="s">
        <v>231</v>
      </c>
      <c r="E2" s="300"/>
      <c r="F2" s="300"/>
      <c r="G2" s="300"/>
      <c r="H2" s="300"/>
      <c r="I2" s="300"/>
      <c r="J2" s="300"/>
      <c r="K2" s="300"/>
      <c r="L2" s="300"/>
      <c r="M2" s="300"/>
      <c r="N2" s="300"/>
      <c r="O2" s="300"/>
      <c r="P2" s="300"/>
      <c r="Q2" s="300"/>
    </row>
    <row r="3" spans="1:17" x14ac:dyDescent="0.25">
      <c r="A3" s="298" t="s">
        <v>232</v>
      </c>
      <c r="B3" s="301">
        <f>B4+B5</f>
        <v>352830.14181818184</v>
      </c>
      <c r="C3" s="301">
        <f>C4+C5</f>
        <v>117610.04727272727</v>
      </c>
      <c r="D3" s="301">
        <f t="shared" ref="D3" si="0">D4+D5</f>
        <v>9800.8372727272726</v>
      </c>
      <c r="E3" s="300"/>
      <c r="F3" s="300"/>
      <c r="G3" s="300"/>
      <c r="H3" s="300"/>
      <c r="I3" s="300"/>
      <c r="J3" s="300"/>
      <c r="K3" s="300"/>
      <c r="L3" s="300"/>
      <c r="M3" s="300"/>
      <c r="N3" s="300"/>
      <c r="O3" s="300"/>
      <c r="P3" s="300"/>
      <c r="Q3" s="300"/>
    </row>
    <row r="4" spans="1:17" x14ac:dyDescent="0.25">
      <c r="A4" s="302" t="s">
        <v>233</v>
      </c>
      <c r="B4" s="314">
        <f>G18*12*3</f>
        <v>331266.14181818184</v>
      </c>
      <c r="C4" s="314">
        <f>G18*12</f>
        <v>110422.04727272727</v>
      </c>
      <c r="D4" s="314">
        <f>G18</f>
        <v>9201.8372727272726</v>
      </c>
      <c r="E4" s="300"/>
      <c r="F4" s="300"/>
      <c r="G4" s="300"/>
      <c r="H4" s="300"/>
      <c r="I4" s="300"/>
      <c r="J4" s="300"/>
      <c r="K4" s="300"/>
      <c r="L4" s="300"/>
      <c r="M4" s="300"/>
      <c r="N4" s="300"/>
      <c r="O4" s="300"/>
      <c r="P4" s="300"/>
      <c r="Q4" s="300"/>
    </row>
    <row r="5" spans="1:17" ht="14.45" x14ac:dyDescent="0.3">
      <c r="A5" s="302" t="s">
        <v>234</v>
      </c>
      <c r="B5" s="301">
        <f>B29</f>
        <v>21564</v>
      </c>
      <c r="C5" s="314">
        <f t="shared" ref="C5:D5" si="1">C29</f>
        <v>7188</v>
      </c>
      <c r="D5" s="314">
        <f t="shared" si="1"/>
        <v>599</v>
      </c>
      <c r="E5" s="300"/>
      <c r="F5" s="300"/>
      <c r="G5" s="300"/>
      <c r="H5" s="300"/>
      <c r="I5" s="300"/>
      <c r="J5" s="300"/>
      <c r="K5" s="300"/>
      <c r="L5" s="300"/>
      <c r="M5" s="300"/>
      <c r="N5" s="300"/>
      <c r="O5" s="300"/>
      <c r="P5" s="300"/>
      <c r="Q5" s="300"/>
    </row>
    <row r="6" spans="1:17" x14ac:dyDescent="0.25">
      <c r="A6" s="298" t="s">
        <v>235</v>
      </c>
      <c r="B6" s="301">
        <v>25350</v>
      </c>
      <c r="C6" s="301">
        <f>B6/3</f>
        <v>8450</v>
      </c>
      <c r="D6" s="301">
        <f>C6/12</f>
        <v>704.16666666666663</v>
      </c>
      <c r="E6" s="303" t="s">
        <v>236</v>
      </c>
      <c r="F6" s="300"/>
      <c r="G6" s="300"/>
      <c r="H6" s="300"/>
      <c r="I6" s="300"/>
      <c r="J6" s="300"/>
      <c r="K6" s="300"/>
      <c r="L6" s="300"/>
      <c r="M6" s="300"/>
      <c r="N6" s="300"/>
      <c r="O6" s="300"/>
      <c r="P6" s="300"/>
      <c r="Q6" s="300"/>
    </row>
    <row r="7" spans="1:17" x14ac:dyDescent="0.25">
      <c r="A7" s="304" t="s">
        <v>360</v>
      </c>
      <c r="B7" s="315">
        <f>B3+B6</f>
        <v>378180.14181818184</v>
      </c>
      <c r="C7" s="315">
        <f>C3+C6</f>
        <v>126060.04727272727</v>
      </c>
      <c r="D7" s="315">
        <f>C7/12</f>
        <v>10505.003939393939</v>
      </c>
      <c r="E7" s="300"/>
      <c r="F7" s="300"/>
      <c r="G7" s="300"/>
      <c r="H7" s="300"/>
      <c r="I7" s="300"/>
      <c r="J7" s="300"/>
      <c r="K7" s="300"/>
      <c r="L7" s="300"/>
      <c r="M7" s="300"/>
      <c r="N7" s="300"/>
      <c r="O7" s="300"/>
      <c r="P7" s="300"/>
      <c r="Q7" s="300"/>
    </row>
    <row r="8" spans="1:17" ht="14.45" x14ac:dyDescent="0.3">
      <c r="A8" s="300"/>
      <c r="B8" s="300"/>
      <c r="C8" s="300"/>
      <c r="D8" s="300"/>
      <c r="E8" s="300"/>
      <c r="F8" s="300"/>
      <c r="G8" s="300"/>
      <c r="H8" s="300"/>
      <c r="I8" s="300"/>
      <c r="J8" s="300"/>
      <c r="K8" s="300"/>
      <c r="L8" s="300"/>
      <c r="M8" s="300"/>
      <c r="N8" s="300"/>
      <c r="O8" s="300"/>
      <c r="P8" s="300"/>
      <c r="Q8" s="300"/>
    </row>
    <row r="9" spans="1:17" x14ac:dyDescent="0.25">
      <c r="A9" s="306" t="s">
        <v>238</v>
      </c>
      <c r="B9" s="300"/>
      <c r="C9" s="300"/>
      <c r="D9" s="300"/>
      <c r="E9" s="300"/>
      <c r="F9" s="300"/>
      <c r="G9" s="300"/>
      <c r="H9" s="300"/>
      <c r="I9" s="300"/>
      <c r="J9" s="300"/>
      <c r="K9" s="300"/>
      <c r="L9" s="300"/>
      <c r="M9" s="300"/>
      <c r="N9" s="300"/>
      <c r="O9" s="300"/>
      <c r="P9" s="300"/>
      <c r="Q9" s="300"/>
    </row>
    <row r="10" spans="1:17" ht="72" x14ac:dyDescent="0.25">
      <c r="A10" s="294" t="s">
        <v>239</v>
      </c>
      <c r="B10" s="307" t="s">
        <v>240</v>
      </c>
      <c r="C10" s="294" t="s">
        <v>241</v>
      </c>
      <c r="D10" s="294" t="s">
        <v>242</v>
      </c>
      <c r="E10" s="294" t="s">
        <v>243</v>
      </c>
      <c r="F10" s="316" t="s">
        <v>361</v>
      </c>
      <c r="G10" s="316" t="s">
        <v>362</v>
      </c>
      <c r="H10" s="300"/>
      <c r="I10" s="300"/>
      <c r="J10" s="300"/>
      <c r="K10" s="300"/>
      <c r="L10" s="300"/>
      <c r="M10" s="300"/>
      <c r="N10" s="300"/>
      <c r="O10" s="300"/>
      <c r="P10" s="300"/>
      <c r="Q10" s="300"/>
    </row>
    <row r="11" spans="1:17" ht="13.5" customHeight="1" x14ac:dyDescent="0.3">
      <c r="A11" s="295" t="s">
        <v>244</v>
      </c>
      <c r="B11" s="308">
        <v>1</v>
      </c>
      <c r="C11" s="309">
        <v>800</v>
      </c>
      <c r="D11" s="310">
        <f t="shared" ref="D11:D17" si="2">C11*0.2359</f>
        <v>188.72</v>
      </c>
      <c r="E11" s="310">
        <f>(C11+D11)*5%</f>
        <v>49.436000000000007</v>
      </c>
      <c r="F11" s="317">
        <f>(C11+D11+E11)*(1/11)</f>
        <v>94.377818181818185</v>
      </c>
      <c r="G11" s="318">
        <f>SUM(C11:F11)*B11</f>
        <v>1132.5338181818181</v>
      </c>
      <c r="H11" s="300"/>
      <c r="I11" s="300"/>
      <c r="J11" s="300"/>
      <c r="K11" s="300"/>
      <c r="L11" s="300"/>
      <c r="M11" s="300"/>
      <c r="N11" s="300"/>
      <c r="O11" s="300"/>
      <c r="P11" s="300"/>
      <c r="Q11" s="300"/>
    </row>
    <row r="12" spans="1:17" ht="28.5" customHeight="1" x14ac:dyDescent="0.25">
      <c r="A12" s="295" t="s">
        <v>245</v>
      </c>
      <c r="B12" s="308">
        <v>2</v>
      </c>
      <c r="C12" s="309">
        <v>1200</v>
      </c>
      <c r="D12" s="310">
        <f t="shared" si="2"/>
        <v>283.08</v>
      </c>
      <c r="E12" s="310">
        <f t="shared" ref="E12:E17" si="3">(C12+D12)*5%</f>
        <v>74.153999999999996</v>
      </c>
      <c r="F12" s="317">
        <f t="shared" ref="F12:F17" si="4">(C12+D12+E12)*(1/11)</f>
        <v>141.56672727272726</v>
      </c>
      <c r="G12" s="318">
        <f t="shared" ref="G12:G17" si="5">SUM(C12:F12)*B12</f>
        <v>3397.6014545454545</v>
      </c>
      <c r="H12" s="300"/>
      <c r="I12" s="300"/>
      <c r="J12" s="300"/>
      <c r="K12" s="300"/>
      <c r="L12" s="300"/>
      <c r="M12" s="300"/>
      <c r="N12" s="300"/>
      <c r="O12" s="300"/>
      <c r="P12" s="300"/>
      <c r="Q12" s="300"/>
    </row>
    <row r="13" spans="1:17" ht="25.5" customHeight="1" x14ac:dyDescent="0.25">
      <c r="A13" s="295" t="s">
        <v>246</v>
      </c>
      <c r="B13" s="308">
        <v>0.5</v>
      </c>
      <c r="C13" s="309">
        <v>1200</v>
      </c>
      <c r="D13" s="310">
        <f t="shared" si="2"/>
        <v>283.08</v>
      </c>
      <c r="E13" s="310">
        <f t="shared" si="3"/>
        <v>74.153999999999996</v>
      </c>
      <c r="F13" s="317">
        <f t="shared" si="4"/>
        <v>141.56672727272726</v>
      </c>
      <c r="G13" s="318">
        <f t="shared" si="5"/>
        <v>849.40036363636364</v>
      </c>
      <c r="H13" s="300"/>
      <c r="I13" s="300"/>
      <c r="J13" s="300"/>
      <c r="K13" s="300"/>
      <c r="L13" s="300"/>
      <c r="M13" s="300"/>
      <c r="N13" s="300"/>
      <c r="O13" s="300"/>
      <c r="P13" s="300"/>
      <c r="Q13" s="300"/>
    </row>
    <row r="14" spans="1:17" x14ac:dyDescent="0.25">
      <c r="A14" s="295" t="s">
        <v>247</v>
      </c>
      <c r="B14" s="308">
        <v>1</v>
      </c>
      <c r="C14" s="309">
        <v>800</v>
      </c>
      <c r="D14" s="310">
        <f t="shared" si="2"/>
        <v>188.72</v>
      </c>
      <c r="E14" s="310">
        <f t="shared" si="3"/>
        <v>49.436000000000007</v>
      </c>
      <c r="F14" s="317">
        <f t="shared" si="4"/>
        <v>94.377818181818185</v>
      </c>
      <c r="G14" s="318">
        <f t="shared" si="5"/>
        <v>1132.5338181818181</v>
      </c>
      <c r="H14" s="300"/>
      <c r="I14" s="300"/>
      <c r="J14" s="300"/>
      <c r="K14" s="300"/>
      <c r="L14" s="300"/>
      <c r="M14" s="300"/>
      <c r="N14" s="300"/>
      <c r="O14" s="300"/>
      <c r="P14" s="300"/>
      <c r="Q14" s="300"/>
    </row>
    <row r="15" spans="1:17" ht="14.45" x14ac:dyDescent="0.3">
      <c r="A15" s="295" t="s">
        <v>248</v>
      </c>
      <c r="B15" s="308">
        <v>1</v>
      </c>
      <c r="C15" s="309">
        <v>800</v>
      </c>
      <c r="D15" s="310">
        <f t="shared" si="2"/>
        <v>188.72</v>
      </c>
      <c r="E15" s="310">
        <f t="shared" si="3"/>
        <v>49.436000000000007</v>
      </c>
      <c r="F15" s="317">
        <f t="shared" si="4"/>
        <v>94.377818181818185</v>
      </c>
      <c r="G15" s="318">
        <f t="shared" si="5"/>
        <v>1132.5338181818181</v>
      </c>
      <c r="H15" s="300"/>
      <c r="I15" s="300"/>
      <c r="J15" s="300"/>
      <c r="K15" s="300"/>
      <c r="L15" s="300"/>
      <c r="M15" s="300"/>
      <c r="N15" s="300"/>
      <c r="O15" s="300"/>
      <c r="P15" s="300"/>
      <c r="Q15" s="300"/>
    </row>
    <row r="16" spans="1:17" x14ac:dyDescent="0.25">
      <c r="A16" s="295" t="s">
        <v>249</v>
      </c>
      <c r="B16" s="308">
        <v>0.5</v>
      </c>
      <c r="C16" s="309">
        <v>700</v>
      </c>
      <c r="D16" s="310">
        <f t="shared" si="2"/>
        <v>165.13</v>
      </c>
      <c r="E16" s="310">
        <f t="shared" si="3"/>
        <v>43.256500000000003</v>
      </c>
      <c r="F16" s="317">
        <f t="shared" si="4"/>
        <v>82.580590909090901</v>
      </c>
      <c r="G16" s="318">
        <f t="shared" si="5"/>
        <v>495.48354545454544</v>
      </c>
      <c r="H16" s="300"/>
      <c r="I16" s="300"/>
      <c r="J16" s="300"/>
      <c r="K16" s="300"/>
      <c r="L16" s="300"/>
      <c r="M16" s="300"/>
      <c r="N16" s="300"/>
      <c r="O16" s="300"/>
      <c r="P16" s="300"/>
      <c r="Q16" s="300"/>
    </row>
    <row r="17" spans="1:17" x14ac:dyDescent="0.25">
      <c r="A17" s="295" t="s">
        <v>250</v>
      </c>
      <c r="B17" s="308">
        <v>1</v>
      </c>
      <c r="C17" s="309">
        <v>750</v>
      </c>
      <c r="D17" s="310">
        <f t="shared" si="2"/>
        <v>176.92500000000001</v>
      </c>
      <c r="E17" s="310">
        <f t="shared" si="3"/>
        <v>46.346249999999998</v>
      </c>
      <c r="F17" s="317">
        <f t="shared" si="4"/>
        <v>88.47920454545455</v>
      </c>
      <c r="G17" s="318">
        <f t="shared" si="5"/>
        <v>1061.7504545454547</v>
      </c>
      <c r="H17" s="300"/>
      <c r="I17" s="300"/>
      <c r="J17" s="300"/>
      <c r="K17" s="300"/>
      <c r="L17" s="300"/>
      <c r="M17" s="300"/>
      <c r="N17" s="300"/>
      <c r="O17" s="300"/>
      <c r="P17" s="300"/>
      <c r="Q17" s="300"/>
    </row>
    <row r="18" spans="1:17" ht="14.45" x14ac:dyDescent="0.3">
      <c r="A18" s="304"/>
      <c r="B18" s="305">
        <f>SUM(B11:B17)</f>
        <v>7</v>
      </c>
      <c r="C18" s="305"/>
      <c r="D18" s="305"/>
      <c r="E18" s="305"/>
      <c r="F18" s="305"/>
      <c r="G18" s="319">
        <f>SUM(G11:G17)</f>
        <v>9201.8372727272726</v>
      </c>
      <c r="H18" s="311"/>
      <c r="I18" s="300"/>
      <c r="J18" s="300"/>
      <c r="K18" s="300"/>
      <c r="L18" s="300"/>
      <c r="M18" s="300"/>
      <c r="N18" s="300"/>
      <c r="O18" s="300"/>
      <c r="P18" s="300"/>
      <c r="Q18" s="300"/>
    </row>
    <row r="19" spans="1:17" ht="14.45" x14ac:dyDescent="0.3">
      <c r="A19" s="312"/>
      <c r="B19" s="300"/>
      <c r="C19" s="300"/>
      <c r="D19" s="300"/>
      <c r="E19" s="300"/>
      <c r="F19" s="300"/>
      <c r="G19" s="300"/>
      <c r="H19" s="300"/>
      <c r="I19" s="300"/>
      <c r="J19" s="300"/>
      <c r="K19" s="300"/>
      <c r="L19" s="300"/>
      <c r="M19" s="300"/>
      <c r="N19" s="300"/>
      <c r="O19" s="300"/>
      <c r="P19" s="300"/>
      <c r="Q19" s="300"/>
    </row>
    <row r="20" spans="1:17" ht="14.45" x14ac:dyDescent="0.3">
      <c r="A20" s="303"/>
      <c r="B20" s="300"/>
      <c r="C20" s="300"/>
      <c r="D20" s="300"/>
      <c r="E20" s="300"/>
      <c r="F20" s="300"/>
      <c r="G20" s="300"/>
      <c r="H20" s="300"/>
      <c r="I20" s="300"/>
      <c r="J20" s="300"/>
      <c r="K20" s="300"/>
      <c r="L20" s="300"/>
      <c r="M20" s="300"/>
      <c r="N20" s="300"/>
      <c r="O20" s="300"/>
      <c r="P20" s="300"/>
      <c r="Q20" s="300"/>
    </row>
    <row r="21" spans="1:17" ht="14.45" x14ac:dyDescent="0.3">
      <c r="A21" s="306" t="s">
        <v>339</v>
      </c>
      <c r="B21" s="300"/>
      <c r="C21" s="300"/>
      <c r="D21" s="300"/>
      <c r="E21" s="300"/>
      <c r="F21" s="300"/>
      <c r="G21" s="300"/>
      <c r="H21" s="300"/>
      <c r="I21" s="300"/>
      <c r="J21" s="300"/>
      <c r="K21" s="300"/>
      <c r="L21" s="300"/>
      <c r="M21" s="300"/>
      <c r="N21" s="300"/>
      <c r="O21" s="300"/>
      <c r="P21" s="300"/>
      <c r="Q21" s="300"/>
    </row>
    <row r="22" spans="1:17" x14ac:dyDescent="0.25">
      <c r="A22" s="294"/>
      <c r="B22" s="294" t="s">
        <v>229</v>
      </c>
      <c r="C22" s="294" t="s">
        <v>230</v>
      </c>
      <c r="D22" s="294" t="s">
        <v>231</v>
      </c>
      <c r="E22" s="300"/>
      <c r="F22" s="300"/>
      <c r="G22" s="300"/>
      <c r="H22" s="300"/>
      <c r="I22" s="300"/>
      <c r="J22" s="300"/>
      <c r="K22" s="300"/>
      <c r="L22" s="300"/>
      <c r="M22" s="300"/>
      <c r="N22" s="300"/>
      <c r="O22" s="300"/>
      <c r="P22" s="300"/>
      <c r="Q22" s="300"/>
    </row>
    <row r="23" spans="1:17" ht="15.75" customHeight="1" x14ac:dyDescent="0.25">
      <c r="A23" s="295" t="s">
        <v>340</v>
      </c>
      <c r="B23" s="320">
        <v>4176</v>
      </c>
      <c r="C23" s="320">
        <v>1392</v>
      </c>
      <c r="D23" s="296">
        <v>116</v>
      </c>
      <c r="E23" s="300"/>
      <c r="F23" s="300"/>
      <c r="G23" s="300"/>
      <c r="H23" s="300"/>
      <c r="I23" s="300"/>
      <c r="J23" s="300"/>
      <c r="K23" s="300"/>
      <c r="L23" s="300"/>
      <c r="M23" s="300"/>
      <c r="N23" s="300"/>
      <c r="O23" s="300"/>
      <c r="P23" s="300"/>
      <c r="Q23" s="300"/>
    </row>
    <row r="24" spans="1:17" x14ac:dyDescent="0.25">
      <c r="A24" s="295" t="s">
        <v>341</v>
      </c>
      <c r="B24" s="320">
        <v>1512</v>
      </c>
      <c r="C24" s="320">
        <v>504</v>
      </c>
      <c r="D24" s="296">
        <v>42</v>
      </c>
      <c r="E24" s="300"/>
      <c r="F24" s="300"/>
      <c r="G24" s="300"/>
      <c r="H24" s="300"/>
      <c r="I24" s="300"/>
      <c r="J24" s="300"/>
      <c r="K24" s="300"/>
      <c r="L24" s="300"/>
      <c r="M24" s="300"/>
      <c r="N24" s="300"/>
      <c r="O24" s="300"/>
      <c r="P24" s="300"/>
      <c r="Q24" s="300"/>
    </row>
    <row r="25" spans="1:17" ht="15" customHeight="1" x14ac:dyDescent="0.25">
      <c r="A25" s="295" t="s">
        <v>342</v>
      </c>
      <c r="B25" s="320">
        <v>396</v>
      </c>
      <c r="C25" s="320">
        <v>132</v>
      </c>
      <c r="D25" s="296">
        <v>11</v>
      </c>
      <c r="E25" s="300"/>
      <c r="F25" s="300"/>
      <c r="G25" s="300"/>
      <c r="H25" s="300"/>
      <c r="I25" s="300"/>
      <c r="J25" s="300"/>
      <c r="K25" s="300"/>
      <c r="L25" s="300"/>
      <c r="M25" s="300"/>
      <c r="N25" s="300"/>
      <c r="O25" s="300"/>
      <c r="P25" s="300"/>
      <c r="Q25" s="300"/>
    </row>
    <row r="26" spans="1:17" ht="26.25" customHeight="1" x14ac:dyDescent="0.25">
      <c r="A26" s="295" t="s">
        <v>343</v>
      </c>
      <c r="B26" s="320">
        <v>1080</v>
      </c>
      <c r="C26" s="320">
        <v>360</v>
      </c>
      <c r="D26" s="296">
        <v>30</v>
      </c>
      <c r="E26" s="300"/>
      <c r="F26" s="300"/>
      <c r="G26" s="300"/>
      <c r="H26" s="300"/>
      <c r="I26" s="300"/>
      <c r="J26" s="300"/>
      <c r="K26" s="300"/>
      <c r="L26" s="300"/>
      <c r="M26" s="300"/>
      <c r="N26" s="300"/>
      <c r="O26" s="300"/>
      <c r="P26" s="300"/>
      <c r="Q26" s="300"/>
    </row>
    <row r="27" spans="1:17" ht="21.75" customHeight="1" x14ac:dyDescent="0.25">
      <c r="A27" s="295" t="s">
        <v>344</v>
      </c>
      <c r="B27" s="320">
        <v>4572</v>
      </c>
      <c r="C27" s="320">
        <v>1524</v>
      </c>
      <c r="D27" s="296">
        <v>127</v>
      </c>
      <c r="E27" s="300"/>
      <c r="F27" s="300"/>
      <c r="G27" s="300"/>
      <c r="H27" s="300"/>
      <c r="I27" s="300"/>
      <c r="J27" s="300"/>
      <c r="K27" s="300"/>
      <c r="L27" s="300"/>
      <c r="M27" s="300"/>
      <c r="N27" s="300"/>
      <c r="O27" s="300"/>
      <c r="P27" s="300"/>
      <c r="Q27" s="300"/>
    </row>
    <row r="28" spans="1:17" x14ac:dyDescent="0.25">
      <c r="A28" s="295" t="s">
        <v>345</v>
      </c>
      <c r="B28" s="320">
        <v>9828</v>
      </c>
      <c r="C28" s="320">
        <v>3276</v>
      </c>
      <c r="D28" s="296">
        <v>273</v>
      </c>
      <c r="E28" s="300"/>
      <c r="F28" s="300"/>
      <c r="G28" s="300"/>
      <c r="H28" s="300"/>
      <c r="I28" s="300"/>
      <c r="J28" s="300"/>
      <c r="K28" s="300"/>
      <c r="L28" s="300"/>
      <c r="M28" s="300"/>
      <c r="N28" s="300"/>
      <c r="O28" s="300"/>
      <c r="P28" s="300"/>
      <c r="Q28" s="300"/>
    </row>
    <row r="29" spans="1:17" x14ac:dyDescent="0.25">
      <c r="A29" s="295" t="s">
        <v>359</v>
      </c>
      <c r="B29" s="320">
        <v>21564</v>
      </c>
      <c r="C29" s="320">
        <v>7188</v>
      </c>
      <c r="D29" s="320">
        <v>599</v>
      </c>
      <c r="E29" s="300"/>
      <c r="F29" s="300"/>
      <c r="G29" s="300"/>
      <c r="H29" s="300"/>
      <c r="I29" s="300"/>
      <c r="J29" s="300"/>
      <c r="K29" s="300"/>
      <c r="L29" s="300"/>
      <c r="M29" s="300"/>
      <c r="N29" s="300"/>
      <c r="O29" s="300"/>
      <c r="P29" s="300"/>
      <c r="Q29" s="300"/>
    </row>
    <row r="30" spans="1:17" ht="14.45" x14ac:dyDescent="0.3">
      <c r="A30" s="297"/>
      <c r="B30" s="297"/>
      <c r="C30" s="297"/>
      <c r="D30" s="297"/>
      <c r="E30" s="297"/>
      <c r="J30" s="297"/>
      <c r="K30" s="297"/>
      <c r="L30" s="297"/>
      <c r="M30" s="297"/>
      <c r="N30" s="297"/>
    </row>
    <row r="31" spans="1:17" ht="14.45" x14ac:dyDescent="0.3">
      <c r="A31" s="297"/>
      <c r="B31" s="297"/>
      <c r="C31" s="297"/>
      <c r="D31" s="297"/>
      <c r="E31" s="297"/>
      <c r="F31" s="297"/>
      <c r="G31" s="297"/>
      <c r="H31" s="297"/>
      <c r="I31" s="297"/>
      <c r="J31" s="297"/>
      <c r="K31" s="297"/>
      <c r="L31" s="297"/>
      <c r="M31" s="297"/>
      <c r="N31" s="297"/>
    </row>
    <row r="32" spans="1:17" ht="14.45" x14ac:dyDescent="0.3">
      <c r="A32" s="297"/>
      <c r="B32" s="297"/>
      <c r="C32" s="297"/>
      <c r="D32" s="297"/>
      <c r="E32" s="297"/>
      <c r="F32" s="297"/>
      <c r="G32" s="297"/>
      <c r="H32" s="297"/>
      <c r="I32" s="297"/>
      <c r="J32" s="297"/>
      <c r="K32" s="297"/>
      <c r="L32" s="297"/>
      <c r="M32" s="297"/>
      <c r="N32" s="297"/>
    </row>
  </sheetData>
  <mergeCells count="1">
    <mergeCell ref="A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4" workbookViewId="0">
      <selection activeCell="F8" sqref="F8"/>
    </sheetView>
  </sheetViews>
  <sheetFormatPr defaultRowHeight="15" x14ac:dyDescent="0.25"/>
  <cols>
    <col min="1" max="1" width="8.140625" customWidth="1"/>
    <col min="2" max="2" width="17.42578125" customWidth="1"/>
    <col min="3" max="3" width="10.85546875" customWidth="1"/>
    <col min="4" max="4" width="7.140625" customWidth="1"/>
    <col min="5" max="5" width="9.42578125" customWidth="1"/>
    <col min="6" max="6" width="6.5703125" customWidth="1"/>
    <col min="7" max="7" width="7.140625" customWidth="1"/>
    <col min="8" max="8" width="7.5703125" customWidth="1"/>
    <col min="12" max="12" width="10.5703125" customWidth="1"/>
    <col min="13" max="13" width="10.42578125" customWidth="1"/>
    <col min="14" max="14" width="10.5703125" customWidth="1"/>
  </cols>
  <sheetData>
    <row r="2" spans="1:14" ht="14.45" x14ac:dyDescent="0.3">
      <c r="A2" s="399" t="s">
        <v>256</v>
      </c>
      <c r="B2" s="399"/>
      <c r="C2" s="399"/>
      <c r="D2" s="399"/>
      <c r="E2" s="399"/>
      <c r="F2" s="399"/>
      <c r="G2" s="399"/>
      <c r="H2" s="399"/>
      <c r="I2" s="399"/>
      <c r="J2" s="399"/>
      <c r="K2" s="399"/>
      <c r="L2" s="399"/>
      <c r="M2" s="399"/>
      <c r="N2" s="399"/>
    </row>
    <row r="4" spans="1:14" x14ac:dyDescent="0.25">
      <c r="A4" s="57" t="s">
        <v>337</v>
      </c>
      <c r="B4" s="57"/>
      <c r="C4" s="57"/>
      <c r="D4" s="57"/>
      <c r="E4" s="57"/>
      <c r="F4" s="57"/>
      <c r="G4" s="57"/>
      <c r="H4" s="57"/>
      <c r="I4" s="57"/>
      <c r="J4" s="57"/>
      <c r="K4" s="57"/>
      <c r="L4" s="34"/>
      <c r="M4" s="34"/>
      <c r="N4" s="34"/>
    </row>
    <row r="5" spans="1:14" ht="41.25" customHeight="1" x14ac:dyDescent="0.25">
      <c r="A5" s="446" t="s">
        <v>203</v>
      </c>
      <c r="B5" s="446"/>
      <c r="C5" s="444" t="s">
        <v>204</v>
      </c>
      <c r="D5" s="446" t="s">
        <v>358</v>
      </c>
      <c r="E5" s="446"/>
      <c r="F5" s="447" t="s">
        <v>205</v>
      </c>
      <c r="G5" s="447"/>
      <c r="H5" s="444" t="s">
        <v>195</v>
      </c>
      <c r="I5" s="444" t="s">
        <v>196</v>
      </c>
      <c r="J5" s="444" t="s">
        <v>206</v>
      </c>
      <c r="K5" s="444" t="s">
        <v>207</v>
      </c>
      <c r="L5" s="66" t="s">
        <v>2</v>
      </c>
      <c r="M5" s="66" t="s">
        <v>3</v>
      </c>
      <c r="N5" s="66" t="s">
        <v>16</v>
      </c>
    </row>
    <row r="6" spans="1:14" ht="64.5" customHeight="1" x14ac:dyDescent="0.25">
      <c r="A6" s="446"/>
      <c r="B6" s="446"/>
      <c r="C6" s="444"/>
      <c r="D6" s="61" t="s">
        <v>208</v>
      </c>
      <c r="E6" s="60" t="s">
        <v>209</v>
      </c>
      <c r="F6" s="61" t="s">
        <v>208</v>
      </c>
      <c r="G6" s="60" t="s">
        <v>210</v>
      </c>
      <c r="H6" s="444"/>
      <c r="I6" s="444"/>
      <c r="J6" s="444"/>
      <c r="K6" s="444"/>
      <c r="L6" s="58" t="s">
        <v>211</v>
      </c>
      <c r="M6" s="58" t="s">
        <v>211</v>
      </c>
      <c r="N6" s="58" t="s">
        <v>211</v>
      </c>
    </row>
    <row r="7" spans="1:14" ht="25.5" x14ac:dyDescent="0.25">
      <c r="A7" s="59">
        <v>1</v>
      </c>
      <c r="B7" s="60" t="s">
        <v>212</v>
      </c>
      <c r="C7" s="60">
        <v>3</v>
      </c>
      <c r="D7" s="61">
        <v>1</v>
      </c>
      <c r="E7" s="62">
        <v>1</v>
      </c>
      <c r="F7" s="61">
        <v>2</v>
      </c>
      <c r="G7" s="62">
        <v>2</v>
      </c>
      <c r="H7" s="61">
        <f>ROUND((E7*859+G7*537)*12,2)</f>
        <v>23196</v>
      </c>
      <c r="I7" s="61">
        <f>ROUND(H7*0.2359,2)</f>
        <v>5471.94</v>
      </c>
      <c r="J7" s="63">
        <f>ROUND(2536*C7,0)</f>
        <v>7608</v>
      </c>
      <c r="K7" s="61">
        <f>SUM(H7:J7)</f>
        <v>36275.94</v>
      </c>
      <c r="L7" s="69">
        <f>K7</f>
        <v>36275.94</v>
      </c>
      <c r="M7" s="69">
        <f>K7</f>
        <v>36275.94</v>
      </c>
      <c r="N7" s="69">
        <f>K7</f>
        <v>36275.94</v>
      </c>
    </row>
    <row r="8" spans="1:14" ht="28.5" customHeight="1" x14ac:dyDescent="0.3">
      <c r="A8" s="64">
        <v>2</v>
      </c>
      <c r="B8" s="60" t="s">
        <v>213</v>
      </c>
      <c r="C8" s="59">
        <v>1</v>
      </c>
      <c r="D8" s="64">
        <v>1</v>
      </c>
      <c r="E8" s="65">
        <v>1</v>
      </c>
      <c r="F8" s="64"/>
      <c r="G8" s="59"/>
      <c r="H8" s="61">
        <f>ROUND((E8*859+G8*537)*12,2)</f>
        <v>10308</v>
      </c>
      <c r="I8" s="61">
        <f>ROUND(H8*0.2359,2)</f>
        <v>2431.66</v>
      </c>
      <c r="J8" s="63">
        <f>ROUND(2536*C8,0)</f>
        <v>2536</v>
      </c>
      <c r="K8" s="64">
        <f>SUM(H8:J8)</f>
        <v>15275.66</v>
      </c>
      <c r="L8" s="69">
        <v>15275.66</v>
      </c>
      <c r="M8" s="69">
        <v>15275.66</v>
      </c>
      <c r="N8" s="69">
        <v>15275.66</v>
      </c>
    </row>
    <row r="9" spans="1:14" x14ac:dyDescent="0.25">
      <c r="A9" s="445" t="s">
        <v>146</v>
      </c>
      <c r="B9" s="445"/>
      <c r="C9" s="67">
        <f>C7+C8</f>
        <v>4</v>
      </c>
      <c r="D9" s="67">
        <f t="shared" ref="D9:K9" si="0">D7+D8</f>
        <v>2</v>
      </c>
      <c r="E9" s="67">
        <f t="shared" si="0"/>
        <v>2</v>
      </c>
      <c r="F9" s="67">
        <f t="shared" si="0"/>
        <v>2</v>
      </c>
      <c r="G9" s="67">
        <f t="shared" si="0"/>
        <v>2</v>
      </c>
      <c r="H9" s="68">
        <f t="shared" si="0"/>
        <v>33504</v>
      </c>
      <c r="I9" s="68">
        <f t="shared" si="0"/>
        <v>7903.5999999999995</v>
      </c>
      <c r="J9" s="68">
        <f t="shared" si="0"/>
        <v>10144</v>
      </c>
      <c r="K9" s="68">
        <f t="shared" si="0"/>
        <v>51551.600000000006</v>
      </c>
      <c r="L9" s="70">
        <f>SUM(L7:L8)</f>
        <v>51551.600000000006</v>
      </c>
      <c r="M9" s="70">
        <f t="shared" ref="M9:N9" si="1">SUM(M7:M8)</f>
        <v>51551.600000000006</v>
      </c>
      <c r="N9" s="70">
        <f t="shared" si="1"/>
        <v>51551.600000000006</v>
      </c>
    </row>
    <row r="10" spans="1:14" ht="14.45" x14ac:dyDescent="0.3">
      <c r="A10" s="34"/>
      <c r="B10" s="34"/>
      <c r="C10" s="34"/>
      <c r="D10" s="34"/>
      <c r="E10" s="34"/>
      <c r="F10" s="34"/>
      <c r="G10" s="34"/>
      <c r="H10" s="34"/>
      <c r="I10" s="34"/>
      <c r="J10" s="34"/>
      <c r="K10" s="34"/>
      <c r="L10" s="34"/>
      <c r="M10" s="34"/>
      <c r="N10" s="34"/>
    </row>
    <row r="11" spans="1:14" x14ac:dyDescent="0.25">
      <c r="A11" s="39" t="s">
        <v>214</v>
      </c>
      <c r="B11" s="39"/>
      <c r="C11" s="34"/>
      <c r="D11" s="34"/>
      <c r="E11" s="34"/>
      <c r="F11" s="34"/>
      <c r="G11" s="34"/>
      <c r="H11" s="34"/>
      <c r="I11" s="34"/>
      <c r="J11" s="34"/>
      <c r="K11" s="34"/>
      <c r="L11" s="34"/>
      <c r="M11" s="34"/>
      <c r="N11" s="34"/>
    </row>
    <row r="12" spans="1:14" ht="14.45" x14ac:dyDescent="0.3">
      <c r="A12" s="39" t="s">
        <v>2</v>
      </c>
      <c r="B12" s="39">
        <f>2*6*252</f>
        <v>3024</v>
      </c>
      <c r="C12" s="34"/>
      <c r="D12" s="34"/>
      <c r="E12" s="34"/>
      <c r="F12" s="34"/>
      <c r="G12" s="34"/>
      <c r="H12" s="34"/>
      <c r="I12" s="34"/>
      <c r="J12" s="34"/>
      <c r="K12" s="34"/>
      <c r="L12" s="34"/>
      <c r="M12" s="34"/>
      <c r="N12" s="34"/>
    </row>
    <row r="13" spans="1:14" ht="14.45" x14ac:dyDescent="0.3">
      <c r="A13" s="39" t="s">
        <v>3</v>
      </c>
      <c r="B13" s="39">
        <f>3*6*252</f>
        <v>4536</v>
      </c>
      <c r="C13" s="34"/>
      <c r="D13" s="34"/>
      <c r="E13" s="34"/>
      <c r="F13" s="34"/>
      <c r="G13" s="34"/>
      <c r="H13" s="34"/>
      <c r="I13" s="34"/>
      <c r="J13" s="34"/>
      <c r="K13" s="34"/>
      <c r="L13" s="34"/>
      <c r="M13" s="34"/>
      <c r="N13" s="34"/>
    </row>
    <row r="14" spans="1:14" ht="14.45" x14ac:dyDescent="0.3">
      <c r="A14" s="39" t="s">
        <v>16</v>
      </c>
      <c r="B14" s="39">
        <f>4*6*252</f>
        <v>6048</v>
      </c>
      <c r="C14" s="34"/>
      <c r="D14" s="34"/>
      <c r="E14" s="34"/>
      <c r="F14" s="34"/>
      <c r="G14" s="34"/>
      <c r="H14" s="34"/>
      <c r="I14" s="34"/>
      <c r="J14" s="34"/>
      <c r="K14" s="34"/>
      <c r="L14" s="34"/>
      <c r="M14" s="34"/>
      <c r="N14" s="34"/>
    </row>
    <row r="15" spans="1:14" x14ac:dyDescent="0.25">
      <c r="A15" s="34" t="s">
        <v>215</v>
      </c>
      <c r="B15" s="43"/>
      <c r="C15" s="43"/>
      <c r="D15" s="43"/>
      <c r="E15" s="43"/>
      <c r="F15" s="43"/>
      <c r="G15" s="43"/>
      <c r="H15" s="43"/>
      <c r="I15" s="43"/>
      <c r="J15" s="43"/>
      <c r="K15" s="43"/>
      <c r="L15" s="43"/>
      <c r="M15" s="43"/>
      <c r="N15" s="43"/>
    </row>
    <row r="18" spans="1:10" x14ac:dyDescent="0.25">
      <c r="A18" s="283" t="s">
        <v>346</v>
      </c>
      <c r="B18" s="283"/>
      <c r="C18" s="283"/>
      <c r="D18" s="283"/>
      <c r="E18" s="283"/>
      <c r="F18" s="283"/>
      <c r="G18" s="283"/>
      <c r="H18" s="282"/>
      <c r="I18" s="282"/>
      <c r="J18" s="282"/>
    </row>
    <row r="19" spans="1:10" ht="51.75" x14ac:dyDescent="0.25">
      <c r="A19" s="284" t="s">
        <v>347</v>
      </c>
      <c r="B19" s="285" t="s">
        <v>348</v>
      </c>
      <c r="C19" s="285" t="s">
        <v>349</v>
      </c>
      <c r="D19" s="285" t="s">
        <v>350</v>
      </c>
      <c r="E19" s="281" t="s">
        <v>207</v>
      </c>
      <c r="F19" s="283"/>
      <c r="G19" s="283"/>
      <c r="H19" s="282"/>
      <c r="I19" s="282"/>
      <c r="J19" s="282"/>
    </row>
    <row r="20" spans="1:10" ht="51" x14ac:dyDescent="0.25">
      <c r="A20" s="281" t="s">
        <v>212</v>
      </c>
      <c r="B20" s="287">
        <v>5232</v>
      </c>
      <c r="C20" s="287">
        <v>1479</v>
      </c>
      <c r="D20" s="287">
        <v>897</v>
      </c>
      <c r="E20" s="287">
        <v>7608</v>
      </c>
      <c r="F20" s="283"/>
      <c r="G20" s="283"/>
      <c r="H20" s="282"/>
      <c r="I20" s="282"/>
      <c r="J20" s="282"/>
    </row>
    <row r="21" spans="1:10" ht="39.6" x14ac:dyDescent="0.3">
      <c r="A21" s="281" t="s">
        <v>213</v>
      </c>
      <c r="B21" s="287">
        <v>1744</v>
      </c>
      <c r="C21" s="287">
        <v>493</v>
      </c>
      <c r="D21" s="287">
        <v>299</v>
      </c>
      <c r="E21" s="287">
        <v>2536</v>
      </c>
      <c r="F21" s="283"/>
      <c r="G21" s="283"/>
      <c r="H21" s="282"/>
      <c r="I21" s="282"/>
      <c r="J21" s="282"/>
    </row>
    <row r="22" spans="1:10" x14ac:dyDescent="0.25">
      <c r="A22" s="286" t="s">
        <v>146</v>
      </c>
      <c r="B22" s="287">
        <f>B20+B21</f>
        <v>6976</v>
      </c>
      <c r="C22" s="287">
        <f t="shared" ref="C22:E22" si="2">C20+C21</f>
        <v>1972</v>
      </c>
      <c r="D22" s="287">
        <f t="shared" si="2"/>
        <v>1196</v>
      </c>
      <c r="E22" s="287">
        <f t="shared" si="2"/>
        <v>10144</v>
      </c>
      <c r="F22" s="283"/>
      <c r="G22" s="283"/>
      <c r="H22" s="282"/>
      <c r="I22" s="282"/>
      <c r="J22" s="282"/>
    </row>
    <row r="23" spans="1:10" ht="28.5" customHeight="1" x14ac:dyDescent="0.25">
      <c r="A23" s="443" t="s">
        <v>354</v>
      </c>
      <c r="B23" s="443"/>
      <c r="C23" s="443"/>
      <c r="D23" s="443"/>
      <c r="E23" s="443"/>
      <c r="F23" s="443"/>
      <c r="G23" s="443"/>
      <c r="H23" s="282"/>
      <c r="I23" s="282"/>
      <c r="J23" s="282"/>
    </row>
    <row r="24" spans="1:10" ht="40.5" customHeight="1" x14ac:dyDescent="0.25">
      <c r="A24" s="409" t="s">
        <v>351</v>
      </c>
      <c r="B24" s="409"/>
      <c r="C24" s="409"/>
      <c r="D24" s="409"/>
      <c r="E24" s="409"/>
      <c r="F24" s="409"/>
      <c r="G24" s="409"/>
      <c r="H24" s="282"/>
      <c r="I24" s="282"/>
      <c r="J24" s="282"/>
    </row>
    <row r="25" spans="1:10" ht="28.5" customHeight="1" x14ac:dyDescent="0.25">
      <c r="A25" s="409" t="s">
        <v>352</v>
      </c>
      <c r="B25" s="409"/>
      <c r="C25" s="409"/>
      <c r="D25" s="409"/>
      <c r="E25" s="409"/>
      <c r="F25" s="409"/>
      <c r="G25" s="409"/>
      <c r="H25" s="282"/>
      <c r="I25" s="282"/>
      <c r="J25" s="282"/>
    </row>
    <row r="26" spans="1:10" x14ac:dyDescent="0.25">
      <c r="A26" s="442" t="s">
        <v>353</v>
      </c>
      <c r="B26" s="442"/>
      <c r="C26" s="442"/>
      <c r="D26" s="442"/>
      <c r="E26" s="442"/>
      <c r="F26" s="442"/>
      <c r="G26" s="442"/>
      <c r="H26" s="282"/>
      <c r="I26" s="282"/>
      <c r="J26" s="282"/>
    </row>
  </sheetData>
  <mergeCells count="15">
    <mergeCell ref="A24:G24"/>
    <mergeCell ref="A25:G25"/>
    <mergeCell ref="A26:G26"/>
    <mergeCell ref="A23:G23"/>
    <mergeCell ref="A2:N2"/>
    <mergeCell ref="I5:I6"/>
    <mergeCell ref="J5:J6"/>
    <mergeCell ref="K5:K6"/>
    <mergeCell ref="A9:B9"/>
    <mergeCell ref="A5:A6"/>
    <mergeCell ref="B5:B6"/>
    <mergeCell ref="C5:C6"/>
    <mergeCell ref="D5:E5"/>
    <mergeCell ref="F5:G5"/>
    <mergeCell ref="H5:H6"/>
  </mergeCells>
  <pageMargins left="0.70866141732283472" right="0.70866141732283472" top="0.74803149606299213"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workbookViewId="0">
      <selection activeCell="K23" sqref="K23"/>
    </sheetView>
  </sheetViews>
  <sheetFormatPr defaultRowHeight="15" x14ac:dyDescent="0.25"/>
  <cols>
    <col min="1" max="1" width="5" customWidth="1"/>
    <col min="2" max="2" width="21.140625" customWidth="1"/>
    <col min="3" max="3" width="13.42578125" customWidth="1"/>
    <col min="4" max="4" width="13.140625" customWidth="1"/>
    <col min="5" max="5" width="13.42578125" customWidth="1"/>
  </cols>
  <sheetData>
    <row r="2" spans="1:17" ht="14.45" x14ac:dyDescent="0.3">
      <c r="A2" s="448" t="s">
        <v>277</v>
      </c>
      <c r="B2" s="448"/>
      <c r="C2" s="448"/>
      <c r="D2" s="448"/>
      <c r="E2" s="448"/>
      <c r="F2" s="265"/>
      <c r="G2" s="265"/>
      <c r="H2" s="265"/>
      <c r="I2" s="265"/>
    </row>
    <row r="3" spans="1:17" x14ac:dyDescent="0.25">
      <c r="A3" s="425" t="s">
        <v>276</v>
      </c>
      <c r="B3" s="425"/>
      <c r="C3" s="425"/>
      <c r="D3" s="425"/>
      <c r="E3" s="425"/>
      <c r="F3" s="34"/>
      <c r="G3" s="34"/>
      <c r="H3" s="34"/>
      <c r="I3" s="34"/>
      <c r="J3" s="34"/>
      <c r="K3" s="34"/>
      <c r="L3" s="34"/>
      <c r="M3" s="34"/>
      <c r="N3" s="34"/>
      <c r="O3" s="34"/>
      <c r="P3" s="34"/>
      <c r="Q3" s="34"/>
    </row>
    <row r="4" spans="1:17" x14ac:dyDescent="0.25">
      <c r="A4" s="34" t="s">
        <v>366</v>
      </c>
      <c r="B4" s="34"/>
      <c r="C4" s="34"/>
      <c r="D4" s="34"/>
      <c r="E4" s="34"/>
      <c r="F4" s="34"/>
      <c r="G4" s="34"/>
      <c r="H4" s="34"/>
      <c r="I4" s="34"/>
      <c r="J4" s="34"/>
      <c r="K4" s="34"/>
      <c r="L4" s="34"/>
      <c r="M4" s="34"/>
      <c r="N4" s="34"/>
      <c r="O4" s="34"/>
      <c r="P4" s="34"/>
      <c r="Q4" s="34"/>
    </row>
    <row r="5" spans="1:17" ht="14.45" x14ac:dyDescent="0.3">
      <c r="A5" s="293" t="s">
        <v>156</v>
      </c>
      <c r="B5" s="293" t="s">
        <v>157</v>
      </c>
      <c r="C5" s="293" t="s">
        <v>2</v>
      </c>
      <c r="D5" s="293" t="s">
        <v>3</v>
      </c>
      <c r="E5" s="293" t="s">
        <v>16</v>
      </c>
      <c r="F5" s="34"/>
      <c r="G5" s="34"/>
      <c r="H5" s="34"/>
      <c r="I5" s="34"/>
      <c r="J5" s="34"/>
      <c r="K5" s="34"/>
      <c r="L5" s="34"/>
      <c r="M5" s="34"/>
      <c r="N5" s="34"/>
      <c r="O5" s="34"/>
      <c r="P5" s="34"/>
      <c r="Q5" s="34"/>
    </row>
    <row r="6" spans="1:17" ht="30" customHeight="1" x14ac:dyDescent="0.25">
      <c r="A6" s="89">
        <v>1</v>
      </c>
      <c r="B6" s="40" t="s">
        <v>158</v>
      </c>
      <c r="C6" s="89">
        <v>21240</v>
      </c>
      <c r="D6" s="89">
        <v>21240</v>
      </c>
      <c r="E6" s="89">
        <v>21240</v>
      </c>
      <c r="F6" s="34"/>
      <c r="G6" s="34"/>
      <c r="H6" s="34"/>
      <c r="I6" s="34"/>
      <c r="J6" s="34"/>
      <c r="K6" s="34"/>
      <c r="L6" s="34"/>
      <c r="M6" s="34"/>
      <c r="N6" s="34"/>
      <c r="O6" s="34"/>
      <c r="P6" s="34"/>
      <c r="Q6" s="34"/>
    </row>
    <row r="7" spans="1:17" ht="14.25" customHeight="1" x14ac:dyDescent="0.25">
      <c r="A7" s="89">
        <v>2</v>
      </c>
      <c r="B7" s="40" t="s">
        <v>159</v>
      </c>
      <c r="C7" s="89">
        <v>2000</v>
      </c>
      <c r="D7" s="89">
        <v>0</v>
      </c>
      <c r="E7" s="89">
        <v>0</v>
      </c>
      <c r="F7" s="34"/>
      <c r="G7" s="34"/>
      <c r="H7" s="34"/>
      <c r="I7" s="34"/>
      <c r="J7" s="34"/>
      <c r="K7" s="34"/>
      <c r="L7" s="34"/>
      <c r="M7" s="34"/>
      <c r="N7" s="34"/>
      <c r="O7" s="34"/>
      <c r="P7" s="34"/>
      <c r="Q7" s="34"/>
    </row>
    <row r="8" spans="1:17" ht="17.25" customHeight="1" x14ac:dyDescent="0.25">
      <c r="A8" s="258">
        <v>3</v>
      </c>
      <c r="B8" s="41" t="s">
        <v>160</v>
      </c>
      <c r="C8" s="89">
        <v>500</v>
      </c>
      <c r="D8" s="89">
        <v>500</v>
      </c>
      <c r="E8" s="89">
        <v>500</v>
      </c>
      <c r="F8" s="34"/>
      <c r="G8" s="34"/>
      <c r="H8" s="34"/>
      <c r="I8" s="34"/>
      <c r="J8" s="34"/>
      <c r="K8" s="34"/>
      <c r="L8" s="34"/>
      <c r="M8" s="34"/>
      <c r="N8" s="34"/>
      <c r="O8" s="34"/>
      <c r="P8" s="34"/>
      <c r="Q8" s="34"/>
    </row>
    <row r="9" spans="1:17" ht="16.5" customHeight="1" x14ac:dyDescent="0.3">
      <c r="A9" s="258">
        <v>4</v>
      </c>
      <c r="B9" s="41" t="s">
        <v>161</v>
      </c>
      <c r="C9" s="89">
        <v>100</v>
      </c>
      <c r="D9" s="89">
        <v>100</v>
      </c>
      <c r="E9" s="89">
        <v>100</v>
      </c>
      <c r="F9" s="34"/>
      <c r="G9" s="34"/>
      <c r="H9" s="34"/>
      <c r="I9" s="34"/>
      <c r="J9" s="34"/>
      <c r="K9" s="34"/>
      <c r="L9" s="34"/>
      <c r="M9" s="34"/>
      <c r="N9" s="34"/>
      <c r="O9" s="34"/>
      <c r="P9" s="34"/>
      <c r="Q9" s="34"/>
    </row>
    <row r="10" spans="1:17" x14ac:dyDescent="0.25">
      <c r="A10" s="142" t="s">
        <v>279</v>
      </c>
      <c r="B10" s="143"/>
      <c r="C10" s="266">
        <f>SUM(C6:C9)</f>
        <v>23840</v>
      </c>
      <c r="D10" s="266">
        <f t="shared" ref="D10:E10" si="0">SUM(D6:D9)</f>
        <v>21840</v>
      </c>
      <c r="E10" s="266">
        <f t="shared" si="0"/>
        <v>21840</v>
      </c>
      <c r="F10" s="34"/>
      <c r="G10" s="34"/>
      <c r="H10" s="34"/>
      <c r="I10" s="34"/>
      <c r="J10" s="34"/>
      <c r="K10" s="34"/>
      <c r="L10" s="34"/>
      <c r="M10" s="34"/>
      <c r="N10" s="34"/>
      <c r="O10" s="34"/>
      <c r="P10" s="34"/>
      <c r="Q10" s="34"/>
    </row>
    <row r="11" spans="1:17" ht="14.45" x14ac:dyDescent="0.3">
      <c r="A11" s="34"/>
      <c r="B11" s="34"/>
      <c r="C11" s="34"/>
      <c r="D11" s="34"/>
      <c r="E11" s="34"/>
      <c r="F11" s="34"/>
      <c r="G11" s="34"/>
      <c r="H11" s="34"/>
      <c r="I11" s="34"/>
      <c r="J11" s="34"/>
      <c r="K11" s="34"/>
      <c r="L11" s="34"/>
      <c r="M11" s="34"/>
      <c r="N11" s="34"/>
      <c r="O11" s="34"/>
      <c r="P11" s="34"/>
      <c r="Q11" s="34"/>
    </row>
    <row r="12" spans="1:17" x14ac:dyDescent="0.25">
      <c r="A12" s="34" t="s">
        <v>367</v>
      </c>
      <c r="B12" s="34"/>
      <c r="C12" s="34"/>
      <c r="D12" s="34"/>
      <c r="E12" s="34"/>
      <c r="F12" s="34"/>
      <c r="G12" s="34"/>
      <c r="H12" s="34"/>
      <c r="I12" s="34"/>
      <c r="J12" s="34"/>
      <c r="K12" s="34"/>
      <c r="L12" s="34"/>
      <c r="M12" s="34"/>
      <c r="N12" s="34"/>
      <c r="O12" s="34"/>
      <c r="P12" s="34"/>
      <c r="Q12" s="34"/>
    </row>
    <row r="13" spans="1:17" ht="14.45" x14ac:dyDescent="0.3">
      <c r="A13" s="34"/>
      <c r="B13" s="34"/>
      <c r="C13" s="34"/>
      <c r="D13" s="34"/>
      <c r="E13" s="34"/>
      <c r="F13" s="34"/>
      <c r="G13" s="34"/>
      <c r="H13" s="34"/>
      <c r="I13" s="34"/>
      <c r="J13" s="34"/>
      <c r="K13" s="34"/>
      <c r="L13" s="34"/>
      <c r="M13" s="34"/>
      <c r="N13" s="34"/>
      <c r="O13" s="34"/>
      <c r="P13" s="34"/>
      <c r="Q13" s="34"/>
    </row>
  </sheetData>
  <mergeCells count="2">
    <mergeCell ref="A2:E2"/>
    <mergeCell ref="A3:E3"/>
  </mergeCell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F5" sqref="F5"/>
    </sheetView>
  </sheetViews>
  <sheetFormatPr defaultRowHeight="15" x14ac:dyDescent="0.25"/>
  <cols>
    <col min="1" max="1" width="16.42578125" customWidth="1"/>
    <col min="2" max="2" width="15.140625" customWidth="1"/>
    <col min="3" max="3" width="12.42578125" customWidth="1"/>
    <col min="4" max="4" width="11.5703125" customWidth="1"/>
    <col min="5" max="5" width="12.140625" customWidth="1"/>
    <col min="6" max="6" width="11.5703125" customWidth="1"/>
  </cols>
  <sheetData>
    <row r="2" spans="1:6" ht="14.45" x14ac:dyDescent="0.3">
      <c r="A2" s="399" t="s">
        <v>251</v>
      </c>
      <c r="B2" s="399"/>
      <c r="C2" s="399"/>
      <c r="D2" s="399"/>
      <c r="E2" s="399"/>
      <c r="F2" s="399"/>
    </row>
    <row r="3" spans="1:6" ht="33" customHeight="1" x14ac:dyDescent="0.25">
      <c r="A3" s="449" t="s">
        <v>223</v>
      </c>
      <c r="B3" s="449"/>
      <c r="C3" s="449"/>
      <c r="D3" s="449"/>
    </row>
    <row r="4" spans="1:6" ht="51" customHeight="1" x14ac:dyDescent="0.25">
      <c r="A4" s="88" t="s">
        <v>254</v>
      </c>
      <c r="B4" s="89" t="s">
        <v>252</v>
      </c>
      <c r="C4" s="89" t="s">
        <v>253</v>
      </c>
      <c r="D4" s="88" t="s">
        <v>275</v>
      </c>
    </row>
    <row r="5" spans="1:6" ht="14.45" x14ac:dyDescent="0.3">
      <c r="A5" s="89">
        <v>0.45</v>
      </c>
      <c r="B5" s="91">
        <v>0.3</v>
      </c>
      <c r="C5" s="69">
        <v>103000</v>
      </c>
      <c r="D5" s="92">
        <f>A5*B5*C5</f>
        <v>13905.000000000002</v>
      </c>
    </row>
    <row r="6" spans="1:6" x14ac:dyDescent="0.25">
      <c r="A6" s="34" t="s">
        <v>224</v>
      </c>
      <c r="B6" s="34"/>
      <c r="C6" s="34"/>
      <c r="D6" s="34"/>
    </row>
    <row r="9" spans="1:6" ht="14.45" x14ac:dyDescent="0.3">
      <c r="A9" s="273" t="s">
        <v>81</v>
      </c>
      <c r="B9" s="118"/>
    </row>
    <row r="10" spans="1:6" ht="70.5" customHeight="1" x14ac:dyDescent="0.25">
      <c r="A10" s="105" t="s">
        <v>324</v>
      </c>
      <c r="B10" s="105" t="s">
        <v>325</v>
      </c>
      <c r="C10" s="89" t="s">
        <v>144</v>
      </c>
      <c r="D10" s="105" t="s">
        <v>326</v>
      </c>
      <c r="E10" s="105" t="s">
        <v>327</v>
      </c>
      <c r="F10" s="105" t="s">
        <v>328</v>
      </c>
    </row>
    <row r="11" spans="1:6" ht="14.45" x14ac:dyDescent="0.3">
      <c r="A11" s="256">
        <v>4000</v>
      </c>
      <c r="B11" s="117">
        <v>0.68</v>
      </c>
      <c r="C11" s="257">
        <v>100000</v>
      </c>
      <c r="D11" s="253">
        <f>68000+4000</f>
        <v>72000</v>
      </c>
      <c r="E11" s="253">
        <f>B11*C11</f>
        <v>68000</v>
      </c>
      <c r="F11" s="253">
        <f>B11*C11</f>
        <v>68000</v>
      </c>
    </row>
    <row r="12" spans="1:6" ht="14.45" x14ac:dyDescent="0.3">
      <c r="A12" s="255"/>
    </row>
    <row r="13" spans="1:6" ht="15" customHeight="1" x14ac:dyDescent="0.3">
      <c r="A13" s="255"/>
    </row>
  </sheetData>
  <mergeCells count="2">
    <mergeCell ref="A3:D3"/>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E18" sqref="E18"/>
    </sheetView>
  </sheetViews>
  <sheetFormatPr defaultRowHeight="15" x14ac:dyDescent="0.25"/>
  <cols>
    <col min="1" max="1" width="20.5703125" customWidth="1"/>
    <col min="2" max="2" width="13.42578125" customWidth="1"/>
    <col min="3" max="3" width="11" customWidth="1"/>
    <col min="5" max="6" width="10.85546875" customWidth="1"/>
  </cols>
  <sheetData>
    <row r="2" spans="1:6" ht="14.45" x14ac:dyDescent="0.3">
      <c r="A2" s="34"/>
      <c r="B2" s="34"/>
      <c r="C2" s="34"/>
      <c r="D2" s="34"/>
      <c r="E2" s="391" t="s">
        <v>202</v>
      </c>
      <c r="F2" s="391"/>
    </row>
    <row r="3" spans="1:6" ht="76.5" x14ac:dyDescent="0.25">
      <c r="A3" s="37"/>
      <c r="B3" s="262" t="s">
        <v>147</v>
      </c>
      <c r="C3" s="262" t="s">
        <v>311</v>
      </c>
      <c r="D3" s="263" t="s">
        <v>2</v>
      </c>
      <c r="E3" s="105" t="s">
        <v>309</v>
      </c>
      <c r="F3" s="105" t="s">
        <v>310</v>
      </c>
    </row>
    <row r="4" spans="1:6" x14ac:dyDescent="0.25">
      <c r="A4" s="99" t="s">
        <v>148</v>
      </c>
      <c r="B4" s="38">
        <v>300</v>
      </c>
      <c r="C4" s="38">
        <v>520</v>
      </c>
      <c r="D4" s="38">
        <v>156000</v>
      </c>
      <c r="E4" s="38">
        <v>179400</v>
      </c>
      <c r="F4" s="38">
        <v>206310</v>
      </c>
    </row>
    <row r="5" spans="1:6" x14ac:dyDescent="0.25">
      <c r="A5" s="99" t="s">
        <v>149</v>
      </c>
      <c r="B5" s="38">
        <v>300</v>
      </c>
      <c r="C5" s="38">
        <v>900</v>
      </c>
      <c r="D5" s="38">
        <v>270000</v>
      </c>
      <c r="E5" s="38">
        <v>310500</v>
      </c>
      <c r="F5" s="38">
        <v>357075</v>
      </c>
    </row>
    <row r="6" spans="1:6" ht="14.45" x14ac:dyDescent="0.3">
      <c r="A6" s="99" t="s">
        <v>150</v>
      </c>
      <c r="B6" s="38">
        <v>200</v>
      </c>
      <c r="C6" s="38">
        <v>250</v>
      </c>
      <c r="D6" s="38">
        <v>50000</v>
      </c>
      <c r="E6" s="38">
        <v>57500</v>
      </c>
      <c r="F6" s="38">
        <v>66125</v>
      </c>
    </row>
    <row r="7" spans="1:6" ht="25.5" x14ac:dyDescent="0.25">
      <c r="A7" s="99" t="s">
        <v>151</v>
      </c>
      <c r="B7" s="38">
        <v>200</v>
      </c>
      <c r="C7" s="38">
        <v>70</v>
      </c>
      <c r="D7" s="38">
        <v>14000</v>
      </c>
      <c r="E7" s="38">
        <v>16100</v>
      </c>
      <c r="F7" s="38">
        <v>18515</v>
      </c>
    </row>
    <row r="8" spans="1:6" ht="38.25" x14ac:dyDescent="0.25">
      <c r="A8" s="99" t="s">
        <v>152</v>
      </c>
      <c r="B8" s="38">
        <v>200</v>
      </c>
      <c r="C8" s="38">
        <v>62.41</v>
      </c>
      <c r="D8" s="38">
        <v>12482</v>
      </c>
      <c r="E8" s="38">
        <v>14354</v>
      </c>
      <c r="F8" s="38">
        <v>16507</v>
      </c>
    </row>
    <row r="9" spans="1:6" ht="70.5" customHeight="1" x14ac:dyDescent="0.25">
      <c r="A9" s="99" t="s">
        <v>153</v>
      </c>
      <c r="B9" s="38">
        <v>200</v>
      </c>
      <c r="C9" s="38">
        <v>62.41</v>
      </c>
      <c r="D9" s="38">
        <v>12482</v>
      </c>
      <c r="E9" s="38">
        <v>14354</v>
      </c>
      <c r="F9" s="38">
        <v>16507</v>
      </c>
    </row>
    <row r="10" spans="1:6" ht="27.75" customHeight="1" x14ac:dyDescent="0.25">
      <c r="A10" s="99" t="s">
        <v>154</v>
      </c>
      <c r="B10" s="38">
        <v>80</v>
      </c>
      <c r="C10" s="38">
        <v>90</v>
      </c>
      <c r="D10" s="38">
        <v>7200</v>
      </c>
      <c r="E10" s="38">
        <v>8280</v>
      </c>
      <c r="F10" s="38">
        <v>9522</v>
      </c>
    </row>
    <row r="11" spans="1:6" ht="38.25" x14ac:dyDescent="0.25">
      <c r="A11" s="99" t="s">
        <v>155</v>
      </c>
      <c r="B11" s="38">
        <v>80</v>
      </c>
      <c r="C11" s="38">
        <v>70</v>
      </c>
      <c r="D11" s="38">
        <v>5600</v>
      </c>
      <c r="E11" s="38">
        <v>6440</v>
      </c>
      <c r="F11" s="38">
        <v>7406</v>
      </c>
    </row>
    <row r="12" spans="1:6" ht="25.5" x14ac:dyDescent="0.25">
      <c r="A12" s="99" t="s">
        <v>300</v>
      </c>
      <c r="B12" s="251" t="s">
        <v>301</v>
      </c>
      <c r="C12" s="251" t="s">
        <v>302</v>
      </c>
      <c r="D12" s="38">
        <v>4000</v>
      </c>
      <c r="E12" s="38">
        <v>4600</v>
      </c>
      <c r="F12" s="38">
        <v>5290</v>
      </c>
    </row>
    <row r="13" spans="1:6" x14ac:dyDescent="0.25">
      <c r="A13" s="392" t="s">
        <v>259</v>
      </c>
      <c r="B13" s="393"/>
      <c r="C13" s="394"/>
      <c r="D13" s="37">
        <f>SUM(D4:D12)</f>
        <v>531764</v>
      </c>
      <c r="E13" s="37">
        <f>SUM(E4:E12)</f>
        <v>611528</v>
      </c>
      <c r="F13" s="37">
        <f>SUM(F4:F12)</f>
        <v>703257</v>
      </c>
    </row>
  </sheetData>
  <mergeCells count="2">
    <mergeCell ref="E2:F2"/>
    <mergeCell ref="A13:C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5"/>
  <sheetViews>
    <sheetView zoomScale="80" zoomScaleNormal="80" workbookViewId="0">
      <selection activeCell="I15" sqref="I15"/>
    </sheetView>
  </sheetViews>
  <sheetFormatPr defaultColWidth="9.140625" defaultRowHeight="15" x14ac:dyDescent="0.25"/>
  <cols>
    <col min="1" max="1" width="22.140625" style="50" customWidth="1"/>
    <col min="2" max="2" width="9.140625" style="50"/>
    <col min="3" max="4" width="12.140625" style="50" customWidth="1"/>
    <col min="5" max="5" width="10.42578125" style="50" customWidth="1"/>
    <col min="6" max="6" width="21.85546875" style="50" customWidth="1"/>
    <col min="7" max="10" width="16.42578125" style="50" customWidth="1"/>
    <col min="11" max="11" width="11.42578125" style="50" customWidth="1"/>
    <col min="12" max="16384" width="9.140625" style="50"/>
  </cols>
  <sheetData>
    <row r="1" spans="1:258" ht="14.45" x14ac:dyDescent="0.3">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c r="IW1" s="51"/>
      <c r="IX1" s="51"/>
    </row>
    <row r="2" spans="1:258" ht="14.85" customHeight="1" x14ac:dyDescent="0.3">
      <c r="A2" s="51"/>
      <c r="B2" s="51"/>
      <c r="C2" s="51"/>
      <c r="D2" s="51"/>
      <c r="E2" s="51"/>
      <c r="F2" s="51"/>
      <c r="G2" s="51"/>
      <c r="H2" s="51"/>
      <c r="I2" s="51"/>
      <c r="J2" s="333"/>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row>
    <row r="3" spans="1:258" ht="59.25" customHeight="1" x14ac:dyDescent="0.25">
      <c r="A3" s="288" t="s">
        <v>145</v>
      </c>
      <c r="B3" s="289" t="s">
        <v>87</v>
      </c>
      <c r="C3" s="330" t="s">
        <v>368</v>
      </c>
      <c r="D3" s="330" t="s">
        <v>384</v>
      </c>
      <c r="E3" s="289" t="s">
        <v>387</v>
      </c>
      <c r="F3" s="289" t="s">
        <v>88</v>
      </c>
      <c r="G3" s="289" t="s">
        <v>385</v>
      </c>
      <c r="H3" s="330" t="s">
        <v>2</v>
      </c>
      <c r="I3" s="330" t="s">
        <v>3</v>
      </c>
      <c r="J3" s="290" t="s">
        <v>16</v>
      </c>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row>
    <row r="4" spans="1:258" ht="26.45" x14ac:dyDescent="0.3">
      <c r="A4" s="137" t="s">
        <v>171</v>
      </c>
      <c r="B4" s="261" t="s">
        <v>172</v>
      </c>
      <c r="C4" s="261">
        <v>3</v>
      </c>
      <c r="D4" s="261">
        <v>7</v>
      </c>
      <c r="E4" s="260">
        <v>4</v>
      </c>
      <c r="F4" s="291" t="s">
        <v>173</v>
      </c>
      <c r="G4" s="278">
        <v>196463</v>
      </c>
      <c r="H4" s="278">
        <v>591922</v>
      </c>
      <c r="I4" s="278">
        <f>D4*G4</f>
        <v>1375241</v>
      </c>
      <c r="J4" s="259">
        <v>1571704</v>
      </c>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row>
    <row r="5" spans="1:258" x14ac:dyDescent="0.25">
      <c r="A5" s="137" t="s">
        <v>174</v>
      </c>
      <c r="B5" s="261" t="s">
        <v>175</v>
      </c>
      <c r="C5" s="261">
        <v>3</v>
      </c>
      <c r="D5" s="261">
        <v>6</v>
      </c>
      <c r="E5" s="260">
        <v>3</v>
      </c>
      <c r="F5" s="291" t="s">
        <v>176</v>
      </c>
      <c r="G5" s="278">
        <v>30624</v>
      </c>
      <c r="H5" s="278">
        <f>C5+G5</f>
        <v>30627</v>
      </c>
      <c r="I5" s="278">
        <f t="shared" ref="I5:I11" si="0">D5*G5</f>
        <v>183744</v>
      </c>
      <c r="J5" s="259">
        <v>91873.279999999999</v>
      </c>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row>
    <row r="6" spans="1:258" ht="25.5" x14ac:dyDescent="0.25">
      <c r="A6" s="137" t="s">
        <v>177</v>
      </c>
      <c r="B6" s="261" t="s">
        <v>178</v>
      </c>
      <c r="C6" s="261">
        <v>2</v>
      </c>
      <c r="D6" s="261">
        <v>3</v>
      </c>
      <c r="E6" s="260">
        <v>2</v>
      </c>
      <c r="F6" s="291" t="s">
        <v>179</v>
      </c>
      <c r="G6" s="278">
        <v>762</v>
      </c>
      <c r="H6" s="278">
        <f t="shared" ref="H6:H12" si="1">C6*G6</f>
        <v>1524</v>
      </c>
      <c r="I6" s="278">
        <f t="shared" si="0"/>
        <v>2286</v>
      </c>
      <c r="J6" s="259">
        <v>1526.3</v>
      </c>
      <c r="K6" s="52"/>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row>
    <row r="7" spans="1:258" ht="14.45" hidden="1" x14ac:dyDescent="0.3">
      <c r="A7" s="137" t="s">
        <v>180</v>
      </c>
      <c r="B7" s="261" t="s">
        <v>181</v>
      </c>
      <c r="C7" s="261"/>
      <c r="D7" s="261"/>
      <c r="E7" s="260">
        <v>11</v>
      </c>
      <c r="F7" s="291"/>
      <c r="G7" s="278"/>
      <c r="H7" s="278">
        <f t="shared" si="1"/>
        <v>0</v>
      </c>
      <c r="I7" s="278">
        <f t="shared" si="0"/>
        <v>0</v>
      </c>
      <c r="J7" s="259"/>
    </row>
    <row r="8" spans="1:258" ht="26.45" hidden="1" x14ac:dyDescent="0.3">
      <c r="A8" s="137" t="s">
        <v>182</v>
      </c>
      <c r="B8" s="261" t="s">
        <v>183</v>
      </c>
      <c r="C8" s="261"/>
      <c r="D8" s="261"/>
      <c r="E8" s="260">
        <v>2</v>
      </c>
      <c r="F8" s="291"/>
      <c r="G8" s="278"/>
      <c r="H8" s="278">
        <f t="shared" si="1"/>
        <v>0</v>
      </c>
      <c r="I8" s="278">
        <f t="shared" si="0"/>
        <v>0</v>
      </c>
      <c r="J8" s="259"/>
    </row>
    <row r="9" spans="1:258" x14ac:dyDescent="0.25">
      <c r="A9" s="137" t="s">
        <v>184</v>
      </c>
      <c r="B9" s="261" t="s">
        <v>185</v>
      </c>
      <c r="C9" s="261">
        <v>0</v>
      </c>
      <c r="D9" s="261">
        <v>4</v>
      </c>
      <c r="E9" s="260">
        <v>2</v>
      </c>
      <c r="F9" s="291" t="s">
        <v>186</v>
      </c>
      <c r="G9" s="278">
        <v>343641</v>
      </c>
      <c r="H9" s="278">
        <f t="shared" si="1"/>
        <v>0</v>
      </c>
      <c r="I9" s="278">
        <f t="shared" si="0"/>
        <v>1374564</v>
      </c>
      <c r="J9" s="259">
        <f>2863.67*12*22</f>
        <v>756008.88</v>
      </c>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c r="IX9" s="51"/>
    </row>
    <row r="10" spans="1:258" ht="25.5" x14ac:dyDescent="0.25">
      <c r="A10" s="137" t="s">
        <v>187</v>
      </c>
      <c r="B10" s="261" t="s">
        <v>188</v>
      </c>
      <c r="C10" s="261">
        <v>1</v>
      </c>
      <c r="D10" s="261">
        <v>5</v>
      </c>
      <c r="E10" s="260">
        <v>2</v>
      </c>
      <c r="F10" s="291" t="s">
        <v>189</v>
      </c>
      <c r="G10" s="278">
        <v>7908</v>
      </c>
      <c r="H10" s="278">
        <f t="shared" si="1"/>
        <v>7908</v>
      </c>
      <c r="I10" s="278">
        <f t="shared" si="0"/>
        <v>39540</v>
      </c>
      <c r="J10" s="259">
        <f>7908*4</f>
        <v>31632</v>
      </c>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c r="IX10" s="51"/>
    </row>
    <row r="11" spans="1:258" ht="14.25" customHeight="1" x14ac:dyDescent="0.25">
      <c r="A11" s="137" t="s">
        <v>190</v>
      </c>
      <c r="B11" s="261" t="s">
        <v>191</v>
      </c>
      <c r="C11" s="261">
        <v>9</v>
      </c>
      <c r="D11" s="261">
        <v>12</v>
      </c>
      <c r="E11" s="260">
        <v>9</v>
      </c>
      <c r="F11" s="291" t="s">
        <v>356</v>
      </c>
      <c r="G11" s="278">
        <v>14965</v>
      </c>
      <c r="H11" s="278">
        <f t="shared" si="1"/>
        <v>134685</v>
      </c>
      <c r="I11" s="278">
        <f t="shared" si="0"/>
        <v>179580</v>
      </c>
      <c r="J11" s="259">
        <f>14965.2*11</f>
        <v>164617.20000000001</v>
      </c>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c r="IW11" s="51"/>
      <c r="IX11" s="51"/>
    </row>
    <row r="12" spans="1:258" ht="30" customHeight="1" x14ac:dyDescent="0.25">
      <c r="A12" s="137" t="s">
        <v>192</v>
      </c>
      <c r="B12" s="261" t="s">
        <v>172</v>
      </c>
      <c r="C12" s="261">
        <v>2</v>
      </c>
      <c r="D12" s="261">
        <v>4</v>
      </c>
      <c r="E12" s="261">
        <v>3</v>
      </c>
      <c r="F12" s="137" t="s">
        <v>193</v>
      </c>
      <c r="G12" s="261">
        <v>116667</v>
      </c>
      <c r="H12" s="278">
        <f t="shared" si="1"/>
        <v>233334</v>
      </c>
      <c r="I12" s="278">
        <v>459272</v>
      </c>
      <c r="J12" s="259">
        <v>400000</v>
      </c>
    </row>
    <row r="13" spans="1:258" x14ac:dyDescent="0.25">
      <c r="A13" s="396" t="s">
        <v>268</v>
      </c>
      <c r="B13" s="397"/>
      <c r="C13" s="397"/>
      <c r="D13" s="397"/>
      <c r="E13" s="397"/>
      <c r="F13" s="398"/>
      <c r="G13" s="276"/>
      <c r="H13" s="329">
        <f>SUM(H4:H12)</f>
        <v>1000000</v>
      </c>
      <c r="I13" s="329">
        <f>SUM(I4:I12)</f>
        <v>3614227</v>
      </c>
      <c r="J13" s="138">
        <f t="shared" ref="J13" si="2">SUM(J4:J12)</f>
        <v>3017361.66</v>
      </c>
    </row>
    <row r="14" spans="1:258" x14ac:dyDescent="0.25">
      <c r="A14" s="71" t="s">
        <v>386</v>
      </c>
      <c r="B14" s="71"/>
      <c r="C14" s="71"/>
      <c r="D14" s="71"/>
      <c r="E14" s="71"/>
      <c r="F14" s="71"/>
      <c r="G14" s="71"/>
      <c r="H14" s="71"/>
      <c r="I14" s="71"/>
      <c r="J14" s="71"/>
    </row>
    <row r="15" spans="1:258" ht="34.9" customHeight="1" x14ac:dyDescent="0.25">
      <c r="A15" s="395" t="s">
        <v>194</v>
      </c>
      <c r="B15" s="395"/>
      <c r="C15" s="395"/>
      <c r="D15" s="395"/>
      <c r="E15" s="395"/>
      <c r="F15" s="395"/>
      <c r="G15" s="275"/>
      <c r="H15" s="324"/>
      <c r="I15" s="331"/>
      <c r="J15" s="71"/>
    </row>
  </sheetData>
  <mergeCells count="2">
    <mergeCell ref="A15:F15"/>
    <mergeCell ref="A13:F13"/>
  </mergeCells>
  <pageMargins left="0.25" right="0.25" top="0.75" bottom="0.75" header="0.51180555555555496" footer="0.51180555555555496"/>
  <pageSetup paperSize="9" firstPageNumber="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3"/>
  <sheetViews>
    <sheetView workbookViewId="0">
      <selection activeCell="L6" sqref="L6"/>
    </sheetView>
  </sheetViews>
  <sheetFormatPr defaultRowHeight="15" x14ac:dyDescent="0.25"/>
  <cols>
    <col min="1" max="1" width="20.140625" customWidth="1"/>
    <col min="5" max="5" width="10.42578125" customWidth="1"/>
    <col min="6" max="6" width="9.140625" customWidth="1"/>
    <col min="7" max="7" width="29" customWidth="1"/>
    <col min="8" max="9" width="13.140625" customWidth="1"/>
    <col min="10" max="11" width="13.5703125" customWidth="1"/>
    <col min="12" max="12" width="13.42578125" customWidth="1"/>
  </cols>
  <sheetData>
    <row r="2" spans="1:12" ht="14.45" x14ac:dyDescent="0.3">
      <c r="A2" s="399" t="s">
        <v>305</v>
      </c>
      <c r="B2" s="400"/>
      <c r="C2" s="400"/>
      <c r="D2" s="400"/>
      <c r="E2" s="400"/>
      <c r="F2" s="400"/>
      <c r="G2" s="400"/>
      <c r="H2" s="400"/>
      <c r="I2" s="400"/>
      <c r="J2" s="400"/>
      <c r="K2" s="400"/>
      <c r="L2" s="400"/>
    </row>
    <row r="3" spans="1:12" ht="39" customHeight="1" x14ac:dyDescent="0.25">
      <c r="A3" s="409" t="s">
        <v>338</v>
      </c>
      <c r="B3" s="409"/>
      <c r="C3" s="409"/>
      <c r="D3" s="409"/>
      <c r="E3" s="409"/>
      <c r="F3" s="409"/>
      <c r="G3" s="409"/>
      <c r="H3" s="409"/>
      <c r="I3" s="409"/>
      <c r="J3" s="409"/>
      <c r="K3" s="409"/>
      <c r="L3" s="409"/>
    </row>
    <row r="4" spans="1:12" ht="51" x14ac:dyDescent="0.25">
      <c r="A4" s="34"/>
      <c r="B4" s="34"/>
      <c r="C4" s="34"/>
      <c r="D4" s="34"/>
      <c r="E4" s="34"/>
      <c r="F4" s="34"/>
      <c r="G4" s="39"/>
      <c r="H4" s="39"/>
      <c r="I4" s="39"/>
      <c r="J4" s="79" t="s">
        <v>312</v>
      </c>
      <c r="K4" s="79" t="s">
        <v>313</v>
      </c>
      <c r="L4" s="79" t="s">
        <v>314</v>
      </c>
    </row>
    <row r="5" spans="1:12" ht="38.25" x14ac:dyDescent="0.25">
      <c r="A5" s="34"/>
      <c r="B5" s="34"/>
      <c r="C5" s="34"/>
      <c r="D5" s="34"/>
      <c r="E5" s="34"/>
      <c r="F5" s="34"/>
      <c r="G5" s="36" t="s">
        <v>303</v>
      </c>
      <c r="H5" s="36"/>
      <c r="I5" s="36"/>
      <c r="J5" s="89">
        <v>398015</v>
      </c>
      <c r="K5" s="89">
        <v>477618</v>
      </c>
      <c r="L5" s="89">
        <v>573142</v>
      </c>
    </row>
    <row r="6" spans="1:12" x14ac:dyDescent="0.25">
      <c r="A6" s="34"/>
      <c r="B6" s="34"/>
      <c r="C6" s="34"/>
      <c r="D6" s="34"/>
      <c r="E6" s="34"/>
      <c r="F6" s="34"/>
      <c r="G6" s="39" t="s">
        <v>304</v>
      </c>
      <c r="H6" s="39"/>
      <c r="I6" s="39"/>
      <c r="J6" s="253">
        <v>398015</v>
      </c>
      <c r="K6" s="253">
        <v>477618</v>
      </c>
      <c r="L6" s="253">
        <v>573142</v>
      </c>
    </row>
    <row r="7" spans="1:12" ht="14.45" x14ac:dyDescent="0.3">
      <c r="A7" s="34"/>
      <c r="B7" s="34"/>
      <c r="C7" s="34"/>
      <c r="D7" s="34"/>
      <c r="E7" s="34"/>
      <c r="F7" s="34"/>
      <c r="G7" s="34"/>
      <c r="H7" s="34"/>
      <c r="I7" s="34"/>
      <c r="J7" s="34"/>
      <c r="K7" s="34"/>
      <c r="L7" s="34"/>
    </row>
    <row r="8" spans="1:12" x14ac:dyDescent="0.25">
      <c r="A8" s="404" t="s">
        <v>315</v>
      </c>
      <c r="B8" s="404"/>
      <c r="C8" s="404"/>
      <c r="D8" s="404"/>
      <c r="E8" s="404"/>
      <c r="F8" s="404"/>
      <c r="G8" s="404"/>
      <c r="H8" s="404"/>
      <c r="I8" s="404"/>
      <c r="J8" s="405"/>
      <c r="K8" s="405"/>
      <c r="L8" s="405"/>
    </row>
    <row r="9" spans="1:12" ht="63.75" x14ac:dyDescent="0.25">
      <c r="A9" s="264" t="s">
        <v>145</v>
      </c>
      <c r="B9" s="73" t="s">
        <v>87</v>
      </c>
      <c r="C9" s="133" t="s">
        <v>368</v>
      </c>
      <c r="D9" s="133" t="s">
        <v>384</v>
      </c>
      <c r="E9" s="73" t="s">
        <v>387</v>
      </c>
      <c r="F9" s="73" t="s">
        <v>389</v>
      </c>
      <c r="G9" s="73" t="s">
        <v>88</v>
      </c>
      <c r="H9" s="133" t="s">
        <v>2</v>
      </c>
      <c r="I9" s="342" t="s">
        <v>3</v>
      </c>
      <c r="J9" s="79" t="s">
        <v>16</v>
      </c>
      <c r="K9" s="45"/>
      <c r="L9" s="45"/>
    </row>
    <row r="10" spans="1:12" x14ac:dyDescent="0.25">
      <c r="A10" s="130" t="s">
        <v>89</v>
      </c>
      <c r="B10" s="131"/>
      <c r="C10" s="131">
        <v>7</v>
      </c>
      <c r="D10" s="131">
        <v>25</v>
      </c>
      <c r="E10" s="132">
        <v>21</v>
      </c>
      <c r="F10" s="277">
        <v>259000</v>
      </c>
      <c r="G10" s="121" t="s">
        <v>90</v>
      </c>
      <c r="H10" s="343">
        <v>1763890</v>
      </c>
      <c r="I10" s="344">
        <v>6636768</v>
      </c>
      <c r="J10" s="339">
        <v>6000000</v>
      </c>
      <c r="K10" s="335"/>
      <c r="L10" s="335"/>
    </row>
    <row r="11" spans="1:12" x14ac:dyDescent="0.25">
      <c r="A11" s="130" t="s">
        <v>96</v>
      </c>
      <c r="B11" s="133" t="s">
        <v>97</v>
      </c>
      <c r="C11" s="133" t="s">
        <v>383</v>
      </c>
      <c r="D11" s="133" t="s">
        <v>388</v>
      </c>
      <c r="E11" s="120">
        <v>21</v>
      </c>
      <c r="F11" s="122">
        <v>838095</v>
      </c>
      <c r="G11" s="121" t="s">
        <v>98</v>
      </c>
      <c r="H11" s="343">
        <v>801157</v>
      </c>
      <c r="I11" s="344">
        <f>D11*F11</f>
        <v>19276185</v>
      </c>
      <c r="J11" s="340">
        <v>19200000</v>
      </c>
      <c r="K11" s="336"/>
      <c r="L11" s="336"/>
    </row>
    <row r="12" spans="1:12" ht="14.45" hidden="1" x14ac:dyDescent="0.3">
      <c r="A12" s="85" t="s">
        <v>99</v>
      </c>
      <c r="B12" s="74" t="s">
        <v>100</v>
      </c>
      <c r="C12" s="74"/>
      <c r="D12" s="74"/>
      <c r="E12" s="75">
        <v>1</v>
      </c>
      <c r="F12" s="75"/>
      <c r="G12" s="76" t="s">
        <v>101</v>
      </c>
      <c r="H12" s="121" t="s">
        <v>369</v>
      </c>
      <c r="I12" s="344">
        <f t="shared" ref="I12:I25" si="0">D12*F12</f>
        <v>0</v>
      </c>
      <c r="J12" s="87">
        <v>127336</v>
      </c>
      <c r="K12" s="337"/>
      <c r="L12" s="337"/>
    </row>
    <row r="13" spans="1:12" ht="36.75" hidden="1" customHeight="1" x14ac:dyDescent="0.3">
      <c r="A13" s="76" t="s">
        <v>102</v>
      </c>
      <c r="B13" s="73" t="s">
        <v>103</v>
      </c>
      <c r="C13" s="73"/>
      <c r="D13" s="73"/>
      <c r="E13" s="72">
        <v>5</v>
      </c>
      <c r="F13" s="72"/>
      <c r="G13" s="76" t="s">
        <v>104</v>
      </c>
      <c r="H13" s="121" t="s">
        <v>370</v>
      </c>
      <c r="I13" s="344">
        <f t="shared" si="0"/>
        <v>0</v>
      </c>
      <c r="J13" s="87">
        <v>227952</v>
      </c>
      <c r="K13" s="337"/>
      <c r="L13" s="337"/>
    </row>
    <row r="14" spans="1:12" ht="18.75" hidden="1" customHeight="1" x14ac:dyDescent="0.3">
      <c r="A14" s="76" t="s">
        <v>105</v>
      </c>
      <c r="B14" s="73" t="s">
        <v>106</v>
      </c>
      <c r="C14" s="73"/>
      <c r="D14" s="73"/>
      <c r="E14" s="72">
        <v>1</v>
      </c>
      <c r="F14" s="72"/>
      <c r="G14" s="76" t="s">
        <v>107</v>
      </c>
      <c r="H14" s="121" t="s">
        <v>371</v>
      </c>
      <c r="I14" s="344">
        <f t="shared" si="0"/>
        <v>0</v>
      </c>
      <c r="J14" s="87">
        <v>6500</v>
      </c>
      <c r="K14" s="337"/>
      <c r="L14" s="337"/>
    </row>
    <row r="15" spans="1:12" ht="33" hidden="1" customHeight="1" x14ac:dyDescent="0.3">
      <c r="A15" s="76" t="s">
        <v>108</v>
      </c>
      <c r="B15" s="73" t="s">
        <v>109</v>
      </c>
      <c r="C15" s="327"/>
      <c r="D15" s="327"/>
      <c r="E15" s="77">
        <v>1</v>
      </c>
      <c r="F15" s="77"/>
      <c r="G15" s="76" t="s">
        <v>110</v>
      </c>
      <c r="H15" s="121" t="s">
        <v>372</v>
      </c>
      <c r="I15" s="344">
        <f t="shared" si="0"/>
        <v>0</v>
      </c>
      <c r="J15" s="87">
        <v>13189</v>
      </c>
      <c r="K15" s="337"/>
      <c r="L15" s="337"/>
    </row>
    <row r="16" spans="1:12" ht="18.75" hidden="1" customHeight="1" x14ac:dyDescent="0.3">
      <c r="A16" s="76" t="s">
        <v>111</v>
      </c>
      <c r="B16" s="78" t="s">
        <v>112</v>
      </c>
      <c r="C16" s="46"/>
      <c r="D16" s="46"/>
      <c r="E16" s="79">
        <v>1</v>
      </c>
      <c r="F16" s="45"/>
      <c r="G16" s="80" t="s">
        <v>113</v>
      </c>
      <c r="H16" s="121" t="s">
        <v>373</v>
      </c>
      <c r="I16" s="344">
        <f t="shared" si="0"/>
        <v>0</v>
      </c>
      <c r="J16" s="87">
        <v>87465</v>
      </c>
      <c r="K16" s="337"/>
      <c r="L16" s="337"/>
    </row>
    <row r="17" spans="1:12" ht="21" hidden="1" customHeight="1" x14ac:dyDescent="0.3">
      <c r="A17" s="76" t="s">
        <v>114</v>
      </c>
      <c r="B17" s="73" t="s">
        <v>115</v>
      </c>
      <c r="C17" s="328"/>
      <c r="D17" s="328"/>
      <c r="E17" s="81">
        <v>1</v>
      </c>
      <c r="F17" s="81"/>
      <c r="G17" s="76" t="s">
        <v>116</v>
      </c>
      <c r="H17" s="121" t="s">
        <v>374</v>
      </c>
      <c r="I17" s="344">
        <f t="shared" si="0"/>
        <v>0</v>
      </c>
      <c r="J17" s="87">
        <v>289643</v>
      </c>
      <c r="K17" s="337"/>
      <c r="L17" s="337"/>
    </row>
    <row r="18" spans="1:12" ht="18.75" hidden="1" customHeight="1" x14ac:dyDescent="0.3">
      <c r="A18" s="76" t="s">
        <v>117</v>
      </c>
      <c r="B18" s="73" t="s">
        <v>118</v>
      </c>
      <c r="C18" s="73"/>
      <c r="D18" s="73"/>
      <c r="E18" s="75">
        <v>1</v>
      </c>
      <c r="F18" s="75"/>
      <c r="G18" s="76" t="s">
        <v>119</v>
      </c>
      <c r="H18" s="121" t="s">
        <v>375</v>
      </c>
      <c r="I18" s="344">
        <f t="shared" si="0"/>
        <v>0</v>
      </c>
      <c r="J18" s="87">
        <v>194522</v>
      </c>
      <c r="K18" s="337"/>
      <c r="L18" s="337"/>
    </row>
    <row r="19" spans="1:12" ht="21" hidden="1" customHeight="1" x14ac:dyDescent="0.3">
      <c r="A19" s="76" t="s">
        <v>120</v>
      </c>
      <c r="B19" s="73" t="s">
        <v>121</v>
      </c>
      <c r="C19" s="73"/>
      <c r="D19" s="73"/>
      <c r="E19" s="75">
        <v>1</v>
      </c>
      <c r="F19" s="75"/>
      <c r="G19" s="76" t="s">
        <v>122</v>
      </c>
      <c r="H19" s="121" t="s">
        <v>376</v>
      </c>
      <c r="I19" s="344">
        <f t="shared" si="0"/>
        <v>0</v>
      </c>
      <c r="J19" s="87">
        <v>660348</v>
      </c>
      <c r="K19" s="337"/>
      <c r="L19" s="337"/>
    </row>
    <row r="20" spans="1:12" ht="18.75" hidden="1" customHeight="1" x14ac:dyDescent="0.3">
      <c r="A20" s="76" t="s">
        <v>123</v>
      </c>
      <c r="B20" s="73" t="s">
        <v>124</v>
      </c>
      <c r="C20" s="73"/>
      <c r="D20" s="73"/>
      <c r="E20" s="75">
        <v>1</v>
      </c>
      <c r="F20" s="75"/>
      <c r="G20" s="76" t="s">
        <v>125</v>
      </c>
      <c r="H20" s="121" t="s">
        <v>377</v>
      </c>
      <c r="I20" s="344">
        <f t="shared" si="0"/>
        <v>0</v>
      </c>
      <c r="J20" s="87">
        <v>0</v>
      </c>
      <c r="K20" s="337"/>
      <c r="L20" s="337"/>
    </row>
    <row r="21" spans="1:12" ht="50.25" hidden="1" customHeight="1" x14ac:dyDescent="0.3">
      <c r="A21" s="76" t="s">
        <v>126</v>
      </c>
      <c r="B21" s="83" t="s">
        <v>127</v>
      </c>
      <c r="C21" s="83"/>
      <c r="D21" s="83"/>
      <c r="E21" s="75">
        <v>1</v>
      </c>
      <c r="F21" s="75"/>
      <c r="G21" s="82" t="s">
        <v>128</v>
      </c>
      <c r="H21" s="121" t="s">
        <v>378</v>
      </c>
      <c r="I21" s="344">
        <f t="shared" si="0"/>
        <v>0</v>
      </c>
      <c r="J21" s="87">
        <v>0</v>
      </c>
      <c r="K21" s="337"/>
      <c r="L21" s="337"/>
    </row>
    <row r="22" spans="1:12" ht="42.75" hidden="1" customHeight="1" x14ac:dyDescent="0.3">
      <c r="A22" s="76" t="s">
        <v>129</v>
      </c>
      <c r="B22" s="83" t="s">
        <v>130</v>
      </c>
      <c r="C22" s="83"/>
      <c r="D22" s="83"/>
      <c r="E22" s="75">
        <v>1</v>
      </c>
      <c r="F22" s="75"/>
      <c r="G22" s="82" t="s">
        <v>131</v>
      </c>
      <c r="H22" s="121" t="s">
        <v>379</v>
      </c>
      <c r="I22" s="344">
        <f t="shared" si="0"/>
        <v>0</v>
      </c>
      <c r="J22" s="87">
        <v>0</v>
      </c>
      <c r="K22" s="337"/>
      <c r="L22" s="337"/>
    </row>
    <row r="23" spans="1:12" ht="30.75" hidden="1" customHeight="1" x14ac:dyDescent="0.3">
      <c r="A23" s="76" t="s">
        <v>132</v>
      </c>
      <c r="B23" s="83" t="s">
        <v>133</v>
      </c>
      <c r="C23" s="83"/>
      <c r="D23" s="83"/>
      <c r="E23" s="75">
        <v>1</v>
      </c>
      <c r="F23" s="75"/>
      <c r="G23" s="82" t="s">
        <v>134</v>
      </c>
      <c r="H23" s="121" t="s">
        <v>380</v>
      </c>
      <c r="I23" s="344">
        <f t="shared" si="0"/>
        <v>0</v>
      </c>
      <c r="J23" s="87">
        <v>38008</v>
      </c>
      <c r="K23" s="337"/>
      <c r="L23" s="337"/>
    </row>
    <row r="24" spans="1:12" ht="26.45" hidden="1" x14ac:dyDescent="0.3">
      <c r="A24" s="76" t="s">
        <v>135</v>
      </c>
      <c r="B24" s="83" t="s">
        <v>136</v>
      </c>
      <c r="C24" s="83"/>
      <c r="D24" s="83"/>
      <c r="E24" s="75">
        <v>1</v>
      </c>
      <c r="F24" s="75"/>
      <c r="G24" s="82" t="s">
        <v>137</v>
      </c>
      <c r="H24" s="121" t="s">
        <v>381</v>
      </c>
      <c r="I24" s="344">
        <f t="shared" si="0"/>
        <v>0</v>
      </c>
      <c r="J24" s="87">
        <v>0</v>
      </c>
      <c r="K24" s="337"/>
      <c r="L24" s="337"/>
    </row>
    <row r="25" spans="1:12" ht="18" hidden="1" customHeight="1" x14ac:dyDescent="0.3">
      <c r="A25" s="76" t="s">
        <v>138</v>
      </c>
      <c r="B25" s="83" t="s">
        <v>139</v>
      </c>
      <c r="C25" s="83"/>
      <c r="D25" s="83"/>
      <c r="E25" s="84">
        <v>2</v>
      </c>
      <c r="F25" s="84"/>
      <c r="G25" s="82" t="s">
        <v>140</v>
      </c>
      <c r="H25" s="121" t="s">
        <v>382</v>
      </c>
      <c r="I25" s="344">
        <f t="shared" si="0"/>
        <v>0</v>
      </c>
      <c r="J25" s="341">
        <v>1200000</v>
      </c>
      <c r="K25" s="338"/>
      <c r="L25" s="338"/>
    </row>
    <row r="26" spans="1:12" x14ac:dyDescent="0.25">
      <c r="A26" s="406" t="s">
        <v>259</v>
      </c>
      <c r="B26" s="407"/>
      <c r="C26" s="407"/>
      <c r="D26" s="407"/>
      <c r="E26" s="407"/>
      <c r="F26" s="407"/>
      <c r="G26" s="408"/>
      <c r="H26" s="345">
        <f>H10+H11</f>
        <v>2565047</v>
      </c>
      <c r="I26" s="346">
        <f>I10+I11</f>
        <v>25912953</v>
      </c>
      <c r="J26" s="134">
        <f>J10+J11</f>
        <v>25200000</v>
      </c>
      <c r="K26" s="136"/>
      <c r="L26" s="136"/>
    </row>
    <row r="27" spans="1:12" x14ac:dyDescent="0.25">
      <c r="A27" s="135" t="s">
        <v>386</v>
      </c>
      <c r="B27" s="135"/>
      <c r="C27" s="135"/>
      <c r="D27" s="135"/>
      <c r="E27" s="135"/>
      <c r="F27" s="135"/>
      <c r="G27" s="135"/>
      <c r="H27" s="135"/>
      <c r="I27" s="135"/>
      <c r="J27" s="136"/>
      <c r="K27" s="136"/>
      <c r="L27" s="136"/>
    </row>
    <row r="28" spans="1:12" ht="14.45" x14ac:dyDescent="0.3">
      <c r="J28" s="72" t="s">
        <v>260</v>
      </c>
      <c r="K28" s="72" t="s">
        <v>3</v>
      </c>
      <c r="L28" s="72" t="s">
        <v>16</v>
      </c>
    </row>
    <row r="29" spans="1:12" ht="31.5" hidden="1" customHeight="1" x14ac:dyDescent="0.3">
      <c r="A29" s="401" t="s">
        <v>225</v>
      </c>
      <c r="B29" s="402"/>
      <c r="C29" s="402"/>
      <c r="D29" s="402"/>
      <c r="E29" s="402"/>
      <c r="F29" s="402"/>
      <c r="G29" s="403"/>
      <c r="H29" s="325"/>
      <c r="I29" s="325"/>
      <c r="J29" s="87">
        <v>1960203</v>
      </c>
      <c r="K29" s="87">
        <v>1960203</v>
      </c>
      <c r="L29" s="87">
        <v>1960203</v>
      </c>
    </row>
    <row r="30" spans="1:12" s="86" customFormat="1" ht="24.75" hidden="1" customHeight="1" x14ac:dyDescent="0.3">
      <c r="A30" s="93" t="s">
        <v>13</v>
      </c>
      <c r="B30" s="100"/>
      <c r="C30" s="101"/>
      <c r="D30" s="101"/>
      <c r="E30" s="101"/>
      <c r="F30" s="101"/>
      <c r="G30" s="102"/>
      <c r="H30" s="102"/>
      <c r="I30" s="102"/>
      <c r="J30" s="94">
        <f>J26-J29</f>
        <v>23239797</v>
      </c>
      <c r="K30" s="94">
        <f>K26-K29</f>
        <v>-1960203</v>
      </c>
      <c r="L30" s="94">
        <f>L26-L29</f>
        <v>-1960203</v>
      </c>
    </row>
    <row r="31" spans="1:12" ht="25.5" x14ac:dyDescent="0.25">
      <c r="G31" s="36" t="s">
        <v>306</v>
      </c>
      <c r="H31" s="36"/>
      <c r="I31" s="36"/>
      <c r="J31" s="92">
        <f>J6+H26</f>
        <v>2963062</v>
      </c>
      <c r="K31" s="92">
        <f>K6+I26</f>
        <v>26390571</v>
      </c>
      <c r="L31" s="92">
        <f>L6+J26</f>
        <v>25773142</v>
      </c>
    </row>
    <row r="33" spans="9:11" ht="14.45" x14ac:dyDescent="0.3">
      <c r="I33" s="334"/>
      <c r="J33" s="347"/>
      <c r="K33" s="347"/>
    </row>
  </sheetData>
  <mergeCells count="5">
    <mergeCell ref="A2:L2"/>
    <mergeCell ref="A29:G29"/>
    <mergeCell ref="A8:L8"/>
    <mergeCell ref="A26:G26"/>
    <mergeCell ref="A3:L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workbookViewId="0">
      <selection activeCell="B4" sqref="B4"/>
    </sheetView>
  </sheetViews>
  <sheetFormatPr defaultRowHeight="15" x14ac:dyDescent="0.25"/>
  <cols>
    <col min="1" max="2" width="13.42578125" customWidth="1"/>
    <col min="3" max="3" width="26.42578125" customWidth="1"/>
    <col min="6" max="6" width="11.140625" customWidth="1"/>
  </cols>
  <sheetData>
    <row r="2" spans="1:6" ht="14.45" x14ac:dyDescent="0.3">
      <c r="A2" s="411" t="s">
        <v>299</v>
      </c>
      <c r="B2" s="411"/>
      <c r="C2" s="411"/>
      <c r="D2" s="411"/>
      <c r="E2" s="411"/>
      <c r="F2" s="411"/>
    </row>
    <row r="3" spans="1:6" x14ac:dyDescent="0.25">
      <c r="A3" s="292" t="s">
        <v>144</v>
      </c>
      <c r="B3" s="292" t="s">
        <v>355</v>
      </c>
      <c r="C3" s="292" t="s">
        <v>88</v>
      </c>
      <c r="D3" s="72" t="s">
        <v>260</v>
      </c>
      <c r="E3" s="72" t="s">
        <v>261</v>
      </c>
      <c r="F3" s="72" t="s">
        <v>262</v>
      </c>
    </row>
    <row r="4" spans="1:6" ht="38.25" customHeight="1" x14ac:dyDescent="0.3">
      <c r="A4" s="44">
        <v>1</v>
      </c>
      <c r="B4" s="44">
        <v>2850</v>
      </c>
      <c r="C4" s="48" t="s">
        <v>164</v>
      </c>
      <c r="D4" s="44">
        <v>2850</v>
      </c>
      <c r="E4" s="44">
        <v>2850</v>
      </c>
      <c r="F4" s="44">
        <v>2850</v>
      </c>
    </row>
    <row r="5" spans="1:6" x14ac:dyDescent="0.25">
      <c r="A5" s="410" t="s">
        <v>259</v>
      </c>
      <c r="B5" s="410"/>
      <c r="C5" s="410"/>
      <c r="D5" s="49">
        <v>2850</v>
      </c>
      <c r="E5" s="49">
        <v>2850</v>
      </c>
      <c r="F5" s="49">
        <v>2850</v>
      </c>
    </row>
    <row r="6" spans="1:6" ht="14.45" x14ac:dyDescent="0.3">
      <c r="A6" s="45"/>
      <c r="B6" s="45"/>
      <c r="C6" s="46"/>
      <c r="D6" s="47"/>
      <c r="E6" s="47"/>
      <c r="F6" s="47"/>
    </row>
  </sheetData>
  <mergeCells count="2">
    <mergeCell ref="A5:C5"/>
    <mergeCell ref="A2:F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I20" sqref="I19:I20"/>
    </sheetView>
  </sheetViews>
  <sheetFormatPr defaultRowHeight="15" x14ac:dyDescent="0.25"/>
  <cols>
    <col min="1" max="1" width="31" customWidth="1"/>
  </cols>
  <sheetData>
    <row r="2" spans="1:8" ht="14.45" x14ac:dyDescent="0.3">
      <c r="A2" s="412" t="s">
        <v>267</v>
      </c>
      <c r="B2" s="412"/>
      <c r="C2" s="412"/>
      <c r="D2" s="412"/>
      <c r="E2" s="412"/>
      <c r="F2" s="412"/>
      <c r="G2" s="412"/>
      <c r="H2" s="412"/>
    </row>
    <row r="3" spans="1:8" ht="63.75" x14ac:dyDescent="0.25">
      <c r="A3" s="264" t="s">
        <v>145</v>
      </c>
      <c r="B3" s="73" t="s">
        <v>87</v>
      </c>
      <c r="C3" s="73" t="s">
        <v>144</v>
      </c>
      <c r="D3" s="73" t="s">
        <v>88</v>
      </c>
      <c r="E3" s="73" t="s">
        <v>357</v>
      </c>
      <c r="F3" s="72" t="s">
        <v>260</v>
      </c>
      <c r="G3" s="72" t="s">
        <v>261</v>
      </c>
      <c r="H3" s="72" t="s">
        <v>262</v>
      </c>
    </row>
    <row r="4" spans="1:8" x14ac:dyDescent="0.25">
      <c r="A4" s="413" t="s">
        <v>91</v>
      </c>
      <c r="B4" s="119"/>
      <c r="C4" s="120">
        <v>5</v>
      </c>
      <c r="D4" s="121" t="s">
        <v>92</v>
      </c>
      <c r="E4" s="133" t="s">
        <v>331</v>
      </c>
      <c r="F4" s="122">
        <v>14000</v>
      </c>
      <c r="G4" s="123">
        <v>16000</v>
      </c>
      <c r="H4" s="123">
        <v>18000</v>
      </c>
    </row>
    <row r="5" spans="1:8" x14ac:dyDescent="0.25">
      <c r="A5" s="414"/>
      <c r="B5" s="119"/>
      <c r="C5" s="120">
        <v>4</v>
      </c>
      <c r="D5" s="121" t="s">
        <v>93</v>
      </c>
      <c r="E5" s="133" t="s">
        <v>332</v>
      </c>
      <c r="F5" s="122">
        <v>500</v>
      </c>
      <c r="G5" s="122">
        <v>700</v>
      </c>
      <c r="H5" s="122">
        <v>900</v>
      </c>
    </row>
    <row r="6" spans="1:8" ht="25.5" x14ac:dyDescent="0.25">
      <c r="A6" s="414"/>
      <c r="B6" s="119"/>
      <c r="C6" s="120">
        <v>1</v>
      </c>
      <c r="D6" s="121" t="s">
        <v>94</v>
      </c>
      <c r="E6" s="133" t="s">
        <v>333</v>
      </c>
      <c r="F6" s="122">
        <v>800</v>
      </c>
      <c r="G6" s="122">
        <v>1000</v>
      </c>
      <c r="H6" s="122">
        <v>1200</v>
      </c>
    </row>
    <row r="7" spans="1:8" ht="24.75" customHeight="1" x14ac:dyDescent="0.25">
      <c r="A7" s="414"/>
      <c r="B7" s="119"/>
      <c r="C7" s="120">
        <v>1</v>
      </c>
      <c r="D7" s="121" t="s">
        <v>95</v>
      </c>
      <c r="E7" s="133" t="s">
        <v>334</v>
      </c>
      <c r="F7" s="122">
        <v>500</v>
      </c>
      <c r="G7" s="122">
        <v>700</v>
      </c>
      <c r="H7" s="122">
        <v>900</v>
      </c>
    </row>
    <row r="8" spans="1:8" x14ac:dyDescent="0.25">
      <c r="A8" s="413" t="s">
        <v>141</v>
      </c>
      <c r="B8" s="124" t="s">
        <v>49</v>
      </c>
      <c r="C8" s="125">
        <v>19</v>
      </c>
      <c r="D8" s="121" t="s">
        <v>142</v>
      </c>
      <c r="E8" s="133" t="s">
        <v>335</v>
      </c>
      <c r="F8" s="122">
        <v>11174</v>
      </c>
      <c r="G8" s="122">
        <v>11174</v>
      </c>
      <c r="H8" s="122">
        <v>11174</v>
      </c>
    </row>
    <row r="9" spans="1:8" ht="25.5" x14ac:dyDescent="0.25">
      <c r="A9" s="415"/>
      <c r="B9" s="126" t="s">
        <v>49</v>
      </c>
      <c r="C9" s="127">
        <v>13</v>
      </c>
      <c r="D9" s="128" t="s">
        <v>143</v>
      </c>
      <c r="E9" s="279" t="s">
        <v>336</v>
      </c>
      <c r="F9" s="129">
        <v>7114</v>
      </c>
      <c r="G9" s="129">
        <v>7114</v>
      </c>
      <c r="H9" s="129">
        <v>7114</v>
      </c>
    </row>
    <row r="10" spans="1:8" x14ac:dyDescent="0.25">
      <c r="A10" s="406" t="s">
        <v>259</v>
      </c>
      <c r="B10" s="407"/>
      <c r="C10" s="407"/>
      <c r="D10" s="408"/>
      <c r="E10" s="280"/>
      <c r="F10" s="134">
        <f>SUM(F4:F9)</f>
        <v>34088</v>
      </c>
      <c r="G10" s="134">
        <f>SUM(G4:G9)</f>
        <v>36688</v>
      </c>
      <c r="H10" s="134">
        <f>SUM(H4:H9)</f>
        <v>39288</v>
      </c>
    </row>
  </sheetData>
  <mergeCells count="4">
    <mergeCell ref="A2:H2"/>
    <mergeCell ref="A4:A7"/>
    <mergeCell ref="A8:A9"/>
    <mergeCell ref="A10:D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
  <sheetViews>
    <sheetView workbookViewId="0">
      <selection activeCell="E12" sqref="E12"/>
    </sheetView>
  </sheetViews>
  <sheetFormatPr defaultRowHeight="15" x14ac:dyDescent="0.25"/>
  <cols>
    <col min="1" max="1" width="44.5703125" customWidth="1"/>
    <col min="2" max="3" width="11.42578125" customWidth="1"/>
    <col min="4" max="4" width="12.42578125" customWidth="1"/>
    <col min="5" max="5" width="12.85546875" customWidth="1"/>
  </cols>
  <sheetData>
    <row r="2" spans="1:5" ht="14.45" x14ac:dyDescent="0.3">
      <c r="A2" s="416" t="s">
        <v>258</v>
      </c>
      <c r="B2" s="416"/>
      <c r="C2" s="416"/>
      <c r="D2" s="416"/>
    </row>
    <row r="3" spans="1:5" ht="90" x14ac:dyDescent="0.25">
      <c r="A3" s="95" t="s">
        <v>257</v>
      </c>
      <c r="B3" s="34"/>
      <c r="C3" s="34"/>
      <c r="D3" s="34"/>
      <c r="E3" s="34"/>
    </row>
    <row r="4" spans="1:5" ht="14.45" x14ac:dyDescent="0.3">
      <c r="A4" s="39"/>
      <c r="B4" s="53" t="s">
        <v>2</v>
      </c>
      <c r="C4" s="53" t="s">
        <v>3</v>
      </c>
      <c r="D4" s="53" t="s">
        <v>16</v>
      </c>
      <c r="E4" s="34"/>
    </row>
    <row r="5" spans="1:5" s="86" customFormat="1" ht="25.5" x14ac:dyDescent="0.25">
      <c r="A5" s="109" t="s">
        <v>271</v>
      </c>
      <c r="B5" s="98">
        <f>B6*B7</f>
        <v>30000</v>
      </c>
      <c r="C5" s="98">
        <f>C6*C7</f>
        <v>60000</v>
      </c>
      <c r="D5" s="98">
        <f>D6*D7</f>
        <v>90000</v>
      </c>
      <c r="E5" s="35"/>
    </row>
    <row r="6" spans="1:5" ht="14.45" x14ac:dyDescent="0.3">
      <c r="A6" s="36" t="s">
        <v>270</v>
      </c>
      <c r="B6" s="69">
        <v>10000</v>
      </c>
      <c r="C6" s="69">
        <v>10000</v>
      </c>
      <c r="D6" s="69">
        <v>10000</v>
      </c>
      <c r="E6" s="34"/>
    </row>
    <row r="7" spans="1:5" ht="25.5" x14ac:dyDescent="0.25">
      <c r="A7" s="36" t="s">
        <v>226</v>
      </c>
      <c r="B7" s="69">
        <v>3</v>
      </c>
      <c r="C7" s="69">
        <v>6</v>
      </c>
      <c r="D7" s="69">
        <v>9</v>
      </c>
      <c r="E7" s="96" t="s">
        <v>227</v>
      </c>
    </row>
  </sheetData>
  <mergeCells count="1">
    <mergeCell ref="A2:D2"/>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A7" workbookViewId="0">
      <selection activeCell="R22" sqref="R22"/>
    </sheetView>
  </sheetViews>
  <sheetFormatPr defaultRowHeight="15" x14ac:dyDescent="0.25"/>
  <cols>
    <col min="1" max="1" width="21.85546875" customWidth="1"/>
    <col min="2" max="2" width="21" customWidth="1"/>
    <col min="3" max="3" width="12" customWidth="1"/>
    <col min="4" max="5" width="7.42578125" customWidth="1"/>
    <col min="6" max="7" width="8" customWidth="1"/>
    <col min="8" max="8" width="7.5703125" customWidth="1"/>
    <col min="9" max="11" width="7.42578125" customWidth="1"/>
  </cols>
  <sheetData>
    <row r="1" spans="1:11" ht="14.45" x14ac:dyDescent="0.3">
      <c r="A1" s="103"/>
      <c r="B1" s="103"/>
      <c r="C1" s="103"/>
      <c r="D1" s="103"/>
      <c r="E1" s="103"/>
      <c r="F1" s="103"/>
      <c r="G1" s="103"/>
      <c r="H1" s="103"/>
      <c r="I1" s="103"/>
      <c r="J1" s="103"/>
      <c r="K1" s="103"/>
    </row>
    <row r="2" spans="1:11" s="86" customFormat="1" ht="14.45" x14ac:dyDescent="0.3">
      <c r="A2" s="399" t="s">
        <v>273</v>
      </c>
      <c r="B2" s="424"/>
      <c r="C2" s="424"/>
      <c r="D2" s="424"/>
      <c r="E2" s="424"/>
      <c r="F2" s="424"/>
      <c r="G2" s="424"/>
      <c r="H2" s="424"/>
      <c r="I2" s="424"/>
      <c r="J2" s="424"/>
      <c r="K2" s="424"/>
    </row>
    <row r="3" spans="1:11" s="86" customFormat="1" x14ac:dyDescent="0.25">
      <c r="A3" s="425" t="s">
        <v>280</v>
      </c>
      <c r="B3" s="425"/>
      <c r="C3" s="425"/>
      <c r="D3" s="425"/>
      <c r="E3" s="425"/>
      <c r="F3" s="425"/>
      <c r="G3" s="425"/>
      <c r="H3" s="425"/>
      <c r="I3" s="425"/>
      <c r="J3" s="425"/>
      <c r="K3" s="425"/>
    </row>
    <row r="4" spans="1:11" x14ac:dyDescent="0.25">
      <c r="A4" s="113"/>
      <c r="B4" s="113"/>
      <c r="C4" s="419" t="s">
        <v>217</v>
      </c>
      <c r="D4" s="426" t="s">
        <v>2</v>
      </c>
      <c r="E4" s="426"/>
      <c r="F4" s="426" t="s">
        <v>3</v>
      </c>
      <c r="G4" s="426"/>
      <c r="H4" s="426" t="s">
        <v>16</v>
      </c>
      <c r="I4" s="426"/>
      <c r="J4" s="426" t="s">
        <v>274</v>
      </c>
      <c r="K4" s="426"/>
    </row>
    <row r="5" spans="1:11" ht="44.25" customHeight="1" x14ac:dyDescent="0.25">
      <c r="A5" s="113"/>
      <c r="B5" s="113"/>
      <c r="C5" s="420"/>
      <c r="D5" s="90" t="s">
        <v>218</v>
      </c>
      <c r="E5" s="90" t="s">
        <v>219</v>
      </c>
      <c r="F5" s="90" t="s">
        <v>218</v>
      </c>
      <c r="G5" s="90" t="s">
        <v>219</v>
      </c>
      <c r="H5" s="90" t="s">
        <v>218</v>
      </c>
      <c r="I5" s="90" t="s">
        <v>219</v>
      </c>
      <c r="J5" s="90" t="s">
        <v>218</v>
      </c>
      <c r="K5" s="90" t="s">
        <v>219</v>
      </c>
    </row>
    <row r="6" spans="1:11" s="86" customFormat="1" ht="38.25" customHeight="1" x14ac:dyDescent="0.25">
      <c r="A6" s="97" t="s">
        <v>263</v>
      </c>
      <c r="B6" s="97" t="s">
        <v>220</v>
      </c>
      <c r="C6" s="106">
        <v>50000</v>
      </c>
      <c r="D6" s="107">
        <v>1</v>
      </c>
      <c r="E6" s="106">
        <f>C6*D6</f>
        <v>50000</v>
      </c>
      <c r="F6" s="107">
        <v>2</v>
      </c>
      <c r="G6" s="106">
        <f>F6*C6</f>
        <v>100000</v>
      </c>
      <c r="H6" s="107">
        <v>3</v>
      </c>
      <c r="I6" s="106">
        <f>H6*C6</f>
        <v>150000</v>
      </c>
      <c r="J6" s="107">
        <v>3</v>
      </c>
      <c r="K6" s="106">
        <f>J6*E6</f>
        <v>150000</v>
      </c>
    </row>
    <row r="7" spans="1:11" s="86" customFormat="1" ht="63.75" x14ac:dyDescent="0.25">
      <c r="A7" s="97" t="s">
        <v>216</v>
      </c>
      <c r="B7" s="97" t="s">
        <v>221</v>
      </c>
      <c r="C7" s="107">
        <v>19000</v>
      </c>
      <c r="D7" s="107">
        <v>1</v>
      </c>
      <c r="E7" s="107">
        <f>E8+E9</f>
        <v>19000</v>
      </c>
      <c r="F7" s="107">
        <f>F8+F9</f>
        <v>3</v>
      </c>
      <c r="G7" s="107">
        <f>G8+G9</f>
        <v>57000</v>
      </c>
      <c r="H7" s="107">
        <v>6</v>
      </c>
      <c r="I7" s="107">
        <f>I8+I9</f>
        <v>114000</v>
      </c>
      <c r="J7" s="107">
        <f>J8+J9</f>
        <v>9</v>
      </c>
      <c r="K7" s="107">
        <f>K8+K9</f>
        <v>171000</v>
      </c>
    </row>
    <row r="8" spans="1:11" ht="25.5" x14ac:dyDescent="0.25">
      <c r="A8" s="108"/>
      <c r="B8" s="109" t="s">
        <v>255</v>
      </c>
      <c r="C8" s="110">
        <v>19000</v>
      </c>
      <c r="D8" s="110">
        <v>1</v>
      </c>
      <c r="E8" s="110">
        <f>C8*D8</f>
        <v>19000</v>
      </c>
      <c r="F8" s="110">
        <v>2</v>
      </c>
      <c r="G8" s="110">
        <f>F8*C8</f>
        <v>38000</v>
      </c>
      <c r="H8" s="110">
        <v>3</v>
      </c>
      <c r="I8" s="110">
        <f>H8*C8</f>
        <v>57000</v>
      </c>
      <c r="J8" s="110">
        <v>3</v>
      </c>
      <c r="K8" s="110">
        <f>J8*C8</f>
        <v>57000</v>
      </c>
    </row>
    <row r="9" spans="1:11" ht="25.5" x14ac:dyDescent="0.25">
      <c r="A9" s="108"/>
      <c r="B9" s="109" t="s">
        <v>222</v>
      </c>
      <c r="C9" s="110">
        <v>19000</v>
      </c>
      <c r="D9" s="110"/>
      <c r="E9" s="110"/>
      <c r="F9" s="110">
        <v>1</v>
      </c>
      <c r="G9" s="110">
        <f>F9*C9</f>
        <v>19000</v>
      </c>
      <c r="H9" s="110">
        <v>3</v>
      </c>
      <c r="I9" s="110">
        <f>H9*C9</f>
        <v>57000</v>
      </c>
      <c r="J9" s="110">
        <v>6</v>
      </c>
      <c r="K9" s="110">
        <f>J9*C9</f>
        <v>114000</v>
      </c>
    </row>
    <row r="10" spans="1:11" s="86" customFormat="1" ht="18" customHeight="1" x14ac:dyDescent="0.25">
      <c r="A10" s="417" t="s">
        <v>272</v>
      </c>
      <c r="B10" s="418"/>
      <c r="C10" s="107"/>
      <c r="D10" s="107"/>
      <c r="E10" s="106">
        <f>E6+E7</f>
        <v>69000</v>
      </c>
      <c r="F10" s="106"/>
      <c r="G10" s="106">
        <f>G6+G7</f>
        <v>157000</v>
      </c>
      <c r="H10" s="107"/>
      <c r="I10" s="106">
        <f>I6+I7</f>
        <v>264000</v>
      </c>
      <c r="J10" s="107"/>
      <c r="K10" s="106">
        <f>K6+K7</f>
        <v>321000</v>
      </c>
    </row>
    <row r="11" spans="1:11" ht="14.45" x14ac:dyDescent="0.3">
      <c r="A11" s="111"/>
      <c r="B11" s="111"/>
      <c r="C11" s="111"/>
      <c r="D11" s="111"/>
      <c r="E11" s="111"/>
      <c r="F11" s="111"/>
      <c r="G11" s="111"/>
      <c r="H11" s="111"/>
      <c r="I11" s="111"/>
      <c r="J11" s="111"/>
      <c r="K11" s="111"/>
    </row>
    <row r="12" spans="1:11" x14ac:dyDescent="0.25">
      <c r="A12" s="425" t="s">
        <v>281</v>
      </c>
      <c r="B12" s="425"/>
      <c r="C12" s="425"/>
      <c r="D12" s="425"/>
      <c r="E12" s="425"/>
      <c r="F12" s="425"/>
      <c r="G12" s="425"/>
      <c r="H12" s="425"/>
      <c r="I12" s="425"/>
      <c r="J12" s="425"/>
      <c r="K12" s="425"/>
    </row>
    <row r="13" spans="1:11" x14ac:dyDescent="0.25">
      <c r="A13" s="114"/>
      <c r="B13" s="114"/>
      <c r="C13" s="421" t="s">
        <v>217</v>
      </c>
      <c r="D13" s="427" t="s">
        <v>2</v>
      </c>
      <c r="E13" s="427"/>
      <c r="F13" s="427" t="s">
        <v>3</v>
      </c>
      <c r="G13" s="427"/>
      <c r="H13" s="427" t="s">
        <v>16</v>
      </c>
      <c r="I13" s="427"/>
      <c r="J13" s="427" t="s">
        <v>274</v>
      </c>
      <c r="K13" s="427"/>
    </row>
    <row r="14" spans="1:11" ht="38.25" customHeight="1" x14ac:dyDescent="0.25">
      <c r="A14" s="114"/>
      <c r="B14" s="114"/>
      <c r="C14" s="422"/>
      <c r="D14" s="110" t="s">
        <v>218</v>
      </c>
      <c r="E14" s="110" t="s">
        <v>219</v>
      </c>
      <c r="F14" s="110" t="s">
        <v>218</v>
      </c>
      <c r="G14" s="110" t="s">
        <v>219</v>
      </c>
      <c r="H14" s="110" t="s">
        <v>218</v>
      </c>
      <c r="I14" s="110" t="s">
        <v>219</v>
      </c>
      <c r="J14" s="110" t="s">
        <v>218</v>
      </c>
      <c r="K14" s="110" t="s">
        <v>219</v>
      </c>
    </row>
    <row r="15" spans="1:11" ht="51" x14ac:dyDescent="0.25">
      <c r="A15" s="97" t="s">
        <v>263</v>
      </c>
      <c r="B15" s="97" t="s">
        <v>264</v>
      </c>
      <c r="C15" s="106">
        <v>73000</v>
      </c>
      <c r="D15" s="107">
        <v>1</v>
      </c>
      <c r="E15" s="106">
        <f>C15*D15</f>
        <v>73000</v>
      </c>
      <c r="F15" s="107">
        <v>2</v>
      </c>
      <c r="G15" s="106">
        <f>F15*C15</f>
        <v>146000</v>
      </c>
      <c r="H15" s="107">
        <v>3</v>
      </c>
      <c r="I15" s="106">
        <f>H15*C15</f>
        <v>219000</v>
      </c>
      <c r="J15" s="107">
        <v>3</v>
      </c>
      <c r="K15" s="106">
        <f>J15*E15</f>
        <v>219000</v>
      </c>
    </row>
    <row r="16" spans="1:11" ht="38.25" x14ac:dyDescent="0.25">
      <c r="A16" s="97" t="s">
        <v>216</v>
      </c>
      <c r="B16" s="97" t="s">
        <v>266</v>
      </c>
      <c r="C16" s="107">
        <v>16000</v>
      </c>
      <c r="D16" s="107">
        <v>1</v>
      </c>
      <c r="E16" s="107">
        <f>D16*C16</f>
        <v>16000</v>
      </c>
      <c r="F16" s="107">
        <v>2</v>
      </c>
      <c r="G16" s="107">
        <f>F16*C16</f>
        <v>32000</v>
      </c>
      <c r="H16" s="107">
        <v>3</v>
      </c>
      <c r="I16" s="107">
        <f>H16*C16</f>
        <v>48000</v>
      </c>
      <c r="J16" s="107">
        <v>3</v>
      </c>
      <c r="K16" s="107">
        <f>J16*E16</f>
        <v>48000</v>
      </c>
    </row>
    <row r="17" spans="1:11" ht="19.5" customHeight="1" x14ac:dyDescent="0.25">
      <c r="A17" s="417" t="s">
        <v>237</v>
      </c>
      <c r="B17" s="418"/>
      <c r="C17" s="107"/>
      <c r="D17" s="107"/>
      <c r="E17" s="106">
        <f>E15+E16</f>
        <v>89000</v>
      </c>
      <c r="F17" s="106"/>
      <c r="G17" s="106">
        <f>G15+G16</f>
        <v>178000</v>
      </c>
      <c r="H17" s="107"/>
      <c r="I17" s="106">
        <f>I15+I16</f>
        <v>267000</v>
      </c>
      <c r="J17" s="107"/>
      <c r="K17" s="106">
        <f>K15+K16</f>
        <v>267000</v>
      </c>
    </row>
    <row r="18" spans="1:11" ht="14.45" x14ac:dyDescent="0.3">
      <c r="A18" s="111"/>
      <c r="B18" s="111"/>
      <c r="C18" s="111"/>
      <c r="D18" s="111"/>
      <c r="E18" s="111"/>
      <c r="F18" s="111"/>
      <c r="G18" s="111"/>
      <c r="H18" s="111"/>
      <c r="I18" s="111"/>
      <c r="J18" s="111"/>
      <c r="K18" s="111"/>
    </row>
    <row r="19" spans="1:11" x14ac:dyDescent="0.25">
      <c r="A19" s="430" t="s">
        <v>282</v>
      </c>
      <c r="B19" s="430"/>
      <c r="C19" s="430"/>
      <c r="D19" s="430"/>
      <c r="E19" s="430"/>
      <c r="F19" s="430"/>
      <c r="G19" s="430"/>
      <c r="H19" s="430"/>
      <c r="I19" s="430"/>
      <c r="J19" s="430"/>
      <c r="K19" s="430"/>
    </row>
    <row r="20" spans="1:11" x14ac:dyDescent="0.25">
      <c r="A20" s="141"/>
      <c r="B20" s="114"/>
      <c r="C20" s="423" t="s">
        <v>217</v>
      </c>
      <c r="D20" s="427" t="s">
        <v>2</v>
      </c>
      <c r="E20" s="427"/>
      <c r="F20" s="427" t="s">
        <v>3</v>
      </c>
      <c r="G20" s="427"/>
      <c r="H20" s="427" t="s">
        <v>16</v>
      </c>
      <c r="I20" s="427"/>
      <c r="J20" s="427" t="s">
        <v>274</v>
      </c>
      <c r="K20" s="427"/>
    </row>
    <row r="21" spans="1:11" ht="38.25" customHeight="1" x14ac:dyDescent="0.25">
      <c r="A21" s="141"/>
      <c r="B21" s="114"/>
      <c r="C21" s="423"/>
      <c r="D21" s="423" t="s">
        <v>219</v>
      </c>
      <c r="E21" s="423"/>
      <c r="F21" s="423" t="s">
        <v>219</v>
      </c>
      <c r="G21" s="423"/>
      <c r="H21" s="423" t="s">
        <v>219</v>
      </c>
      <c r="I21" s="423"/>
      <c r="J21" s="423" t="s">
        <v>219</v>
      </c>
      <c r="K21" s="423"/>
    </row>
    <row r="22" spans="1:11" ht="55.5" customHeight="1" x14ac:dyDescent="0.25">
      <c r="A22" s="97" t="s">
        <v>263</v>
      </c>
      <c r="B22" s="97" t="s">
        <v>265</v>
      </c>
      <c r="C22" s="108"/>
      <c r="D22" s="428">
        <f>E6+E15</f>
        <v>123000</v>
      </c>
      <c r="E22" s="429"/>
      <c r="F22" s="428">
        <f t="shared" ref="F22" si="0">G6+G15</f>
        <v>246000</v>
      </c>
      <c r="G22" s="429"/>
      <c r="H22" s="428">
        <f t="shared" ref="H22" si="1">I6+I15</f>
        <v>369000</v>
      </c>
      <c r="I22" s="429"/>
      <c r="J22" s="428">
        <f t="shared" ref="J22" si="2">K6+K15</f>
        <v>369000</v>
      </c>
      <c r="K22" s="429"/>
    </row>
    <row r="23" spans="1:11" ht="39.75" customHeight="1" x14ac:dyDescent="0.25">
      <c r="A23" s="97" t="s">
        <v>216</v>
      </c>
      <c r="B23" s="97" t="s">
        <v>266</v>
      </c>
      <c r="C23" s="108"/>
      <c r="D23" s="431">
        <f>E7+E16</f>
        <v>35000</v>
      </c>
      <c r="E23" s="429"/>
      <c r="F23" s="431">
        <f t="shared" ref="F23" si="3">G7+G16</f>
        <v>89000</v>
      </c>
      <c r="G23" s="429"/>
      <c r="H23" s="431">
        <f t="shared" ref="H23" si="4">I7+I16</f>
        <v>162000</v>
      </c>
      <c r="I23" s="429"/>
      <c r="J23" s="431">
        <f t="shared" ref="J23" si="5">K7+K16</f>
        <v>219000</v>
      </c>
      <c r="K23" s="429"/>
    </row>
    <row r="24" spans="1:11" x14ac:dyDescent="0.25">
      <c r="A24" s="417" t="s">
        <v>237</v>
      </c>
      <c r="B24" s="418"/>
      <c r="C24" s="140"/>
      <c r="D24" s="432">
        <f>D22+D23</f>
        <v>158000</v>
      </c>
      <c r="E24" s="433"/>
      <c r="F24" s="432">
        <f>F22+F23</f>
        <v>335000</v>
      </c>
      <c r="G24" s="433"/>
      <c r="H24" s="432">
        <f>H22+H23</f>
        <v>531000</v>
      </c>
      <c r="I24" s="433"/>
      <c r="J24" s="432">
        <f>J22+J23</f>
        <v>588000</v>
      </c>
      <c r="K24" s="433"/>
    </row>
  </sheetData>
  <mergeCells count="38">
    <mergeCell ref="J23:K23"/>
    <mergeCell ref="D24:E24"/>
    <mergeCell ref="F24:G24"/>
    <mergeCell ref="H24:I24"/>
    <mergeCell ref="J24:K24"/>
    <mergeCell ref="D23:E23"/>
    <mergeCell ref="F23:G23"/>
    <mergeCell ref="H23:I23"/>
    <mergeCell ref="J13:K13"/>
    <mergeCell ref="D22:E22"/>
    <mergeCell ref="J22:K22"/>
    <mergeCell ref="D20:E20"/>
    <mergeCell ref="F20:G20"/>
    <mergeCell ref="H20:I20"/>
    <mergeCell ref="J20:K20"/>
    <mergeCell ref="A19:K19"/>
    <mergeCell ref="F22:G22"/>
    <mergeCell ref="H22:I22"/>
    <mergeCell ref="D21:E21"/>
    <mergeCell ref="F21:G21"/>
    <mergeCell ref="H21:I21"/>
    <mergeCell ref="J21:K21"/>
    <mergeCell ref="A24:B24"/>
    <mergeCell ref="C4:C5"/>
    <mergeCell ref="C13:C14"/>
    <mergeCell ref="C20:C21"/>
    <mergeCell ref="A2:K2"/>
    <mergeCell ref="A3:K3"/>
    <mergeCell ref="A17:B17"/>
    <mergeCell ref="D4:E4"/>
    <mergeCell ref="F4:G4"/>
    <mergeCell ref="H4:I4"/>
    <mergeCell ref="J4:K4"/>
    <mergeCell ref="A10:B10"/>
    <mergeCell ref="A12:K12"/>
    <mergeCell ref="D13:E13"/>
    <mergeCell ref="F13:G13"/>
    <mergeCell ref="H13:I13"/>
  </mergeCells>
  <pageMargins left="0.70866141732283472" right="0.70866141732283472"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workbookViewId="0">
      <selection activeCell="I25" sqref="I25"/>
    </sheetView>
  </sheetViews>
  <sheetFormatPr defaultRowHeight="15" x14ac:dyDescent="0.25"/>
  <cols>
    <col min="1" max="1" width="21" customWidth="1"/>
    <col min="3" max="3" width="14" customWidth="1"/>
    <col min="4" max="4" width="12.42578125" customWidth="1"/>
    <col min="5" max="5" width="6.5703125" customWidth="1"/>
    <col min="6" max="6" width="6.42578125" customWidth="1"/>
    <col min="7" max="7" width="9.5703125" customWidth="1"/>
    <col min="8" max="8" width="7.42578125" customWidth="1"/>
    <col min="9" max="9" width="6.85546875" customWidth="1"/>
    <col min="10" max="10" width="7.5703125" customWidth="1"/>
    <col min="11" max="11" width="8" customWidth="1"/>
    <col min="12" max="12" width="7.5703125" customWidth="1"/>
  </cols>
  <sheetData>
    <row r="2" spans="1:13" ht="14.45" x14ac:dyDescent="0.3">
      <c r="A2" s="399" t="s">
        <v>298</v>
      </c>
      <c r="B2" s="399"/>
      <c r="C2" s="399"/>
      <c r="D2" s="399"/>
      <c r="E2" s="399"/>
      <c r="F2" s="399"/>
      <c r="G2" s="399"/>
      <c r="H2" s="399"/>
      <c r="I2" s="399"/>
      <c r="J2" s="399"/>
      <c r="K2" s="399"/>
      <c r="L2" s="399"/>
      <c r="M2" s="399"/>
    </row>
    <row r="3" spans="1:13" ht="14.45" x14ac:dyDescent="0.3">
      <c r="A3" s="250" t="s">
        <v>81</v>
      </c>
    </row>
    <row r="4" spans="1:13" ht="38.25" x14ac:dyDescent="0.25">
      <c r="A4" s="34"/>
      <c r="B4" s="105" t="s">
        <v>293</v>
      </c>
      <c r="C4" s="105" t="s">
        <v>286</v>
      </c>
      <c r="D4" s="105" t="s">
        <v>287</v>
      </c>
      <c r="E4" s="105" t="s">
        <v>162</v>
      </c>
      <c r="F4" s="105" t="s">
        <v>288</v>
      </c>
      <c r="G4" s="105" t="s">
        <v>296</v>
      </c>
      <c r="H4" s="34"/>
      <c r="I4" s="34"/>
      <c r="J4" s="34"/>
      <c r="K4" s="34"/>
      <c r="L4" s="34"/>
      <c r="M4" s="34"/>
    </row>
    <row r="5" spans="1:13" ht="28.5" customHeight="1" x14ac:dyDescent="0.25">
      <c r="A5" s="109" t="s">
        <v>322</v>
      </c>
      <c r="B5" s="241" t="s">
        <v>289</v>
      </c>
      <c r="C5" s="242">
        <v>41.999999999999993</v>
      </c>
      <c r="D5" s="241">
        <v>4.2699999999999996</v>
      </c>
      <c r="E5" s="242">
        <v>46.269999999999996</v>
      </c>
      <c r="F5" s="241">
        <v>100</v>
      </c>
      <c r="G5" s="241">
        <f>F5*E5</f>
        <v>4627</v>
      </c>
      <c r="H5" s="34"/>
      <c r="I5" s="34"/>
      <c r="J5" s="34"/>
      <c r="K5" s="34"/>
      <c r="L5" s="34"/>
      <c r="M5" s="34"/>
    </row>
    <row r="6" spans="1:13" ht="22.5" customHeight="1" x14ac:dyDescent="0.25">
      <c r="A6" s="109" t="s">
        <v>323</v>
      </c>
      <c r="B6" s="241" t="s">
        <v>290</v>
      </c>
      <c r="C6" s="242">
        <v>14.549999999999999</v>
      </c>
      <c r="D6" s="241">
        <v>5.27</v>
      </c>
      <c r="E6" s="242">
        <v>19.82</v>
      </c>
      <c r="F6" s="241">
        <v>50</v>
      </c>
      <c r="G6" s="241">
        <f>F6*E6</f>
        <v>991</v>
      </c>
      <c r="H6" s="34"/>
      <c r="I6" s="34"/>
      <c r="J6" s="34"/>
      <c r="K6" s="34"/>
      <c r="L6" s="34"/>
      <c r="M6" s="34"/>
    </row>
    <row r="7" spans="1:13" x14ac:dyDescent="0.25">
      <c r="A7" s="108" t="s">
        <v>295</v>
      </c>
      <c r="B7" s="241"/>
      <c r="C7" s="241"/>
      <c r="D7" s="241"/>
      <c r="E7" s="242">
        <v>57.89</v>
      </c>
      <c r="F7" s="241">
        <v>12</v>
      </c>
      <c r="G7" s="241">
        <f>F7*E7</f>
        <v>694.68000000000006</v>
      </c>
      <c r="H7" s="34"/>
      <c r="I7" s="34"/>
      <c r="J7" s="34"/>
      <c r="K7" s="34"/>
      <c r="L7" s="34"/>
      <c r="M7" s="34"/>
    </row>
    <row r="8" spans="1:13" ht="14.45" x14ac:dyDescent="0.3">
      <c r="A8" s="108"/>
      <c r="B8" s="241"/>
      <c r="C8" s="241"/>
      <c r="D8" s="241"/>
      <c r="E8" s="241"/>
      <c r="F8" s="241"/>
      <c r="G8" s="115">
        <f>SUM(G5:G7)</f>
        <v>6312.68</v>
      </c>
      <c r="H8" s="34"/>
      <c r="I8" s="34"/>
      <c r="J8" s="34"/>
      <c r="K8" s="34"/>
      <c r="L8" s="34"/>
      <c r="M8" s="34"/>
    </row>
    <row r="9" spans="1:13" ht="14.45" x14ac:dyDescent="0.3">
      <c r="A9" s="34"/>
      <c r="B9" s="34"/>
      <c r="C9" s="34"/>
      <c r="D9" s="34"/>
      <c r="E9" s="34"/>
      <c r="F9" s="34"/>
      <c r="G9" s="34"/>
      <c r="H9" s="34"/>
      <c r="I9" s="34"/>
      <c r="J9" s="34"/>
      <c r="K9" s="34"/>
      <c r="L9" s="34"/>
      <c r="M9" s="34"/>
    </row>
    <row r="10" spans="1:13" x14ac:dyDescent="0.25">
      <c r="A10" s="248" t="s">
        <v>201</v>
      </c>
      <c r="B10" s="34"/>
      <c r="C10" s="34"/>
      <c r="D10" s="34"/>
      <c r="E10" s="34"/>
      <c r="F10" s="34"/>
      <c r="G10" s="34"/>
      <c r="H10" s="34"/>
      <c r="I10" s="34"/>
      <c r="J10" s="34"/>
      <c r="K10" s="34"/>
      <c r="L10" s="34"/>
      <c r="M10" s="34"/>
    </row>
    <row r="11" spans="1:13" x14ac:dyDescent="0.25">
      <c r="A11" s="233"/>
      <c r="B11" s="233"/>
      <c r="C11" s="434" t="s">
        <v>294</v>
      </c>
      <c r="D11" s="435"/>
      <c r="E11" s="234"/>
      <c r="F11" s="234"/>
      <c r="G11" s="234"/>
      <c r="H11" s="234"/>
      <c r="I11" s="234"/>
      <c r="J11" s="234"/>
      <c r="K11" s="234"/>
      <c r="L11" s="234"/>
      <c r="M11" s="234"/>
    </row>
    <row r="12" spans="1:13" x14ac:dyDescent="0.25">
      <c r="A12" s="438" t="s">
        <v>297</v>
      </c>
      <c r="B12" s="439"/>
      <c r="C12" s="235" t="s">
        <v>198</v>
      </c>
      <c r="D12" s="235" t="s">
        <v>199</v>
      </c>
      <c r="E12" s="434" t="s">
        <v>168</v>
      </c>
      <c r="F12" s="435"/>
      <c r="G12" s="112" t="s">
        <v>169</v>
      </c>
      <c r="H12" s="112" t="s">
        <v>170</v>
      </c>
      <c r="I12" s="112" t="s">
        <v>197</v>
      </c>
      <c r="J12" s="112" t="s">
        <v>165</v>
      </c>
      <c r="K12" s="112" t="s">
        <v>166</v>
      </c>
      <c r="L12" s="112" t="s">
        <v>167</v>
      </c>
      <c r="M12" s="112" t="s">
        <v>291</v>
      </c>
    </row>
    <row r="13" spans="1:13" x14ac:dyDescent="0.25">
      <c r="A13" s="440"/>
      <c r="B13" s="441"/>
      <c r="C13" s="112">
        <v>235</v>
      </c>
      <c r="D13" s="112">
        <v>240</v>
      </c>
      <c r="E13" s="436">
        <v>34.450000000000003</v>
      </c>
      <c r="F13" s="437"/>
      <c r="G13" s="236">
        <v>8.1300000000000008</v>
      </c>
      <c r="H13" s="236">
        <v>0.88</v>
      </c>
      <c r="I13" s="112">
        <v>0</v>
      </c>
      <c r="J13" s="112">
        <v>10.110000000000001</v>
      </c>
      <c r="K13" s="112">
        <v>2.66</v>
      </c>
      <c r="L13" s="112">
        <v>1.66</v>
      </c>
      <c r="M13" s="236">
        <f>SUM(E13:L13)</f>
        <v>57.89</v>
      </c>
    </row>
    <row r="14" spans="1:13" ht="14.45" x14ac:dyDescent="0.3">
      <c r="A14" s="243"/>
      <c r="B14" s="243"/>
      <c r="C14" s="244"/>
      <c r="D14" s="244"/>
      <c r="E14" s="245"/>
      <c r="F14" s="245"/>
      <c r="G14" s="245"/>
      <c r="H14" s="245"/>
      <c r="I14" s="244"/>
      <c r="J14" s="244"/>
      <c r="K14" s="244"/>
      <c r="L14" s="244"/>
      <c r="M14" s="246"/>
    </row>
    <row r="15" spans="1:13" x14ac:dyDescent="0.25">
      <c r="A15" s="234" t="s">
        <v>200</v>
      </c>
      <c r="B15" s="234"/>
      <c r="C15" s="234"/>
      <c r="D15" s="234"/>
      <c r="E15" s="234"/>
      <c r="F15" s="234"/>
      <c r="G15" s="234"/>
      <c r="H15" s="234"/>
      <c r="I15" s="234"/>
      <c r="J15" s="234"/>
      <c r="K15" s="234"/>
      <c r="L15" s="234"/>
      <c r="M15" s="234"/>
    </row>
    <row r="16" spans="1:13" ht="25.5" x14ac:dyDescent="0.25">
      <c r="A16" s="234"/>
      <c r="B16" s="234"/>
      <c r="C16" s="237" t="s">
        <v>291</v>
      </c>
      <c r="D16" s="238" t="s">
        <v>296</v>
      </c>
      <c r="E16" s="234"/>
      <c r="F16" s="239"/>
      <c r="G16" s="234"/>
      <c r="H16" s="234"/>
      <c r="I16" s="234"/>
      <c r="J16" s="234"/>
      <c r="K16" s="234"/>
      <c r="L16" s="234"/>
      <c r="M16" s="234"/>
    </row>
    <row r="17" spans="1:13" ht="25.5" x14ac:dyDescent="0.25">
      <c r="A17" s="139" t="s">
        <v>292</v>
      </c>
      <c r="B17" s="240">
        <v>500</v>
      </c>
      <c r="C17" s="241">
        <v>57.89</v>
      </c>
      <c r="D17" s="247">
        <f>B17*C17</f>
        <v>28945</v>
      </c>
      <c r="E17" s="234"/>
      <c r="F17" s="234"/>
      <c r="G17" s="234"/>
      <c r="H17" s="234"/>
      <c r="I17" s="234"/>
      <c r="J17" s="234"/>
      <c r="K17" s="234"/>
      <c r="L17" s="234"/>
      <c r="M17" s="234"/>
    </row>
    <row r="18" spans="1:13" ht="14.45" x14ac:dyDescent="0.3">
      <c r="A18" s="271"/>
      <c r="B18" s="243"/>
      <c r="C18" s="243"/>
      <c r="D18" s="272"/>
      <c r="E18" s="234"/>
      <c r="F18" s="234"/>
      <c r="G18" s="234"/>
      <c r="H18" s="234"/>
      <c r="I18" s="234"/>
      <c r="J18" s="234"/>
      <c r="K18" s="234"/>
      <c r="L18" s="234"/>
      <c r="M18" s="234"/>
    </row>
    <row r="19" spans="1:13" ht="14.45" x14ac:dyDescent="0.3">
      <c r="A19" s="271"/>
      <c r="B19" s="243"/>
      <c r="C19" s="243"/>
      <c r="D19" s="272"/>
      <c r="E19" s="234"/>
      <c r="F19" s="234"/>
      <c r="G19" s="234"/>
      <c r="H19" s="234"/>
      <c r="I19" s="234"/>
      <c r="J19" s="234"/>
      <c r="K19" s="234"/>
      <c r="L19" s="234"/>
      <c r="M19" s="234"/>
    </row>
    <row r="20" spans="1:13" ht="14.45" x14ac:dyDescent="0.3">
      <c r="A20" s="34"/>
      <c r="B20" s="34"/>
      <c r="C20" s="34"/>
      <c r="D20" s="34"/>
      <c r="E20" s="34"/>
      <c r="F20" s="34"/>
      <c r="G20" s="34"/>
      <c r="H20" s="34"/>
      <c r="I20" s="34"/>
      <c r="J20" s="34"/>
      <c r="K20" s="34"/>
      <c r="L20" s="34"/>
      <c r="M20" s="34"/>
    </row>
    <row r="21" spans="1:13" ht="37.5" customHeight="1" x14ac:dyDescent="0.25">
      <c r="A21" s="39"/>
      <c r="B21" s="105" t="s">
        <v>2</v>
      </c>
      <c r="C21" s="105" t="s">
        <v>307</v>
      </c>
      <c r="D21" s="105" t="s">
        <v>308</v>
      </c>
      <c r="E21" s="34"/>
      <c r="F21" s="34"/>
      <c r="G21" s="34"/>
      <c r="H21" s="34"/>
      <c r="I21" s="34"/>
      <c r="J21" s="34"/>
      <c r="K21" s="34"/>
      <c r="L21" s="34"/>
      <c r="M21" s="34"/>
    </row>
    <row r="22" spans="1:13" ht="25.5" x14ac:dyDescent="0.25">
      <c r="A22" s="36" t="s">
        <v>321</v>
      </c>
      <c r="B22" s="249">
        <f>G8+D17</f>
        <v>35257.68</v>
      </c>
      <c r="C22" s="249">
        <v>38783</v>
      </c>
      <c r="D22" s="249">
        <v>42661</v>
      </c>
      <c r="E22" s="43"/>
      <c r="F22" s="43"/>
      <c r="G22" s="43"/>
      <c r="H22" s="43"/>
      <c r="I22" s="43"/>
      <c r="J22" s="43"/>
      <c r="K22" s="43"/>
      <c r="L22" s="43"/>
      <c r="M22" s="43"/>
    </row>
    <row r="23" spans="1:13" ht="14.45" x14ac:dyDescent="0.3">
      <c r="A23" s="43"/>
      <c r="B23" s="43"/>
      <c r="C23" s="43"/>
      <c r="D23" s="43"/>
      <c r="E23" s="43"/>
      <c r="F23" s="43"/>
      <c r="G23" s="43"/>
      <c r="H23" s="43"/>
      <c r="I23" s="43"/>
      <c r="J23" s="43"/>
      <c r="K23" s="43"/>
      <c r="L23" s="43"/>
      <c r="M23" s="43"/>
    </row>
  </sheetData>
  <mergeCells count="5">
    <mergeCell ref="A2:M2"/>
    <mergeCell ref="E12:F12"/>
    <mergeCell ref="E13:F13"/>
    <mergeCell ref="C11:D11"/>
    <mergeCell ref="A12:B1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Kopsavilkums</vt:lpstr>
      <vt:lpstr>1.1</vt:lpstr>
      <vt:lpstr>2.2</vt:lpstr>
      <vt:lpstr>2.3_1</vt:lpstr>
      <vt:lpstr>2.3_2</vt:lpstr>
      <vt:lpstr>2.3_3</vt:lpstr>
      <vt:lpstr>2.4</vt:lpstr>
      <vt:lpstr>2.5</vt:lpstr>
      <vt:lpstr>2.6</vt:lpstr>
      <vt:lpstr>2.7_1</vt:lpstr>
      <vt:lpstr>2.7_2</vt:lpstr>
      <vt:lpstr>2.8</vt:lpstr>
      <vt:lpstr>3.3</vt:lpstr>
    </vt:vector>
  </TitlesOfParts>
  <Company>Veselības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Kopsavilkums par plānā iekļauto uzdevumu īstenošanai nepieciešamo valsts budžeta finansējumu</dc:title>
  <dc:subject>Plāna pielikums</dc:subject>
  <dc:creator>antra.valdmane@vm.gov.lv</dc:creator>
  <dc:description>67876097
antra.valdmane@vm.gov.lv</dc:description>
  <cp:lastModifiedBy>Anna Putāne</cp:lastModifiedBy>
  <cp:lastPrinted>2017-10-16T10:35:20Z</cp:lastPrinted>
  <dcterms:created xsi:type="dcterms:W3CDTF">2016-11-03T07:26:23Z</dcterms:created>
  <dcterms:modified xsi:type="dcterms:W3CDTF">2017-10-16T10:35:34Z</dcterms:modified>
</cp:coreProperties>
</file>